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theme/themeOverride1.xml" ContentType="application/vnd.openxmlformats-officedocument.themeOverrid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theme/themeOverride2.xml" ContentType="application/vnd.openxmlformats-officedocument.themeOverrid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theme/themeOverride3.xml" ContentType="application/vnd.openxmlformats-officedocument.themeOverride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theme/themeOverride4.xml" ContentType="application/vnd.openxmlformats-officedocument.themeOverride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theme/themeOverride5.xml" ContentType="application/vnd.openxmlformats-officedocument.themeOverride+xml"/>
  <Override PartName="/xl/charts/chart9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theme/themeOverride6.xml" ContentType="application/vnd.openxmlformats-officedocument.themeOverride+xml"/>
  <Override PartName="/xl/charts/chart10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theme/themeOverride7.xml" ContentType="application/vnd.openxmlformats-officedocument.themeOverride+xml"/>
  <Override PartName="/xl/charts/chart11.xml" ContentType="application/vnd.openxmlformats-officedocument.drawingml.chart+xml"/>
  <Override PartName="/xl/charts/style11.xml" ContentType="application/vnd.ms-office.chartstyle+xml"/>
  <Override PartName="/xl/charts/colors11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 codeName="{4D1C537B-E38A-612A-F078-A93A15B4B7F4}"/>
  <workbookPr updateLinks="always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balance\balance-2021_04\"/>
    </mc:Choice>
  </mc:AlternateContent>
  <xr:revisionPtr revIDLastSave="0" documentId="13_ncr:1_{D4BA4847-1CAA-4DA4-A2A8-D5CDCFB3B787}" xr6:coauthVersionLast="46" xr6:coauthVersionMax="46" xr10:uidLastSave="{00000000-0000-0000-0000-000000000000}"/>
  <bookViews>
    <workbookView xWindow="-120" yWindow="-120" windowWidth="29040" windowHeight="15990" activeTab="3" xr2:uid="{1EA051A7-4957-458F-9F3C-D296F220A5E6}"/>
  </bookViews>
  <sheets>
    <sheet name="Legende" sheetId="4" r:id="rId1"/>
    <sheet name="Analyse extrac" sheetId="5" r:id="rId2"/>
    <sheet name="Cash flow sur endettement" sheetId="7" r:id="rId3"/>
    <sheet name="Tech" sheetId="8" r:id="rId4"/>
    <sheet name="Graphique" sheetId="6" r:id="rId5"/>
  </sheets>
  <externalReferences>
    <externalReference r:id="rId6"/>
  </externalReferences>
  <definedNames>
    <definedName name="_xlnm._FilterDatabase" localSheetId="1" hidden="1">'Analyse extrac'!$A$3:$U$3</definedName>
    <definedName name="DonnéesExternes_3" localSheetId="3" hidden="1">Tech!$C$2:$W$16</definedName>
    <definedName name="Dossier">Tech!$A$1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8" i="8" l="1"/>
  <c r="E18" i="8"/>
  <c r="F18" i="8"/>
  <c r="G18" i="8"/>
  <c r="H18" i="8"/>
  <c r="I18" i="8"/>
  <c r="J18" i="8"/>
  <c r="K18" i="8"/>
  <c r="L18" i="8"/>
  <c r="M18" i="8"/>
  <c r="N18" i="8"/>
  <c r="O18" i="8"/>
  <c r="P18" i="8"/>
  <c r="Q18" i="8"/>
  <c r="R18" i="8"/>
  <c r="S18" i="8"/>
  <c r="T18" i="8"/>
  <c r="U18" i="8"/>
  <c r="V18" i="8"/>
  <c r="W18" i="8"/>
  <c r="D19" i="8"/>
  <c r="E19" i="8"/>
  <c r="F19" i="8"/>
  <c r="G19" i="8"/>
  <c r="H19" i="8"/>
  <c r="I19" i="8"/>
  <c r="J19" i="8"/>
  <c r="K19" i="8"/>
  <c r="L19" i="8"/>
  <c r="M19" i="8"/>
  <c r="N19" i="8"/>
  <c r="O19" i="8"/>
  <c r="P19" i="8"/>
  <c r="Q19" i="8"/>
  <c r="R19" i="8"/>
  <c r="S19" i="8"/>
  <c r="T19" i="8"/>
  <c r="U19" i="8"/>
  <c r="V19" i="8"/>
  <c r="W19" i="8"/>
  <c r="L14" i="7"/>
  <c r="M14" i="7"/>
  <c r="N14" i="7"/>
  <c r="D14" i="7"/>
  <c r="E14" i="7"/>
  <c r="D1" i="7" l="1" a="1"/>
  <c r="D1" i="7" s="1"/>
  <c r="D4" i="7" s="1"/>
  <c r="E1" i="7" a="1"/>
  <c r="E1" i="7" s="1"/>
  <c r="F1" i="7" a="1"/>
  <c r="F1" i="7" s="1"/>
  <c r="F3" i="7" s="1"/>
  <c r="G1" i="7" a="1"/>
  <c r="G1" i="7" s="1"/>
  <c r="G4" i="7" s="1"/>
  <c r="H1" i="7" a="1"/>
  <c r="H1" i="7" s="1"/>
  <c r="H3" i="7" s="1"/>
  <c r="I1" i="7" a="1"/>
  <c r="I1" i="7" s="1"/>
  <c r="J1" i="7" a="1"/>
  <c r="J1" i="7" s="1"/>
  <c r="J3" i="7" s="1"/>
  <c r="K1" i="7" a="1"/>
  <c r="K1" i="7" s="1"/>
  <c r="L1" i="7" a="1"/>
  <c r="L1" i="7" s="1"/>
  <c r="L3" i="7" s="1"/>
  <c r="M1" i="7" a="1"/>
  <c r="M1" i="7" s="1"/>
  <c r="N1" i="7" a="1"/>
  <c r="N1" i="7" s="1"/>
  <c r="N3" i="7" s="1"/>
  <c r="O1" i="7" a="1"/>
  <c r="O1" i="7" s="1"/>
  <c r="O4" i="7" s="1"/>
  <c r="P1" i="7" a="1"/>
  <c r="P1" i="7" s="1"/>
  <c r="P3" i="7" s="1"/>
  <c r="C1" i="7" a="1"/>
  <c r="C1" i="7" s="1"/>
  <c r="E4" i="5"/>
  <c r="D4" i="5"/>
  <c r="C4" i="5"/>
  <c r="A3" i="5"/>
  <c r="C18" i="5" a="1"/>
  <c r="C18" i="5" s="1"/>
  <c r="N18" i="5" a="1"/>
  <c r="N18" i="5" s="1"/>
  <c r="U18" i="5" a="1"/>
  <c r="U18" i="5" s="1"/>
  <c r="R18" i="5" a="1"/>
  <c r="R18" i="5" s="1"/>
  <c r="G18" i="5" a="1"/>
  <c r="G18" i="5" s="1"/>
  <c r="F18" i="5" a="1"/>
  <c r="F18" i="5" s="1"/>
  <c r="M18" i="5" a="1"/>
  <c r="M18" i="5" s="1"/>
  <c r="H18" i="5" a="1"/>
  <c r="H18" i="5" s="1"/>
  <c r="T18" i="5" a="1"/>
  <c r="T18" i="5" s="1"/>
  <c r="L18" i="5" a="1"/>
  <c r="L18" i="5" s="1"/>
  <c r="I18" i="5" a="1"/>
  <c r="I18" i="5" s="1"/>
  <c r="J18" i="5" a="1"/>
  <c r="J18" i="5" s="1"/>
  <c r="O18" i="5" a="1"/>
  <c r="O18" i="5" s="1"/>
  <c r="K18" i="5" a="1"/>
  <c r="K18" i="5" s="1"/>
  <c r="Q18" i="5" a="1"/>
  <c r="Q18" i="5" s="1"/>
  <c r="S18" i="5" a="1"/>
  <c r="S18" i="5" s="1"/>
  <c r="D18" i="5" a="1"/>
  <c r="D18" i="5" s="1"/>
  <c r="E18" i="5" a="1"/>
  <c r="E18" i="5" s="1"/>
  <c r="P18" i="5" a="1"/>
  <c r="P18" i="5" s="1"/>
  <c r="B18" i="5" a="1"/>
  <c r="B18" i="5" s="1"/>
  <c r="U17" i="5"/>
  <c r="T17" i="5"/>
  <c r="S17" i="5"/>
  <c r="R17" i="5"/>
  <c r="Q17" i="5"/>
  <c r="P17" i="5"/>
  <c r="O17" i="5"/>
  <c r="N17" i="5"/>
  <c r="M17" i="5"/>
  <c r="L17" i="5"/>
  <c r="K17" i="5"/>
  <c r="J17" i="5"/>
  <c r="I17" i="5"/>
  <c r="H17" i="5"/>
  <c r="G17" i="5"/>
  <c r="F17" i="5"/>
  <c r="E17" i="5"/>
  <c r="D17" i="5"/>
  <c r="C17" i="5"/>
  <c r="B17" i="5"/>
  <c r="U16" i="5"/>
  <c r="T16" i="5"/>
  <c r="S16" i="5"/>
  <c r="R16" i="5"/>
  <c r="Q16" i="5"/>
  <c r="P16" i="5"/>
  <c r="O16" i="5"/>
  <c r="N16" i="5"/>
  <c r="M16" i="5"/>
  <c r="L16" i="5"/>
  <c r="K16" i="5"/>
  <c r="J16" i="5"/>
  <c r="I16" i="5"/>
  <c r="H16" i="5"/>
  <c r="G16" i="5"/>
  <c r="F16" i="5"/>
  <c r="E16" i="5"/>
  <c r="D16" i="5"/>
  <c r="C16" i="5"/>
  <c r="B16" i="5"/>
  <c r="U15" i="5"/>
  <c r="T15" i="5"/>
  <c r="S15" i="5"/>
  <c r="R15" i="5"/>
  <c r="Q15" i="5"/>
  <c r="P15" i="5"/>
  <c r="O15" i="5"/>
  <c r="N15" i="5"/>
  <c r="M15" i="5"/>
  <c r="L15" i="5"/>
  <c r="K15" i="5"/>
  <c r="J15" i="5"/>
  <c r="I15" i="5"/>
  <c r="H15" i="5"/>
  <c r="G15" i="5"/>
  <c r="F15" i="5"/>
  <c r="E15" i="5"/>
  <c r="D15" i="5"/>
  <c r="C15" i="5"/>
  <c r="B15" i="5"/>
  <c r="U14" i="5"/>
  <c r="T14" i="5"/>
  <c r="S14" i="5"/>
  <c r="R14" i="5"/>
  <c r="Q14" i="5"/>
  <c r="P14" i="5"/>
  <c r="O14" i="5"/>
  <c r="N14" i="5"/>
  <c r="M14" i="5"/>
  <c r="L14" i="5"/>
  <c r="K14" i="5"/>
  <c r="J14" i="5"/>
  <c r="I14" i="5"/>
  <c r="H14" i="5"/>
  <c r="G14" i="5"/>
  <c r="F14" i="5"/>
  <c r="E14" i="5"/>
  <c r="D14" i="5"/>
  <c r="C14" i="5"/>
  <c r="B14" i="5"/>
  <c r="U13" i="5"/>
  <c r="T13" i="5"/>
  <c r="S13" i="5"/>
  <c r="R13" i="5"/>
  <c r="Q13" i="5"/>
  <c r="P13" i="5"/>
  <c r="O13" i="5"/>
  <c r="N13" i="5"/>
  <c r="M13" i="5"/>
  <c r="L13" i="5"/>
  <c r="K13" i="5"/>
  <c r="J13" i="5"/>
  <c r="I13" i="5"/>
  <c r="H13" i="5"/>
  <c r="G13" i="5"/>
  <c r="F13" i="5"/>
  <c r="E13" i="5"/>
  <c r="D13" i="5"/>
  <c r="C13" i="5"/>
  <c r="B13" i="5"/>
  <c r="U12" i="5"/>
  <c r="T12" i="5"/>
  <c r="S12" i="5"/>
  <c r="R12" i="5"/>
  <c r="Q12" i="5"/>
  <c r="P12" i="5"/>
  <c r="O12" i="5"/>
  <c r="N12" i="5"/>
  <c r="M12" i="5"/>
  <c r="L12" i="5"/>
  <c r="K12" i="5"/>
  <c r="J12" i="5"/>
  <c r="I12" i="5"/>
  <c r="H12" i="5"/>
  <c r="G12" i="5"/>
  <c r="F12" i="5"/>
  <c r="E12" i="5"/>
  <c r="D12" i="5"/>
  <c r="C12" i="5"/>
  <c r="B12" i="5"/>
  <c r="U11" i="5"/>
  <c r="T11" i="5"/>
  <c r="S11" i="5"/>
  <c r="R11" i="5"/>
  <c r="Q11" i="5"/>
  <c r="P11" i="5"/>
  <c r="O11" i="5"/>
  <c r="N11" i="5"/>
  <c r="M11" i="5"/>
  <c r="L11" i="5"/>
  <c r="K11" i="5"/>
  <c r="J11" i="5"/>
  <c r="I11" i="5"/>
  <c r="H11" i="5"/>
  <c r="G11" i="5"/>
  <c r="F11" i="5"/>
  <c r="E11" i="5"/>
  <c r="D11" i="5"/>
  <c r="C11" i="5"/>
  <c r="B11" i="5"/>
  <c r="U10" i="5"/>
  <c r="T10" i="5"/>
  <c r="S10" i="5"/>
  <c r="R10" i="5"/>
  <c r="Q10" i="5"/>
  <c r="P10" i="5"/>
  <c r="O10" i="5"/>
  <c r="N10" i="5"/>
  <c r="M10" i="5"/>
  <c r="L10" i="5"/>
  <c r="K10" i="5"/>
  <c r="J10" i="5"/>
  <c r="I10" i="5"/>
  <c r="H10" i="5"/>
  <c r="G10" i="5"/>
  <c r="F10" i="5"/>
  <c r="E10" i="5"/>
  <c r="D10" i="5"/>
  <c r="C10" i="5"/>
  <c r="B10" i="5"/>
  <c r="U9" i="5"/>
  <c r="T9" i="5"/>
  <c r="S9" i="5"/>
  <c r="R9" i="5"/>
  <c r="Q9" i="5"/>
  <c r="P9" i="5"/>
  <c r="O9" i="5"/>
  <c r="N9" i="5"/>
  <c r="M9" i="5"/>
  <c r="L9" i="5"/>
  <c r="K9" i="5"/>
  <c r="J9" i="5"/>
  <c r="I9" i="5"/>
  <c r="H9" i="5"/>
  <c r="G9" i="5"/>
  <c r="F9" i="5"/>
  <c r="E9" i="5"/>
  <c r="D9" i="5"/>
  <c r="C9" i="5"/>
  <c r="B9" i="5"/>
  <c r="U8" i="5"/>
  <c r="T8" i="5"/>
  <c r="S8" i="5"/>
  <c r="R8" i="5"/>
  <c r="Q8" i="5"/>
  <c r="P8" i="5"/>
  <c r="O8" i="5"/>
  <c r="N8" i="5"/>
  <c r="M8" i="5"/>
  <c r="L8" i="5"/>
  <c r="K8" i="5"/>
  <c r="J8" i="5"/>
  <c r="I8" i="5"/>
  <c r="H8" i="5"/>
  <c r="G8" i="5"/>
  <c r="F8" i="5"/>
  <c r="E8" i="5"/>
  <c r="D8" i="5"/>
  <c r="C8" i="5"/>
  <c r="B8" i="5"/>
  <c r="U7" i="5"/>
  <c r="T7" i="5"/>
  <c r="S7" i="5"/>
  <c r="R7" i="5"/>
  <c r="Q7" i="5"/>
  <c r="P7" i="5"/>
  <c r="O7" i="5"/>
  <c r="N7" i="5"/>
  <c r="M7" i="5"/>
  <c r="L7" i="5"/>
  <c r="K7" i="5"/>
  <c r="J7" i="5"/>
  <c r="I7" i="5"/>
  <c r="H7" i="5"/>
  <c r="G7" i="5"/>
  <c r="F7" i="5"/>
  <c r="E7" i="5"/>
  <c r="D7" i="5"/>
  <c r="C7" i="5"/>
  <c r="B7" i="5"/>
  <c r="U6" i="5"/>
  <c r="T6" i="5"/>
  <c r="S6" i="5"/>
  <c r="R6" i="5"/>
  <c r="Q6" i="5"/>
  <c r="P6" i="5"/>
  <c r="O6" i="5"/>
  <c r="N6" i="5"/>
  <c r="M6" i="5"/>
  <c r="L6" i="5"/>
  <c r="K6" i="5"/>
  <c r="J6" i="5"/>
  <c r="I6" i="5"/>
  <c r="H6" i="5"/>
  <c r="G6" i="5"/>
  <c r="F6" i="5"/>
  <c r="E6" i="5"/>
  <c r="D6" i="5"/>
  <c r="C6" i="5"/>
  <c r="B6" i="5"/>
  <c r="U5" i="5"/>
  <c r="T5" i="5"/>
  <c r="S5" i="5"/>
  <c r="R5" i="5"/>
  <c r="Q5" i="5"/>
  <c r="P5" i="5"/>
  <c r="O5" i="5"/>
  <c r="N5" i="5"/>
  <c r="M5" i="5"/>
  <c r="L5" i="5"/>
  <c r="K5" i="5"/>
  <c r="J5" i="5"/>
  <c r="I5" i="5"/>
  <c r="H5" i="5"/>
  <c r="G5" i="5"/>
  <c r="F5" i="5"/>
  <c r="E5" i="5"/>
  <c r="D5" i="5"/>
  <c r="C5" i="5"/>
  <c r="B5" i="5"/>
  <c r="U4" i="5"/>
  <c r="T4" i="5"/>
  <c r="S4" i="5"/>
  <c r="R4" i="5"/>
  <c r="Q4" i="5"/>
  <c r="P4" i="5"/>
  <c r="O4" i="5"/>
  <c r="N4" i="5"/>
  <c r="M4" i="5"/>
  <c r="L4" i="5"/>
  <c r="K4" i="5"/>
  <c r="J4" i="5"/>
  <c r="I4" i="5"/>
  <c r="H4" i="5"/>
  <c r="G4" i="5"/>
  <c r="F4" i="5"/>
  <c r="B4" i="5"/>
  <c r="N4" i="7" l="1"/>
  <c r="K4" i="7"/>
  <c r="K3" i="7"/>
  <c r="H4" i="7"/>
  <c r="I3" i="7"/>
  <c r="I4" i="7"/>
  <c r="M3" i="7"/>
  <c r="M4" i="7"/>
  <c r="E3" i="7"/>
  <c r="E4" i="7"/>
  <c r="J4" i="7"/>
  <c r="L4" i="7"/>
  <c r="F4" i="7"/>
  <c r="O3" i="7"/>
  <c r="P4" i="7"/>
  <c r="D3" i="7"/>
  <c r="G3" i="7"/>
  <c r="C4" i="7"/>
  <c r="C3" i="7"/>
  <c r="B17" i="7"/>
  <c r="J17" i="7"/>
  <c r="D17" i="7"/>
  <c r="H32" i="7"/>
  <c r="B32" i="7"/>
  <c r="D18" i="7"/>
  <c r="D19" i="7"/>
  <c r="D20" i="7"/>
  <c r="D21" i="7"/>
  <c r="D22" i="7"/>
  <c r="D23" i="7"/>
  <c r="D24" i="7"/>
  <c r="D25" i="7"/>
  <c r="D26" i="7"/>
  <c r="D27" i="7"/>
  <c r="D28" i="7"/>
  <c r="D29" i="7"/>
  <c r="D30" i="7"/>
  <c r="D31" i="7"/>
  <c r="J18" i="7"/>
  <c r="J19" i="7"/>
  <c r="J20" i="7"/>
  <c r="J21" i="7"/>
  <c r="J22" i="7"/>
  <c r="J23" i="7"/>
  <c r="J24" i="7"/>
  <c r="J25" i="7"/>
  <c r="J26" i="7"/>
  <c r="J27" i="7"/>
  <c r="J28" i="7"/>
  <c r="J29" i="7"/>
  <c r="J30" i="7"/>
  <c r="J31" i="7"/>
  <c r="C18" i="7"/>
  <c r="C19" i="7"/>
  <c r="C20" i="7"/>
  <c r="C21" i="7"/>
  <c r="C22" i="7"/>
  <c r="C23" i="7"/>
  <c r="C24" i="7"/>
  <c r="E24" i="7" s="1"/>
  <c r="F24" i="7" s="1"/>
  <c r="C25" i="7"/>
  <c r="C26" i="7"/>
  <c r="C27" i="7"/>
  <c r="C28" i="7"/>
  <c r="C29" i="7"/>
  <c r="C30" i="7"/>
  <c r="C31" i="7"/>
  <c r="B18" i="7"/>
  <c r="B19" i="7"/>
  <c r="B20" i="7"/>
  <c r="B21" i="7"/>
  <c r="B22" i="7"/>
  <c r="B23" i="7"/>
  <c r="B24" i="7"/>
  <c r="B25" i="7"/>
  <c r="B26" i="7"/>
  <c r="B27" i="7"/>
  <c r="B28" i="7"/>
  <c r="B29" i="7"/>
  <c r="B30" i="7"/>
  <c r="B31" i="7"/>
  <c r="H18" i="7"/>
  <c r="I18" i="7" s="1"/>
  <c r="H19" i="7"/>
  <c r="I19" i="7" s="1"/>
  <c r="H20" i="7"/>
  <c r="I20" i="7" s="1"/>
  <c r="H21" i="7"/>
  <c r="I21" i="7" s="1"/>
  <c r="H22" i="7"/>
  <c r="I22" i="7" s="1"/>
  <c r="H23" i="7"/>
  <c r="I23" i="7" s="1"/>
  <c r="H24" i="7"/>
  <c r="I24" i="7" s="1"/>
  <c r="H25" i="7"/>
  <c r="I25" i="7" s="1"/>
  <c r="H26" i="7"/>
  <c r="I26" i="7" s="1"/>
  <c r="H27" i="7"/>
  <c r="I27" i="7" s="1"/>
  <c r="H28" i="7"/>
  <c r="I28" i="7" s="1"/>
  <c r="H29" i="7"/>
  <c r="I29" i="7" s="1"/>
  <c r="H30" i="7"/>
  <c r="I30" i="7" s="1"/>
  <c r="H31" i="7"/>
  <c r="I31" i="7" s="1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I32" i="7" l="1"/>
  <c r="E22" i="7"/>
  <c r="F22" i="7" s="1"/>
  <c r="E31" i="7"/>
  <c r="F31" i="7" s="1"/>
  <c r="E19" i="7"/>
  <c r="F19" i="7" s="1"/>
  <c r="E23" i="7"/>
  <c r="F23" i="7" s="1"/>
  <c r="E29" i="7"/>
  <c r="F29" i="7" s="1"/>
  <c r="E27" i="7"/>
  <c r="F27" i="7" s="1"/>
  <c r="E21" i="7"/>
  <c r="F21" i="7" s="1"/>
  <c r="E28" i="7"/>
  <c r="F28" i="7" s="1"/>
  <c r="E20" i="7"/>
  <c r="F20" i="7" s="1"/>
  <c r="E26" i="7"/>
  <c r="F26" i="7" s="1"/>
  <c r="E30" i="7"/>
  <c r="F30" i="7" s="1"/>
  <c r="D32" i="7"/>
  <c r="E25" i="7"/>
  <c r="F25" i="7" s="1"/>
  <c r="C32" i="7"/>
  <c r="E18" i="7"/>
  <c r="L1" i="4"/>
  <c r="L4" i="4" s="1"/>
  <c r="K19" i="7"/>
  <c r="K20" i="7"/>
  <c r="K21" i="7"/>
  <c r="K22" i="7"/>
  <c r="K23" i="7"/>
  <c r="K24" i="7"/>
  <c r="K25" i="7"/>
  <c r="K26" i="7"/>
  <c r="K27" i="7"/>
  <c r="K28" i="7"/>
  <c r="K29" i="7"/>
  <c r="K30" i="7"/>
  <c r="K31" i="7"/>
  <c r="K18" i="7"/>
  <c r="H17" i="7"/>
  <c r="J32" i="7"/>
  <c r="F18" i="7" l="1"/>
  <c r="E32" i="7"/>
  <c r="L3" i="4"/>
  <c r="A21" i="5" s="1"/>
  <c r="U3" i="5" l="1"/>
  <c r="T3" i="5"/>
  <c r="K32" i="7"/>
  <c r="D5" i="7"/>
  <c r="D10" i="7" s="1"/>
  <c r="J5" i="7" l="1"/>
  <c r="J10" i="7" s="1"/>
  <c r="J14" i="7" s="1"/>
  <c r="K5" i="7"/>
  <c r="K10" i="7" s="1"/>
  <c r="K14" i="7" s="1"/>
  <c r="C5" i="7"/>
  <c r="C10" i="7" s="1"/>
  <c r="C14" i="7" s="1"/>
  <c r="I5" i="7"/>
  <c r="I10" i="7" s="1"/>
  <c r="I14" i="7" s="1"/>
  <c r="H5" i="7"/>
  <c r="O6" i="7"/>
  <c r="O5" i="7"/>
  <c r="G5" i="7"/>
  <c r="G10" i="7" s="1"/>
  <c r="G14" i="7" s="1"/>
  <c r="N6" i="7"/>
  <c r="N5" i="7"/>
  <c r="F5" i="7"/>
  <c r="F10" i="7" s="1"/>
  <c r="F14" i="7" s="1"/>
  <c r="L5" i="7"/>
  <c r="L10" i="7" s="1"/>
  <c r="P6" i="7"/>
  <c r="P5" i="7"/>
  <c r="M5" i="7"/>
  <c r="E5" i="7"/>
  <c r="E10" i="7" s="1"/>
  <c r="U19" i="5"/>
  <c r="T19" i="5"/>
  <c r="P3" i="5"/>
  <c r="O3" i="5"/>
  <c r="M3" i="5"/>
  <c r="L3" i="5"/>
  <c r="S3" i="5"/>
  <c r="R3" i="5"/>
  <c r="Q3" i="5"/>
  <c r="N10" i="7" l="1"/>
  <c r="Q19" i="5"/>
  <c r="S19" i="5"/>
  <c r="R19" i="5"/>
  <c r="Q12" i="7"/>
  <c r="P8" i="7"/>
  <c r="P10" i="7" s="1"/>
  <c r="P14" i="7" s="1"/>
  <c r="O8" i="7"/>
  <c r="O10" i="7" s="1"/>
  <c r="O14" i="7" s="1"/>
  <c r="Q7" i="7"/>
  <c r="M6" i="7"/>
  <c r="M10" i="7" s="1"/>
  <c r="H6" i="7"/>
  <c r="H10" i="7" s="1"/>
  <c r="H14" i="7" s="1"/>
  <c r="Q8" i="7" l="1"/>
  <c r="Q6" i="7"/>
  <c r="Q3" i="7" l="1"/>
  <c r="Q5" i="7"/>
  <c r="Q4" i="7"/>
  <c r="P19" i="5"/>
  <c r="L19" i="5"/>
  <c r="N19" i="5"/>
  <c r="K19" i="5"/>
  <c r="O19" i="5"/>
  <c r="Q10" i="7" l="1"/>
  <c r="Q14" i="7" s="1"/>
  <c r="A4" i="5"/>
  <c r="A5" i="5"/>
  <c r="A6" i="5"/>
  <c r="A7" i="5"/>
  <c r="A8" i="5"/>
  <c r="A9" i="5"/>
  <c r="A10" i="5"/>
  <c r="A11" i="5"/>
  <c r="A12" i="5"/>
  <c r="A13" i="5"/>
  <c r="A14" i="5"/>
  <c r="A15" i="5"/>
  <c r="A16" i="5"/>
  <c r="A17" i="5"/>
  <c r="A18" i="5"/>
  <c r="B3" i="5"/>
  <c r="B19" i="5" s="1"/>
  <c r="M19" i="5"/>
  <c r="J3" i="5"/>
  <c r="J19" i="5" s="1"/>
  <c r="I3" i="5"/>
  <c r="I19" i="5" s="1"/>
  <c r="H3" i="5"/>
  <c r="H19" i="5" s="1"/>
  <c r="G3" i="5"/>
  <c r="G19" i="5" s="1"/>
  <c r="F3" i="5"/>
  <c r="F19" i="5" s="1"/>
  <c r="E3" i="5"/>
  <c r="E19" i="5" s="1"/>
  <c r="D3" i="5"/>
  <c r="D19" i="5" s="1"/>
  <c r="C3" i="5"/>
  <c r="C19" i="5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BF518DCC-6659-4AEC-A2BD-7AB8256BF37B}" keepAlive="1" name="Requête - Comptes" description="Connexion à la requête « Comptes » dans le classeur." type="5" refreshedVersion="0" saveData="1">
    <dbPr connection="Provider=Microsoft.Mashup.OleDb.1;Data Source=$Workbook$;Location=Comptes;Extended Properties=&quot;&quot;" command="SELECT * FROM [Comptes]"/>
  </connection>
  <connection id="2" xr16:uid="{F98F4A59-C599-40FB-823B-C61ECB46A834}" keepAlive="1" name="Requête - Comptes(1)" description="Connexion à la requête « Comptes » dans le classeur." type="5" refreshedVersion="0" saveData="1">
    <dbPr connection="Provider=Microsoft.Mashup.OleDb.1;Data Source=$Workbook$;Location=Comptes;Extended Properties=&quot;&quot;" command="SELECT * FROM [Comptes]"/>
  </connection>
  <connection id="3" xr16:uid="{6204A29A-6445-4205-B605-594C66AD7325}" keepAlive="1" name="Requête - extrac" description="Connexion à la requête « extrac » dans le classeur." type="5" refreshedVersion="0" saveData="1">
    <dbPr connection="Provider=Microsoft.Mashup.OleDb.1;Data Source=$Workbook$;Location=extrac;Extended Properties=&quot;&quot;" command="SELECT * FROM [extrac]"/>
  </connection>
  <connection id="4" xr16:uid="{647FE820-885A-43C5-A673-7D2A7F660E10}" keepAlive="1" name="Requête - extrac(1)" description="Connexion à la requête « extrac » dans le classeur." type="5" refreshedVersion="7" saveData="1">
    <dbPr connection="Provider=Microsoft.Mashup.OleDb.1;Data Source=$Workbook$;Location=extrac;Extended Properties=&quot;&quot;" command="SELECT * FROM [extrac]"/>
  </connection>
  <connection id="5" xr16:uid="{BE691B46-8336-4936-84B4-9DD79A25DB22}" keepAlive="1" name="Requête - Final" description="Connexion à la requête « Final » dans le classeur." type="5" refreshedVersion="7" saveData="1">
    <dbPr connection="Provider=Microsoft.Mashup.OleDb.1;Data Source=$Workbook$;Location=Final;Extended Properties=&quot;&quot;" command="SELECT * FROM [Final]"/>
  </connection>
  <connection id="6" xr16:uid="{168D5515-42BC-42E0-89EC-2CA61C8E6941}" keepAlive="1" name="Requête - SCI" description="Connexion à la requête « SCI » dans le classeur." type="5" refreshedVersion="0" saveData="1">
    <dbPr connection="Provider=Microsoft.Mashup.OleDb.1;Data Source=$Workbook$;Location=SCI;Extended Properties=&quot;&quot;" command="SELECT * FROM [SCI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<sst xmlns="http://schemas.openxmlformats.org/spreadsheetml/2006/main" count="224" uniqueCount="122">
  <si>
    <t>Total</t>
  </si>
  <si>
    <t>FDR</t>
  </si>
  <si>
    <t>BFR</t>
  </si>
  <si>
    <t>C/C</t>
  </si>
  <si>
    <t>RESULTAT</t>
  </si>
  <si>
    <t>EBIT</t>
  </si>
  <si>
    <t>PRODUITS FINANCIERES</t>
  </si>
  <si>
    <t>DOTATIONS</t>
  </si>
  <si>
    <t>&gt;=101000000</t>
  </si>
  <si>
    <t>&gt;=401000000</t>
  </si>
  <si>
    <t>&gt;=467000000</t>
  </si>
  <si>
    <t>&gt;=455000000</t>
  </si>
  <si>
    <t>&gt;=606100000</t>
  </si>
  <si>
    <t>&gt;=681120000</t>
  </si>
  <si>
    <t>&gt;=763100000</t>
  </si>
  <si>
    <t>&gt;=661310000</t>
  </si>
  <si>
    <t>&lt;=281830000</t>
  </si>
  <si>
    <t>&lt;=448600000</t>
  </si>
  <si>
    <t>&lt;=487000000</t>
  </si>
  <si>
    <t>&lt;=455100000</t>
  </si>
  <si>
    <t>&lt;=763100000</t>
  </si>
  <si>
    <t>&lt;=658000000</t>
  </si>
  <si>
    <t>&lt;=758000000</t>
  </si>
  <si>
    <t>&lt;=661310000</t>
  </si>
  <si>
    <t>&lt;=681120000</t>
  </si>
  <si>
    <t>TERRAINS</t>
  </si>
  <si>
    <t>CONSTRUCTIONS</t>
  </si>
  <si>
    <t>Immobilier</t>
  </si>
  <si>
    <t>Totaux</t>
  </si>
  <si>
    <t>LOYERS</t>
  </si>
  <si>
    <t>CAPITAL</t>
  </si>
  <si>
    <t>Totaux filtrés</t>
  </si>
  <si>
    <t>Analyse de la balance</t>
  </si>
  <si>
    <t>Par : Famille</t>
  </si>
  <si>
    <t>Dernière Modification le : 20/04/21 11:12</t>
  </si>
  <si>
    <t>CONSTRUCTIONS, INSTALLATIONS GÉNÉRALES</t>
  </si>
  <si>
    <t>AMORTISSEMENT CONSTRUCTIONS</t>
  </si>
  <si>
    <t>PÉNALITÉS, AMENDES FISCALES</t>
  </si>
  <si>
    <t>&gt;=671200000</t>
  </si>
  <si>
    <t>&lt;=671200000</t>
  </si>
  <si>
    <t>TOTAL</t>
  </si>
  <si>
    <t>Cash flow</t>
  </si>
  <si>
    <t>+résultat net</t>
  </si>
  <si>
    <t>+dotations amts et prov</t>
  </si>
  <si>
    <t>+variation BFR</t>
  </si>
  <si>
    <t>-investissements</t>
  </si>
  <si>
    <t>-dividendes versés</t>
  </si>
  <si>
    <t>+variation trésorerie</t>
  </si>
  <si>
    <t>Endettement</t>
  </si>
  <si>
    <t>ratio</t>
  </si>
  <si>
    <t>&gt;=218100000</t>
  </si>
  <si>
    <t>&gt;=281200000</t>
  </si>
  <si>
    <t>&lt;=218100000</t>
  </si>
  <si>
    <t>&lt;=281200000</t>
  </si>
  <si>
    <t>&gt;=281810000</t>
  </si>
  <si>
    <t>&lt;=281810000</t>
  </si>
  <si>
    <t>AMORTISSEMENT AGENCEMENTS DE TERRAINS</t>
  </si>
  <si>
    <t>&gt;=211000000</t>
  </si>
  <si>
    <t>&lt;=211000000</t>
  </si>
  <si>
    <t>&gt;=212000000</t>
  </si>
  <si>
    <t>&lt;=212000000</t>
  </si>
  <si>
    <t>SCI</t>
  </si>
  <si>
    <t>&gt;=213100000</t>
  </si>
  <si>
    <t>&lt;=213100000</t>
  </si>
  <si>
    <t>&gt;=706000000</t>
  </si>
  <si>
    <t>&lt;=706000000</t>
  </si>
  <si>
    <t>&lt;=101000000</t>
  </si>
  <si>
    <t>&gt;=213500000</t>
  </si>
  <si>
    <t>&lt;=213500000</t>
  </si>
  <si>
    <t>&gt;=281300000</t>
  </si>
  <si>
    <t>Libellés</t>
  </si>
  <si>
    <t>Numéro compte</t>
  </si>
  <si>
    <t>CONSTRUCTIONS IMMO EN COURS</t>
  </si>
  <si>
    <t>&gt;=231301000</t>
  </si>
  <si>
    <t>&lt;=231301000</t>
  </si>
  <si>
    <t>&lt;=281350000</t>
  </si>
  <si>
    <t>INSTALLATIONS TECHNIQUES</t>
  </si>
  <si>
    <t>INSTALLATIONS GÉNÉRALES, AGENCEMENTS DIVERS</t>
  </si>
  <si>
    <t>&gt;=215100000</t>
  </si>
  <si>
    <t>&lt;=215100000</t>
  </si>
  <si>
    <t>Sociétés</t>
  </si>
  <si>
    <t>BFR 12/20</t>
  </si>
  <si>
    <t>Var BFR</t>
  </si>
  <si>
    <t>BFR 04/21</t>
  </si>
  <si>
    <t>-</t>
  </si>
  <si>
    <t>_</t>
  </si>
  <si>
    <t>../balance-</t>
  </si>
  <si>
    <t>/</t>
  </si>
  <si>
    <t>.xlsm</t>
  </si>
  <si>
    <t>analyse-balance</t>
  </si>
  <si>
    <t>BFR 03/21</t>
  </si>
  <si>
    <t>BFR mois pécédent</t>
  </si>
  <si>
    <t>BFR 12/2020</t>
  </si>
  <si>
    <t>Totaux générale</t>
  </si>
  <si>
    <t>Colonne1</t>
  </si>
  <si>
    <t>Société</t>
  </si>
  <si>
    <t>AMORTISSEMENTS INSTALLATIONS GÉNÉRALES ET AGENCEMENTS</t>
  </si>
  <si>
    <t>AMÉNAGEMENT DE TERRAINS</t>
  </si>
  <si>
    <t>CHARGES FINANCIERES</t>
  </si>
  <si>
    <t>Sens</t>
  </si>
  <si>
    <t>N</t>
  </si>
  <si>
    <t>I</t>
  </si>
  <si>
    <t>Ordre</t>
  </si>
  <si>
    <t>Synthese</t>
  </si>
  <si>
    <t>AMORTISSEMENTS INSTALLATIONS GÉNÉRALES ET AGENCEMENTS 2</t>
  </si>
  <si>
    <t>???</t>
  </si>
  <si>
    <t>T:\balance\balance-2021_03</t>
  </si>
  <si>
    <t>Dernière Modification le : 09/05/21 a 12:32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</si>
  <si>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</si>
  <si>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</si>
  <si>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</si>
  <si>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</si>
  <si>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</si>
  <si>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</si>
  <si>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</si>
  <si>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</si>
  <si>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</si>
  <si>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</si>
  <si>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</si>
  <si>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</si>
  <si>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Lundi</t>
  </si>
  <si>
    <t>Mardi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</si>
</sst>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#,##0.00\ &quot;€&quot;"/>
    <numFmt numFmtId="165" formatCode="00"/>
  </numFmts>
  <fonts count="1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20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6"/>
      <color theme="4"/>
      <name val="Calibri"/>
      <family val="2"/>
      <scheme val="minor"/>
    </font>
    <font>
      <b/>
      <sz val="12"/>
      <color theme="0"/>
      <name val="Calibri"/>
      <family val="2"/>
      <scheme val="minor"/>
    </font>
    <font>
      <u/>
      <sz val="16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2" tint="-0.24994659260841701"/>
      </left>
      <right style="medium">
        <color theme="2" tint="-0.24994659260841701"/>
      </right>
      <top style="medium">
        <color theme="2" tint="-0.24994659260841701"/>
      </top>
      <bottom style="medium">
        <color theme="2" tint="-0.24994659260841701"/>
      </bottom>
      <diagonal/>
    </border>
    <border>
      <left style="thin">
        <color theme="1"/>
      </left>
      <right style="thin">
        <color theme="1"/>
      </right>
      <top style="medium">
        <color theme="4" tint="-0.2499465926084170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medium">
        <color theme="4" tint="-0.24994659260841701"/>
      </bottom>
      <diagonal/>
    </border>
    <border>
      <left style="medium">
        <color theme="0" tint="-0.24994659260841701"/>
      </left>
      <right style="medium">
        <color theme="0" tint="-0.24994659260841701"/>
      </right>
      <top style="medium">
        <color theme="0" tint="-0.24994659260841701"/>
      </top>
      <bottom style="medium">
        <color theme="0" tint="-0.24994659260841701"/>
      </bottom>
      <diagonal/>
    </border>
    <border>
      <left/>
      <right/>
      <top style="medium">
        <color theme="4" tint="-0.24994659260841701"/>
      </top>
      <bottom style="medium">
        <color theme="4" tint="-0.24994659260841701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theme="2" tint="-0.24994659260841701"/>
      </left>
      <right/>
      <top style="medium">
        <color theme="2" tint="-0.24994659260841701"/>
      </top>
      <bottom/>
      <diagonal/>
    </border>
    <border>
      <left/>
      <right/>
      <top style="medium">
        <color theme="2" tint="-0.24994659260841701"/>
      </top>
      <bottom/>
      <diagonal/>
    </border>
    <border>
      <left/>
      <right style="medium">
        <color theme="2" tint="-0.24994659260841701"/>
      </right>
      <top style="medium">
        <color theme="2" tint="-0.24994659260841701"/>
      </top>
      <bottom/>
      <diagonal/>
    </border>
    <border>
      <left style="medium">
        <color theme="2" tint="-0.24994659260841701"/>
      </left>
      <right/>
      <top/>
      <bottom style="medium">
        <color theme="2" tint="-0.24994659260841701"/>
      </bottom>
      <diagonal/>
    </border>
    <border>
      <left/>
      <right/>
      <top/>
      <bottom style="medium">
        <color theme="2" tint="-0.24994659260841701"/>
      </bottom>
      <diagonal/>
    </border>
    <border>
      <left/>
      <right style="medium">
        <color theme="2" tint="-0.24994659260841701"/>
      </right>
      <top/>
      <bottom style="medium">
        <color theme="2" tint="-0.24994659260841701"/>
      </bottom>
      <diagonal/>
    </border>
  </borders>
  <cellStyleXfs count="7">
    <xf numFmtId="0" fontId="0" fillId="0" borderId="0"/>
    <xf numFmtId="0" fontId="1" fillId="2" borderId="0" applyNumberFormat="0" applyBorder="0" applyAlignment="0" applyProtection="0"/>
    <xf numFmtId="9" fontId="4" fillId="0" borderId="0" applyFont="0" applyFill="0" applyBorder="0" applyAlignment="0" applyProtection="0"/>
    <xf numFmtId="0" fontId="6" fillId="0" borderId="0" applyNumberFormat="0" applyFill="0" applyBorder="0" applyAlignment="0" applyProtection="0"/>
    <xf numFmtId="0" fontId="4" fillId="5" borderId="0" applyNumberFormat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</cellStyleXfs>
  <cellXfs count="92">
    <xf numFmtId="0" fontId="0" fillId="0" borderId="0" xfId="0"/>
    <xf numFmtId="0" fontId="0" fillId="0" borderId="0" xfId="0" applyFont="1" applyAlignment="1">
      <alignment horizontal="center" vertical="center"/>
    </xf>
    <xf numFmtId="0" fontId="2" fillId="0" borderId="0" xfId="0" applyFont="1" applyFill="1" applyBorder="1" applyAlignment="1">
      <alignment horizontal="center"/>
    </xf>
    <xf numFmtId="0" fontId="2" fillId="0" borderId="0" xfId="0" applyFont="1" applyFill="1" applyAlignment="1">
      <alignment horizontal="center"/>
    </xf>
    <xf numFmtId="164" fontId="2" fillId="0" borderId="0" xfId="0" applyNumberFormat="1" applyFont="1" applyFill="1" applyAlignment="1">
      <alignment horizontal="center"/>
    </xf>
    <xf numFmtId="0" fontId="1" fillId="3" borderId="2" xfId="0" applyFont="1" applyFill="1" applyBorder="1" applyAlignment="1">
      <alignment horizontal="center" vertical="center"/>
    </xf>
    <xf numFmtId="164" fontId="1" fillId="3" borderId="2" xfId="1" applyNumberFormat="1" applyFont="1" applyFill="1" applyBorder="1" applyAlignment="1">
      <alignment horizontal="center" vertical="center"/>
    </xf>
    <xf numFmtId="164" fontId="1" fillId="3" borderId="2" xfId="1" applyNumberFormat="1" applyFont="1" applyFill="1" applyBorder="1" applyAlignment="1">
      <alignment horizontal="center"/>
    </xf>
    <xf numFmtId="164" fontId="1" fillId="3" borderId="2" xfId="0" applyNumberFormat="1" applyFont="1" applyFill="1" applyBorder="1" applyAlignment="1">
      <alignment horizontal="center"/>
    </xf>
    <xf numFmtId="164" fontId="2" fillId="0" borderId="2" xfId="0" applyNumberFormat="1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5" fillId="0" borderId="0" xfId="0" applyFont="1" applyAlignment="1">
      <alignment horizontal="left"/>
    </xf>
    <xf numFmtId="3" fontId="0" fillId="0" borderId="0" xfId="0" applyNumberFormat="1" applyAlignment="1">
      <alignment horizontal="right"/>
    </xf>
    <xf numFmtId="0" fontId="0" fillId="0" borderId="0" xfId="0" quotePrefix="1" applyAlignment="1">
      <alignment horizontal="left"/>
    </xf>
    <xf numFmtId="3" fontId="2" fillId="0" borderId="0" xfId="0" applyNumberFormat="1" applyFont="1" applyAlignment="1">
      <alignment horizontal="right"/>
    </xf>
    <xf numFmtId="0" fontId="0" fillId="0" borderId="0" xfId="0" applyAlignment="1">
      <alignment horizontal="left"/>
    </xf>
    <xf numFmtId="3" fontId="5" fillId="0" borderId="1" xfId="0" applyNumberFormat="1" applyFont="1" applyBorder="1" applyAlignment="1">
      <alignment horizontal="right"/>
    </xf>
    <xf numFmtId="14" fontId="0" fillId="0" borderId="0" xfId="0" applyNumberFormat="1" applyFont="1" applyAlignment="1">
      <alignment horizontal="center" vertical="center"/>
    </xf>
    <xf numFmtId="165" fontId="0" fillId="0" borderId="0" xfId="0" applyNumberFormat="1" applyFont="1" applyAlignment="1">
      <alignment horizontal="center" vertical="center"/>
    </xf>
    <xf numFmtId="0" fontId="0" fillId="0" borderId="0" xfId="0" applyNumberFormat="1" applyFont="1" applyAlignment="1">
      <alignment horizontal="center" vertical="center"/>
    </xf>
    <xf numFmtId="0" fontId="6" fillId="0" borderId="0" xfId="3" applyFill="1" applyAlignment="1">
      <alignment horizontal="center"/>
    </xf>
    <xf numFmtId="0" fontId="6" fillId="0" borderId="0" xfId="3" applyAlignment="1">
      <alignment horizontal="center" vertical="center"/>
    </xf>
    <xf numFmtId="164" fontId="2" fillId="0" borderId="2" xfId="0" applyNumberFormat="1" applyFont="1" applyBorder="1" applyAlignment="1">
      <alignment horizontal="center"/>
    </xf>
    <xf numFmtId="0" fontId="0" fillId="0" borderId="2" xfId="0" applyBorder="1"/>
    <xf numFmtId="0" fontId="1" fillId="3" borderId="6" xfId="0" applyFont="1" applyFill="1" applyBorder="1" applyAlignment="1">
      <alignment horizontal="center"/>
    </xf>
    <xf numFmtId="0" fontId="0" fillId="0" borderId="0" xfId="0" applyFont="1" applyAlignment="1">
      <alignment horizontal="left" vertical="center"/>
    </xf>
    <xf numFmtId="4" fontId="0" fillId="0" borderId="0" xfId="0" applyNumberFormat="1"/>
    <xf numFmtId="0" fontId="5" fillId="6" borderId="7" xfId="4" applyFont="1" applyFill="1" applyBorder="1"/>
    <xf numFmtId="4" fontId="5" fillId="6" borderId="7" xfId="4" applyNumberFormat="1" applyFont="1" applyFill="1" applyBorder="1"/>
    <xf numFmtId="4" fontId="0" fillId="0" borderId="3" xfId="0" applyNumberFormat="1" applyBorder="1"/>
    <xf numFmtId="4" fontId="0" fillId="0" borderId="4" xfId="0" applyNumberFormat="1" applyBorder="1"/>
    <xf numFmtId="4" fontId="0" fillId="0" borderId="5" xfId="0" applyNumberFormat="1" applyBorder="1"/>
    <xf numFmtId="0" fontId="0" fillId="0" borderId="0" xfId="0" applyFont="1" applyAlignment="1">
      <alignment vertical="center"/>
    </xf>
    <xf numFmtId="164" fontId="9" fillId="3" borderId="2" xfId="1" applyNumberFormat="1" applyFont="1" applyFill="1" applyBorder="1" applyAlignment="1">
      <alignment horizontal="center"/>
    </xf>
    <xf numFmtId="164" fontId="11" fillId="3" borderId="2" xfId="1" applyNumberFormat="1" applyFont="1" applyFill="1" applyBorder="1" applyAlignment="1">
      <alignment horizontal="center"/>
    </xf>
    <xf numFmtId="164" fontId="9" fillId="3" borderId="2" xfId="0" applyNumberFormat="1" applyFont="1" applyFill="1" applyBorder="1" applyAlignment="1">
      <alignment horizontal="center"/>
    </xf>
    <xf numFmtId="0" fontId="9" fillId="3" borderId="2" xfId="0" applyFont="1" applyFill="1" applyBorder="1" applyAlignment="1">
      <alignment horizontal="center"/>
    </xf>
    <xf numFmtId="0" fontId="9" fillId="0" borderId="0" xfId="0" applyFont="1" applyFill="1" applyAlignment="1">
      <alignment horizontal="center"/>
    </xf>
    <xf numFmtId="0" fontId="0" fillId="0" borderId="0" xfId="0" applyFill="1"/>
    <xf numFmtId="43" fontId="0" fillId="0" borderId="0" xfId="5" applyFont="1"/>
    <xf numFmtId="0" fontId="8" fillId="0" borderId="8" xfId="0" applyFont="1" applyBorder="1" applyAlignment="1">
      <alignment horizontal="center" vertical="center"/>
    </xf>
    <xf numFmtId="43" fontId="0" fillId="0" borderId="0" xfId="5" applyFont="1" applyFill="1"/>
    <xf numFmtId="0" fontId="8" fillId="0" borderId="0" xfId="0" applyFont="1" applyBorder="1" applyAlignment="1">
      <alignment horizontal="center" vertical="center"/>
    </xf>
    <xf numFmtId="0" fontId="0" fillId="0" borderId="0" xfId="0" applyFont="1" applyBorder="1" applyAlignment="1">
      <alignment horizontal="left" vertical="center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left" vertical="center"/>
    </xf>
    <xf numFmtId="0" fontId="0" fillId="0" borderId="0" xfId="0" applyFont="1" applyBorder="1" applyAlignment="1">
      <alignment vertical="center"/>
    </xf>
    <xf numFmtId="0" fontId="5" fillId="0" borderId="0" xfId="0" applyFont="1" applyFill="1"/>
    <xf numFmtId="0" fontId="8" fillId="0" borderId="0" xfId="0" applyFont="1" applyBorder="1" applyAlignment="1">
      <alignment vertical="center"/>
    </xf>
    <xf numFmtId="0" fontId="10" fillId="0" borderId="11" xfId="0" applyFont="1" applyBorder="1" applyAlignment="1">
      <alignment vertical="center"/>
    </xf>
    <xf numFmtId="0" fontId="8" fillId="0" borderId="10" xfId="0" applyFont="1" applyBorder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44" fontId="2" fillId="0" borderId="2" xfId="6" applyFont="1" applyFill="1" applyBorder="1" applyAlignment="1">
      <alignment horizontal="center"/>
    </xf>
    <xf numFmtId="44" fontId="0" fillId="0" borderId="0" xfId="6" applyFont="1"/>
    <xf numFmtId="0" fontId="0" fillId="7" borderId="0" xfId="0" applyFont="1" applyFill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0" fillId="0" borderId="0" xfId="0" applyFont="1"/>
    <xf numFmtId="0" fontId="0" fillId="0" borderId="0" xfId="0" applyFont="1" applyFill="1"/>
    <xf numFmtId="43" fontId="0" fillId="0" borderId="0" xfId="0" applyNumberFormat="1" applyFont="1"/>
    <xf numFmtId="0" fontId="0" fillId="0" borderId="0" xfId="0" applyNumberFormat="1" applyFont="1"/>
    <xf numFmtId="0" fontId="0" fillId="8" borderId="0" xfId="0" applyFill="1"/>
    <xf numFmtId="0" fontId="5" fillId="8" borderId="1" xfId="0" applyFont="1" applyFill="1" applyBorder="1" applyAlignment="1">
      <alignment horizontal="center"/>
    </xf>
    <xf numFmtId="0" fontId="5" fillId="8" borderId="0" xfId="0" applyFont="1" applyFill="1" applyAlignment="1">
      <alignment horizontal="left"/>
    </xf>
    <xf numFmtId="3" fontId="0" fillId="8" borderId="0" xfId="0" applyNumberFormat="1" applyFill="1" applyAlignment="1">
      <alignment horizontal="right"/>
    </xf>
    <xf numFmtId="0" fontId="0" fillId="8" borderId="0" xfId="0" quotePrefix="1" applyFill="1" applyAlignment="1">
      <alignment horizontal="left"/>
    </xf>
    <xf numFmtId="3" fontId="0" fillId="4" borderId="0" xfId="0" applyNumberFormat="1" applyFill="1" applyAlignment="1">
      <alignment horizontal="right"/>
    </xf>
    <xf numFmtId="0" fontId="0" fillId="8" borderId="0" xfId="0" applyFill="1" applyAlignment="1">
      <alignment horizontal="left"/>
    </xf>
    <xf numFmtId="3" fontId="5" fillId="8" borderId="1" xfId="0" applyNumberFormat="1" applyFont="1" applyFill="1" applyBorder="1" applyAlignment="1">
      <alignment horizontal="right"/>
    </xf>
    <xf numFmtId="3" fontId="5" fillId="4" borderId="1" xfId="0" applyNumberFormat="1" applyFont="1" applyFill="1" applyBorder="1" applyAlignment="1">
      <alignment horizontal="right"/>
    </xf>
    <xf numFmtId="0" fontId="5" fillId="8" borderId="1" xfId="0" applyFont="1" applyFill="1" applyBorder="1" applyAlignment="1">
      <alignment horizontal="left"/>
    </xf>
    <xf numFmtId="4" fontId="5" fillId="8" borderId="1" xfId="2" applyNumberFormat="1" applyFont="1" applyFill="1" applyBorder="1" applyAlignment="1">
      <alignment horizontal="right"/>
    </xf>
    <xf numFmtId="0" fontId="5" fillId="0" borderId="0" xfId="0" applyFont="1" applyAlignment="1">
      <alignment horizontal="center"/>
    </xf>
    <xf numFmtId="4" fontId="0" fillId="8" borderId="0" xfId="0" applyNumberFormat="1" applyFill="1"/>
    <xf numFmtId="4" fontId="5" fillId="8" borderId="7" xfId="4" applyNumberFormat="1" applyFont="1" applyFill="1" applyBorder="1"/>
    <xf numFmtId="0" fontId="0" fillId="0" borderId="0" xfId="0" applyFill="1" applyAlignment="1">
      <alignment horizontal="center"/>
    </xf>
    <xf numFmtId="0" fontId="2" fillId="0" borderId="0" xfId="0" applyFont="1" applyFill="1" applyAlignment="1">
      <alignment horizontal="left"/>
    </xf>
    <xf numFmtId="164" fontId="3" fillId="3" borderId="15" xfId="1" applyNumberFormat="1" applyFont="1" applyFill="1" applyBorder="1" applyAlignment="1">
      <alignment vertical="center"/>
    </xf>
    <xf numFmtId="164" fontId="3" fillId="3" borderId="16" xfId="1" applyNumberFormat="1" applyFont="1" applyFill="1" applyBorder="1" applyAlignment="1">
      <alignment vertical="center"/>
    </xf>
    <xf numFmtId="164" fontId="3" fillId="3" borderId="17" xfId="1" applyNumberFormat="1" applyFont="1" applyFill="1" applyBorder="1" applyAlignment="1">
      <alignment vertical="center"/>
    </xf>
    <xf numFmtId="164" fontId="3" fillId="9" borderId="12" xfId="1" applyNumberFormat="1" applyFont="1" applyFill="1" applyBorder="1" applyAlignment="1">
      <alignment horizontal="centerContinuous" vertical="center"/>
    </xf>
    <xf numFmtId="0" fontId="1" fillId="9" borderId="0" xfId="0" applyFont="1" applyFill="1" applyAlignment="1">
      <alignment horizontal="centerContinuous" vertical="center" wrapText="1"/>
    </xf>
    <xf numFmtId="0" fontId="0" fillId="9" borderId="0" xfId="0" applyFont="1" applyFill="1" applyAlignment="1">
      <alignment horizontal="centerContinuous" vertical="center" wrapText="1"/>
    </xf>
    <xf numFmtId="164" fontId="3" fillId="9" borderId="13" xfId="1" applyNumberFormat="1" applyFont="1" applyFill="1" applyBorder="1" applyAlignment="1">
      <alignment horizontal="centerContinuous" vertical="center"/>
    </xf>
    <xf numFmtId="164" fontId="3" fillId="9" borderId="14" xfId="1" applyNumberFormat="1" applyFont="1" applyFill="1" applyBorder="1" applyAlignment="1">
      <alignment horizontal="centerContinuous" vertical="center"/>
    </xf>
    <xf numFmtId="164" fontId="3" fillId="3" borderId="12" xfId="1" applyNumberFormat="1" applyFont="1" applyFill="1" applyBorder="1" applyAlignment="1">
      <alignment horizontal="center" vertical="center"/>
    </xf>
    <xf numFmtId="164" fontId="3" fillId="3" borderId="13" xfId="1" applyNumberFormat="1" applyFont="1" applyFill="1" applyBorder="1" applyAlignment="1">
      <alignment horizontal="center" vertical="center"/>
    </xf>
    <xf numFmtId="164" fontId="3" fillId="3" borderId="14" xfId="1" applyNumberFormat="1" applyFont="1" applyFill="1" applyBorder="1" applyAlignment="1">
      <alignment horizontal="center" vertical="center"/>
    </xf>
    <xf numFmtId="164" fontId="3" fillId="3" borderId="15" xfId="1" applyNumberFormat="1" applyFont="1" applyFill="1" applyBorder="1" applyAlignment="1">
      <alignment horizontal="center" vertical="center"/>
    </xf>
    <xf numFmtId="164" fontId="3" fillId="3" borderId="16" xfId="1" applyNumberFormat="1" applyFont="1" applyFill="1" applyBorder="1" applyAlignment="1">
      <alignment horizontal="center" vertical="center"/>
    </xf>
    <xf numFmtId="164" fontId="3" fillId="3" borderId="17" xfId="1" applyNumberFormat="1" applyFont="1" applyFill="1" applyBorder="1" applyAlignment="1">
      <alignment horizontal="center" vertical="center"/>
    </xf>
    <xf numFmtId="0" fontId="0" fillId="0" borderId="9" xfId="0" applyFont="1" applyFill="1" applyBorder="1" applyAlignment="1">
      <alignment horizontal="left" vertical="center"/>
    </xf>
    <xf numFmtId="0" fontId="0" fillId="0" borderId="8" xfId="0" applyFont="1" applyFill="1" applyBorder="1" applyAlignment="1">
      <alignment horizontal="left" vertical="center"/>
    </xf>
  </cellXfs>
  <cellStyles count="7">
    <cellStyle name="20 % - Accent5" xfId="4" builtinId="46"/>
    <cellStyle name="Accent1" xfId="1" builtinId="29"/>
    <cellStyle name="Lien hypertexte" xfId="3" builtinId="8"/>
    <cellStyle name="Milliers" xfId="5" builtinId="3"/>
    <cellStyle name="Monétaire" xfId="6" builtinId="4"/>
    <cellStyle name="Normal" xfId="0" builtinId="0"/>
    <cellStyle name="Pourcentage" xfId="2" builtinId="5"/>
  </cellStyles>
  <dxfs count="70"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92D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colors>
    <mruColors>
      <color rgb="FFFF7C80"/>
      <color rgb="FFFF5050"/>
      <color rgb="FFFF979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heetMetadata" Target="metadata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Relationship Id="rId14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.xml"/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2.xml"/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3.xml"/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4.xml"/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5.xml"/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9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6.xml"/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0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7.xml"/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11.xml.rels><?xml version="1.0" encoding="UTF-8" standalone="yes"?>
<Relationships xmlns="http://schemas.openxmlformats.org/package/2006/relationships"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0" i="0" u="none" strike="noStrike" kern="1200" cap="all" baseline="0">
                <a:solidFill>
                  <a:schemeClr val="lt1"/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TOTAL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0" i="0" u="none" strike="noStrike" kern="1200" cap="all" baseline="0">
              <a:solidFill>
                <a:schemeClr val="lt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solidFill>
          <a:schemeClr val="bg2">
            <a:lumMod val="75000"/>
            <a:alpha val="27000"/>
          </a:schemeClr>
        </a:solidFill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spPr>
            <a:solidFill>
              <a:schemeClr val="accent1">
                <a:alpha val="88000"/>
              </a:schemeClr>
            </a:solidFill>
            <a:ln>
              <a:solidFill>
                <a:schemeClr val="accent1">
                  <a:lumMod val="50000"/>
                </a:schemeClr>
              </a:solidFill>
            </a:ln>
            <a:effectLst/>
            <a:scene3d>
              <a:camera prst="orthographicFront"/>
              <a:lightRig rig="threePt" dir="t"/>
            </a:scene3d>
            <a:sp3d prstMaterial="flat">
              <a:contourClr>
                <a:schemeClr val="accent1">
                  <a:lumMod val="50000"/>
                </a:schemeClr>
              </a:contourClr>
            </a:sp3d>
          </c:spPr>
          <c:invertIfNegative val="0"/>
          <c:cat>
            <c:strRef>
              <c:f>Tech!$C$3:$C$18</c:f>
              <c:strCache>
                <c:ptCount val="16"/>
                <c:pt idx="0">
                  <c:v> Janvier </c:v>
                </c:pt>
                <c:pt idx="1">
                  <c:v> Février </c:v>
                </c:pt>
                <c:pt idx="2">
                  <c:v> Mars </c:v>
                </c:pt>
                <c:pt idx="3">
                  <c:v> Avril </c:v>
                </c:pt>
                <c:pt idx="4">
                  <c:v> Mai </c:v>
                </c:pt>
                <c:pt idx="5">
                  <c:v> Juin </c:v>
                </c:pt>
                <c:pt idx="6">
                  <c:v> Juillet </c:v>
                </c:pt>
                <c:pt idx="7">
                  <c:v> Août </c:v>
                </c:pt>
                <c:pt idx="8">
                  <c:v> Septembre </c:v>
                </c:pt>
                <c:pt idx="9">
                  <c:v> Octobre </c:v>
                </c:pt>
                <c:pt idx="10">
                  <c:v> Novembre </c:v>
                </c:pt>
                <c:pt idx="11">
                  <c:v> Décembre </c:v>
                </c:pt>
                <c:pt idx="12">
                  <c:v> Lundi </c:v>
                </c:pt>
                <c:pt idx="13">
                  <c:v> Mardi </c:v>
                </c:pt>
                <c:pt idx="15">
                  <c:v>Totaux</c:v>
                </c:pt>
              </c:strCache>
            </c:strRef>
          </c:cat>
          <c:val>
            <c:numRef>
              <c:f>Tech!$D$3:$D$18</c:f>
              <c:numCache>
                <c:formatCode>_("€"* #,##0.00_);_("€"* \(#,##0.00\);_("€"* "-"??_);_(@_)</c:formatCode>
                <c:ptCount val="16"/>
                <c:pt idx="0">
                  <c:v>-180643.75999999931</c:v>
                </c:pt>
                <c:pt idx="1">
                  <c:v>-183502.04999999935</c:v>
                </c:pt>
                <c:pt idx="2">
                  <c:v>-183616.49000000022</c:v>
                </c:pt>
                <c:pt idx="3">
                  <c:v>-113170.10999999964</c:v>
                </c:pt>
                <c:pt idx="4">
                  <c:v>-290787.84999999963</c:v>
                </c:pt>
                <c:pt idx="5">
                  <c:v>-109631.89000000036</c:v>
                </c:pt>
                <c:pt idx="6">
                  <c:v>-300928.16999999993</c:v>
                </c:pt>
                <c:pt idx="7">
                  <c:v>-219690.80000000028</c:v>
                </c:pt>
                <c:pt idx="8">
                  <c:v>-50165.310000000056</c:v>
                </c:pt>
                <c:pt idx="9">
                  <c:v>-338469.7799999998</c:v>
                </c:pt>
                <c:pt idx="10">
                  <c:v>-350524.83000000007</c:v>
                </c:pt>
                <c:pt idx="11">
                  <c:v>-102511.41999999993</c:v>
                </c:pt>
                <c:pt idx="12">
                  <c:v>-60347.529999999912</c:v>
                </c:pt>
                <c:pt idx="13">
                  <c:v>-249098.57000002265</c:v>
                </c:pt>
                <c:pt idx="15">
                  <c:v>-2733088.560000021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3D1-4212-8F83-9D67DB85DA4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84"/>
        <c:gapDepth val="53"/>
        <c:shape val="box"/>
        <c:axId val="512308400"/>
        <c:axId val="512316928"/>
        <c:axId val="0"/>
      </c:bar3DChart>
      <c:catAx>
        <c:axId val="5123084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high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2316928"/>
        <c:crosses val="autoZero"/>
        <c:auto val="1"/>
        <c:lblAlgn val="ctr"/>
        <c:lblOffset val="100"/>
        <c:noMultiLvlLbl val="0"/>
      </c:catAx>
      <c:valAx>
        <c:axId val="512316928"/>
        <c:scaling>
          <c:orientation val="minMax"/>
        </c:scaling>
        <c:delete val="0"/>
        <c:axPos val="l"/>
        <c:majorGridlines>
          <c:spPr>
            <a:ln w="9525">
              <a:solidFill>
                <a:schemeClr val="lt1">
                  <a:lumMod val="50000"/>
                </a:schemeClr>
              </a:solidFill>
            </a:ln>
            <a:effectLst/>
          </c:spPr>
        </c:majorGridlines>
        <c:numFmt formatCode="_(&quot;€&quot;* #,##0.00_);_(&quot;€&quot;* \(#,##0.00\);_(&quot;€&quot;* &quot;-&quot;??_);_(@_)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230840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dk1">
        <a:lumMod val="75000"/>
        <a:lumOff val="25000"/>
      </a:schemeClr>
    </a:solidFill>
    <a:ln w="6350" cap="flat" cmpd="sng" algn="ctr">
      <a:solidFill>
        <a:schemeClr val="dk1">
          <a:tint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0" i="0" u="none" strike="noStrike" kern="1200" cap="all" baseline="0">
              <a:solidFill>
                <a:schemeClr val="lt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solidFill>
          <a:schemeClr val="bg2">
            <a:lumMod val="75000"/>
            <a:alpha val="27000"/>
          </a:schemeClr>
        </a:solidFill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Tech!$C$18</c:f>
              <c:strCache>
                <c:ptCount val="1"/>
                <c:pt idx="0">
                  <c:v>Totaux</c:v>
                </c:pt>
              </c:strCache>
            </c:strRef>
          </c:tx>
          <c:spPr>
            <a:solidFill>
              <a:schemeClr val="accent1">
                <a:alpha val="88000"/>
              </a:schemeClr>
            </a:solidFill>
            <a:ln>
              <a:solidFill>
                <a:schemeClr val="accent1">
                  <a:lumMod val="50000"/>
                </a:schemeClr>
              </a:solidFill>
            </a:ln>
            <a:effectLst/>
            <a:scene3d>
              <a:camera prst="orthographicFront"/>
              <a:lightRig rig="threePt" dir="t"/>
            </a:scene3d>
            <a:sp3d prstMaterial="flat">
              <a:contourClr>
                <a:schemeClr val="accent1">
                  <a:lumMod val="50000"/>
                </a:schemeClr>
              </a:contourClr>
            </a:sp3d>
          </c:spPr>
          <c:invertIfNegative val="0"/>
          <c:cat>
            <c:strRef>
              <c:f>Tech!$D$2:$L$2</c:f>
              <c:strCache>
                <c:ptCount val="9"/>
                <c:pt idx="0">
                  <c:v>TOTAL</c:v>
                </c:pt>
                <c:pt idx="1">
                  <c:v>FDR</c:v>
                </c:pt>
                <c:pt idx="2">
                  <c:v>BFR</c:v>
                </c:pt>
                <c:pt idx="3">
                  <c:v>C/C</c:v>
                </c:pt>
                <c:pt idx="4">
                  <c:v>RESULTAT</c:v>
                </c:pt>
                <c:pt idx="5">
                  <c:v>EBIT</c:v>
                </c:pt>
                <c:pt idx="6">
                  <c:v>PRODUITS FINANCIERES</c:v>
                </c:pt>
                <c:pt idx="7">
                  <c:v>CHARGES FINANCIERES</c:v>
                </c:pt>
                <c:pt idx="8">
                  <c:v>DOTATIONS</c:v>
                </c:pt>
              </c:strCache>
            </c:strRef>
          </c:cat>
          <c:val>
            <c:numRef>
              <c:f>Tech!$D$18:$L$18</c:f>
              <c:numCache>
                <c:formatCode>_("€"* #,##0.00_);_("€"* \(#,##0.00\);_("€"* "-"??_);_(@_)</c:formatCode>
                <c:ptCount val="9"/>
                <c:pt idx="0">
                  <c:v>-2733088.560000021</c:v>
                </c:pt>
                <c:pt idx="1">
                  <c:v>-18647083.770000014</c:v>
                </c:pt>
                <c:pt idx="2">
                  <c:v>-1071801.6399999999</c:v>
                </c:pt>
                <c:pt idx="3">
                  <c:v>-13914964.24</c:v>
                </c:pt>
                <c:pt idx="4">
                  <c:v>1579327.21</c:v>
                </c:pt>
                <c:pt idx="5">
                  <c:v>1624294.21</c:v>
                </c:pt>
                <c:pt idx="6">
                  <c:v>113.66</c:v>
                </c:pt>
                <c:pt idx="7">
                  <c:v>-45080.66</c:v>
                </c:pt>
                <c:pt idx="8">
                  <c:v>908552.65999999992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C0B-48C5-A630-857ACCB25A3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84"/>
        <c:gapDepth val="53"/>
        <c:shape val="box"/>
        <c:axId val="683302200"/>
        <c:axId val="683298264"/>
        <c:axId val="0"/>
      </c:bar3DChart>
      <c:catAx>
        <c:axId val="6833022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83298264"/>
        <c:crosses val="autoZero"/>
        <c:auto val="1"/>
        <c:lblAlgn val="ctr"/>
        <c:lblOffset val="100"/>
        <c:noMultiLvlLbl val="0"/>
      </c:catAx>
      <c:valAx>
        <c:axId val="683298264"/>
        <c:scaling>
          <c:orientation val="minMax"/>
        </c:scaling>
        <c:delete val="1"/>
        <c:axPos val="l"/>
        <c:majorGridlines>
          <c:spPr>
            <a:ln w="9525">
              <a:solidFill>
                <a:schemeClr val="lt1">
                  <a:lumMod val="50000"/>
                </a:schemeClr>
              </a:solidFill>
            </a:ln>
            <a:effectLst/>
          </c:spPr>
        </c:majorGridlines>
        <c:numFmt formatCode="_(&quot;€&quot;* #,##0.00_);_(&quot;€&quot;* \(#,##0.00\);_(&quot;€&quot;* &quot;-&quot;??_);_(@_)" sourceLinked="1"/>
        <c:majorTickMark val="out"/>
        <c:minorTickMark val="none"/>
        <c:tickLblPos val="nextTo"/>
        <c:crossAx val="68330220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dk1">
        <a:lumMod val="75000"/>
        <a:lumOff val="25000"/>
      </a:schemeClr>
    </a:solidFill>
    <a:ln w="6350" cap="flat" cmpd="sng" algn="ctr">
      <a:solidFill>
        <a:schemeClr val="dk1">
          <a:tint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0" i="0" u="none" strike="noStrike" kern="1200" cap="all" baseline="0">
              <a:solidFill>
                <a:schemeClr val="lt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solidFill>
          <a:schemeClr val="bg2">
            <a:lumMod val="75000"/>
            <a:alpha val="27000"/>
          </a:schemeClr>
        </a:solidFill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'Analyse extrac'!$C$3</c:f>
              <c:strCache>
                <c:ptCount val="1"/>
                <c:pt idx="0">
                  <c:v>FDR</c:v>
                </c:pt>
              </c:strCache>
            </c:strRef>
          </c:tx>
          <c:spPr>
            <a:solidFill>
              <a:schemeClr val="accent1">
                <a:alpha val="88000"/>
              </a:schemeClr>
            </a:solidFill>
            <a:ln>
              <a:solidFill>
                <a:schemeClr val="accent1">
                  <a:lumMod val="50000"/>
                </a:schemeClr>
              </a:solidFill>
            </a:ln>
            <a:effectLst/>
            <a:scene3d>
              <a:camera prst="orthographicFront"/>
              <a:lightRig rig="threePt" dir="t"/>
            </a:scene3d>
            <a:sp3d prstMaterial="flat">
              <a:contourClr>
                <a:schemeClr val="accent1">
                  <a:lumMod val="50000"/>
                </a:schemeClr>
              </a:contourClr>
            </a:sp3d>
          </c:spPr>
          <c:invertIfNegative val="0"/>
          <c:cat>
            <c:strRef>
              <c:f>'Analyse extrac'!$A$4:$A$17</c:f>
              <c:strCache>
                <c:ptCount val="14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Lundi</c:v>
                </c:pt>
                <c:pt idx="13">
                  <c:v>Mardi</c:v>
                </c:pt>
              </c:strCache>
            </c:strRef>
          </c:cat>
          <c:val>
            <c:numRef>
              <c:f>'Analyse extrac'!$C$4:$C$17</c:f>
              <c:numCache>
                <c:formatCode>#\ ##0.00\ "€"</c:formatCode>
                <c:ptCount val="14"/>
                <c:pt idx="0">
                  <c:v>-382466.95000000019</c:v>
                </c:pt>
                <c:pt idx="1">
                  <c:v>-499185.46999999974</c:v>
                </c:pt>
                <c:pt idx="2">
                  <c:v>280724.43000000017</c:v>
                </c:pt>
                <c:pt idx="3">
                  <c:v>514371.3600000001</c:v>
                </c:pt>
                <c:pt idx="4">
                  <c:v>-1766747.75</c:v>
                </c:pt>
                <c:pt idx="5">
                  <c:v>-316540.67000000016</c:v>
                </c:pt>
                <c:pt idx="6">
                  <c:v>-2007859.3700000015</c:v>
                </c:pt>
                <c:pt idx="7">
                  <c:v>-560901.39999999991</c:v>
                </c:pt>
                <c:pt idx="8">
                  <c:v>-503143.99</c:v>
                </c:pt>
                <c:pt idx="9">
                  <c:v>576312.16999999993</c:v>
                </c:pt>
                <c:pt idx="10">
                  <c:v>627113.44000000018</c:v>
                </c:pt>
                <c:pt idx="11">
                  <c:v>-510791.36</c:v>
                </c:pt>
                <c:pt idx="12">
                  <c:v>221729.33000000002</c:v>
                </c:pt>
                <c:pt idx="13">
                  <c:v>-14319697.540000014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BE9-4816-9C7B-58E6E503297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84"/>
        <c:gapDepth val="53"/>
        <c:shape val="box"/>
        <c:axId val="814287512"/>
        <c:axId val="814294728"/>
        <c:axId val="0"/>
      </c:bar3DChart>
      <c:catAx>
        <c:axId val="81428751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high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14294728"/>
        <c:crosses val="autoZero"/>
        <c:auto val="1"/>
        <c:lblAlgn val="ctr"/>
        <c:lblOffset val="100"/>
        <c:noMultiLvlLbl val="0"/>
      </c:catAx>
      <c:valAx>
        <c:axId val="814294728"/>
        <c:scaling>
          <c:orientation val="minMax"/>
        </c:scaling>
        <c:delete val="0"/>
        <c:axPos val="l"/>
        <c:majorGridlines>
          <c:spPr>
            <a:ln w="9525">
              <a:solidFill>
                <a:schemeClr val="lt1">
                  <a:lumMod val="50000"/>
                </a:schemeClr>
              </a:solidFill>
            </a:ln>
            <a:effectLst/>
          </c:spPr>
        </c:majorGridlines>
        <c:numFmt formatCode="#\ ##0.00\ &quot;€&quot;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1428751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dk1">
        <a:lumMod val="75000"/>
        <a:lumOff val="25000"/>
      </a:schemeClr>
    </a:solidFill>
    <a:ln w="6350" cap="flat" cmpd="sng" algn="ctr">
      <a:solidFill>
        <a:schemeClr val="dk1">
          <a:tint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0" i="0" u="none" strike="noStrike" kern="1200" cap="all" baseline="0">
              <a:solidFill>
                <a:schemeClr val="lt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solidFill>
          <a:schemeClr val="bg2">
            <a:lumMod val="75000"/>
            <a:alpha val="27000"/>
          </a:schemeClr>
        </a:solidFill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'Analyse extrac'!$D$3</c:f>
              <c:strCache>
                <c:ptCount val="1"/>
                <c:pt idx="0">
                  <c:v>BFR</c:v>
                </c:pt>
              </c:strCache>
            </c:strRef>
          </c:tx>
          <c:spPr>
            <a:solidFill>
              <a:schemeClr val="accent1">
                <a:alpha val="88000"/>
              </a:schemeClr>
            </a:solidFill>
            <a:ln>
              <a:solidFill>
                <a:schemeClr val="accent1">
                  <a:lumMod val="50000"/>
                </a:schemeClr>
              </a:solidFill>
            </a:ln>
            <a:effectLst/>
            <a:scene3d>
              <a:camera prst="orthographicFront"/>
              <a:lightRig rig="threePt" dir="t"/>
            </a:scene3d>
            <a:sp3d prstMaterial="flat">
              <a:contourClr>
                <a:schemeClr val="accent1">
                  <a:lumMod val="50000"/>
                </a:schemeClr>
              </a:contourClr>
            </a:sp3d>
          </c:spPr>
          <c:invertIfNegative val="0"/>
          <c:cat>
            <c:strRef>
              <c:f>'Analyse extrac'!$A$4:$A$17</c:f>
              <c:strCache>
                <c:ptCount val="14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Lundi</c:v>
                </c:pt>
                <c:pt idx="13">
                  <c:v>Mardi</c:v>
                </c:pt>
              </c:strCache>
            </c:strRef>
          </c:cat>
          <c:val>
            <c:numRef>
              <c:f>'Analyse extrac'!$D$4:$D$17</c:f>
              <c:numCache>
                <c:formatCode>#\ ##0.00\ "€"</c:formatCode>
                <c:ptCount val="14"/>
                <c:pt idx="0">
                  <c:v>-104079.25</c:v>
                </c:pt>
                <c:pt idx="1">
                  <c:v>101097.23000000001</c:v>
                </c:pt>
                <c:pt idx="2">
                  <c:v>-6529.76</c:v>
                </c:pt>
                <c:pt idx="3">
                  <c:v>5344.5499999999993</c:v>
                </c:pt>
                <c:pt idx="4">
                  <c:v>-110841.12999999999</c:v>
                </c:pt>
                <c:pt idx="5">
                  <c:v>-30890.800000000003</c:v>
                </c:pt>
                <c:pt idx="6">
                  <c:v>-130059.14</c:v>
                </c:pt>
                <c:pt idx="7">
                  <c:v>-76059.010000000009</c:v>
                </c:pt>
                <c:pt idx="8">
                  <c:v>-3069.16</c:v>
                </c:pt>
                <c:pt idx="9">
                  <c:v>-91479.7</c:v>
                </c:pt>
                <c:pt idx="10">
                  <c:v>-7070.66</c:v>
                </c:pt>
                <c:pt idx="11">
                  <c:v>90764.459999999992</c:v>
                </c:pt>
                <c:pt idx="12">
                  <c:v>-34973.379999999997</c:v>
                </c:pt>
                <c:pt idx="13">
                  <c:v>-673955.8899999999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B6F-4AA3-AF0C-68E106AC305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84"/>
        <c:gapDepth val="53"/>
        <c:shape val="box"/>
        <c:axId val="814287512"/>
        <c:axId val="814294728"/>
        <c:axId val="0"/>
      </c:bar3DChart>
      <c:catAx>
        <c:axId val="81428751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high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14294728"/>
        <c:crosses val="autoZero"/>
        <c:auto val="1"/>
        <c:lblAlgn val="ctr"/>
        <c:lblOffset val="100"/>
        <c:noMultiLvlLbl val="0"/>
      </c:catAx>
      <c:valAx>
        <c:axId val="814294728"/>
        <c:scaling>
          <c:orientation val="minMax"/>
        </c:scaling>
        <c:delete val="0"/>
        <c:axPos val="l"/>
        <c:majorGridlines>
          <c:spPr>
            <a:ln w="9525">
              <a:solidFill>
                <a:schemeClr val="lt1">
                  <a:lumMod val="50000"/>
                </a:schemeClr>
              </a:solidFill>
            </a:ln>
            <a:effectLst/>
          </c:spPr>
        </c:majorGridlines>
        <c:numFmt formatCode="#\ ##0.00\ &quot;€&quot;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1428751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dk1">
        <a:lumMod val="75000"/>
        <a:lumOff val="25000"/>
      </a:schemeClr>
    </a:solidFill>
    <a:ln w="6350" cap="flat" cmpd="sng" algn="ctr">
      <a:solidFill>
        <a:schemeClr val="dk1">
          <a:tint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0" i="0" u="none" strike="noStrike" kern="1200" cap="all" baseline="0">
              <a:solidFill>
                <a:schemeClr val="lt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solidFill>
          <a:schemeClr val="bg2">
            <a:lumMod val="75000"/>
            <a:alpha val="27000"/>
          </a:schemeClr>
        </a:solidFill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'Analyse extrac'!$E$3</c:f>
              <c:strCache>
                <c:ptCount val="1"/>
                <c:pt idx="0">
                  <c:v>C/C</c:v>
                </c:pt>
              </c:strCache>
            </c:strRef>
          </c:tx>
          <c:spPr>
            <a:solidFill>
              <a:schemeClr val="accent1">
                <a:alpha val="88000"/>
              </a:schemeClr>
            </a:solidFill>
            <a:ln>
              <a:solidFill>
                <a:schemeClr val="accent1">
                  <a:lumMod val="50000"/>
                </a:schemeClr>
              </a:solidFill>
            </a:ln>
            <a:effectLst/>
            <a:scene3d>
              <a:camera prst="orthographicFront"/>
              <a:lightRig rig="threePt" dir="t"/>
            </a:scene3d>
            <a:sp3d prstMaterial="flat">
              <a:contourClr>
                <a:schemeClr val="accent1">
                  <a:lumMod val="50000"/>
                </a:schemeClr>
              </a:contourClr>
            </a:sp3d>
          </c:spPr>
          <c:invertIfNegative val="0"/>
          <c:cat>
            <c:strRef>
              <c:f>'Analyse extrac'!$A$4:$A$17</c:f>
              <c:strCache>
                <c:ptCount val="14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Lundi</c:v>
                </c:pt>
                <c:pt idx="13">
                  <c:v>Mardi</c:v>
                </c:pt>
              </c:strCache>
            </c:strRef>
          </c:cat>
          <c:val>
            <c:numRef>
              <c:f>'Analyse extrac'!$E$4:$E$17</c:f>
              <c:numCache>
                <c:formatCode>#\ ##0.00\ "€"</c:formatCode>
                <c:ptCount val="14"/>
                <c:pt idx="0">
                  <c:v>52249.75</c:v>
                </c:pt>
                <c:pt idx="1">
                  <c:v>-983909.12</c:v>
                </c:pt>
                <c:pt idx="2">
                  <c:v>546224.53</c:v>
                </c:pt>
                <c:pt idx="3">
                  <c:v>675258.71</c:v>
                </c:pt>
                <c:pt idx="4">
                  <c:v>-1262709.01</c:v>
                </c:pt>
                <c:pt idx="5">
                  <c:v>-138566.37</c:v>
                </c:pt>
                <c:pt idx="6">
                  <c:v>-1450173.55</c:v>
                </c:pt>
                <c:pt idx="7">
                  <c:v>-178159.8</c:v>
                </c:pt>
                <c:pt idx="8">
                  <c:v>-425722.97</c:v>
                </c:pt>
                <c:pt idx="9">
                  <c:v>1122224.3899999999</c:v>
                </c:pt>
                <c:pt idx="10">
                  <c:v>1103114.28</c:v>
                </c:pt>
                <c:pt idx="11">
                  <c:v>-454014.27</c:v>
                </c:pt>
                <c:pt idx="12">
                  <c:v>406683.22</c:v>
                </c:pt>
                <c:pt idx="13">
                  <c:v>-12927464.029999999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62B-4351-B581-1D2B3CEBD64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84"/>
        <c:gapDepth val="53"/>
        <c:shape val="box"/>
        <c:axId val="814287512"/>
        <c:axId val="814294728"/>
        <c:axId val="0"/>
      </c:bar3DChart>
      <c:catAx>
        <c:axId val="81428751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high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14294728"/>
        <c:crosses val="autoZero"/>
        <c:auto val="1"/>
        <c:lblAlgn val="ctr"/>
        <c:lblOffset val="100"/>
        <c:noMultiLvlLbl val="0"/>
      </c:catAx>
      <c:valAx>
        <c:axId val="814294728"/>
        <c:scaling>
          <c:orientation val="minMax"/>
        </c:scaling>
        <c:delete val="0"/>
        <c:axPos val="l"/>
        <c:majorGridlines>
          <c:spPr>
            <a:ln w="9525">
              <a:solidFill>
                <a:schemeClr val="lt1">
                  <a:lumMod val="50000"/>
                </a:schemeClr>
              </a:solidFill>
            </a:ln>
            <a:effectLst/>
          </c:spPr>
        </c:majorGridlines>
        <c:numFmt formatCode="#\ ##0.00\ &quot;€&quot;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1428751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dk1">
        <a:lumMod val="75000"/>
        <a:lumOff val="25000"/>
      </a:schemeClr>
    </a:solidFill>
    <a:ln w="6350" cap="flat" cmpd="sng" algn="ctr">
      <a:solidFill>
        <a:schemeClr val="dk1">
          <a:tint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0" i="0" u="none" strike="noStrike" kern="1200" cap="all" baseline="0">
              <a:solidFill>
                <a:schemeClr val="lt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solidFill>
          <a:schemeClr val="bg2">
            <a:lumMod val="75000"/>
            <a:alpha val="27000"/>
          </a:schemeClr>
        </a:solidFill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'Analyse extrac'!$F$3</c:f>
              <c:strCache>
                <c:ptCount val="1"/>
                <c:pt idx="0">
                  <c:v>RESULTAT</c:v>
                </c:pt>
              </c:strCache>
            </c:strRef>
          </c:tx>
          <c:spPr>
            <a:solidFill>
              <a:schemeClr val="accent1">
                <a:alpha val="88000"/>
              </a:schemeClr>
            </a:solidFill>
            <a:ln>
              <a:solidFill>
                <a:schemeClr val="accent1">
                  <a:lumMod val="50000"/>
                </a:schemeClr>
              </a:solidFill>
            </a:ln>
            <a:effectLst/>
            <a:scene3d>
              <a:camera prst="orthographicFront"/>
              <a:lightRig rig="threePt" dir="t"/>
            </a:scene3d>
            <a:sp3d prstMaterial="flat">
              <a:contourClr>
                <a:schemeClr val="accent1">
                  <a:lumMod val="50000"/>
                </a:schemeClr>
              </a:contourClr>
            </a:sp3d>
          </c:spPr>
          <c:invertIfNegative val="0"/>
          <c:cat>
            <c:strRef>
              <c:f>'Analyse extrac'!$A$4:$A$17</c:f>
              <c:strCache>
                <c:ptCount val="14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Lundi</c:v>
                </c:pt>
                <c:pt idx="13">
                  <c:v>Mardi</c:v>
                </c:pt>
              </c:strCache>
            </c:strRef>
          </c:cat>
          <c:val>
            <c:numRef>
              <c:f>'Analyse extrac'!$F$4:$F$17</c:f>
              <c:numCache>
                <c:formatCode>#\ ##0.00\ "€"</c:formatCode>
                <c:ptCount val="14"/>
                <c:pt idx="0">
                  <c:v>149993.69</c:v>
                </c:pt>
                <c:pt idx="1">
                  <c:v>84999.560000000027</c:v>
                </c:pt>
                <c:pt idx="2">
                  <c:v>75353.850000000006</c:v>
                </c:pt>
                <c:pt idx="3">
                  <c:v>53061.79</c:v>
                </c:pt>
                <c:pt idx="4">
                  <c:v>102409.76</c:v>
                </c:pt>
                <c:pt idx="5">
                  <c:v>37451.61</c:v>
                </c:pt>
                <c:pt idx="6">
                  <c:v>126698.51</c:v>
                </c:pt>
                <c:pt idx="7">
                  <c:v>86991.79</c:v>
                </c:pt>
                <c:pt idx="8">
                  <c:v>24186.55</c:v>
                </c:pt>
                <c:pt idx="9">
                  <c:v>115962.74</c:v>
                </c:pt>
                <c:pt idx="10">
                  <c:v>118405.34999999999</c:v>
                </c:pt>
                <c:pt idx="11">
                  <c:v>45030.12999999999</c:v>
                </c:pt>
                <c:pt idx="12">
                  <c:v>89632.979999999981</c:v>
                </c:pt>
                <c:pt idx="13">
                  <c:v>469148.9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51C-4987-81BC-5989349E248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84"/>
        <c:gapDepth val="53"/>
        <c:shape val="box"/>
        <c:axId val="814287512"/>
        <c:axId val="814294728"/>
        <c:axId val="0"/>
      </c:bar3DChart>
      <c:catAx>
        <c:axId val="81428751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high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14294728"/>
        <c:crosses val="autoZero"/>
        <c:auto val="1"/>
        <c:lblAlgn val="ctr"/>
        <c:lblOffset val="100"/>
        <c:noMultiLvlLbl val="0"/>
      </c:catAx>
      <c:valAx>
        <c:axId val="814294728"/>
        <c:scaling>
          <c:orientation val="minMax"/>
        </c:scaling>
        <c:delete val="0"/>
        <c:axPos val="l"/>
        <c:majorGridlines>
          <c:spPr>
            <a:ln w="9525">
              <a:solidFill>
                <a:schemeClr val="lt1">
                  <a:lumMod val="50000"/>
                </a:schemeClr>
              </a:solidFill>
            </a:ln>
            <a:effectLst/>
          </c:spPr>
        </c:majorGridlines>
        <c:numFmt formatCode="#\ ##0.00\ &quot;€&quot;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1428751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dk1">
        <a:lumMod val="75000"/>
        <a:lumOff val="25000"/>
      </a:schemeClr>
    </a:solidFill>
    <a:ln w="6350" cap="flat" cmpd="sng" algn="ctr">
      <a:solidFill>
        <a:schemeClr val="dk1">
          <a:tint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0" i="0" u="none" strike="noStrike" kern="1200" cap="all" baseline="0">
              <a:solidFill>
                <a:schemeClr val="lt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solidFill>
          <a:schemeClr val="bg2">
            <a:lumMod val="75000"/>
            <a:alpha val="27000"/>
          </a:schemeClr>
        </a:solidFill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'Analyse extrac'!$G$3</c:f>
              <c:strCache>
                <c:ptCount val="1"/>
                <c:pt idx="0">
                  <c:v>EBIT</c:v>
                </c:pt>
              </c:strCache>
            </c:strRef>
          </c:tx>
          <c:spPr>
            <a:solidFill>
              <a:schemeClr val="accent1">
                <a:alpha val="88000"/>
              </a:schemeClr>
            </a:solidFill>
            <a:ln>
              <a:solidFill>
                <a:schemeClr val="accent1">
                  <a:lumMod val="50000"/>
                </a:schemeClr>
              </a:solidFill>
            </a:ln>
            <a:effectLst/>
            <a:scene3d>
              <a:camera prst="orthographicFront"/>
              <a:lightRig rig="threePt" dir="t"/>
            </a:scene3d>
            <a:sp3d prstMaterial="flat">
              <a:contourClr>
                <a:schemeClr val="accent1">
                  <a:lumMod val="50000"/>
                </a:schemeClr>
              </a:contourClr>
            </a:sp3d>
          </c:spPr>
          <c:invertIfNegative val="0"/>
          <c:cat>
            <c:strRef>
              <c:f>'Analyse extrac'!$A$4:$A$17</c:f>
              <c:strCache>
                <c:ptCount val="14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Lundi</c:v>
                </c:pt>
                <c:pt idx="13">
                  <c:v>Mardi</c:v>
                </c:pt>
              </c:strCache>
            </c:strRef>
          </c:cat>
          <c:val>
            <c:numRef>
              <c:f>'Analyse extrac'!$G$4:$G$17</c:f>
              <c:numCache>
                <c:formatCode>#\ ##0.00\ "€"</c:formatCode>
                <c:ptCount val="14"/>
                <c:pt idx="0">
                  <c:v>150469.68000000002</c:v>
                </c:pt>
                <c:pt idx="1">
                  <c:v>87592.830000000016</c:v>
                </c:pt>
                <c:pt idx="2">
                  <c:v>75337.64</c:v>
                </c:pt>
                <c:pt idx="3">
                  <c:v>53040.25</c:v>
                </c:pt>
                <c:pt idx="4">
                  <c:v>106022.09</c:v>
                </c:pt>
                <c:pt idx="5">
                  <c:v>37918.399999999994</c:v>
                </c:pt>
                <c:pt idx="6">
                  <c:v>130553.78</c:v>
                </c:pt>
                <c:pt idx="7">
                  <c:v>87723.549999999988</c:v>
                </c:pt>
                <c:pt idx="8">
                  <c:v>25232.3</c:v>
                </c:pt>
                <c:pt idx="9">
                  <c:v>115930.92</c:v>
                </c:pt>
                <c:pt idx="10">
                  <c:v>118371.15999999999</c:v>
                </c:pt>
                <c:pt idx="11">
                  <c:v>46198.899999999994</c:v>
                </c:pt>
                <c:pt idx="12">
                  <c:v>89623.079999999987</c:v>
                </c:pt>
                <c:pt idx="13">
                  <c:v>500279.63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DED-474A-A5A3-119A9FFDAE6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84"/>
        <c:gapDepth val="53"/>
        <c:shape val="box"/>
        <c:axId val="814287512"/>
        <c:axId val="814294728"/>
        <c:axId val="0"/>
      </c:bar3DChart>
      <c:catAx>
        <c:axId val="81428751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high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14294728"/>
        <c:crosses val="autoZero"/>
        <c:auto val="1"/>
        <c:lblAlgn val="ctr"/>
        <c:lblOffset val="100"/>
        <c:noMultiLvlLbl val="0"/>
      </c:catAx>
      <c:valAx>
        <c:axId val="814294728"/>
        <c:scaling>
          <c:orientation val="minMax"/>
        </c:scaling>
        <c:delete val="0"/>
        <c:axPos val="l"/>
        <c:majorGridlines>
          <c:spPr>
            <a:ln w="9525">
              <a:solidFill>
                <a:schemeClr val="lt1">
                  <a:lumMod val="50000"/>
                </a:schemeClr>
              </a:solidFill>
            </a:ln>
            <a:effectLst/>
          </c:spPr>
        </c:majorGridlines>
        <c:numFmt formatCode="#\ ##0.00\ &quot;€&quot;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1428751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dk1">
        <a:lumMod val="75000"/>
        <a:lumOff val="25000"/>
      </a:schemeClr>
    </a:solidFill>
    <a:ln w="6350" cap="flat" cmpd="sng" algn="ctr">
      <a:solidFill>
        <a:schemeClr val="dk1">
          <a:tint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0" i="0" u="none" strike="noStrike" kern="1200" cap="all" baseline="0">
              <a:solidFill>
                <a:schemeClr val="lt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solidFill>
          <a:schemeClr val="bg2">
            <a:lumMod val="75000"/>
            <a:alpha val="27000"/>
          </a:schemeClr>
        </a:solidFill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'Analyse extrac'!$H$3</c:f>
              <c:strCache>
                <c:ptCount val="1"/>
                <c:pt idx="0">
                  <c:v>PRODUITS FINANCIERES</c:v>
                </c:pt>
              </c:strCache>
            </c:strRef>
          </c:tx>
          <c:spPr>
            <a:solidFill>
              <a:schemeClr val="accent1">
                <a:alpha val="88000"/>
              </a:schemeClr>
            </a:solidFill>
            <a:ln>
              <a:solidFill>
                <a:schemeClr val="accent1">
                  <a:lumMod val="50000"/>
                </a:schemeClr>
              </a:solidFill>
            </a:ln>
            <a:effectLst/>
            <a:scene3d>
              <a:camera prst="orthographicFront"/>
              <a:lightRig rig="threePt" dir="t"/>
            </a:scene3d>
            <a:sp3d prstMaterial="flat">
              <a:contourClr>
                <a:schemeClr val="accent1">
                  <a:lumMod val="50000"/>
                </a:schemeClr>
              </a:contourClr>
            </a:sp3d>
          </c:spPr>
          <c:invertIfNegative val="0"/>
          <c:cat>
            <c:strRef>
              <c:f>'Analyse extrac'!$A$4:$A$17</c:f>
              <c:strCache>
                <c:ptCount val="14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Lundi</c:v>
                </c:pt>
                <c:pt idx="13">
                  <c:v>Mardi</c:v>
                </c:pt>
              </c:strCache>
            </c:strRef>
          </c:cat>
          <c:val>
            <c:numRef>
              <c:f>'Analyse extrac'!$H$4:$H$17</c:f>
              <c:numCache>
                <c:formatCode>#\ ##0.00\ "€"</c:formatCode>
                <c:ptCount val="14"/>
                <c:pt idx="0">
                  <c:v>0</c:v>
                </c:pt>
                <c:pt idx="1">
                  <c:v>0</c:v>
                </c:pt>
                <c:pt idx="2">
                  <c:v>16.21</c:v>
                </c:pt>
                <c:pt idx="3">
                  <c:v>21.54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31.82</c:v>
                </c:pt>
                <c:pt idx="10">
                  <c:v>34.19</c:v>
                </c:pt>
                <c:pt idx="11">
                  <c:v>0</c:v>
                </c:pt>
                <c:pt idx="12">
                  <c:v>9.9</c:v>
                </c:pt>
                <c:pt idx="1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994-48BC-B4B2-B48DC96F401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84"/>
        <c:gapDepth val="53"/>
        <c:shape val="box"/>
        <c:axId val="814287512"/>
        <c:axId val="814294728"/>
        <c:axId val="0"/>
      </c:bar3DChart>
      <c:catAx>
        <c:axId val="81428751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high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14294728"/>
        <c:crosses val="autoZero"/>
        <c:auto val="1"/>
        <c:lblAlgn val="ctr"/>
        <c:lblOffset val="100"/>
        <c:noMultiLvlLbl val="0"/>
      </c:catAx>
      <c:valAx>
        <c:axId val="814294728"/>
        <c:scaling>
          <c:orientation val="minMax"/>
        </c:scaling>
        <c:delete val="0"/>
        <c:axPos val="l"/>
        <c:majorGridlines>
          <c:spPr>
            <a:ln w="9525">
              <a:solidFill>
                <a:schemeClr val="lt1">
                  <a:lumMod val="50000"/>
                </a:schemeClr>
              </a:solidFill>
            </a:ln>
            <a:effectLst/>
          </c:spPr>
        </c:majorGridlines>
        <c:numFmt formatCode="#\ ##0.00\ &quot;€&quot;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1428751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dk1">
        <a:lumMod val="75000"/>
        <a:lumOff val="25000"/>
      </a:schemeClr>
    </a:solidFill>
    <a:ln w="6350" cap="flat" cmpd="sng" algn="ctr">
      <a:solidFill>
        <a:schemeClr val="dk1">
          <a:tint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0" i="0" u="none" strike="noStrike" kern="1200" cap="all" baseline="0">
              <a:solidFill>
                <a:schemeClr val="lt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solidFill>
          <a:schemeClr val="bg2">
            <a:lumMod val="75000"/>
            <a:alpha val="27000"/>
          </a:schemeClr>
        </a:solidFill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'Analyse extrac'!$I$3</c:f>
              <c:strCache>
                <c:ptCount val="1"/>
                <c:pt idx="0">
                  <c:v>CHARGES FINANCIERES</c:v>
                </c:pt>
              </c:strCache>
            </c:strRef>
          </c:tx>
          <c:spPr>
            <a:solidFill>
              <a:schemeClr val="accent1">
                <a:alpha val="88000"/>
              </a:schemeClr>
            </a:solidFill>
            <a:ln>
              <a:solidFill>
                <a:schemeClr val="accent1">
                  <a:lumMod val="50000"/>
                </a:schemeClr>
              </a:solidFill>
            </a:ln>
            <a:effectLst/>
            <a:scene3d>
              <a:camera prst="orthographicFront"/>
              <a:lightRig rig="threePt" dir="t"/>
            </a:scene3d>
            <a:sp3d prstMaterial="flat">
              <a:contourClr>
                <a:schemeClr val="accent1">
                  <a:lumMod val="50000"/>
                </a:schemeClr>
              </a:contourClr>
            </a:sp3d>
          </c:spPr>
          <c:invertIfNegative val="0"/>
          <c:cat>
            <c:strRef>
              <c:f>'Analyse extrac'!$A$4:$A$17</c:f>
              <c:strCache>
                <c:ptCount val="14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Lundi</c:v>
                </c:pt>
                <c:pt idx="13">
                  <c:v>Mardi</c:v>
                </c:pt>
              </c:strCache>
            </c:strRef>
          </c:cat>
          <c:val>
            <c:numRef>
              <c:f>'Analyse extrac'!$I$4:$I$17</c:f>
              <c:numCache>
                <c:formatCode>#\ ##0.00\ "€"</c:formatCode>
                <c:ptCount val="14"/>
                <c:pt idx="0">
                  <c:v>-475.99</c:v>
                </c:pt>
                <c:pt idx="1">
                  <c:v>-2593.27</c:v>
                </c:pt>
                <c:pt idx="2">
                  <c:v>0</c:v>
                </c:pt>
                <c:pt idx="3">
                  <c:v>0</c:v>
                </c:pt>
                <c:pt idx="4">
                  <c:v>-3612.33</c:v>
                </c:pt>
                <c:pt idx="5">
                  <c:v>-466.79</c:v>
                </c:pt>
                <c:pt idx="6">
                  <c:v>-3855.27</c:v>
                </c:pt>
                <c:pt idx="7">
                  <c:v>-731.76</c:v>
                </c:pt>
                <c:pt idx="8">
                  <c:v>-1045.75</c:v>
                </c:pt>
                <c:pt idx="9">
                  <c:v>0</c:v>
                </c:pt>
                <c:pt idx="10">
                  <c:v>0</c:v>
                </c:pt>
                <c:pt idx="11">
                  <c:v>-1168.77</c:v>
                </c:pt>
                <c:pt idx="12">
                  <c:v>0</c:v>
                </c:pt>
                <c:pt idx="13">
                  <c:v>-31130.73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A75-4842-AC50-06983EE8C6D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84"/>
        <c:gapDepth val="53"/>
        <c:shape val="box"/>
        <c:axId val="814287512"/>
        <c:axId val="814294728"/>
        <c:axId val="0"/>
      </c:bar3DChart>
      <c:catAx>
        <c:axId val="81428751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high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14294728"/>
        <c:crosses val="autoZero"/>
        <c:auto val="1"/>
        <c:lblAlgn val="ctr"/>
        <c:lblOffset val="100"/>
        <c:noMultiLvlLbl val="0"/>
      </c:catAx>
      <c:valAx>
        <c:axId val="814294728"/>
        <c:scaling>
          <c:orientation val="minMax"/>
        </c:scaling>
        <c:delete val="0"/>
        <c:axPos val="l"/>
        <c:majorGridlines>
          <c:spPr>
            <a:ln w="9525">
              <a:solidFill>
                <a:schemeClr val="lt1">
                  <a:lumMod val="50000"/>
                </a:schemeClr>
              </a:solidFill>
            </a:ln>
            <a:effectLst/>
          </c:spPr>
        </c:majorGridlines>
        <c:numFmt formatCode="#\ ##0.00\ &quot;€&quot;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1428751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dk1">
        <a:lumMod val="75000"/>
        <a:lumOff val="25000"/>
      </a:schemeClr>
    </a:solidFill>
    <a:ln w="6350" cap="flat" cmpd="sng" algn="ctr">
      <a:solidFill>
        <a:schemeClr val="dk1">
          <a:tint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0" i="0" u="none" strike="noStrike" kern="1200" cap="all" baseline="0">
              <a:solidFill>
                <a:schemeClr val="lt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solidFill>
          <a:schemeClr val="bg2">
            <a:lumMod val="75000"/>
            <a:alpha val="27000"/>
          </a:schemeClr>
        </a:solidFill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'Analyse extrac'!$J$3</c:f>
              <c:strCache>
                <c:ptCount val="1"/>
                <c:pt idx="0">
                  <c:v>DOTATIONS</c:v>
                </c:pt>
              </c:strCache>
            </c:strRef>
          </c:tx>
          <c:spPr>
            <a:solidFill>
              <a:schemeClr val="accent1">
                <a:alpha val="88000"/>
              </a:schemeClr>
            </a:solidFill>
            <a:ln>
              <a:solidFill>
                <a:schemeClr val="accent1">
                  <a:lumMod val="50000"/>
                </a:schemeClr>
              </a:solidFill>
            </a:ln>
            <a:effectLst/>
            <a:scene3d>
              <a:camera prst="orthographicFront"/>
              <a:lightRig rig="threePt" dir="t"/>
            </a:scene3d>
            <a:sp3d prstMaterial="flat">
              <a:contourClr>
                <a:schemeClr val="accent1">
                  <a:lumMod val="50000"/>
                </a:schemeClr>
              </a:contourClr>
            </a:sp3d>
          </c:spPr>
          <c:invertIfNegative val="0"/>
          <c:cat>
            <c:strRef>
              <c:f>'Analyse extrac'!$A$4:$A$17</c:f>
              <c:strCache>
                <c:ptCount val="14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Lundi</c:v>
                </c:pt>
                <c:pt idx="13">
                  <c:v>Mardi</c:v>
                </c:pt>
              </c:strCache>
            </c:strRef>
          </c:cat>
          <c:val>
            <c:numRef>
              <c:f>'Analyse extrac'!$J$4:$J$17</c:f>
              <c:numCache>
                <c:formatCode>#\ ##0.00\ "€"</c:formatCode>
                <c:ptCount val="14"/>
                <c:pt idx="0">
                  <c:v>44306.09</c:v>
                </c:pt>
                <c:pt idx="1">
                  <c:v>721.32</c:v>
                </c:pt>
                <c:pt idx="2">
                  <c:v>17872.12</c:v>
                </c:pt>
                <c:pt idx="3">
                  <c:v>2476.7199999999998</c:v>
                </c:pt>
                <c:pt idx="4">
                  <c:v>89624.08</c:v>
                </c:pt>
                <c:pt idx="5">
                  <c:v>10524.51</c:v>
                </c:pt>
                <c:pt idx="6">
                  <c:v>55779.21</c:v>
                </c:pt>
                <c:pt idx="7">
                  <c:v>28229.68</c:v>
                </c:pt>
                <c:pt idx="8">
                  <c:v>25406.51</c:v>
                </c:pt>
                <c:pt idx="9">
                  <c:v>20509.349999999999</c:v>
                </c:pt>
                <c:pt idx="10">
                  <c:v>1140.55</c:v>
                </c:pt>
                <c:pt idx="11">
                  <c:v>19680.48</c:v>
                </c:pt>
                <c:pt idx="12">
                  <c:v>1438.87</c:v>
                </c:pt>
                <c:pt idx="13">
                  <c:v>590843.17000000004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D38-4493-9D0F-172BC4D9381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84"/>
        <c:gapDepth val="53"/>
        <c:shape val="box"/>
        <c:axId val="814287512"/>
        <c:axId val="814294728"/>
        <c:axId val="0"/>
      </c:bar3DChart>
      <c:catAx>
        <c:axId val="81428751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high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14294728"/>
        <c:crosses val="autoZero"/>
        <c:auto val="1"/>
        <c:lblAlgn val="ctr"/>
        <c:lblOffset val="100"/>
        <c:noMultiLvlLbl val="0"/>
      </c:catAx>
      <c:valAx>
        <c:axId val="814294728"/>
        <c:scaling>
          <c:orientation val="minMax"/>
        </c:scaling>
        <c:delete val="0"/>
        <c:axPos val="l"/>
        <c:majorGridlines>
          <c:spPr>
            <a:ln w="9525">
              <a:solidFill>
                <a:schemeClr val="lt1">
                  <a:lumMod val="50000"/>
                </a:schemeClr>
              </a:solidFill>
            </a:ln>
            <a:effectLst/>
          </c:spPr>
        </c:majorGridlines>
        <c:numFmt formatCode="#\ ##0.00\ &quot;€&quot;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1428751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dk1">
        <a:lumMod val="75000"/>
        <a:lumOff val="25000"/>
      </a:schemeClr>
    </a:solidFill>
    <a:ln w="6350" cap="flat" cmpd="sng" algn="ctr">
      <a:solidFill>
        <a:schemeClr val="dk1">
          <a:tint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'Analyse extrac'!$C$3</c:f>
              <c:strCache>
                <c:ptCount val="1"/>
                <c:pt idx="0">
                  <c:v>FDR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'Analyse extrac'!$A$4:$A$17</c:f>
              <c:strCache>
                <c:ptCount val="14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Lundi</c:v>
                </c:pt>
                <c:pt idx="13">
                  <c:v>Mardi</c:v>
                </c:pt>
              </c:strCache>
            </c:strRef>
          </c:cat>
          <c:val>
            <c:numRef>
              <c:f>'Analyse extrac'!$C$4:$C$17</c:f>
              <c:numCache>
                <c:formatCode>#\ ##0.00\ "€"</c:formatCode>
                <c:ptCount val="14"/>
                <c:pt idx="0">
                  <c:v>-382466.95000000019</c:v>
                </c:pt>
                <c:pt idx="1">
                  <c:v>-499185.46999999974</c:v>
                </c:pt>
                <c:pt idx="2">
                  <c:v>280724.43000000017</c:v>
                </c:pt>
                <c:pt idx="3">
                  <c:v>514371.3600000001</c:v>
                </c:pt>
                <c:pt idx="4">
                  <c:v>-1766747.75</c:v>
                </c:pt>
                <c:pt idx="5">
                  <c:v>-316540.67000000016</c:v>
                </c:pt>
                <c:pt idx="6">
                  <c:v>-2007859.3700000015</c:v>
                </c:pt>
                <c:pt idx="7">
                  <c:v>-560901.39999999991</c:v>
                </c:pt>
                <c:pt idx="8">
                  <c:v>-503143.99</c:v>
                </c:pt>
                <c:pt idx="9">
                  <c:v>576312.16999999993</c:v>
                </c:pt>
                <c:pt idx="10">
                  <c:v>627113.44000000018</c:v>
                </c:pt>
                <c:pt idx="11">
                  <c:v>-510791.36</c:v>
                </c:pt>
                <c:pt idx="12">
                  <c:v>221729.33000000002</c:v>
                </c:pt>
                <c:pt idx="13">
                  <c:v>-14319697.540000014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3A8-420A-94F5-E123F3F135AA}"/>
            </c:ext>
          </c:extLst>
        </c:ser>
        <c:ser>
          <c:idx val="1"/>
          <c:order val="1"/>
          <c:tx>
            <c:strRef>
              <c:f>'Analyse extrac'!$D$3</c:f>
              <c:strCache>
                <c:ptCount val="1"/>
                <c:pt idx="0">
                  <c:v>BFR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'Analyse extrac'!$A$4:$A$17</c:f>
              <c:strCache>
                <c:ptCount val="14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Lundi</c:v>
                </c:pt>
                <c:pt idx="13">
                  <c:v>Mardi</c:v>
                </c:pt>
              </c:strCache>
            </c:strRef>
          </c:cat>
          <c:val>
            <c:numRef>
              <c:f>'Analyse extrac'!$D$4:$D$17</c:f>
              <c:numCache>
                <c:formatCode>#\ ##0.00\ "€"</c:formatCode>
                <c:ptCount val="14"/>
                <c:pt idx="0">
                  <c:v>-104079.25</c:v>
                </c:pt>
                <c:pt idx="1">
                  <c:v>101097.23000000001</c:v>
                </c:pt>
                <c:pt idx="2">
                  <c:v>-6529.76</c:v>
                </c:pt>
                <c:pt idx="3">
                  <c:v>5344.5499999999993</c:v>
                </c:pt>
                <c:pt idx="4">
                  <c:v>-110841.12999999999</c:v>
                </c:pt>
                <c:pt idx="5">
                  <c:v>-30890.800000000003</c:v>
                </c:pt>
                <c:pt idx="6">
                  <c:v>-130059.14</c:v>
                </c:pt>
                <c:pt idx="7">
                  <c:v>-76059.010000000009</c:v>
                </c:pt>
                <c:pt idx="8">
                  <c:v>-3069.16</c:v>
                </c:pt>
                <c:pt idx="9">
                  <c:v>-91479.7</c:v>
                </c:pt>
                <c:pt idx="10">
                  <c:v>-7070.66</c:v>
                </c:pt>
                <c:pt idx="11">
                  <c:v>90764.459999999992</c:v>
                </c:pt>
                <c:pt idx="12">
                  <c:v>-34973.379999999997</c:v>
                </c:pt>
                <c:pt idx="13">
                  <c:v>-673955.8899999999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43A8-420A-94F5-E123F3F135AA}"/>
            </c:ext>
          </c:extLst>
        </c:ser>
        <c:ser>
          <c:idx val="2"/>
          <c:order val="2"/>
          <c:tx>
            <c:strRef>
              <c:f>'Analyse extrac'!$E$3</c:f>
              <c:strCache>
                <c:ptCount val="1"/>
                <c:pt idx="0">
                  <c:v>C/C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'Analyse extrac'!$A$4:$A$17</c:f>
              <c:strCache>
                <c:ptCount val="14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Lundi</c:v>
                </c:pt>
                <c:pt idx="13">
                  <c:v>Mardi</c:v>
                </c:pt>
              </c:strCache>
            </c:strRef>
          </c:cat>
          <c:val>
            <c:numRef>
              <c:f>'Analyse extrac'!$E$4:$E$17</c:f>
              <c:numCache>
                <c:formatCode>#\ ##0.00\ "€"</c:formatCode>
                <c:ptCount val="14"/>
                <c:pt idx="0">
                  <c:v>52249.75</c:v>
                </c:pt>
                <c:pt idx="1">
                  <c:v>-983909.12</c:v>
                </c:pt>
                <c:pt idx="2">
                  <c:v>546224.53</c:v>
                </c:pt>
                <c:pt idx="3">
                  <c:v>675258.71</c:v>
                </c:pt>
                <c:pt idx="4">
                  <c:v>-1262709.01</c:v>
                </c:pt>
                <c:pt idx="5">
                  <c:v>-138566.37</c:v>
                </c:pt>
                <c:pt idx="6">
                  <c:v>-1450173.55</c:v>
                </c:pt>
                <c:pt idx="7">
                  <c:v>-178159.8</c:v>
                </c:pt>
                <c:pt idx="8">
                  <c:v>-425722.97</c:v>
                </c:pt>
                <c:pt idx="9">
                  <c:v>1122224.3899999999</c:v>
                </c:pt>
                <c:pt idx="10">
                  <c:v>1103114.28</c:v>
                </c:pt>
                <c:pt idx="11">
                  <c:v>-454014.27</c:v>
                </c:pt>
                <c:pt idx="12">
                  <c:v>406683.22</c:v>
                </c:pt>
                <c:pt idx="13">
                  <c:v>-12927464.029999999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43A8-420A-94F5-E123F3F135AA}"/>
            </c:ext>
          </c:extLst>
        </c:ser>
        <c:ser>
          <c:idx val="3"/>
          <c:order val="3"/>
          <c:tx>
            <c:strRef>
              <c:f>'Analyse extrac'!$F$3</c:f>
              <c:strCache>
                <c:ptCount val="1"/>
                <c:pt idx="0">
                  <c:v>RESULTAT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'Analyse extrac'!$A$4:$A$17</c:f>
              <c:strCache>
                <c:ptCount val="14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Lundi</c:v>
                </c:pt>
                <c:pt idx="13">
                  <c:v>Mardi</c:v>
                </c:pt>
              </c:strCache>
            </c:strRef>
          </c:cat>
          <c:val>
            <c:numRef>
              <c:f>'Analyse extrac'!$F$4:$F$17</c:f>
              <c:numCache>
                <c:formatCode>#\ ##0.00\ "€"</c:formatCode>
                <c:ptCount val="14"/>
                <c:pt idx="0">
                  <c:v>149993.69</c:v>
                </c:pt>
                <c:pt idx="1">
                  <c:v>84999.560000000027</c:v>
                </c:pt>
                <c:pt idx="2">
                  <c:v>75353.850000000006</c:v>
                </c:pt>
                <c:pt idx="3">
                  <c:v>53061.79</c:v>
                </c:pt>
                <c:pt idx="4">
                  <c:v>102409.76</c:v>
                </c:pt>
                <c:pt idx="5">
                  <c:v>37451.61</c:v>
                </c:pt>
                <c:pt idx="6">
                  <c:v>126698.51</c:v>
                </c:pt>
                <c:pt idx="7">
                  <c:v>86991.79</c:v>
                </c:pt>
                <c:pt idx="8">
                  <c:v>24186.55</c:v>
                </c:pt>
                <c:pt idx="9">
                  <c:v>115962.74</c:v>
                </c:pt>
                <c:pt idx="10">
                  <c:v>118405.34999999999</c:v>
                </c:pt>
                <c:pt idx="11">
                  <c:v>45030.12999999999</c:v>
                </c:pt>
                <c:pt idx="12">
                  <c:v>89632.979999999981</c:v>
                </c:pt>
                <c:pt idx="13">
                  <c:v>469148.9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43A8-420A-94F5-E123F3F135AA}"/>
            </c:ext>
          </c:extLst>
        </c:ser>
        <c:ser>
          <c:idx val="4"/>
          <c:order val="4"/>
          <c:tx>
            <c:strRef>
              <c:f>'Analyse extrac'!$G$3</c:f>
              <c:strCache>
                <c:ptCount val="1"/>
                <c:pt idx="0">
                  <c:v>EBIT</c:v>
                </c:pt>
              </c:strCache>
            </c:strRef>
          </c:tx>
          <c:spPr>
            <a:gradFill rotWithShape="1">
              <a:gsLst>
                <a:gs pos="0">
                  <a:schemeClr val="accent5">
                    <a:satMod val="103000"/>
                    <a:lumMod val="102000"/>
                    <a:tint val="94000"/>
                  </a:schemeClr>
                </a:gs>
                <a:gs pos="50000">
                  <a:schemeClr val="accent5">
                    <a:satMod val="110000"/>
                    <a:lumMod val="100000"/>
                    <a:shade val="100000"/>
                  </a:schemeClr>
                </a:gs>
                <a:gs pos="100000">
                  <a:schemeClr val="accent5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'Analyse extrac'!$A$4:$A$17</c:f>
              <c:strCache>
                <c:ptCount val="14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Lundi</c:v>
                </c:pt>
                <c:pt idx="13">
                  <c:v>Mardi</c:v>
                </c:pt>
              </c:strCache>
            </c:strRef>
          </c:cat>
          <c:val>
            <c:numRef>
              <c:f>'Analyse extrac'!$G$4:$G$17</c:f>
              <c:numCache>
                <c:formatCode>#\ ##0.00\ "€"</c:formatCode>
                <c:ptCount val="14"/>
                <c:pt idx="0">
                  <c:v>150469.68000000002</c:v>
                </c:pt>
                <c:pt idx="1">
                  <c:v>87592.830000000016</c:v>
                </c:pt>
                <c:pt idx="2">
                  <c:v>75337.64</c:v>
                </c:pt>
                <c:pt idx="3">
                  <c:v>53040.25</c:v>
                </c:pt>
                <c:pt idx="4">
                  <c:v>106022.09</c:v>
                </c:pt>
                <c:pt idx="5">
                  <c:v>37918.399999999994</c:v>
                </c:pt>
                <c:pt idx="6">
                  <c:v>130553.78</c:v>
                </c:pt>
                <c:pt idx="7">
                  <c:v>87723.549999999988</c:v>
                </c:pt>
                <c:pt idx="8">
                  <c:v>25232.3</c:v>
                </c:pt>
                <c:pt idx="9">
                  <c:v>115930.92</c:v>
                </c:pt>
                <c:pt idx="10">
                  <c:v>118371.15999999999</c:v>
                </c:pt>
                <c:pt idx="11">
                  <c:v>46198.899999999994</c:v>
                </c:pt>
                <c:pt idx="12">
                  <c:v>89623.079999999987</c:v>
                </c:pt>
                <c:pt idx="13">
                  <c:v>500279.63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43A8-420A-94F5-E123F3F135AA}"/>
            </c:ext>
          </c:extLst>
        </c:ser>
        <c:ser>
          <c:idx val="5"/>
          <c:order val="5"/>
          <c:tx>
            <c:strRef>
              <c:f>'Analyse extrac'!$H$3</c:f>
              <c:strCache>
                <c:ptCount val="1"/>
                <c:pt idx="0">
                  <c:v>PRODUITS FINANCIERES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'Analyse extrac'!$A$4:$A$17</c:f>
              <c:strCache>
                <c:ptCount val="14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Lundi</c:v>
                </c:pt>
                <c:pt idx="13">
                  <c:v>Mardi</c:v>
                </c:pt>
              </c:strCache>
            </c:strRef>
          </c:cat>
          <c:val>
            <c:numRef>
              <c:f>'Analyse extrac'!$H$4:$H$17</c:f>
              <c:numCache>
                <c:formatCode>#\ ##0.00\ "€"</c:formatCode>
                <c:ptCount val="14"/>
                <c:pt idx="0">
                  <c:v>0</c:v>
                </c:pt>
                <c:pt idx="1">
                  <c:v>0</c:v>
                </c:pt>
                <c:pt idx="2">
                  <c:v>16.21</c:v>
                </c:pt>
                <c:pt idx="3">
                  <c:v>21.54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31.82</c:v>
                </c:pt>
                <c:pt idx="10">
                  <c:v>34.19</c:v>
                </c:pt>
                <c:pt idx="11">
                  <c:v>0</c:v>
                </c:pt>
                <c:pt idx="12">
                  <c:v>9.9</c:v>
                </c:pt>
                <c:pt idx="1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43A8-420A-94F5-E123F3F135AA}"/>
            </c:ext>
          </c:extLst>
        </c:ser>
        <c:ser>
          <c:idx val="6"/>
          <c:order val="6"/>
          <c:tx>
            <c:strRef>
              <c:f>'Analyse extrac'!$I$3</c:f>
              <c:strCache>
                <c:ptCount val="1"/>
                <c:pt idx="0">
                  <c:v>CHARGES FINANCIERES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'Analyse extrac'!$A$4:$A$17</c:f>
              <c:strCache>
                <c:ptCount val="14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Lundi</c:v>
                </c:pt>
                <c:pt idx="13">
                  <c:v>Mardi</c:v>
                </c:pt>
              </c:strCache>
            </c:strRef>
          </c:cat>
          <c:val>
            <c:numRef>
              <c:f>'Analyse extrac'!$I$4:$I$17</c:f>
              <c:numCache>
                <c:formatCode>#\ ##0.00\ "€"</c:formatCode>
                <c:ptCount val="14"/>
                <c:pt idx="0">
                  <c:v>-475.99</c:v>
                </c:pt>
                <c:pt idx="1">
                  <c:v>-2593.27</c:v>
                </c:pt>
                <c:pt idx="2">
                  <c:v>0</c:v>
                </c:pt>
                <c:pt idx="3">
                  <c:v>0</c:v>
                </c:pt>
                <c:pt idx="4">
                  <c:v>-3612.33</c:v>
                </c:pt>
                <c:pt idx="5">
                  <c:v>-466.79</c:v>
                </c:pt>
                <c:pt idx="6">
                  <c:v>-3855.27</c:v>
                </c:pt>
                <c:pt idx="7">
                  <c:v>-731.76</c:v>
                </c:pt>
                <c:pt idx="8">
                  <c:v>-1045.75</c:v>
                </c:pt>
                <c:pt idx="9">
                  <c:v>0</c:v>
                </c:pt>
                <c:pt idx="10">
                  <c:v>0</c:v>
                </c:pt>
                <c:pt idx="11">
                  <c:v>-1168.77</c:v>
                </c:pt>
                <c:pt idx="12">
                  <c:v>0</c:v>
                </c:pt>
                <c:pt idx="13">
                  <c:v>-31130.73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43A8-420A-94F5-E123F3F135AA}"/>
            </c:ext>
          </c:extLst>
        </c:ser>
        <c:ser>
          <c:idx val="7"/>
          <c:order val="7"/>
          <c:tx>
            <c:strRef>
              <c:f>'Analyse extrac'!$J$3</c:f>
              <c:strCache>
                <c:ptCount val="1"/>
                <c:pt idx="0">
                  <c:v>DOTATIONS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'Analyse extrac'!$A$4:$A$17</c:f>
              <c:strCache>
                <c:ptCount val="14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Lundi</c:v>
                </c:pt>
                <c:pt idx="13">
                  <c:v>Mardi</c:v>
                </c:pt>
              </c:strCache>
            </c:strRef>
          </c:cat>
          <c:val>
            <c:numRef>
              <c:f>'Analyse extrac'!$J$4:$J$17</c:f>
              <c:numCache>
                <c:formatCode>#\ ##0.00\ "€"</c:formatCode>
                <c:ptCount val="14"/>
                <c:pt idx="0">
                  <c:v>44306.09</c:v>
                </c:pt>
                <c:pt idx="1">
                  <c:v>721.32</c:v>
                </c:pt>
                <c:pt idx="2">
                  <c:v>17872.12</c:v>
                </c:pt>
                <c:pt idx="3">
                  <c:v>2476.7199999999998</c:v>
                </c:pt>
                <c:pt idx="4">
                  <c:v>89624.08</c:v>
                </c:pt>
                <c:pt idx="5">
                  <c:v>10524.51</c:v>
                </c:pt>
                <c:pt idx="6">
                  <c:v>55779.21</c:v>
                </c:pt>
                <c:pt idx="7">
                  <c:v>28229.68</c:v>
                </c:pt>
                <c:pt idx="8">
                  <c:v>25406.51</c:v>
                </c:pt>
                <c:pt idx="9">
                  <c:v>20509.349999999999</c:v>
                </c:pt>
                <c:pt idx="10">
                  <c:v>1140.55</c:v>
                </c:pt>
                <c:pt idx="11">
                  <c:v>19680.48</c:v>
                </c:pt>
                <c:pt idx="12">
                  <c:v>1438.87</c:v>
                </c:pt>
                <c:pt idx="13">
                  <c:v>590843.17000000004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43A8-420A-94F5-E123F3F135AA}"/>
            </c:ext>
          </c:extLst>
        </c:ser>
        <c:ser>
          <c:idx val="8"/>
          <c:order val="8"/>
          <c:tx>
            <c:strRef>
              <c:f>'Analyse extrac'!$K$3</c:f>
              <c:strCache>
                <c:ptCount val="1"/>
                <c:pt idx="0">
                  <c:v>CAPITAL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'Analyse extrac'!$A$4:$A$17</c:f>
              <c:strCache>
                <c:ptCount val="14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Lundi</c:v>
                </c:pt>
                <c:pt idx="13">
                  <c:v>Mardi</c:v>
                </c:pt>
              </c:strCache>
            </c:strRef>
          </c:cat>
          <c:val>
            <c:numRef>
              <c:f>'Analyse extrac'!$K$4:$K$17</c:f>
              <c:numCache>
                <c:formatCode>#\ ##0.00\ "€"</c:formatCode>
                <c:ptCount val="14"/>
                <c:pt idx="0">
                  <c:v>7622.45</c:v>
                </c:pt>
                <c:pt idx="1">
                  <c:v>840000</c:v>
                </c:pt>
                <c:pt idx="2">
                  <c:v>15244.9</c:v>
                </c:pt>
                <c:pt idx="3">
                  <c:v>110000</c:v>
                </c:pt>
                <c:pt idx="4">
                  <c:v>1524.49</c:v>
                </c:pt>
                <c:pt idx="5">
                  <c:v>21594</c:v>
                </c:pt>
                <c:pt idx="6">
                  <c:v>7500</c:v>
                </c:pt>
                <c:pt idx="7">
                  <c:v>1525</c:v>
                </c:pt>
                <c:pt idx="8">
                  <c:v>15000</c:v>
                </c:pt>
                <c:pt idx="9">
                  <c:v>22867.35</c:v>
                </c:pt>
                <c:pt idx="10">
                  <c:v>15244.9</c:v>
                </c:pt>
                <c:pt idx="11">
                  <c:v>260</c:v>
                </c:pt>
                <c:pt idx="12">
                  <c:v>1524.5</c:v>
                </c:pt>
                <c:pt idx="13">
                  <c:v>26037011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43A8-420A-94F5-E123F3F135AA}"/>
            </c:ext>
          </c:extLst>
        </c:ser>
        <c:ser>
          <c:idx val="9"/>
          <c:order val="9"/>
          <c:tx>
            <c:strRef>
              <c:f>'Analyse extrac'!$L$3</c:f>
              <c:strCache>
                <c:ptCount val="1"/>
                <c:pt idx="0">
                  <c:v>TERRAINS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'Analyse extrac'!$A$4:$A$17</c:f>
              <c:strCache>
                <c:ptCount val="14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Lundi</c:v>
                </c:pt>
                <c:pt idx="13">
                  <c:v>Mardi</c:v>
                </c:pt>
              </c:strCache>
            </c:strRef>
          </c:cat>
          <c:val>
            <c:numRef>
              <c:f>'Analyse extrac'!$L$4:$L$17</c:f>
              <c:numCache>
                <c:formatCode>#\ ##0.00\ "€"</c:formatCode>
                <c:ptCount val="14"/>
                <c:pt idx="0">
                  <c:v>-96042.880000000005</c:v>
                </c:pt>
                <c:pt idx="1">
                  <c:v>0</c:v>
                </c:pt>
                <c:pt idx="2">
                  <c:v>-185384.1</c:v>
                </c:pt>
                <c:pt idx="3">
                  <c:v>-121959.21</c:v>
                </c:pt>
                <c:pt idx="4">
                  <c:v>-1119796.07</c:v>
                </c:pt>
                <c:pt idx="5">
                  <c:v>-417814.73</c:v>
                </c:pt>
                <c:pt idx="6">
                  <c:v>-1368590.58</c:v>
                </c:pt>
                <c:pt idx="7">
                  <c:v>-640285.87</c:v>
                </c:pt>
                <c:pt idx="8">
                  <c:v>-46000</c:v>
                </c:pt>
                <c:pt idx="9">
                  <c:v>-156503.09</c:v>
                </c:pt>
                <c:pt idx="10">
                  <c:v>-178331.81</c:v>
                </c:pt>
                <c:pt idx="11">
                  <c:v>-39636.74</c:v>
                </c:pt>
                <c:pt idx="12">
                  <c:v>0</c:v>
                </c:pt>
                <c:pt idx="13">
                  <c:v>-7757945.6699999999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9-43A8-420A-94F5-E123F3F135AA}"/>
            </c:ext>
          </c:extLst>
        </c:ser>
        <c:ser>
          <c:idx val="10"/>
          <c:order val="10"/>
          <c:tx>
            <c:strRef>
              <c:f>'Analyse extrac'!$M$3</c:f>
              <c:strCache>
                <c:ptCount val="1"/>
                <c:pt idx="0">
                  <c:v>AMÉNAGEMENT DE TERRAINS</c:v>
                </c:pt>
              </c:strCache>
            </c:strRef>
          </c:tx>
          <c:spPr>
            <a:gradFill rotWithShape="1">
              <a:gsLst>
                <a:gs pos="0">
                  <a:schemeClr val="accent5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5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5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'Analyse extrac'!$A$4:$A$17</c:f>
              <c:strCache>
                <c:ptCount val="14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Lundi</c:v>
                </c:pt>
                <c:pt idx="13">
                  <c:v>Mardi</c:v>
                </c:pt>
              </c:strCache>
            </c:strRef>
          </c:cat>
          <c:val>
            <c:numRef>
              <c:f>'Analyse extrac'!$M$4:$M$17</c:f>
              <c:numCache>
                <c:formatCode>#\ ##0.00\ "€"</c:formatCode>
                <c:ptCount val="14"/>
                <c:pt idx="0">
                  <c:v>4850.68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257983.27</c:v>
                </c:pt>
                <c:pt idx="5">
                  <c:v>40783</c:v>
                </c:pt>
                <c:pt idx="6">
                  <c:v>3756.98</c:v>
                </c:pt>
                <c:pt idx="7">
                  <c:v>0</c:v>
                </c:pt>
                <c:pt idx="8">
                  <c:v>0</c:v>
                </c:pt>
                <c:pt idx="9">
                  <c:v>122876.78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43A8-420A-94F5-E123F3F135AA}"/>
            </c:ext>
          </c:extLst>
        </c:ser>
        <c:ser>
          <c:idx val="11"/>
          <c:order val="11"/>
          <c:tx>
            <c:strRef>
              <c:f>'Analyse extrac'!$N$3</c:f>
              <c:strCache>
                <c:ptCount val="1"/>
                <c:pt idx="0">
                  <c:v>CONSTRUCTIONS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'Analyse extrac'!$A$4:$A$17</c:f>
              <c:strCache>
                <c:ptCount val="14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Lundi</c:v>
                </c:pt>
                <c:pt idx="13">
                  <c:v>Mardi</c:v>
                </c:pt>
              </c:strCache>
            </c:strRef>
          </c:cat>
          <c:val>
            <c:numRef>
              <c:f>'Analyse extrac'!$N$4:$N$17</c:f>
              <c:numCache>
                <c:formatCode>#\ ##0.00\ "€"</c:formatCode>
                <c:ptCount val="14"/>
                <c:pt idx="0">
                  <c:v>-2597797.67</c:v>
                </c:pt>
                <c:pt idx="1">
                  <c:v>0</c:v>
                </c:pt>
                <c:pt idx="2">
                  <c:v>-1851092.67</c:v>
                </c:pt>
                <c:pt idx="3">
                  <c:v>-631177.53</c:v>
                </c:pt>
                <c:pt idx="4">
                  <c:v>-4326822.2700000005</c:v>
                </c:pt>
                <c:pt idx="5">
                  <c:v>-1400916.23</c:v>
                </c:pt>
                <c:pt idx="6">
                  <c:v>-4436790.67</c:v>
                </c:pt>
                <c:pt idx="7">
                  <c:v>-2626577.0099999998</c:v>
                </c:pt>
                <c:pt idx="8">
                  <c:v>-1666441.11</c:v>
                </c:pt>
                <c:pt idx="9">
                  <c:v>-2142983.21</c:v>
                </c:pt>
                <c:pt idx="10">
                  <c:v>-785010.35</c:v>
                </c:pt>
                <c:pt idx="11">
                  <c:v>-1287928.99</c:v>
                </c:pt>
                <c:pt idx="12">
                  <c:v>-43765.5</c:v>
                </c:pt>
                <c:pt idx="13">
                  <c:v>-27313681.290000003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B-43A8-420A-94F5-E123F3F135AA}"/>
            </c:ext>
          </c:extLst>
        </c:ser>
        <c:ser>
          <c:idx val="12"/>
          <c:order val="12"/>
          <c:tx>
            <c:strRef>
              <c:f>'Analyse extrac'!$O$3</c:f>
              <c:strCache>
                <c:ptCount val="1"/>
                <c:pt idx="0">
                  <c:v>LOYERS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lumMod val="80000"/>
                    <a:lumOff val="20000"/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lumMod val="80000"/>
                    <a:lumOff val="20000"/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80000"/>
                    <a:lumOff val="2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'Analyse extrac'!$A$4:$A$17</c:f>
              <c:strCache>
                <c:ptCount val="14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Lundi</c:v>
                </c:pt>
                <c:pt idx="13">
                  <c:v>Mardi</c:v>
                </c:pt>
              </c:strCache>
            </c:strRef>
          </c:cat>
          <c:val>
            <c:numRef>
              <c:f>'Analyse extrac'!$O$4:$O$17</c:f>
              <c:numCache>
                <c:formatCode>#\ ##0.00\ "€"</c:formatCode>
                <c:ptCount val="14"/>
                <c:pt idx="0">
                  <c:v>196564.72</c:v>
                </c:pt>
                <c:pt idx="1">
                  <c:v>201251.92</c:v>
                </c:pt>
                <c:pt idx="2">
                  <c:v>93875.199999999997</c:v>
                </c:pt>
                <c:pt idx="3">
                  <c:v>56108.92</c:v>
                </c:pt>
                <c:pt idx="4">
                  <c:v>197920.4</c:v>
                </c:pt>
                <c:pt idx="5">
                  <c:v>49152.959999999999</c:v>
                </c:pt>
                <c:pt idx="6">
                  <c:v>191017.78</c:v>
                </c:pt>
                <c:pt idx="7">
                  <c:v>117042.48</c:v>
                </c:pt>
                <c:pt idx="8">
                  <c:v>50923.28</c:v>
                </c:pt>
                <c:pt idx="9">
                  <c:v>138305.01999999999</c:v>
                </c:pt>
                <c:pt idx="10">
                  <c:v>120756.4</c:v>
                </c:pt>
                <c:pt idx="11">
                  <c:v>94238.73</c:v>
                </c:pt>
                <c:pt idx="12">
                  <c:v>91504.4</c:v>
                </c:pt>
                <c:pt idx="13">
                  <c:v>1363924.47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43A8-420A-94F5-E123F3F135A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676309080"/>
        <c:axId val="676313672"/>
      </c:barChart>
      <c:catAx>
        <c:axId val="676309080"/>
        <c:scaling>
          <c:orientation val="minMax"/>
        </c:scaling>
        <c:delete val="0"/>
        <c:axPos val="b"/>
        <c:title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76313672"/>
        <c:crosses val="autoZero"/>
        <c:auto val="1"/>
        <c:lblAlgn val="ctr"/>
        <c:lblOffset val="100"/>
        <c:noMultiLvlLbl val="0"/>
      </c:catAx>
      <c:valAx>
        <c:axId val="6763136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#\ 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7630908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1">
  <cs:axisTitle>
    <cs:lnRef idx="0"/>
    <cs:fillRef idx="0"/>
    <cs:effectRef idx="0"/>
    <cs:fontRef idx="minor">
      <a:schemeClr val="lt1">
        <a:lumMod val="75000"/>
      </a:schemeClr>
    </cs:fontRef>
    <cs:defRPr sz="900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6350" cap="flat" cmpd="sng" algn="ctr">
        <a:solidFill>
          <a:schemeClr val="dk1">
            <a:tint val="75000"/>
          </a:schemeClr>
        </a:solidFill>
        <a:round/>
      </a:ln>
    </cs:spPr>
    <cs:defRPr sz="1000" kern="1200"/>
  </cs:chartArea>
  <cs:dataLabel>
    <cs:lnRef idx="0"/>
    <cs:fillRef idx="0">
      <cs:styleClr val="auto"/>
    </cs:fillRef>
    <cs:effectRef idx="0"/>
    <cs:fontRef idx="minor">
      <a:schemeClr val="lt1"/>
    </cs:fontRef>
    <cs:spPr>
      <a:solidFill>
        <a:schemeClr val="phClr">
          <a:alpha val="30000"/>
        </a:schemeClr>
      </a:solidFill>
      <a:ln>
        <a:solidFill>
          <a:schemeClr val="lt1">
            <a:alpha val="50000"/>
          </a:schemeClr>
        </a:solidFill>
        <a:round/>
      </a:ln>
      <a:effectLst>
        <a:outerShdw blurRad="63500" dist="88900" dir="2700000" algn="tl" rotWithShape="0">
          <a:prstClr val="black">
            <a:alpha val="40000"/>
          </a:prstClr>
        </a:outerShdw>
      </a:effectLst>
    </cs:spPr>
    <cs:defRPr sz="900" b="1" i="0" u="none" strike="noStrike" kern="1200" baseline="0"/>
  </cs:dataLabel>
  <cs:dataLabelCallout>
    <cs:lnRef idx="0"/>
    <cs:fillRef idx="0">
      <cs:styleClr val="auto"/>
    </cs:fillRef>
    <cs:effectRef idx="0"/>
    <cs:fontRef idx="minor">
      <a:schemeClr val="lt1"/>
    </cs:fontRef>
    <cs:spPr>
      <a:solidFill>
        <a:schemeClr val="phClr">
          <a:alpha val="30000"/>
        </a:schemeClr>
      </a:solidFill>
      <a:ln>
        <a:solidFill>
          <a:schemeClr val="lt1">
            <a:alpha val="50000"/>
          </a:schemeClr>
        </a:solidFill>
        <a:round/>
      </a:ln>
      <a:effectLst>
        <a:outerShdw blurRad="63500" dist="88900" dir="2700000" algn="tl" rotWithShape="0">
          <a:prstClr val="black">
            <a:alpha val="40000"/>
          </a:prstClr>
        </a:outerShdw>
      </a:effectLst>
    </cs:spPr>
    <cs:defRPr sz="9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88000"/>
        </a:schemeClr>
      </a:solidFill>
      <a:ln>
        <a:solidFill>
          <a:schemeClr val="phClr">
            <a:lumMod val="50000"/>
          </a:schemeClr>
        </a:solidFill>
      </a:ln>
    </cs:spPr>
  </cs:dataPoint>
  <cs:dataPoint3D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88000"/>
        </a:schemeClr>
      </a:solidFill>
      <a:ln>
        <a:solidFill>
          <a:schemeClr val="phClr">
            <a:lumMod val="50000"/>
          </a:schemeClr>
        </a:solidFill>
      </a:ln>
      <a:scene3d>
        <a:camera prst="orthographicFront"/>
        <a:lightRig rig="threePt" dir="t"/>
      </a:scene3d>
      <a:sp3d prstMaterial="flat"/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dk1">
            <a:lumMod val="75000"/>
            <a:lumOff val="25000"/>
          </a:schemeClr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solidFill>
        <a:schemeClr val="bg2">
          <a:lumMod val="75000"/>
          <a:alpha val="27000"/>
        </a:schemeClr>
      </a:solidFill>
      <a:sp3d/>
    </cs:spPr>
  </cs:floor>
  <cs:gridlineMajor>
    <cs:lnRef idx="0"/>
    <cs:fillRef idx="0"/>
    <cs:effectRef idx="0"/>
    <cs:fontRef idx="minor">
      <a:schemeClr val="tx1"/>
    </cs:fontRef>
    <cs:spPr>
      <a:ln w="9525">
        <a:solidFill>
          <a:schemeClr val="lt1">
            <a:lumMod val="50000"/>
          </a:schemeClr>
        </a:solidFill>
      </a:ln>
    </cs:spPr>
  </cs:gridlineMajor>
  <cs:gridlineMinor>
    <cs:lnRef idx="0"/>
    <cs:fillRef idx="0"/>
    <cs:effectRef idx="0"/>
    <cs:fontRef idx="minor">
      <a:schemeClr val="tx1"/>
    </cs:fontRef>
    <cs:spPr>
      <a:ln w="9525">
        <a:solidFill>
          <a:schemeClr val="lt1">
            <a:lumMod val="40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/>
    </cs:fontRef>
    <cs:defRPr sz="1800" b="0" kern="1200" cap="all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sp3d/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91">
  <cs:axisTitle>
    <cs:lnRef idx="0"/>
    <cs:fillRef idx="0"/>
    <cs:effectRef idx="0"/>
    <cs:fontRef idx="minor">
      <a:schemeClr val="lt1">
        <a:lumMod val="75000"/>
      </a:schemeClr>
    </cs:fontRef>
    <cs:defRPr sz="900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6350" cap="flat" cmpd="sng" algn="ctr">
        <a:solidFill>
          <a:schemeClr val="dk1">
            <a:tint val="75000"/>
          </a:schemeClr>
        </a:solidFill>
        <a:round/>
      </a:ln>
    </cs:spPr>
    <cs:defRPr sz="1000" kern="1200"/>
  </cs:chartArea>
  <cs:dataLabel>
    <cs:lnRef idx="0"/>
    <cs:fillRef idx="0">
      <cs:styleClr val="auto"/>
    </cs:fillRef>
    <cs:effectRef idx="0"/>
    <cs:fontRef idx="minor">
      <a:schemeClr val="lt1"/>
    </cs:fontRef>
    <cs:spPr>
      <a:solidFill>
        <a:schemeClr val="phClr">
          <a:alpha val="30000"/>
        </a:schemeClr>
      </a:solidFill>
      <a:ln>
        <a:solidFill>
          <a:schemeClr val="lt1">
            <a:alpha val="50000"/>
          </a:schemeClr>
        </a:solidFill>
        <a:round/>
      </a:ln>
      <a:effectLst>
        <a:outerShdw blurRad="63500" dist="88900" dir="2700000" algn="tl" rotWithShape="0">
          <a:prstClr val="black">
            <a:alpha val="40000"/>
          </a:prstClr>
        </a:outerShdw>
      </a:effectLst>
    </cs:spPr>
    <cs:defRPr sz="900" b="1" i="0" u="none" strike="noStrike" kern="1200" baseline="0"/>
  </cs:dataLabel>
  <cs:dataLabelCallout>
    <cs:lnRef idx="0"/>
    <cs:fillRef idx="0">
      <cs:styleClr val="auto"/>
    </cs:fillRef>
    <cs:effectRef idx="0"/>
    <cs:fontRef idx="minor">
      <a:schemeClr val="lt1"/>
    </cs:fontRef>
    <cs:spPr>
      <a:solidFill>
        <a:schemeClr val="phClr">
          <a:alpha val="30000"/>
        </a:schemeClr>
      </a:solidFill>
      <a:ln>
        <a:solidFill>
          <a:schemeClr val="lt1">
            <a:alpha val="50000"/>
          </a:schemeClr>
        </a:solidFill>
        <a:round/>
      </a:ln>
      <a:effectLst>
        <a:outerShdw blurRad="63500" dist="88900" dir="2700000" algn="tl" rotWithShape="0">
          <a:prstClr val="black">
            <a:alpha val="40000"/>
          </a:prstClr>
        </a:outerShdw>
      </a:effectLst>
    </cs:spPr>
    <cs:defRPr sz="9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88000"/>
        </a:schemeClr>
      </a:solidFill>
      <a:ln>
        <a:solidFill>
          <a:schemeClr val="phClr">
            <a:lumMod val="50000"/>
          </a:schemeClr>
        </a:solidFill>
      </a:ln>
    </cs:spPr>
  </cs:dataPoint>
  <cs:dataPoint3D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88000"/>
        </a:schemeClr>
      </a:solidFill>
      <a:ln>
        <a:solidFill>
          <a:schemeClr val="phClr">
            <a:lumMod val="50000"/>
          </a:schemeClr>
        </a:solidFill>
      </a:ln>
      <a:scene3d>
        <a:camera prst="orthographicFront"/>
        <a:lightRig rig="threePt" dir="t"/>
      </a:scene3d>
      <a:sp3d prstMaterial="flat"/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dk1">
            <a:lumMod val="75000"/>
            <a:lumOff val="25000"/>
          </a:schemeClr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solidFill>
        <a:schemeClr val="bg2">
          <a:lumMod val="75000"/>
          <a:alpha val="27000"/>
        </a:schemeClr>
      </a:solidFill>
      <a:sp3d/>
    </cs:spPr>
  </cs:floor>
  <cs:gridlineMajor>
    <cs:lnRef idx="0"/>
    <cs:fillRef idx="0"/>
    <cs:effectRef idx="0"/>
    <cs:fontRef idx="minor">
      <a:schemeClr val="tx1"/>
    </cs:fontRef>
    <cs:spPr>
      <a:ln w="9525">
        <a:solidFill>
          <a:schemeClr val="lt1">
            <a:lumMod val="50000"/>
          </a:schemeClr>
        </a:solidFill>
      </a:ln>
    </cs:spPr>
  </cs:gridlineMajor>
  <cs:gridlineMinor>
    <cs:lnRef idx="0"/>
    <cs:fillRef idx="0"/>
    <cs:effectRef idx="0"/>
    <cs:fontRef idx="minor">
      <a:schemeClr val="tx1"/>
    </cs:fontRef>
    <cs:spPr>
      <a:ln w="9525">
        <a:solidFill>
          <a:schemeClr val="lt1">
            <a:lumMod val="40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/>
    </cs:fontRef>
    <cs:defRPr sz="1800" b="0" kern="1200" cap="all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sp3d/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91">
  <cs:axisTitle>
    <cs:lnRef idx="0"/>
    <cs:fillRef idx="0"/>
    <cs:effectRef idx="0"/>
    <cs:fontRef idx="minor">
      <a:schemeClr val="lt1">
        <a:lumMod val="75000"/>
      </a:schemeClr>
    </cs:fontRef>
    <cs:defRPr sz="900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6350" cap="flat" cmpd="sng" algn="ctr">
        <a:solidFill>
          <a:schemeClr val="dk1">
            <a:tint val="75000"/>
          </a:schemeClr>
        </a:solidFill>
        <a:round/>
      </a:ln>
    </cs:spPr>
    <cs:defRPr sz="1000" kern="1200"/>
  </cs:chartArea>
  <cs:dataLabel>
    <cs:lnRef idx="0"/>
    <cs:fillRef idx="0">
      <cs:styleClr val="auto"/>
    </cs:fillRef>
    <cs:effectRef idx="0"/>
    <cs:fontRef idx="minor">
      <a:schemeClr val="lt1"/>
    </cs:fontRef>
    <cs:spPr>
      <a:solidFill>
        <a:schemeClr val="phClr">
          <a:alpha val="30000"/>
        </a:schemeClr>
      </a:solidFill>
      <a:ln>
        <a:solidFill>
          <a:schemeClr val="lt1">
            <a:alpha val="50000"/>
          </a:schemeClr>
        </a:solidFill>
        <a:round/>
      </a:ln>
      <a:effectLst>
        <a:outerShdw blurRad="63500" dist="88900" dir="2700000" algn="tl" rotWithShape="0">
          <a:prstClr val="black">
            <a:alpha val="40000"/>
          </a:prstClr>
        </a:outerShdw>
      </a:effectLst>
    </cs:spPr>
    <cs:defRPr sz="900" b="1" i="0" u="none" strike="noStrike" kern="1200" baseline="0"/>
  </cs:dataLabel>
  <cs:dataLabelCallout>
    <cs:lnRef idx="0"/>
    <cs:fillRef idx="0">
      <cs:styleClr val="auto"/>
    </cs:fillRef>
    <cs:effectRef idx="0"/>
    <cs:fontRef idx="minor">
      <a:schemeClr val="lt1"/>
    </cs:fontRef>
    <cs:spPr>
      <a:solidFill>
        <a:schemeClr val="phClr">
          <a:alpha val="30000"/>
        </a:schemeClr>
      </a:solidFill>
      <a:ln>
        <a:solidFill>
          <a:schemeClr val="lt1">
            <a:alpha val="50000"/>
          </a:schemeClr>
        </a:solidFill>
        <a:round/>
      </a:ln>
      <a:effectLst>
        <a:outerShdw blurRad="63500" dist="88900" dir="2700000" algn="tl" rotWithShape="0">
          <a:prstClr val="black">
            <a:alpha val="40000"/>
          </a:prstClr>
        </a:outerShdw>
      </a:effectLst>
    </cs:spPr>
    <cs:defRPr sz="9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88000"/>
        </a:schemeClr>
      </a:solidFill>
      <a:ln>
        <a:solidFill>
          <a:schemeClr val="phClr">
            <a:lumMod val="50000"/>
          </a:schemeClr>
        </a:solidFill>
      </a:ln>
    </cs:spPr>
  </cs:dataPoint>
  <cs:dataPoint3D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88000"/>
        </a:schemeClr>
      </a:solidFill>
      <a:ln>
        <a:solidFill>
          <a:schemeClr val="phClr">
            <a:lumMod val="50000"/>
          </a:schemeClr>
        </a:solidFill>
      </a:ln>
      <a:scene3d>
        <a:camera prst="orthographicFront"/>
        <a:lightRig rig="threePt" dir="t"/>
      </a:scene3d>
      <a:sp3d prstMaterial="flat"/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dk1">
            <a:lumMod val="75000"/>
            <a:lumOff val="25000"/>
          </a:schemeClr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solidFill>
        <a:schemeClr val="bg2">
          <a:lumMod val="75000"/>
          <a:alpha val="27000"/>
        </a:schemeClr>
      </a:solidFill>
      <a:sp3d/>
    </cs:spPr>
  </cs:floor>
  <cs:gridlineMajor>
    <cs:lnRef idx="0"/>
    <cs:fillRef idx="0"/>
    <cs:effectRef idx="0"/>
    <cs:fontRef idx="minor">
      <a:schemeClr val="tx1"/>
    </cs:fontRef>
    <cs:spPr>
      <a:ln w="9525">
        <a:solidFill>
          <a:schemeClr val="lt1">
            <a:lumMod val="50000"/>
          </a:schemeClr>
        </a:solidFill>
      </a:ln>
    </cs:spPr>
  </cs:gridlineMajor>
  <cs:gridlineMinor>
    <cs:lnRef idx="0"/>
    <cs:fillRef idx="0"/>
    <cs:effectRef idx="0"/>
    <cs:fontRef idx="minor">
      <a:schemeClr val="tx1"/>
    </cs:fontRef>
    <cs:spPr>
      <a:ln w="9525">
        <a:solidFill>
          <a:schemeClr val="lt1">
            <a:lumMod val="40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/>
    </cs:fontRef>
    <cs:defRPr sz="1800" b="0" kern="1200" cap="all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sp3d/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91">
  <cs:axisTitle>
    <cs:lnRef idx="0"/>
    <cs:fillRef idx="0"/>
    <cs:effectRef idx="0"/>
    <cs:fontRef idx="minor">
      <a:schemeClr val="lt1">
        <a:lumMod val="75000"/>
      </a:schemeClr>
    </cs:fontRef>
    <cs:defRPr sz="900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6350" cap="flat" cmpd="sng" algn="ctr">
        <a:solidFill>
          <a:schemeClr val="dk1">
            <a:tint val="75000"/>
          </a:schemeClr>
        </a:solidFill>
        <a:round/>
      </a:ln>
    </cs:spPr>
    <cs:defRPr sz="1000" kern="1200"/>
  </cs:chartArea>
  <cs:dataLabel>
    <cs:lnRef idx="0"/>
    <cs:fillRef idx="0">
      <cs:styleClr val="auto"/>
    </cs:fillRef>
    <cs:effectRef idx="0"/>
    <cs:fontRef idx="minor">
      <a:schemeClr val="lt1"/>
    </cs:fontRef>
    <cs:spPr>
      <a:solidFill>
        <a:schemeClr val="phClr">
          <a:alpha val="30000"/>
        </a:schemeClr>
      </a:solidFill>
      <a:ln>
        <a:solidFill>
          <a:schemeClr val="lt1">
            <a:alpha val="50000"/>
          </a:schemeClr>
        </a:solidFill>
        <a:round/>
      </a:ln>
      <a:effectLst>
        <a:outerShdw blurRad="63500" dist="88900" dir="2700000" algn="tl" rotWithShape="0">
          <a:prstClr val="black">
            <a:alpha val="40000"/>
          </a:prstClr>
        </a:outerShdw>
      </a:effectLst>
    </cs:spPr>
    <cs:defRPr sz="900" b="1" i="0" u="none" strike="noStrike" kern="1200" baseline="0"/>
  </cs:dataLabel>
  <cs:dataLabelCallout>
    <cs:lnRef idx="0"/>
    <cs:fillRef idx="0">
      <cs:styleClr val="auto"/>
    </cs:fillRef>
    <cs:effectRef idx="0"/>
    <cs:fontRef idx="minor">
      <a:schemeClr val="lt1"/>
    </cs:fontRef>
    <cs:spPr>
      <a:solidFill>
        <a:schemeClr val="phClr">
          <a:alpha val="30000"/>
        </a:schemeClr>
      </a:solidFill>
      <a:ln>
        <a:solidFill>
          <a:schemeClr val="lt1">
            <a:alpha val="50000"/>
          </a:schemeClr>
        </a:solidFill>
        <a:round/>
      </a:ln>
      <a:effectLst>
        <a:outerShdw blurRad="63500" dist="88900" dir="2700000" algn="tl" rotWithShape="0">
          <a:prstClr val="black">
            <a:alpha val="40000"/>
          </a:prstClr>
        </a:outerShdw>
      </a:effectLst>
    </cs:spPr>
    <cs:defRPr sz="9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88000"/>
        </a:schemeClr>
      </a:solidFill>
      <a:ln>
        <a:solidFill>
          <a:schemeClr val="phClr">
            <a:lumMod val="50000"/>
          </a:schemeClr>
        </a:solidFill>
      </a:ln>
    </cs:spPr>
  </cs:dataPoint>
  <cs:dataPoint3D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88000"/>
        </a:schemeClr>
      </a:solidFill>
      <a:ln>
        <a:solidFill>
          <a:schemeClr val="phClr">
            <a:lumMod val="50000"/>
          </a:schemeClr>
        </a:solidFill>
      </a:ln>
      <a:scene3d>
        <a:camera prst="orthographicFront"/>
        <a:lightRig rig="threePt" dir="t"/>
      </a:scene3d>
      <a:sp3d prstMaterial="flat"/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dk1">
            <a:lumMod val="75000"/>
            <a:lumOff val="25000"/>
          </a:schemeClr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solidFill>
        <a:schemeClr val="bg2">
          <a:lumMod val="75000"/>
          <a:alpha val="27000"/>
        </a:schemeClr>
      </a:solidFill>
      <a:sp3d/>
    </cs:spPr>
  </cs:floor>
  <cs:gridlineMajor>
    <cs:lnRef idx="0"/>
    <cs:fillRef idx="0"/>
    <cs:effectRef idx="0"/>
    <cs:fontRef idx="minor">
      <a:schemeClr val="tx1"/>
    </cs:fontRef>
    <cs:spPr>
      <a:ln w="9525">
        <a:solidFill>
          <a:schemeClr val="lt1">
            <a:lumMod val="50000"/>
          </a:schemeClr>
        </a:solidFill>
      </a:ln>
    </cs:spPr>
  </cs:gridlineMajor>
  <cs:gridlineMinor>
    <cs:lnRef idx="0"/>
    <cs:fillRef idx="0"/>
    <cs:effectRef idx="0"/>
    <cs:fontRef idx="minor">
      <a:schemeClr val="tx1"/>
    </cs:fontRef>
    <cs:spPr>
      <a:ln w="9525">
        <a:solidFill>
          <a:schemeClr val="lt1">
            <a:lumMod val="40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/>
    </cs:fontRef>
    <cs:defRPr sz="1800" b="0" kern="1200" cap="all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sp3d/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91">
  <cs:axisTitle>
    <cs:lnRef idx="0"/>
    <cs:fillRef idx="0"/>
    <cs:effectRef idx="0"/>
    <cs:fontRef idx="minor">
      <a:schemeClr val="lt1">
        <a:lumMod val="75000"/>
      </a:schemeClr>
    </cs:fontRef>
    <cs:defRPr sz="900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6350" cap="flat" cmpd="sng" algn="ctr">
        <a:solidFill>
          <a:schemeClr val="dk1">
            <a:tint val="75000"/>
          </a:schemeClr>
        </a:solidFill>
        <a:round/>
      </a:ln>
    </cs:spPr>
    <cs:defRPr sz="1000" kern="1200"/>
  </cs:chartArea>
  <cs:dataLabel>
    <cs:lnRef idx="0"/>
    <cs:fillRef idx="0">
      <cs:styleClr val="auto"/>
    </cs:fillRef>
    <cs:effectRef idx="0"/>
    <cs:fontRef idx="minor">
      <a:schemeClr val="lt1"/>
    </cs:fontRef>
    <cs:spPr>
      <a:solidFill>
        <a:schemeClr val="phClr">
          <a:alpha val="30000"/>
        </a:schemeClr>
      </a:solidFill>
      <a:ln>
        <a:solidFill>
          <a:schemeClr val="lt1">
            <a:alpha val="50000"/>
          </a:schemeClr>
        </a:solidFill>
        <a:round/>
      </a:ln>
      <a:effectLst>
        <a:outerShdw blurRad="63500" dist="88900" dir="2700000" algn="tl" rotWithShape="0">
          <a:prstClr val="black">
            <a:alpha val="40000"/>
          </a:prstClr>
        </a:outerShdw>
      </a:effectLst>
    </cs:spPr>
    <cs:defRPr sz="900" b="1" i="0" u="none" strike="noStrike" kern="1200" baseline="0"/>
  </cs:dataLabel>
  <cs:dataLabelCallout>
    <cs:lnRef idx="0"/>
    <cs:fillRef idx="0">
      <cs:styleClr val="auto"/>
    </cs:fillRef>
    <cs:effectRef idx="0"/>
    <cs:fontRef idx="minor">
      <a:schemeClr val="lt1"/>
    </cs:fontRef>
    <cs:spPr>
      <a:solidFill>
        <a:schemeClr val="phClr">
          <a:alpha val="30000"/>
        </a:schemeClr>
      </a:solidFill>
      <a:ln>
        <a:solidFill>
          <a:schemeClr val="lt1">
            <a:alpha val="50000"/>
          </a:schemeClr>
        </a:solidFill>
        <a:round/>
      </a:ln>
      <a:effectLst>
        <a:outerShdw blurRad="63500" dist="88900" dir="2700000" algn="tl" rotWithShape="0">
          <a:prstClr val="black">
            <a:alpha val="40000"/>
          </a:prstClr>
        </a:outerShdw>
      </a:effectLst>
    </cs:spPr>
    <cs:defRPr sz="9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88000"/>
        </a:schemeClr>
      </a:solidFill>
      <a:ln>
        <a:solidFill>
          <a:schemeClr val="phClr">
            <a:lumMod val="50000"/>
          </a:schemeClr>
        </a:solidFill>
      </a:ln>
    </cs:spPr>
  </cs:dataPoint>
  <cs:dataPoint3D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88000"/>
        </a:schemeClr>
      </a:solidFill>
      <a:ln>
        <a:solidFill>
          <a:schemeClr val="phClr">
            <a:lumMod val="50000"/>
          </a:schemeClr>
        </a:solidFill>
      </a:ln>
      <a:scene3d>
        <a:camera prst="orthographicFront"/>
        <a:lightRig rig="threePt" dir="t"/>
      </a:scene3d>
      <a:sp3d prstMaterial="flat"/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dk1">
            <a:lumMod val="75000"/>
            <a:lumOff val="25000"/>
          </a:schemeClr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solidFill>
        <a:schemeClr val="bg2">
          <a:lumMod val="75000"/>
          <a:alpha val="27000"/>
        </a:schemeClr>
      </a:solidFill>
      <a:sp3d/>
    </cs:spPr>
  </cs:floor>
  <cs:gridlineMajor>
    <cs:lnRef idx="0"/>
    <cs:fillRef idx="0"/>
    <cs:effectRef idx="0"/>
    <cs:fontRef idx="minor">
      <a:schemeClr val="tx1"/>
    </cs:fontRef>
    <cs:spPr>
      <a:ln w="9525">
        <a:solidFill>
          <a:schemeClr val="lt1">
            <a:lumMod val="50000"/>
          </a:schemeClr>
        </a:solidFill>
      </a:ln>
    </cs:spPr>
  </cs:gridlineMajor>
  <cs:gridlineMinor>
    <cs:lnRef idx="0"/>
    <cs:fillRef idx="0"/>
    <cs:effectRef idx="0"/>
    <cs:fontRef idx="minor">
      <a:schemeClr val="tx1"/>
    </cs:fontRef>
    <cs:spPr>
      <a:ln w="9525">
        <a:solidFill>
          <a:schemeClr val="lt1">
            <a:lumMod val="40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/>
    </cs:fontRef>
    <cs:defRPr sz="1800" b="0" kern="1200" cap="all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sp3d/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91">
  <cs:axisTitle>
    <cs:lnRef idx="0"/>
    <cs:fillRef idx="0"/>
    <cs:effectRef idx="0"/>
    <cs:fontRef idx="minor">
      <a:schemeClr val="lt1">
        <a:lumMod val="75000"/>
      </a:schemeClr>
    </cs:fontRef>
    <cs:defRPr sz="900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6350" cap="flat" cmpd="sng" algn="ctr">
        <a:solidFill>
          <a:schemeClr val="dk1">
            <a:tint val="75000"/>
          </a:schemeClr>
        </a:solidFill>
        <a:round/>
      </a:ln>
    </cs:spPr>
    <cs:defRPr sz="1000" kern="1200"/>
  </cs:chartArea>
  <cs:dataLabel>
    <cs:lnRef idx="0"/>
    <cs:fillRef idx="0">
      <cs:styleClr val="auto"/>
    </cs:fillRef>
    <cs:effectRef idx="0"/>
    <cs:fontRef idx="minor">
      <a:schemeClr val="lt1"/>
    </cs:fontRef>
    <cs:spPr>
      <a:solidFill>
        <a:schemeClr val="phClr">
          <a:alpha val="30000"/>
        </a:schemeClr>
      </a:solidFill>
      <a:ln>
        <a:solidFill>
          <a:schemeClr val="lt1">
            <a:alpha val="50000"/>
          </a:schemeClr>
        </a:solidFill>
        <a:round/>
      </a:ln>
      <a:effectLst>
        <a:outerShdw blurRad="63500" dist="88900" dir="2700000" algn="tl" rotWithShape="0">
          <a:prstClr val="black">
            <a:alpha val="40000"/>
          </a:prstClr>
        </a:outerShdw>
      </a:effectLst>
    </cs:spPr>
    <cs:defRPr sz="900" b="1" i="0" u="none" strike="noStrike" kern="1200" baseline="0"/>
  </cs:dataLabel>
  <cs:dataLabelCallout>
    <cs:lnRef idx="0"/>
    <cs:fillRef idx="0">
      <cs:styleClr val="auto"/>
    </cs:fillRef>
    <cs:effectRef idx="0"/>
    <cs:fontRef idx="minor">
      <a:schemeClr val="lt1"/>
    </cs:fontRef>
    <cs:spPr>
      <a:solidFill>
        <a:schemeClr val="phClr">
          <a:alpha val="30000"/>
        </a:schemeClr>
      </a:solidFill>
      <a:ln>
        <a:solidFill>
          <a:schemeClr val="lt1">
            <a:alpha val="50000"/>
          </a:schemeClr>
        </a:solidFill>
        <a:round/>
      </a:ln>
      <a:effectLst>
        <a:outerShdw blurRad="63500" dist="88900" dir="2700000" algn="tl" rotWithShape="0">
          <a:prstClr val="black">
            <a:alpha val="40000"/>
          </a:prstClr>
        </a:outerShdw>
      </a:effectLst>
    </cs:spPr>
    <cs:defRPr sz="9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88000"/>
        </a:schemeClr>
      </a:solidFill>
      <a:ln>
        <a:solidFill>
          <a:schemeClr val="phClr">
            <a:lumMod val="50000"/>
          </a:schemeClr>
        </a:solidFill>
      </a:ln>
    </cs:spPr>
  </cs:dataPoint>
  <cs:dataPoint3D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88000"/>
        </a:schemeClr>
      </a:solidFill>
      <a:ln>
        <a:solidFill>
          <a:schemeClr val="phClr">
            <a:lumMod val="50000"/>
          </a:schemeClr>
        </a:solidFill>
      </a:ln>
      <a:scene3d>
        <a:camera prst="orthographicFront"/>
        <a:lightRig rig="threePt" dir="t"/>
      </a:scene3d>
      <a:sp3d prstMaterial="flat"/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dk1">
            <a:lumMod val="75000"/>
            <a:lumOff val="25000"/>
          </a:schemeClr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solidFill>
        <a:schemeClr val="bg2">
          <a:lumMod val="75000"/>
          <a:alpha val="27000"/>
        </a:schemeClr>
      </a:solidFill>
      <a:sp3d/>
    </cs:spPr>
  </cs:floor>
  <cs:gridlineMajor>
    <cs:lnRef idx="0"/>
    <cs:fillRef idx="0"/>
    <cs:effectRef idx="0"/>
    <cs:fontRef idx="minor">
      <a:schemeClr val="tx1"/>
    </cs:fontRef>
    <cs:spPr>
      <a:ln w="9525">
        <a:solidFill>
          <a:schemeClr val="lt1">
            <a:lumMod val="50000"/>
          </a:schemeClr>
        </a:solidFill>
      </a:ln>
    </cs:spPr>
  </cs:gridlineMajor>
  <cs:gridlineMinor>
    <cs:lnRef idx="0"/>
    <cs:fillRef idx="0"/>
    <cs:effectRef idx="0"/>
    <cs:fontRef idx="minor">
      <a:schemeClr val="tx1"/>
    </cs:fontRef>
    <cs:spPr>
      <a:ln w="9525">
        <a:solidFill>
          <a:schemeClr val="lt1">
            <a:lumMod val="40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/>
    </cs:fontRef>
    <cs:defRPr sz="1800" b="0" kern="1200" cap="all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sp3d/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91">
  <cs:axisTitle>
    <cs:lnRef idx="0"/>
    <cs:fillRef idx="0"/>
    <cs:effectRef idx="0"/>
    <cs:fontRef idx="minor">
      <a:schemeClr val="lt1">
        <a:lumMod val="75000"/>
      </a:schemeClr>
    </cs:fontRef>
    <cs:defRPr sz="900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6350" cap="flat" cmpd="sng" algn="ctr">
        <a:solidFill>
          <a:schemeClr val="dk1">
            <a:tint val="75000"/>
          </a:schemeClr>
        </a:solidFill>
        <a:round/>
      </a:ln>
    </cs:spPr>
    <cs:defRPr sz="1000" kern="1200"/>
  </cs:chartArea>
  <cs:dataLabel>
    <cs:lnRef idx="0"/>
    <cs:fillRef idx="0">
      <cs:styleClr val="auto"/>
    </cs:fillRef>
    <cs:effectRef idx="0"/>
    <cs:fontRef idx="minor">
      <a:schemeClr val="lt1"/>
    </cs:fontRef>
    <cs:spPr>
      <a:solidFill>
        <a:schemeClr val="phClr">
          <a:alpha val="30000"/>
        </a:schemeClr>
      </a:solidFill>
      <a:ln>
        <a:solidFill>
          <a:schemeClr val="lt1">
            <a:alpha val="50000"/>
          </a:schemeClr>
        </a:solidFill>
        <a:round/>
      </a:ln>
      <a:effectLst>
        <a:outerShdw blurRad="63500" dist="88900" dir="2700000" algn="tl" rotWithShape="0">
          <a:prstClr val="black">
            <a:alpha val="40000"/>
          </a:prstClr>
        </a:outerShdw>
      </a:effectLst>
    </cs:spPr>
    <cs:defRPr sz="900" b="1" i="0" u="none" strike="noStrike" kern="1200" baseline="0"/>
  </cs:dataLabel>
  <cs:dataLabelCallout>
    <cs:lnRef idx="0"/>
    <cs:fillRef idx="0">
      <cs:styleClr val="auto"/>
    </cs:fillRef>
    <cs:effectRef idx="0"/>
    <cs:fontRef idx="minor">
      <a:schemeClr val="lt1"/>
    </cs:fontRef>
    <cs:spPr>
      <a:solidFill>
        <a:schemeClr val="phClr">
          <a:alpha val="30000"/>
        </a:schemeClr>
      </a:solidFill>
      <a:ln>
        <a:solidFill>
          <a:schemeClr val="lt1">
            <a:alpha val="50000"/>
          </a:schemeClr>
        </a:solidFill>
        <a:round/>
      </a:ln>
      <a:effectLst>
        <a:outerShdw blurRad="63500" dist="88900" dir="2700000" algn="tl" rotWithShape="0">
          <a:prstClr val="black">
            <a:alpha val="40000"/>
          </a:prstClr>
        </a:outerShdw>
      </a:effectLst>
    </cs:spPr>
    <cs:defRPr sz="9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88000"/>
        </a:schemeClr>
      </a:solidFill>
      <a:ln>
        <a:solidFill>
          <a:schemeClr val="phClr">
            <a:lumMod val="50000"/>
          </a:schemeClr>
        </a:solidFill>
      </a:ln>
    </cs:spPr>
  </cs:dataPoint>
  <cs:dataPoint3D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88000"/>
        </a:schemeClr>
      </a:solidFill>
      <a:ln>
        <a:solidFill>
          <a:schemeClr val="phClr">
            <a:lumMod val="50000"/>
          </a:schemeClr>
        </a:solidFill>
      </a:ln>
      <a:scene3d>
        <a:camera prst="orthographicFront"/>
        <a:lightRig rig="threePt" dir="t"/>
      </a:scene3d>
      <a:sp3d prstMaterial="flat"/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dk1">
            <a:lumMod val="75000"/>
            <a:lumOff val="25000"/>
          </a:schemeClr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solidFill>
        <a:schemeClr val="bg2">
          <a:lumMod val="75000"/>
          <a:alpha val="27000"/>
        </a:schemeClr>
      </a:solidFill>
      <a:sp3d/>
    </cs:spPr>
  </cs:floor>
  <cs:gridlineMajor>
    <cs:lnRef idx="0"/>
    <cs:fillRef idx="0"/>
    <cs:effectRef idx="0"/>
    <cs:fontRef idx="minor">
      <a:schemeClr val="tx1"/>
    </cs:fontRef>
    <cs:spPr>
      <a:ln w="9525">
        <a:solidFill>
          <a:schemeClr val="lt1">
            <a:lumMod val="50000"/>
          </a:schemeClr>
        </a:solidFill>
      </a:ln>
    </cs:spPr>
  </cs:gridlineMajor>
  <cs:gridlineMinor>
    <cs:lnRef idx="0"/>
    <cs:fillRef idx="0"/>
    <cs:effectRef idx="0"/>
    <cs:fontRef idx="minor">
      <a:schemeClr val="tx1"/>
    </cs:fontRef>
    <cs:spPr>
      <a:ln w="9525">
        <a:solidFill>
          <a:schemeClr val="lt1">
            <a:lumMod val="40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/>
    </cs:fontRef>
    <cs:defRPr sz="1800" b="0" kern="1200" cap="all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sp3d/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291">
  <cs:axisTitle>
    <cs:lnRef idx="0"/>
    <cs:fillRef idx="0"/>
    <cs:effectRef idx="0"/>
    <cs:fontRef idx="minor">
      <a:schemeClr val="lt1">
        <a:lumMod val="75000"/>
      </a:schemeClr>
    </cs:fontRef>
    <cs:defRPr sz="900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6350" cap="flat" cmpd="sng" algn="ctr">
        <a:solidFill>
          <a:schemeClr val="dk1">
            <a:tint val="75000"/>
          </a:schemeClr>
        </a:solidFill>
        <a:round/>
      </a:ln>
    </cs:spPr>
    <cs:defRPr sz="1000" kern="1200"/>
  </cs:chartArea>
  <cs:dataLabel>
    <cs:lnRef idx="0"/>
    <cs:fillRef idx="0">
      <cs:styleClr val="auto"/>
    </cs:fillRef>
    <cs:effectRef idx="0"/>
    <cs:fontRef idx="minor">
      <a:schemeClr val="lt1"/>
    </cs:fontRef>
    <cs:spPr>
      <a:solidFill>
        <a:schemeClr val="phClr">
          <a:alpha val="30000"/>
        </a:schemeClr>
      </a:solidFill>
      <a:ln>
        <a:solidFill>
          <a:schemeClr val="lt1">
            <a:alpha val="50000"/>
          </a:schemeClr>
        </a:solidFill>
        <a:round/>
      </a:ln>
      <a:effectLst>
        <a:outerShdw blurRad="63500" dist="88900" dir="2700000" algn="tl" rotWithShape="0">
          <a:prstClr val="black">
            <a:alpha val="40000"/>
          </a:prstClr>
        </a:outerShdw>
      </a:effectLst>
    </cs:spPr>
    <cs:defRPr sz="900" b="1" i="0" u="none" strike="noStrike" kern="1200" baseline="0"/>
  </cs:dataLabel>
  <cs:dataLabelCallout>
    <cs:lnRef idx="0"/>
    <cs:fillRef idx="0">
      <cs:styleClr val="auto"/>
    </cs:fillRef>
    <cs:effectRef idx="0"/>
    <cs:fontRef idx="minor">
      <a:schemeClr val="lt1"/>
    </cs:fontRef>
    <cs:spPr>
      <a:solidFill>
        <a:schemeClr val="phClr">
          <a:alpha val="30000"/>
        </a:schemeClr>
      </a:solidFill>
      <a:ln>
        <a:solidFill>
          <a:schemeClr val="lt1">
            <a:alpha val="50000"/>
          </a:schemeClr>
        </a:solidFill>
        <a:round/>
      </a:ln>
      <a:effectLst>
        <a:outerShdw blurRad="63500" dist="88900" dir="2700000" algn="tl" rotWithShape="0">
          <a:prstClr val="black">
            <a:alpha val="40000"/>
          </a:prstClr>
        </a:outerShdw>
      </a:effectLst>
    </cs:spPr>
    <cs:defRPr sz="9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88000"/>
        </a:schemeClr>
      </a:solidFill>
      <a:ln>
        <a:solidFill>
          <a:schemeClr val="phClr">
            <a:lumMod val="50000"/>
          </a:schemeClr>
        </a:solidFill>
      </a:ln>
    </cs:spPr>
  </cs:dataPoint>
  <cs:dataPoint3D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88000"/>
        </a:schemeClr>
      </a:solidFill>
      <a:ln>
        <a:solidFill>
          <a:schemeClr val="phClr">
            <a:lumMod val="50000"/>
          </a:schemeClr>
        </a:solidFill>
      </a:ln>
      <a:scene3d>
        <a:camera prst="orthographicFront"/>
        <a:lightRig rig="threePt" dir="t"/>
      </a:scene3d>
      <a:sp3d prstMaterial="flat"/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dk1">
            <a:lumMod val="75000"/>
            <a:lumOff val="25000"/>
          </a:schemeClr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solidFill>
        <a:schemeClr val="bg2">
          <a:lumMod val="75000"/>
          <a:alpha val="27000"/>
        </a:schemeClr>
      </a:solidFill>
      <a:sp3d/>
    </cs:spPr>
  </cs:floor>
  <cs:gridlineMajor>
    <cs:lnRef idx="0"/>
    <cs:fillRef idx="0"/>
    <cs:effectRef idx="0"/>
    <cs:fontRef idx="minor">
      <a:schemeClr val="tx1"/>
    </cs:fontRef>
    <cs:spPr>
      <a:ln w="9525">
        <a:solidFill>
          <a:schemeClr val="lt1">
            <a:lumMod val="50000"/>
          </a:schemeClr>
        </a:solidFill>
      </a:ln>
    </cs:spPr>
  </cs:gridlineMajor>
  <cs:gridlineMinor>
    <cs:lnRef idx="0"/>
    <cs:fillRef idx="0"/>
    <cs:effectRef idx="0"/>
    <cs:fontRef idx="minor">
      <a:schemeClr val="tx1"/>
    </cs:fontRef>
    <cs:spPr>
      <a:ln w="9525">
        <a:solidFill>
          <a:schemeClr val="lt1">
            <a:lumMod val="40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/>
    </cs:fontRef>
    <cs:defRPr sz="1800" b="0" kern="1200" cap="all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sp3d/>
    </cs:spPr>
  </cs:wall>
</cs:chartStyle>
</file>

<file path=xl/charts/style9.xml><?xml version="1.0" encoding="utf-8"?>
<cs:chartStyle xmlns:cs="http://schemas.microsoft.com/office/drawing/2012/chartStyle" xmlns:a="http://schemas.openxmlformats.org/drawingml/2006/main" id="291">
  <cs:axisTitle>
    <cs:lnRef idx="0"/>
    <cs:fillRef idx="0"/>
    <cs:effectRef idx="0"/>
    <cs:fontRef idx="minor">
      <a:schemeClr val="lt1">
        <a:lumMod val="75000"/>
      </a:schemeClr>
    </cs:fontRef>
    <cs:defRPr sz="900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6350" cap="flat" cmpd="sng" algn="ctr">
        <a:solidFill>
          <a:schemeClr val="dk1">
            <a:tint val="75000"/>
          </a:schemeClr>
        </a:solidFill>
        <a:round/>
      </a:ln>
    </cs:spPr>
    <cs:defRPr sz="1000" kern="1200"/>
  </cs:chartArea>
  <cs:dataLabel>
    <cs:lnRef idx="0"/>
    <cs:fillRef idx="0">
      <cs:styleClr val="auto"/>
    </cs:fillRef>
    <cs:effectRef idx="0"/>
    <cs:fontRef idx="minor">
      <a:schemeClr val="lt1"/>
    </cs:fontRef>
    <cs:spPr>
      <a:solidFill>
        <a:schemeClr val="phClr">
          <a:alpha val="30000"/>
        </a:schemeClr>
      </a:solidFill>
      <a:ln>
        <a:solidFill>
          <a:schemeClr val="lt1">
            <a:alpha val="50000"/>
          </a:schemeClr>
        </a:solidFill>
        <a:round/>
      </a:ln>
      <a:effectLst>
        <a:outerShdw blurRad="63500" dist="88900" dir="2700000" algn="tl" rotWithShape="0">
          <a:prstClr val="black">
            <a:alpha val="40000"/>
          </a:prstClr>
        </a:outerShdw>
      </a:effectLst>
    </cs:spPr>
    <cs:defRPr sz="900" b="1" i="0" u="none" strike="noStrike" kern="1200" baseline="0"/>
  </cs:dataLabel>
  <cs:dataLabelCallout>
    <cs:lnRef idx="0"/>
    <cs:fillRef idx="0">
      <cs:styleClr val="auto"/>
    </cs:fillRef>
    <cs:effectRef idx="0"/>
    <cs:fontRef idx="minor">
      <a:schemeClr val="lt1"/>
    </cs:fontRef>
    <cs:spPr>
      <a:solidFill>
        <a:schemeClr val="phClr">
          <a:alpha val="30000"/>
        </a:schemeClr>
      </a:solidFill>
      <a:ln>
        <a:solidFill>
          <a:schemeClr val="lt1">
            <a:alpha val="50000"/>
          </a:schemeClr>
        </a:solidFill>
        <a:round/>
      </a:ln>
      <a:effectLst>
        <a:outerShdw blurRad="63500" dist="88900" dir="2700000" algn="tl" rotWithShape="0">
          <a:prstClr val="black">
            <a:alpha val="40000"/>
          </a:prstClr>
        </a:outerShdw>
      </a:effectLst>
    </cs:spPr>
    <cs:defRPr sz="9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88000"/>
        </a:schemeClr>
      </a:solidFill>
      <a:ln>
        <a:solidFill>
          <a:schemeClr val="phClr">
            <a:lumMod val="50000"/>
          </a:schemeClr>
        </a:solidFill>
      </a:ln>
    </cs:spPr>
  </cs:dataPoint>
  <cs:dataPoint3D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88000"/>
        </a:schemeClr>
      </a:solidFill>
      <a:ln>
        <a:solidFill>
          <a:schemeClr val="phClr">
            <a:lumMod val="50000"/>
          </a:schemeClr>
        </a:solidFill>
      </a:ln>
      <a:scene3d>
        <a:camera prst="orthographicFront"/>
        <a:lightRig rig="threePt" dir="t"/>
      </a:scene3d>
      <a:sp3d prstMaterial="flat"/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dk1">
            <a:lumMod val="75000"/>
            <a:lumOff val="25000"/>
          </a:schemeClr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solidFill>
        <a:schemeClr val="bg2">
          <a:lumMod val="75000"/>
          <a:alpha val="27000"/>
        </a:schemeClr>
      </a:solidFill>
      <a:sp3d/>
    </cs:spPr>
  </cs:floor>
  <cs:gridlineMajor>
    <cs:lnRef idx="0"/>
    <cs:fillRef idx="0"/>
    <cs:effectRef idx="0"/>
    <cs:fontRef idx="minor">
      <a:schemeClr val="tx1"/>
    </cs:fontRef>
    <cs:spPr>
      <a:ln w="9525">
        <a:solidFill>
          <a:schemeClr val="lt1">
            <a:lumMod val="50000"/>
          </a:schemeClr>
        </a:solidFill>
      </a:ln>
    </cs:spPr>
  </cs:gridlineMajor>
  <cs:gridlineMinor>
    <cs:lnRef idx="0"/>
    <cs:fillRef idx="0"/>
    <cs:effectRef idx="0"/>
    <cs:fontRef idx="minor">
      <a:schemeClr val="tx1"/>
    </cs:fontRef>
    <cs:spPr>
      <a:ln w="9525">
        <a:solidFill>
          <a:schemeClr val="lt1">
            <a:lumMod val="40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/>
    </cs:fontRef>
    <cs:defRPr sz="1800" b="0" kern="1200" cap="all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sp3d/>
    </cs:spPr>
  </cs:wall>
</cs:chartStyle>
</file>

<file path=xl/charts/style10.xml><?xml version="1.0" encoding="utf-8"?>
<cs:chartStyle xmlns:cs="http://schemas.microsoft.com/office/drawing/2012/chartStyle" xmlns:a="http://schemas.openxmlformats.org/drawingml/2006/main" id="291">
  <cs:axisTitle>
    <cs:lnRef idx="0"/>
    <cs:fillRef idx="0"/>
    <cs:effectRef idx="0"/>
    <cs:fontRef idx="minor">
      <a:schemeClr val="lt1">
        <a:lumMod val="75000"/>
      </a:schemeClr>
    </cs:fontRef>
    <cs:defRPr sz="900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6350" cap="flat" cmpd="sng" algn="ctr">
        <a:solidFill>
          <a:schemeClr val="dk1">
            <a:tint val="75000"/>
          </a:schemeClr>
        </a:solidFill>
        <a:round/>
      </a:ln>
    </cs:spPr>
    <cs:defRPr sz="1000" kern="1200"/>
  </cs:chartArea>
  <cs:dataLabel>
    <cs:lnRef idx="0"/>
    <cs:fillRef idx="0">
      <cs:styleClr val="auto"/>
    </cs:fillRef>
    <cs:effectRef idx="0"/>
    <cs:fontRef idx="minor">
      <a:schemeClr val="lt1"/>
    </cs:fontRef>
    <cs:spPr>
      <a:solidFill>
        <a:schemeClr val="phClr">
          <a:alpha val="30000"/>
        </a:schemeClr>
      </a:solidFill>
      <a:ln>
        <a:solidFill>
          <a:schemeClr val="lt1">
            <a:alpha val="50000"/>
          </a:schemeClr>
        </a:solidFill>
        <a:round/>
      </a:ln>
      <a:effectLst>
        <a:outerShdw blurRad="63500" dist="88900" dir="2700000" algn="tl" rotWithShape="0">
          <a:prstClr val="black">
            <a:alpha val="40000"/>
          </a:prstClr>
        </a:outerShdw>
      </a:effectLst>
    </cs:spPr>
    <cs:defRPr sz="900" b="1" i="0" u="none" strike="noStrike" kern="1200" baseline="0"/>
  </cs:dataLabel>
  <cs:dataLabelCallout>
    <cs:lnRef idx="0"/>
    <cs:fillRef idx="0">
      <cs:styleClr val="auto"/>
    </cs:fillRef>
    <cs:effectRef idx="0"/>
    <cs:fontRef idx="minor">
      <a:schemeClr val="lt1"/>
    </cs:fontRef>
    <cs:spPr>
      <a:solidFill>
        <a:schemeClr val="phClr">
          <a:alpha val="30000"/>
        </a:schemeClr>
      </a:solidFill>
      <a:ln>
        <a:solidFill>
          <a:schemeClr val="lt1">
            <a:alpha val="50000"/>
          </a:schemeClr>
        </a:solidFill>
        <a:round/>
      </a:ln>
      <a:effectLst>
        <a:outerShdw blurRad="63500" dist="88900" dir="2700000" algn="tl" rotWithShape="0">
          <a:prstClr val="black">
            <a:alpha val="40000"/>
          </a:prstClr>
        </a:outerShdw>
      </a:effectLst>
    </cs:spPr>
    <cs:defRPr sz="9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88000"/>
        </a:schemeClr>
      </a:solidFill>
      <a:ln>
        <a:solidFill>
          <a:schemeClr val="phClr">
            <a:lumMod val="50000"/>
          </a:schemeClr>
        </a:solidFill>
      </a:ln>
    </cs:spPr>
  </cs:dataPoint>
  <cs:dataPoint3D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88000"/>
        </a:schemeClr>
      </a:solidFill>
      <a:ln>
        <a:solidFill>
          <a:schemeClr val="phClr">
            <a:lumMod val="50000"/>
          </a:schemeClr>
        </a:solidFill>
      </a:ln>
      <a:scene3d>
        <a:camera prst="orthographicFront"/>
        <a:lightRig rig="threePt" dir="t"/>
      </a:scene3d>
      <a:sp3d prstMaterial="flat"/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dk1">
            <a:lumMod val="75000"/>
            <a:lumOff val="25000"/>
          </a:schemeClr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solidFill>
        <a:schemeClr val="bg2">
          <a:lumMod val="75000"/>
          <a:alpha val="27000"/>
        </a:schemeClr>
      </a:solidFill>
      <a:sp3d/>
    </cs:spPr>
  </cs:floor>
  <cs:gridlineMajor>
    <cs:lnRef idx="0"/>
    <cs:fillRef idx="0"/>
    <cs:effectRef idx="0"/>
    <cs:fontRef idx="minor">
      <a:schemeClr val="tx1"/>
    </cs:fontRef>
    <cs:spPr>
      <a:ln w="9525">
        <a:solidFill>
          <a:schemeClr val="lt1">
            <a:lumMod val="50000"/>
          </a:schemeClr>
        </a:solidFill>
      </a:ln>
    </cs:spPr>
  </cs:gridlineMajor>
  <cs:gridlineMinor>
    <cs:lnRef idx="0"/>
    <cs:fillRef idx="0"/>
    <cs:effectRef idx="0"/>
    <cs:fontRef idx="minor">
      <a:schemeClr val="tx1"/>
    </cs:fontRef>
    <cs:spPr>
      <a:ln w="9525">
        <a:solidFill>
          <a:schemeClr val="lt1">
            <a:lumMod val="40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/>
    </cs:fontRef>
    <cs:defRPr sz="1800" b="0" kern="1200" cap="all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sp3d/>
    </cs:spPr>
  </cs:wall>
</cs:chartStyle>
</file>

<file path=xl/charts/style11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11" Type="http://schemas.openxmlformats.org/officeDocument/2006/relationships/chart" Target="../charts/chart11.xml"/><Relationship Id="rId5" Type="http://schemas.openxmlformats.org/officeDocument/2006/relationships/chart" Target="../charts/chart5.xml"/><Relationship Id="rId10" Type="http://schemas.openxmlformats.org/officeDocument/2006/relationships/chart" Target="../charts/chart10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</xdr:row>
          <xdr:rowOff>0</xdr:rowOff>
        </xdr:from>
        <xdr:to>
          <xdr:col>0</xdr:col>
          <xdr:colOff>400050</xdr:colOff>
          <xdr:row>18</xdr:row>
          <xdr:rowOff>190500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vert="vert270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sng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 données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6</xdr:col>
      <xdr:colOff>0</xdr:colOff>
      <xdr:row>14</xdr:row>
      <xdr:rowOff>76200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14</xdr:row>
      <xdr:rowOff>80962</xdr:rowOff>
    </xdr:from>
    <xdr:to>
      <xdr:col>6</xdr:col>
      <xdr:colOff>0</xdr:colOff>
      <xdr:row>28</xdr:row>
      <xdr:rowOff>157162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6</xdr:col>
      <xdr:colOff>9525</xdr:colOff>
      <xdr:row>0</xdr:row>
      <xdr:rowOff>0</xdr:rowOff>
    </xdr:from>
    <xdr:to>
      <xdr:col>12</xdr:col>
      <xdr:colOff>9525</xdr:colOff>
      <xdr:row>14</xdr:row>
      <xdr:rowOff>76200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6</xdr:col>
      <xdr:colOff>9525</xdr:colOff>
      <xdr:row>14</xdr:row>
      <xdr:rowOff>76200</xdr:rowOff>
    </xdr:from>
    <xdr:to>
      <xdr:col>12</xdr:col>
      <xdr:colOff>9525</xdr:colOff>
      <xdr:row>28</xdr:row>
      <xdr:rowOff>152400</xdr:rowOff>
    </xdr:to>
    <xdr:graphicFrame macro="">
      <xdr:nvGraphicFramePr>
        <xdr:cNvPr id="11" name="Graphique 10">
          <a:extLst>
            <a:ext uri="{FF2B5EF4-FFF2-40B4-BE49-F238E27FC236}">
              <a16:creationId xmlns:a16="http://schemas.microsoft.com/office/drawing/2014/main" id="{00000000-0008-0000-0400-00000B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12</xdr:col>
      <xdr:colOff>0</xdr:colOff>
      <xdr:row>0</xdr:row>
      <xdr:rowOff>0</xdr:rowOff>
    </xdr:from>
    <xdr:to>
      <xdr:col>18</xdr:col>
      <xdr:colOff>0</xdr:colOff>
      <xdr:row>14</xdr:row>
      <xdr:rowOff>76200</xdr:rowOff>
    </xdr:to>
    <xdr:graphicFrame macro="">
      <xdr:nvGraphicFramePr>
        <xdr:cNvPr id="12" name="Graphique 11">
          <a:extLst>
            <a:ext uri="{FF2B5EF4-FFF2-40B4-BE49-F238E27FC236}">
              <a16:creationId xmlns:a16="http://schemas.microsoft.com/office/drawing/2014/main" id="{00000000-0008-0000-0400-00000C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12</xdr:col>
      <xdr:colOff>0</xdr:colOff>
      <xdr:row>14</xdr:row>
      <xdr:rowOff>76200</xdr:rowOff>
    </xdr:from>
    <xdr:to>
      <xdr:col>18</xdr:col>
      <xdr:colOff>0</xdr:colOff>
      <xdr:row>28</xdr:row>
      <xdr:rowOff>152400</xdr:rowOff>
    </xdr:to>
    <xdr:graphicFrame macro="">
      <xdr:nvGraphicFramePr>
        <xdr:cNvPr id="15" name="Graphique 14">
          <a:extLst>
            <a:ext uri="{FF2B5EF4-FFF2-40B4-BE49-F238E27FC236}">
              <a16:creationId xmlns:a16="http://schemas.microsoft.com/office/drawing/2014/main" id="{00000000-0008-0000-0400-00000F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18</xdr:col>
      <xdr:colOff>0</xdr:colOff>
      <xdr:row>0</xdr:row>
      <xdr:rowOff>0</xdr:rowOff>
    </xdr:from>
    <xdr:to>
      <xdr:col>24</xdr:col>
      <xdr:colOff>0</xdr:colOff>
      <xdr:row>14</xdr:row>
      <xdr:rowOff>76200</xdr:rowOff>
    </xdr:to>
    <xdr:graphicFrame macro="">
      <xdr:nvGraphicFramePr>
        <xdr:cNvPr id="18" name="Graphique 17">
          <a:extLst>
            <a:ext uri="{FF2B5EF4-FFF2-40B4-BE49-F238E27FC236}">
              <a16:creationId xmlns:a16="http://schemas.microsoft.com/office/drawing/2014/main" id="{00000000-0008-0000-0400-00001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18</xdr:col>
      <xdr:colOff>0</xdr:colOff>
      <xdr:row>14</xdr:row>
      <xdr:rowOff>85725</xdr:rowOff>
    </xdr:from>
    <xdr:to>
      <xdr:col>24</xdr:col>
      <xdr:colOff>0</xdr:colOff>
      <xdr:row>28</xdr:row>
      <xdr:rowOff>161925</xdr:rowOff>
    </xdr:to>
    <xdr:graphicFrame macro="">
      <xdr:nvGraphicFramePr>
        <xdr:cNvPr id="19" name="Graphique 18">
          <a:extLst>
            <a:ext uri="{FF2B5EF4-FFF2-40B4-BE49-F238E27FC236}">
              <a16:creationId xmlns:a16="http://schemas.microsoft.com/office/drawing/2014/main" id="{00000000-0008-0000-0400-00001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24</xdr:col>
      <xdr:colOff>0</xdr:colOff>
      <xdr:row>0</xdr:row>
      <xdr:rowOff>0</xdr:rowOff>
    </xdr:from>
    <xdr:to>
      <xdr:col>30</xdr:col>
      <xdr:colOff>0</xdr:colOff>
      <xdr:row>14</xdr:row>
      <xdr:rowOff>76200</xdr:rowOff>
    </xdr:to>
    <xdr:graphicFrame macro="">
      <xdr:nvGraphicFramePr>
        <xdr:cNvPr id="22" name="Graphique 21">
          <a:extLst>
            <a:ext uri="{FF2B5EF4-FFF2-40B4-BE49-F238E27FC236}">
              <a16:creationId xmlns:a16="http://schemas.microsoft.com/office/drawing/2014/main" id="{00000000-0008-0000-0400-000016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24</xdr:col>
      <xdr:colOff>9525</xdr:colOff>
      <xdr:row>14</xdr:row>
      <xdr:rowOff>76200</xdr:rowOff>
    </xdr:from>
    <xdr:to>
      <xdr:col>30</xdr:col>
      <xdr:colOff>9525</xdr:colOff>
      <xdr:row>28</xdr:row>
      <xdr:rowOff>152400</xdr:rowOff>
    </xdr:to>
    <xdr:graphicFrame macro="">
      <xdr:nvGraphicFramePr>
        <xdr:cNvPr id="24" name="Graphique 23">
          <a:extLst>
            <a:ext uri="{FF2B5EF4-FFF2-40B4-BE49-F238E27FC236}">
              <a16:creationId xmlns:a16="http://schemas.microsoft.com/office/drawing/2014/main" id="{00000000-0008-0000-0400-000018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0</xdr:col>
      <xdr:colOff>0</xdr:colOff>
      <xdr:row>31</xdr:row>
      <xdr:rowOff>0</xdr:rowOff>
    </xdr:from>
    <xdr:to>
      <xdr:col>22</xdr:col>
      <xdr:colOff>555625</xdr:colOff>
      <xdr:row>57</xdr:row>
      <xdr:rowOff>157162</xdr:rowOff>
    </xdr:to>
    <xdr:graphicFrame macro="">
      <xdr:nvGraphicFramePr>
        <xdr:cNvPr id="20" name="Graphique 19">
          <a:extLst>
            <a:ext uri="{FF2B5EF4-FFF2-40B4-BE49-F238E27FC236}">
              <a16:creationId xmlns:a16="http://schemas.microsoft.com/office/drawing/2014/main" id="{00000000-0008-0000-0400-00001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balance/balance-2021_03/extra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1">
          <cell r="G1" t="str">
            <v>Société</v>
          </cell>
        </row>
        <row r="2">
          <cell r="A2">
            <v>101000000</v>
          </cell>
          <cell r="E2">
            <v>0</v>
          </cell>
          <cell r="F2">
            <v>15244.9</v>
          </cell>
          <cell r="G2" t="str">
            <v>Mars</v>
          </cell>
        </row>
        <row r="3">
          <cell r="A3">
            <v>101000000</v>
          </cell>
          <cell r="E3">
            <v>0</v>
          </cell>
          <cell r="F3">
            <v>110000</v>
          </cell>
          <cell r="G3" t="str">
            <v>Avril</v>
          </cell>
        </row>
        <row r="4">
          <cell r="A4">
            <v>101000000</v>
          </cell>
          <cell r="E4">
            <v>0</v>
          </cell>
          <cell r="F4">
            <v>21594</v>
          </cell>
          <cell r="G4" t="str">
            <v>Juin</v>
          </cell>
        </row>
        <row r="5">
          <cell r="A5">
            <v>101000000</v>
          </cell>
          <cell r="E5">
            <v>0</v>
          </cell>
          <cell r="F5">
            <v>1524.49</v>
          </cell>
          <cell r="G5" t="str">
            <v>Mai</v>
          </cell>
        </row>
        <row r="6">
          <cell r="A6">
            <v>101000000</v>
          </cell>
          <cell r="E6">
            <v>0</v>
          </cell>
          <cell r="F6">
            <v>7500</v>
          </cell>
          <cell r="G6" t="str">
            <v>Juillet</v>
          </cell>
        </row>
        <row r="7">
          <cell r="A7">
            <v>101000000</v>
          </cell>
          <cell r="E7">
            <v>0</v>
          </cell>
          <cell r="F7">
            <v>1525</v>
          </cell>
          <cell r="G7" t="str">
            <v>Août</v>
          </cell>
        </row>
        <row r="8">
          <cell r="A8">
            <v>101000000</v>
          </cell>
          <cell r="E8">
            <v>0</v>
          </cell>
          <cell r="F8">
            <v>32000</v>
          </cell>
          <cell r="G8" t="str">
            <v>Truc</v>
          </cell>
        </row>
        <row r="9">
          <cell r="A9">
            <v>101000000</v>
          </cell>
          <cell r="E9">
            <v>0</v>
          </cell>
          <cell r="F9">
            <v>15000</v>
          </cell>
          <cell r="G9" t="str">
            <v>Septembre</v>
          </cell>
        </row>
        <row r="10">
          <cell r="A10">
            <v>101000000</v>
          </cell>
          <cell r="E10">
            <v>0</v>
          </cell>
          <cell r="F10">
            <v>7625</v>
          </cell>
          <cell r="G10" t="str">
            <v>Truc</v>
          </cell>
        </row>
        <row r="11">
          <cell r="A11">
            <v>101000000</v>
          </cell>
          <cell r="E11">
            <v>0</v>
          </cell>
          <cell r="F11">
            <v>22867.35</v>
          </cell>
          <cell r="G11" t="str">
            <v>Octobre</v>
          </cell>
        </row>
        <row r="12">
          <cell r="A12">
            <v>101000000</v>
          </cell>
          <cell r="E12">
            <v>0</v>
          </cell>
          <cell r="F12">
            <v>7622.45</v>
          </cell>
          <cell r="G12" t="str">
            <v>Janvier</v>
          </cell>
        </row>
        <row r="13">
          <cell r="A13">
            <v>101000000</v>
          </cell>
          <cell r="E13">
            <v>0</v>
          </cell>
          <cell r="F13">
            <v>15244.9</v>
          </cell>
          <cell r="G13" t="str">
            <v>Novembre</v>
          </cell>
        </row>
        <row r="14">
          <cell r="A14">
            <v>101000000</v>
          </cell>
          <cell r="E14">
            <v>0</v>
          </cell>
          <cell r="F14">
            <v>260</v>
          </cell>
          <cell r="G14" t="str">
            <v>Décembre</v>
          </cell>
        </row>
        <row r="15">
          <cell r="A15">
            <v>101000000</v>
          </cell>
          <cell r="E15">
            <v>0</v>
          </cell>
          <cell r="F15">
            <v>249000</v>
          </cell>
          <cell r="G15" t="str">
            <v>Truc</v>
          </cell>
        </row>
        <row r="16">
          <cell r="A16">
            <v>101000000</v>
          </cell>
          <cell r="E16">
            <v>0</v>
          </cell>
          <cell r="F16">
            <v>840000</v>
          </cell>
          <cell r="G16" t="str">
            <v>Février</v>
          </cell>
        </row>
        <row r="17">
          <cell r="A17">
            <v>101000000</v>
          </cell>
          <cell r="E17">
            <v>0</v>
          </cell>
          <cell r="F17">
            <v>1958512.52</v>
          </cell>
          <cell r="G17" t="str">
            <v>Truc</v>
          </cell>
        </row>
        <row r="18">
          <cell r="A18">
            <v>101000000</v>
          </cell>
          <cell r="E18">
            <v>0</v>
          </cell>
          <cell r="F18">
            <v>26037011</v>
          </cell>
          <cell r="G18" t="str">
            <v>Mardi</v>
          </cell>
        </row>
        <row r="19">
          <cell r="A19">
            <v>101000000</v>
          </cell>
          <cell r="E19">
            <v>0</v>
          </cell>
          <cell r="F19">
            <v>979264</v>
          </cell>
          <cell r="G19" t="str">
            <v>Truc</v>
          </cell>
        </row>
        <row r="20">
          <cell r="A20">
            <v>101000000</v>
          </cell>
          <cell r="E20">
            <v>0</v>
          </cell>
          <cell r="F20">
            <v>5535300</v>
          </cell>
          <cell r="G20" t="str">
            <v>Truc</v>
          </cell>
        </row>
        <row r="21">
          <cell r="A21">
            <v>101000000</v>
          </cell>
          <cell r="E21">
            <v>0</v>
          </cell>
          <cell r="F21">
            <v>1524.5</v>
          </cell>
          <cell r="G21" t="str">
            <v>Lundi</v>
          </cell>
        </row>
        <row r="22">
          <cell r="A22">
            <v>101000000</v>
          </cell>
          <cell r="E22">
            <v>0</v>
          </cell>
          <cell r="F22">
            <v>62691968</v>
          </cell>
          <cell r="G22" t="str">
            <v>Truc</v>
          </cell>
        </row>
        <row r="23">
          <cell r="A23">
            <v>104100000</v>
          </cell>
          <cell r="E23">
            <v>0</v>
          </cell>
          <cell r="F23">
            <v>30.49</v>
          </cell>
          <cell r="G23" t="str">
            <v>Truc</v>
          </cell>
        </row>
        <row r="24">
          <cell r="A24">
            <v>106100000</v>
          </cell>
          <cell r="E24">
            <v>0</v>
          </cell>
          <cell r="F24">
            <v>3200</v>
          </cell>
          <cell r="G24" t="str">
            <v>Truc</v>
          </cell>
        </row>
        <row r="25">
          <cell r="A25">
            <v>106100000</v>
          </cell>
          <cell r="E25">
            <v>0</v>
          </cell>
          <cell r="F25">
            <v>762</v>
          </cell>
          <cell r="G25" t="str">
            <v>Truc</v>
          </cell>
        </row>
        <row r="26">
          <cell r="A26">
            <v>106100000</v>
          </cell>
          <cell r="E26">
            <v>0</v>
          </cell>
          <cell r="F26">
            <v>762.25</v>
          </cell>
          <cell r="G26" t="str">
            <v>Janvier</v>
          </cell>
        </row>
        <row r="27">
          <cell r="A27">
            <v>106100000</v>
          </cell>
          <cell r="E27">
            <v>0</v>
          </cell>
          <cell r="F27">
            <v>24900</v>
          </cell>
          <cell r="G27" t="str">
            <v>Truc</v>
          </cell>
        </row>
        <row r="28">
          <cell r="A28">
            <v>106100000</v>
          </cell>
          <cell r="E28">
            <v>0</v>
          </cell>
          <cell r="F28">
            <v>84000.5</v>
          </cell>
          <cell r="G28" t="str">
            <v>Février</v>
          </cell>
        </row>
        <row r="29">
          <cell r="A29">
            <v>106100000</v>
          </cell>
          <cell r="E29">
            <v>0</v>
          </cell>
          <cell r="F29">
            <v>195852</v>
          </cell>
          <cell r="G29" t="str">
            <v>Truc</v>
          </cell>
        </row>
        <row r="30">
          <cell r="A30">
            <v>106100000</v>
          </cell>
          <cell r="E30">
            <v>0</v>
          </cell>
          <cell r="F30">
            <v>55804.49</v>
          </cell>
          <cell r="G30" t="str">
            <v>Mardi</v>
          </cell>
        </row>
        <row r="31">
          <cell r="A31">
            <v>106100000</v>
          </cell>
          <cell r="E31">
            <v>0</v>
          </cell>
          <cell r="F31">
            <v>97926.399999999994</v>
          </cell>
          <cell r="G31" t="str">
            <v>Truc</v>
          </cell>
        </row>
        <row r="32">
          <cell r="A32">
            <v>106100000</v>
          </cell>
          <cell r="E32">
            <v>0</v>
          </cell>
          <cell r="F32">
            <v>264262.40999999997</v>
          </cell>
          <cell r="G32" t="str">
            <v>Truc</v>
          </cell>
        </row>
        <row r="33">
          <cell r="A33">
            <v>106100000</v>
          </cell>
          <cell r="E33">
            <v>0</v>
          </cell>
          <cell r="F33">
            <v>682209.75</v>
          </cell>
          <cell r="G33" t="str">
            <v>Truc</v>
          </cell>
        </row>
        <row r="34">
          <cell r="A34">
            <v>106800000</v>
          </cell>
          <cell r="E34">
            <v>0</v>
          </cell>
          <cell r="F34">
            <v>977598.37</v>
          </cell>
          <cell r="G34" t="str">
            <v>Mars</v>
          </cell>
        </row>
        <row r="35">
          <cell r="A35">
            <v>106800000</v>
          </cell>
          <cell r="E35">
            <v>0</v>
          </cell>
          <cell r="F35">
            <v>522059.46</v>
          </cell>
          <cell r="G35" t="str">
            <v>Avril</v>
          </cell>
        </row>
        <row r="36">
          <cell r="A36">
            <v>106800000</v>
          </cell>
          <cell r="E36">
            <v>0</v>
          </cell>
          <cell r="F36">
            <v>356705.36</v>
          </cell>
          <cell r="G36" t="str">
            <v>Juin</v>
          </cell>
        </row>
        <row r="37">
          <cell r="A37">
            <v>106800000</v>
          </cell>
          <cell r="E37">
            <v>0</v>
          </cell>
          <cell r="F37">
            <v>1159856.56</v>
          </cell>
          <cell r="G37" t="str">
            <v>Mai</v>
          </cell>
        </row>
        <row r="38">
          <cell r="A38">
            <v>106800000</v>
          </cell>
          <cell r="E38">
            <v>0</v>
          </cell>
          <cell r="F38">
            <v>1609556.03</v>
          </cell>
          <cell r="G38" t="str">
            <v>Juillet</v>
          </cell>
        </row>
        <row r="39">
          <cell r="A39">
            <v>106800000</v>
          </cell>
          <cell r="E39">
            <v>0</v>
          </cell>
          <cell r="F39">
            <v>799965.97</v>
          </cell>
          <cell r="G39" t="str">
            <v>Août</v>
          </cell>
        </row>
        <row r="40">
          <cell r="A40">
            <v>106800000</v>
          </cell>
          <cell r="E40">
            <v>0</v>
          </cell>
          <cell r="F40">
            <v>541300.24</v>
          </cell>
          <cell r="G40" t="str">
            <v>Truc</v>
          </cell>
        </row>
        <row r="41">
          <cell r="A41">
            <v>106800000</v>
          </cell>
          <cell r="E41">
            <v>0</v>
          </cell>
          <cell r="F41">
            <v>165894.59</v>
          </cell>
          <cell r="G41" t="str">
            <v>Septembre</v>
          </cell>
        </row>
        <row r="42">
          <cell r="A42">
            <v>106800000</v>
          </cell>
          <cell r="E42">
            <v>0</v>
          </cell>
          <cell r="F42">
            <v>2138321.86</v>
          </cell>
          <cell r="G42" t="str">
            <v>Truc</v>
          </cell>
        </row>
        <row r="43">
          <cell r="A43">
            <v>106800000</v>
          </cell>
          <cell r="E43">
            <v>0</v>
          </cell>
          <cell r="F43">
            <v>1123389.24</v>
          </cell>
          <cell r="G43" t="str">
            <v>Octobre</v>
          </cell>
        </row>
        <row r="44">
          <cell r="A44">
            <v>106800000</v>
          </cell>
          <cell r="E44">
            <v>0</v>
          </cell>
          <cell r="F44">
            <v>741965.8</v>
          </cell>
          <cell r="G44" t="str">
            <v>Janvier</v>
          </cell>
        </row>
        <row r="45">
          <cell r="A45">
            <v>106800000</v>
          </cell>
          <cell r="E45">
            <v>0</v>
          </cell>
          <cell r="F45">
            <v>811466.34</v>
          </cell>
          <cell r="G45" t="str">
            <v>Novembre</v>
          </cell>
        </row>
        <row r="46">
          <cell r="A46">
            <v>106800000</v>
          </cell>
          <cell r="E46">
            <v>0</v>
          </cell>
          <cell r="F46">
            <v>418241.18</v>
          </cell>
          <cell r="G46" t="str">
            <v>Décembre</v>
          </cell>
        </row>
        <row r="47">
          <cell r="A47">
            <v>106800000</v>
          </cell>
          <cell r="E47">
            <v>0</v>
          </cell>
          <cell r="F47">
            <v>761905.19</v>
          </cell>
          <cell r="G47" t="str">
            <v>Truc</v>
          </cell>
        </row>
        <row r="48">
          <cell r="A48">
            <v>106800000</v>
          </cell>
          <cell r="E48">
            <v>0</v>
          </cell>
          <cell r="F48">
            <v>822825.87</v>
          </cell>
          <cell r="G48" t="str">
            <v>Février</v>
          </cell>
        </row>
        <row r="49">
          <cell r="A49">
            <v>106800000</v>
          </cell>
          <cell r="E49">
            <v>0</v>
          </cell>
          <cell r="F49">
            <v>3176884.21</v>
          </cell>
          <cell r="G49" t="str">
            <v>Truc</v>
          </cell>
        </row>
        <row r="50">
          <cell r="A50">
            <v>106800000</v>
          </cell>
          <cell r="E50">
            <v>0</v>
          </cell>
          <cell r="F50">
            <v>1633365.56</v>
          </cell>
          <cell r="G50" t="str">
            <v>Mardi</v>
          </cell>
        </row>
        <row r="51">
          <cell r="A51">
            <v>106800000</v>
          </cell>
          <cell r="E51">
            <v>0</v>
          </cell>
          <cell r="F51">
            <v>1194572.1299999999</v>
          </cell>
          <cell r="G51" t="str">
            <v>Truc</v>
          </cell>
        </row>
        <row r="52">
          <cell r="A52">
            <v>106800000</v>
          </cell>
          <cell r="E52">
            <v>0</v>
          </cell>
          <cell r="F52">
            <v>4688966.17</v>
          </cell>
          <cell r="G52" t="str">
            <v>Truc</v>
          </cell>
        </row>
        <row r="53">
          <cell r="A53">
            <v>106800000</v>
          </cell>
          <cell r="E53">
            <v>0</v>
          </cell>
          <cell r="F53">
            <v>235721.36</v>
          </cell>
          <cell r="G53" t="str">
            <v>Lundi</v>
          </cell>
        </row>
        <row r="54">
          <cell r="A54">
            <v>106800000</v>
          </cell>
          <cell r="E54">
            <v>0</v>
          </cell>
          <cell r="F54">
            <v>17037496.789999999</v>
          </cell>
          <cell r="G54" t="str">
            <v>Truc</v>
          </cell>
        </row>
        <row r="55">
          <cell r="A55">
            <v>119000000</v>
          </cell>
          <cell r="E55">
            <v>2.5499999999999998</v>
          </cell>
          <cell r="F55">
            <v>0</v>
          </cell>
          <cell r="G55" t="str">
            <v>Truc</v>
          </cell>
        </row>
        <row r="56">
          <cell r="A56">
            <v>145000000</v>
          </cell>
          <cell r="E56">
            <v>0</v>
          </cell>
          <cell r="F56">
            <v>0</v>
          </cell>
          <cell r="G56" t="str">
            <v>Mardi</v>
          </cell>
        </row>
        <row r="57">
          <cell r="A57">
            <v>151720000</v>
          </cell>
          <cell r="E57">
            <v>0</v>
          </cell>
          <cell r="F57">
            <v>3118750</v>
          </cell>
          <cell r="G57" t="str">
            <v>Truc</v>
          </cell>
        </row>
        <row r="58">
          <cell r="A58">
            <v>155000000</v>
          </cell>
          <cell r="E58">
            <v>0</v>
          </cell>
          <cell r="F58">
            <v>189662</v>
          </cell>
          <cell r="G58" t="str">
            <v>Février</v>
          </cell>
        </row>
        <row r="59">
          <cell r="A59">
            <v>165000000</v>
          </cell>
          <cell r="E59">
            <v>0</v>
          </cell>
          <cell r="F59">
            <v>2225.7600000000002</v>
          </cell>
          <cell r="G59" t="str">
            <v>Mars</v>
          </cell>
        </row>
        <row r="60">
          <cell r="A60">
            <v>165000000</v>
          </cell>
          <cell r="E60">
            <v>0</v>
          </cell>
          <cell r="F60">
            <v>24971.15</v>
          </cell>
          <cell r="G60" t="str">
            <v>Avril</v>
          </cell>
        </row>
        <row r="61">
          <cell r="A61">
            <v>165000000</v>
          </cell>
          <cell r="E61">
            <v>0</v>
          </cell>
          <cell r="F61">
            <v>1000</v>
          </cell>
          <cell r="G61" t="str">
            <v>Mai</v>
          </cell>
        </row>
        <row r="62">
          <cell r="A62">
            <v>165000000</v>
          </cell>
          <cell r="E62">
            <v>0</v>
          </cell>
          <cell r="F62">
            <v>105500</v>
          </cell>
          <cell r="G62" t="str">
            <v>Juillet</v>
          </cell>
        </row>
        <row r="63">
          <cell r="A63">
            <v>165000000</v>
          </cell>
          <cell r="E63">
            <v>0</v>
          </cell>
          <cell r="F63">
            <v>21000</v>
          </cell>
          <cell r="G63" t="str">
            <v>Septembre</v>
          </cell>
        </row>
        <row r="64">
          <cell r="A64">
            <v>165000000</v>
          </cell>
          <cell r="E64">
            <v>0</v>
          </cell>
          <cell r="F64">
            <v>50098.68</v>
          </cell>
          <cell r="G64" t="str">
            <v>Janvier</v>
          </cell>
        </row>
        <row r="65">
          <cell r="A65">
            <v>165000000</v>
          </cell>
          <cell r="E65">
            <v>0</v>
          </cell>
          <cell r="F65">
            <v>13720.41</v>
          </cell>
          <cell r="G65" t="str">
            <v>Novembre</v>
          </cell>
        </row>
        <row r="66">
          <cell r="A66">
            <v>165000000</v>
          </cell>
          <cell r="E66">
            <v>0</v>
          </cell>
          <cell r="F66">
            <v>90000</v>
          </cell>
          <cell r="G66" t="str">
            <v>Février</v>
          </cell>
        </row>
        <row r="67">
          <cell r="A67">
            <v>165000000</v>
          </cell>
          <cell r="E67">
            <v>0</v>
          </cell>
          <cell r="F67">
            <v>127875</v>
          </cell>
          <cell r="G67" t="str">
            <v>Mardi</v>
          </cell>
        </row>
        <row r="68">
          <cell r="A68">
            <v>165000000</v>
          </cell>
          <cell r="E68">
            <v>0</v>
          </cell>
          <cell r="F68">
            <v>19650.48</v>
          </cell>
          <cell r="G68" t="str">
            <v>Lundi</v>
          </cell>
        </row>
        <row r="69">
          <cell r="A69">
            <v>180000000</v>
          </cell>
          <cell r="E69">
            <v>0</v>
          </cell>
          <cell r="F69">
            <v>0</v>
          </cell>
          <cell r="G69" t="str">
            <v>Truc</v>
          </cell>
        </row>
        <row r="70">
          <cell r="A70">
            <v>205000000</v>
          </cell>
          <cell r="E70">
            <v>1128</v>
          </cell>
          <cell r="F70">
            <v>0</v>
          </cell>
          <cell r="G70" t="str">
            <v>Février</v>
          </cell>
        </row>
        <row r="71">
          <cell r="A71">
            <v>207000000</v>
          </cell>
          <cell r="E71">
            <v>9230.7900000000009</v>
          </cell>
          <cell r="F71">
            <v>0</v>
          </cell>
          <cell r="G71" t="str">
            <v>Truc</v>
          </cell>
        </row>
        <row r="72">
          <cell r="A72">
            <v>211000000</v>
          </cell>
          <cell r="E72">
            <v>185384.1</v>
          </cell>
          <cell r="F72">
            <v>0</v>
          </cell>
          <cell r="G72" t="str">
            <v>Mars</v>
          </cell>
        </row>
        <row r="73">
          <cell r="A73">
            <v>211000000</v>
          </cell>
          <cell r="E73">
            <v>121959.21</v>
          </cell>
          <cell r="F73">
            <v>0</v>
          </cell>
          <cell r="G73" t="str">
            <v>Avril</v>
          </cell>
        </row>
        <row r="74">
          <cell r="A74">
            <v>211000000</v>
          </cell>
          <cell r="E74">
            <v>417814.73</v>
          </cell>
          <cell r="F74">
            <v>0</v>
          </cell>
          <cell r="G74" t="str">
            <v>Juin</v>
          </cell>
        </row>
        <row r="75">
          <cell r="A75">
            <v>211000000</v>
          </cell>
          <cell r="E75">
            <v>1119796.07</v>
          </cell>
          <cell r="F75">
            <v>0</v>
          </cell>
          <cell r="G75" t="str">
            <v>Mai</v>
          </cell>
        </row>
        <row r="76">
          <cell r="A76">
            <v>211000000</v>
          </cell>
          <cell r="E76">
            <v>1368590.58</v>
          </cell>
          <cell r="F76">
            <v>0</v>
          </cell>
          <cell r="G76" t="str">
            <v>Juillet</v>
          </cell>
        </row>
        <row r="77">
          <cell r="A77">
            <v>211000000</v>
          </cell>
          <cell r="E77">
            <v>640285.87</v>
          </cell>
          <cell r="F77">
            <v>0</v>
          </cell>
          <cell r="G77" t="str">
            <v>Août</v>
          </cell>
        </row>
        <row r="78">
          <cell r="A78">
            <v>211000000</v>
          </cell>
          <cell r="E78">
            <v>46000</v>
          </cell>
          <cell r="F78">
            <v>0</v>
          </cell>
          <cell r="G78" t="str">
            <v>Septembre</v>
          </cell>
        </row>
        <row r="79">
          <cell r="A79">
            <v>211000000</v>
          </cell>
          <cell r="E79">
            <v>156503.09</v>
          </cell>
          <cell r="F79">
            <v>0</v>
          </cell>
          <cell r="G79" t="str">
            <v>Octobre</v>
          </cell>
        </row>
        <row r="80">
          <cell r="A80">
            <v>211000000</v>
          </cell>
          <cell r="E80">
            <v>96042.880000000005</v>
          </cell>
          <cell r="F80">
            <v>0</v>
          </cell>
          <cell r="G80" t="str">
            <v>Janvier</v>
          </cell>
        </row>
        <row r="81">
          <cell r="A81">
            <v>211000000</v>
          </cell>
          <cell r="E81">
            <v>178331.81</v>
          </cell>
          <cell r="F81">
            <v>0</v>
          </cell>
          <cell r="G81" t="str">
            <v>Novembre</v>
          </cell>
        </row>
        <row r="82">
          <cell r="A82">
            <v>211000000</v>
          </cell>
          <cell r="E82">
            <v>39636.74</v>
          </cell>
          <cell r="F82">
            <v>0</v>
          </cell>
          <cell r="G82" t="str">
            <v>Décembre</v>
          </cell>
        </row>
        <row r="83">
          <cell r="A83">
            <v>211000000</v>
          </cell>
          <cell r="E83">
            <v>7757945.6699999999</v>
          </cell>
          <cell r="F83">
            <v>0</v>
          </cell>
          <cell r="G83" t="str">
            <v>Mardi</v>
          </cell>
        </row>
        <row r="84">
          <cell r="A84">
            <v>212000000</v>
          </cell>
          <cell r="E84">
            <v>40783</v>
          </cell>
          <cell r="F84">
            <v>0</v>
          </cell>
          <cell r="G84" t="str">
            <v>Juin</v>
          </cell>
        </row>
        <row r="85">
          <cell r="A85">
            <v>212000000</v>
          </cell>
          <cell r="E85">
            <v>257983.27</v>
          </cell>
          <cell r="F85">
            <v>0</v>
          </cell>
          <cell r="G85" t="str">
            <v>Mai</v>
          </cell>
        </row>
        <row r="86">
          <cell r="A86">
            <v>212000000</v>
          </cell>
          <cell r="E86">
            <v>3756.98</v>
          </cell>
          <cell r="F86">
            <v>0</v>
          </cell>
          <cell r="G86" t="str">
            <v>Juillet</v>
          </cell>
        </row>
        <row r="87">
          <cell r="A87">
            <v>212000000</v>
          </cell>
          <cell r="E87">
            <v>122876.78</v>
          </cell>
          <cell r="F87">
            <v>0</v>
          </cell>
          <cell r="G87" t="str">
            <v>Octobre</v>
          </cell>
        </row>
        <row r="88">
          <cell r="A88">
            <v>212000000</v>
          </cell>
          <cell r="E88">
            <v>4850.68</v>
          </cell>
          <cell r="F88">
            <v>0</v>
          </cell>
          <cell r="G88" t="str">
            <v>Janvier</v>
          </cell>
        </row>
        <row r="89">
          <cell r="A89">
            <v>213100000</v>
          </cell>
          <cell r="E89">
            <v>1851092.67</v>
          </cell>
          <cell r="F89">
            <v>0</v>
          </cell>
          <cell r="G89" t="str">
            <v>Mars</v>
          </cell>
        </row>
        <row r="90">
          <cell r="A90">
            <v>213100000</v>
          </cell>
          <cell r="E90">
            <v>631177.53</v>
          </cell>
          <cell r="F90">
            <v>0</v>
          </cell>
          <cell r="G90" t="str">
            <v>Avril</v>
          </cell>
        </row>
        <row r="91">
          <cell r="A91">
            <v>213100000</v>
          </cell>
          <cell r="E91">
            <v>1400916.23</v>
          </cell>
          <cell r="F91">
            <v>0</v>
          </cell>
          <cell r="G91" t="str">
            <v>Juin</v>
          </cell>
        </row>
        <row r="92">
          <cell r="A92">
            <v>213100000</v>
          </cell>
          <cell r="E92">
            <v>3992274.41</v>
          </cell>
          <cell r="F92">
            <v>0</v>
          </cell>
          <cell r="G92" t="str">
            <v>Mai</v>
          </cell>
        </row>
        <row r="93">
          <cell r="A93">
            <v>213100000</v>
          </cell>
          <cell r="E93">
            <v>4436790.67</v>
          </cell>
          <cell r="F93">
            <v>0</v>
          </cell>
          <cell r="G93" t="str">
            <v>Juillet</v>
          </cell>
        </row>
        <row r="94">
          <cell r="A94">
            <v>213100000</v>
          </cell>
          <cell r="E94">
            <v>2626577.0099999998</v>
          </cell>
          <cell r="F94">
            <v>0</v>
          </cell>
          <cell r="G94" t="str">
            <v>Août</v>
          </cell>
        </row>
        <row r="95">
          <cell r="A95">
            <v>213100000</v>
          </cell>
          <cell r="E95">
            <v>1666441.11</v>
          </cell>
          <cell r="F95">
            <v>0</v>
          </cell>
          <cell r="G95" t="str">
            <v>Septembre</v>
          </cell>
        </row>
        <row r="96">
          <cell r="A96">
            <v>213100000</v>
          </cell>
          <cell r="E96">
            <v>2142983.21</v>
          </cell>
          <cell r="F96">
            <v>0</v>
          </cell>
          <cell r="G96" t="str">
            <v>Octobre</v>
          </cell>
        </row>
        <row r="97">
          <cell r="A97">
            <v>213100000</v>
          </cell>
          <cell r="E97">
            <v>2597797.67</v>
          </cell>
          <cell r="F97">
            <v>0</v>
          </cell>
          <cell r="G97" t="str">
            <v>Janvier</v>
          </cell>
        </row>
        <row r="98">
          <cell r="A98">
            <v>213100000</v>
          </cell>
          <cell r="E98">
            <v>785010.35</v>
          </cell>
          <cell r="F98">
            <v>0</v>
          </cell>
          <cell r="G98" t="str">
            <v>Novembre</v>
          </cell>
        </row>
        <row r="99">
          <cell r="A99">
            <v>213100000</v>
          </cell>
          <cell r="E99">
            <v>404071.38</v>
          </cell>
          <cell r="F99">
            <v>0</v>
          </cell>
          <cell r="G99" t="str">
            <v>Décembre</v>
          </cell>
        </row>
        <row r="100">
          <cell r="A100">
            <v>213100000</v>
          </cell>
          <cell r="E100">
            <v>23088898.510000002</v>
          </cell>
          <cell r="F100">
            <v>0</v>
          </cell>
          <cell r="G100" t="str">
            <v>Mardi</v>
          </cell>
        </row>
        <row r="101">
          <cell r="A101">
            <v>213100000</v>
          </cell>
          <cell r="E101">
            <v>43765.5</v>
          </cell>
          <cell r="F101">
            <v>0</v>
          </cell>
          <cell r="G101" t="str">
            <v>Lundi</v>
          </cell>
        </row>
        <row r="102">
          <cell r="A102">
            <v>213500000</v>
          </cell>
          <cell r="E102">
            <v>334547.86</v>
          </cell>
          <cell r="F102">
            <v>0</v>
          </cell>
          <cell r="G102" t="str">
            <v>Mai</v>
          </cell>
        </row>
        <row r="103">
          <cell r="A103">
            <v>213500000</v>
          </cell>
          <cell r="E103">
            <v>883857.61</v>
          </cell>
          <cell r="F103">
            <v>0</v>
          </cell>
          <cell r="G103" t="str">
            <v>Décembre</v>
          </cell>
        </row>
        <row r="104">
          <cell r="A104">
            <v>213500000</v>
          </cell>
          <cell r="E104">
            <v>4224782.78</v>
          </cell>
          <cell r="F104">
            <v>0</v>
          </cell>
          <cell r="G104" t="str">
            <v>Mardi</v>
          </cell>
        </row>
        <row r="105">
          <cell r="A105">
            <v>215100000</v>
          </cell>
          <cell r="E105">
            <v>9543.9</v>
          </cell>
          <cell r="F105">
            <v>0</v>
          </cell>
          <cell r="G105" t="str">
            <v>Février</v>
          </cell>
        </row>
        <row r="106">
          <cell r="A106">
            <v>218100000</v>
          </cell>
          <cell r="E106">
            <v>98487.82</v>
          </cell>
          <cell r="F106">
            <v>0</v>
          </cell>
          <cell r="G106" t="str">
            <v>Juillet</v>
          </cell>
        </row>
        <row r="107">
          <cell r="A107">
            <v>218100000</v>
          </cell>
          <cell r="E107">
            <v>4036</v>
          </cell>
          <cell r="F107">
            <v>0</v>
          </cell>
          <cell r="G107" t="str">
            <v>Janvier</v>
          </cell>
        </row>
        <row r="108">
          <cell r="A108">
            <v>218100000</v>
          </cell>
          <cell r="E108">
            <v>8861</v>
          </cell>
          <cell r="F108">
            <v>0</v>
          </cell>
          <cell r="G108" t="str">
            <v>Décembre</v>
          </cell>
        </row>
        <row r="109">
          <cell r="A109">
            <v>218100000</v>
          </cell>
          <cell r="E109">
            <v>60331.86</v>
          </cell>
          <cell r="F109">
            <v>0</v>
          </cell>
          <cell r="G109" t="str">
            <v>Février</v>
          </cell>
        </row>
        <row r="110">
          <cell r="A110">
            <v>218300000</v>
          </cell>
          <cell r="E110">
            <v>41476.93</v>
          </cell>
          <cell r="F110">
            <v>0</v>
          </cell>
          <cell r="G110" t="str">
            <v>Février</v>
          </cell>
        </row>
        <row r="111">
          <cell r="A111">
            <v>231301000</v>
          </cell>
          <cell r="E111">
            <v>33460.199999999997</v>
          </cell>
          <cell r="F111">
            <v>0</v>
          </cell>
          <cell r="G111" t="str">
            <v>Juillet</v>
          </cell>
        </row>
        <row r="112">
          <cell r="A112">
            <v>231301000</v>
          </cell>
          <cell r="E112">
            <v>19048.91</v>
          </cell>
          <cell r="F112">
            <v>0</v>
          </cell>
          <cell r="G112" t="str">
            <v>Janvier</v>
          </cell>
        </row>
        <row r="113">
          <cell r="A113">
            <v>231301000</v>
          </cell>
          <cell r="E113">
            <v>0</v>
          </cell>
          <cell r="F113">
            <v>0</v>
          </cell>
          <cell r="G113" t="str">
            <v>Décembre</v>
          </cell>
        </row>
        <row r="114">
          <cell r="A114">
            <v>231301000</v>
          </cell>
          <cell r="E114">
            <v>4531309.1500000004</v>
          </cell>
          <cell r="F114">
            <v>0</v>
          </cell>
          <cell r="G114" t="str">
            <v>Mardi</v>
          </cell>
        </row>
        <row r="115">
          <cell r="A115">
            <v>231810000</v>
          </cell>
          <cell r="E115">
            <v>2494659.81</v>
          </cell>
          <cell r="F115">
            <v>0</v>
          </cell>
          <cell r="G115" t="str">
            <v>Mardi</v>
          </cell>
        </row>
        <row r="116">
          <cell r="A116">
            <v>261100000</v>
          </cell>
          <cell r="E116">
            <v>1149952.45</v>
          </cell>
          <cell r="F116">
            <v>0</v>
          </cell>
          <cell r="G116" t="str">
            <v>Truc</v>
          </cell>
        </row>
        <row r="117">
          <cell r="A117">
            <v>261100000</v>
          </cell>
          <cell r="E117">
            <v>3790500</v>
          </cell>
          <cell r="F117">
            <v>0</v>
          </cell>
          <cell r="G117" t="str">
            <v>Truc</v>
          </cell>
        </row>
        <row r="118">
          <cell r="A118">
            <v>261100000</v>
          </cell>
          <cell r="E118">
            <v>2522094.16</v>
          </cell>
          <cell r="F118">
            <v>0</v>
          </cell>
          <cell r="G118" t="str">
            <v>Février</v>
          </cell>
        </row>
        <row r="119">
          <cell r="A119">
            <v>261100000</v>
          </cell>
          <cell r="E119">
            <v>5515459.5700000003</v>
          </cell>
          <cell r="F119">
            <v>0</v>
          </cell>
          <cell r="G119" t="str">
            <v>Truc</v>
          </cell>
        </row>
        <row r="120">
          <cell r="A120">
            <v>261100000</v>
          </cell>
          <cell r="E120">
            <v>6834877.4800000004</v>
          </cell>
          <cell r="F120">
            <v>0</v>
          </cell>
          <cell r="G120" t="str">
            <v>Mardi</v>
          </cell>
        </row>
        <row r="121">
          <cell r="A121">
            <v>261100000</v>
          </cell>
          <cell r="E121">
            <v>1292172.04</v>
          </cell>
          <cell r="F121">
            <v>0</v>
          </cell>
          <cell r="G121" t="str">
            <v>Truc</v>
          </cell>
        </row>
        <row r="122">
          <cell r="A122">
            <v>261100000</v>
          </cell>
          <cell r="E122">
            <v>8025572.2999999998</v>
          </cell>
          <cell r="F122">
            <v>0</v>
          </cell>
          <cell r="G122" t="str">
            <v>Truc</v>
          </cell>
        </row>
        <row r="123">
          <cell r="A123">
            <v>261100000</v>
          </cell>
          <cell r="E123">
            <v>125763220.5</v>
          </cell>
          <cell r="F123">
            <v>0</v>
          </cell>
          <cell r="G123" t="str">
            <v>Truc</v>
          </cell>
        </row>
        <row r="124">
          <cell r="A124">
            <v>261400000</v>
          </cell>
          <cell r="E124">
            <v>5881435</v>
          </cell>
          <cell r="F124">
            <v>0</v>
          </cell>
          <cell r="G124" t="str">
            <v>Truc</v>
          </cell>
        </row>
        <row r="125">
          <cell r="A125">
            <v>275000000</v>
          </cell>
          <cell r="E125">
            <v>4573.47</v>
          </cell>
          <cell r="F125">
            <v>0</v>
          </cell>
          <cell r="G125" t="str">
            <v>Juin</v>
          </cell>
        </row>
        <row r="126">
          <cell r="A126">
            <v>275000000</v>
          </cell>
          <cell r="E126">
            <v>10000</v>
          </cell>
          <cell r="F126">
            <v>0</v>
          </cell>
          <cell r="G126" t="str">
            <v>Mai</v>
          </cell>
        </row>
        <row r="127">
          <cell r="A127">
            <v>275000000</v>
          </cell>
          <cell r="E127">
            <v>4573.47</v>
          </cell>
          <cell r="F127">
            <v>0</v>
          </cell>
          <cell r="G127" t="str">
            <v>Janvier</v>
          </cell>
        </row>
        <row r="128">
          <cell r="A128">
            <v>275000000</v>
          </cell>
          <cell r="E128">
            <v>3577.94</v>
          </cell>
          <cell r="F128">
            <v>0</v>
          </cell>
          <cell r="G128" t="str">
            <v>Février</v>
          </cell>
        </row>
        <row r="129">
          <cell r="A129">
            <v>280500000</v>
          </cell>
          <cell r="E129">
            <v>0</v>
          </cell>
          <cell r="F129">
            <v>1128</v>
          </cell>
          <cell r="G129" t="str">
            <v>Février</v>
          </cell>
        </row>
        <row r="130">
          <cell r="A130">
            <v>281200000</v>
          </cell>
          <cell r="E130">
            <v>0</v>
          </cell>
          <cell r="F130">
            <v>40783</v>
          </cell>
          <cell r="G130" t="str">
            <v>Juin</v>
          </cell>
        </row>
        <row r="131">
          <cell r="A131">
            <v>281200000</v>
          </cell>
          <cell r="E131">
            <v>0</v>
          </cell>
          <cell r="F131">
            <v>257983.27</v>
          </cell>
          <cell r="G131" t="str">
            <v>Mai</v>
          </cell>
        </row>
        <row r="132">
          <cell r="A132">
            <v>281200000</v>
          </cell>
          <cell r="E132">
            <v>0</v>
          </cell>
          <cell r="F132">
            <v>2002.63</v>
          </cell>
          <cell r="G132" t="str">
            <v>Juillet</v>
          </cell>
        </row>
        <row r="133">
          <cell r="A133">
            <v>281200000</v>
          </cell>
          <cell r="E133">
            <v>0</v>
          </cell>
          <cell r="F133">
            <v>122876.78</v>
          </cell>
          <cell r="G133" t="str">
            <v>Octobre</v>
          </cell>
        </row>
        <row r="134">
          <cell r="A134">
            <v>281300000</v>
          </cell>
          <cell r="E134">
            <v>0</v>
          </cell>
          <cell r="F134">
            <v>1322132.17</v>
          </cell>
          <cell r="G134" t="str">
            <v>Mars</v>
          </cell>
        </row>
        <row r="135">
          <cell r="A135">
            <v>281300000</v>
          </cell>
          <cell r="E135">
            <v>0</v>
          </cell>
          <cell r="F135">
            <v>610477.49</v>
          </cell>
          <cell r="G135" t="str">
            <v>Avril</v>
          </cell>
        </row>
        <row r="136">
          <cell r="A136">
            <v>281300000</v>
          </cell>
          <cell r="E136">
            <v>0</v>
          </cell>
          <cell r="F136">
            <v>1128464.3999999999</v>
          </cell>
          <cell r="G136" t="str">
            <v>Juin</v>
          </cell>
        </row>
        <row r="137">
          <cell r="A137">
            <v>281300000</v>
          </cell>
          <cell r="E137">
            <v>0</v>
          </cell>
          <cell r="F137">
            <v>2289625.71</v>
          </cell>
          <cell r="G137" t="str">
            <v>Mai</v>
          </cell>
        </row>
        <row r="138">
          <cell r="A138">
            <v>281300000</v>
          </cell>
          <cell r="E138">
            <v>0</v>
          </cell>
          <cell r="F138">
            <v>2203927.8199999998</v>
          </cell>
          <cell r="G138" t="str">
            <v>Juillet</v>
          </cell>
        </row>
        <row r="139">
          <cell r="A139">
            <v>281300000</v>
          </cell>
          <cell r="E139">
            <v>0</v>
          </cell>
          <cell r="F139">
            <v>1904470.51</v>
          </cell>
          <cell r="G139" t="str">
            <v>Août</v>
          </cell>
        </row>
        <row r="140">
          <cell r="A140">
            <v>281300000</v>
          </cell>
          <cell r="E140">
            <v>0</v>
          </cell>
          <cell r="F140">
            <v>1007402.53</v>
          </cell>
          <cell r="G140" t="str">
            <v>Septembre</v>
          </cell>
        </row>
        <row r="141">
          <cell r="A141">
            <v>281300000</v>
          </cell>
          <cell r="E141">
            <v>0</v>
          </cell>
          <cell r="F141">
            <v>1729541.88</v>
          </cell>
          <cell r="G141" t="str">
            <v>Octobre</v>
          </cell>
        </row>
        <row r="142">
          <cell r="A142">
            <v>281300000</v>
          </cell>
          <cell r="E142">
            <v>0</v>
          </cell>
          <cell r="F142">
            <v>1543199.34</v>
          </cell>
          <cell r="G142" t="str">
            <v>Janvier</v>
          </cell>
        </row>
        <row r="143">
          <cell r="A143">
            <v>281300000</v>
          </cell>
          <cell r="E143">
            <v>0</v>
          </cell>
          <cell r="F143">
            <v>750023.95</v>
          </cell>
          <cell r="G143" t="str">
            <v>Novembre</v>
          </cell>
        </row>
        <row r="144">
          <cell r="A144">
            <v>281300000</v>
          </cell>
          <cell r="E144">
            <v>0</v>
          </cell>
          <cell r="F144">
            <v>390503.03</v>
          </cell>
          <cell r="G144" t="str">
            <v>Décembre</v>
          </cell>
        </row>
        <row r="145">
          <cell r="A145">
            <v>281300000</v>
          </cell>
          <cell r="E145">
            <v>0</v>
          </cell>
          <cell r="F145">
            <v>5985986.1200000001</v>
          </cell>
          <cell r="G145" t="str">
            <v>Mardi</v>
          </cell>
        </row>
        <row r="146">
          <cell r="A146">
            <v>281300000</v>
          </cell>
          <cell r="E146">
            <v>0</v>
          </cell>
          <cell r="F146">
            <v>8598.49</v>
          </cell>
          <cell r="G146" t="str">
            <v>Lundi</v>
          </cell>
        </row>
        <row r="147">
          <cell r="A147">
            <v>281350000</v>
          </cell>
          <cell r="E147">
            <v>0</v>
          </cell>
          <cell r="F147">
            <v>237863.83</v>
          </cell>
          <cell r="G147" t="str">
            <v>Mai</v>
          </cell>
        </row>
        <row r="148">
          <cell r="A148">
            <v>281350000</v>
          </cell>
          <cell r="E148">
            <v>0</v>
          </cell>
          <cell r="F148">
            <v>16631.16</v>
          </cell>
          <cell r="G148" t="str">
            <v>Décembre</v>
          </cell>
        </row>
        <row r="149">
          <cell r="A149">
            <v>281350000</v>
          </cell>
          <cell r="E149">
            <v>0</v>
          </cell>
          <cell r="F149">
            <v>772733.69</v>
          </cell>
          <cell r="G149" t="str">
            <v>Mardi</v>
          </cell>
        </row>
        <row r="150">
          <cell r="A150">
            <v>281500000</v>
          </cell>
          <cell r="E150">
            <v>0</v>
          </cell>
          <cell r="F150">
            <v>9543.9</v>
          </cell>
          <cell r="G150" t="str">
            <v>Février</v>
          </cell>
        </row>
        <row r="151">
          <cell r="A151">
            <v>281810000</v>
          </cell>
          <cell r="E151">
            <v>0</v>
          </cell>
          <cell r="F151">
            <v>4740.3999999999996</v>
          </cell>
          <cell r="G151" t="str">
            <v>Juillet</v>
          </cell>
        </row>
        <row r="152">
          <cell r="A152">
            <v>281810000</v>
          </cell>
          <cell r="E152">
            <v>0</v>
          </cell>
          <cell r="F152">
            <v>234.14</v>
          </cell>
          <cell r="G152" t="str">
            <v>Janvier</v>
          </cell>
        </row>
        <row r="153">
          <cell r="A153">
            <v>281810000</v>
          </cell>
          <cell r="E153">
            <v>0</v>
          </cell>
          <cell r="F153">
            <v>60330.12</v>
          </cell>
          <cell r="G153" t="str">
            <v>Février</v>
          </cell>
        </row>
        <row r="154">
          <cell r="A154">
            <v>281830000</v>
          </cell>
          <cell r="E154">
            <v>0</v>
          </cell>
          <cell r="F154">
            <v>41476.93</v>
          </cell>
          <cell r="G154" t="str">
            <v>Février</v>
          </cell>
        </row>
        <row r="155">
          <cell r="A155">
            <v>290700000</v>
          </cell>
          <cell r="E155">
            <v>0</v>
          </cell>
          <cell r="F155">
            <v>9231</v>
          </cell>
          <cell r="G155" t="str">
            <v>Truc</v>
          </cell>
        </row>
        <row r="156">
          <cell r="A156">
            <v>401000000</v>
          </cell>
          <cell r="E156">
            <v>0</v>
          </cell>
          <cell r="F156">
            <v>1194.69</v>
          </cell>
          <cell r="G156" t="str">
            <v>Mai</v>
          </cell>
        </row>
        <row r="157">
          <cell r="A157">
            <v>401000000</v>
          </cell>
          <cell r="E157">
            <v>0</v>
          </cell>
          <cell r="F157">
            <v>2153.2800000000002</v>
          </cell>
          <cell r="G157" t="str">
            <v>Juillet</v>
          </cell>
        </row>
        <row r="158">
          <cell r="A158">
            <v>401000000</v>
          </cell>
          <cell r="E158">
            <v>0</v>
          </cell>
          <cell r="F158">
            <v>617.71</v>
          </cell>
          <cell r="G158" t="str">
            <v>Août</v>
          </cell>
        </row>
        <row r="159">
          <cell r="A159">
            <v>401000000</v>
          </cell>
          <cell r="E159">
            <v>0</v>
          </cell>
          <cell r="F159">
            <v>0</v>
          </cell>
          <cell r="G159" t="str">
            <v>Janvier</v>
          </cell>
        </row>
        <row r="160">
          <cell r="A160">
            <v>401000000</v>
          </cell>
          <cell r="E160">
            <v>0</v>
          </cell>
          <cell r="F160">
            <v>772.8</v>
          </cell>
          <cell r="G160" t="str">
            <v>Décembre</v>
          </cell>
        </row>
        <row r="161">
          <cell r="A161">
            <v>401000000</v>
          </cell>
          <cell r="E161">
            <v>0</v>
          </cell>
          <cell r="F161">
            <v>0</v>
          </cell>
          <cell r="G161" t="str">
            <v>Truc</v>
          </cell>
        </row>
        <row r="162">
          <cell r="A162">
            <v>401000000</v>
          </cell>
          <cell r="E162">
            <v>0</v>
          </cell>
          <cell r="F162">
            <v>9497.82</v>
          </cell>
          <cell r="G162" t="str">
            <v>Février</v>
          </cell>
        </row>
        <row r="163">
          <cell r="A163">
            <v>401000000</v>
          </cell>
          <cell r="E163">
            <v>0</v>
          </cell>
          <cell r="F163">
            <v>1206</v>
          </cell>
          <cell r="G163" t="str">
            <v>Truc</v>
          </cell>
        </row>
        <row r="164">
          <cell r="A164">
            <v>401000000</v>
          </cell>
          <cell r="E164">
            <v>0</v>
          </cell>
          <cell r="F164">
            <v>21907.47</v>
          </cell>
          <cell r="G164" t="str">
            <v>Mardi</v>
          </cell>
        </row>
        <row r="165">
          <cell r="A165">
            <v>401000000</v>
          </cell>
          <cell r="E165">
            <v>0</v>
          </cell>
          <cell r="F165">
            <v>458.3</v>
          </cell>
          <cell r="G165" t="str">
            <v>Truc</v>
          </cell>
        </row>
        <row r="166">
          <cell r="A166">
            <v>401030000</v>
          </cell>
          <cell r="E166">
            <v>2911593.35</v>
          </cell>
          <cell r="F166">
            <v>0</v>
          </cell>
          <cell r="G166" t="str">
            <v>Truc</v>
          </cell>
        </row>
        <row r="167">
          <cell r="A167">
            <v>401200000</v>
          </cell>
          <cell r="E167">
            <v>0</v>
          </cell>
          <cell r="F167">
            <v>6888</v>
          </cell>
          <cell r="G167" t="str">
            <v>Mardi</v>
          </cell>
        </row>
        <row r="168">
          <cell r="A168">
            <v>404000000</v>
          </cell>
          <cell r="E168">
            <v>0</v>
          </cell>
          <cell r="F168">
            <v>2727.79</v>
          </cell>
          <cell r="G168" t="str">
            <v>Juillet</v>
          </cell>
        </row>
        <row r="169">
          <cell r="A169">
            <v>404000000</v>
          </cell>
          <cell r="E169">
            <v>4031.09</v>
          </cell>
          <cell r="F169">
            <v>0</v>
          </cell>
          <cell r="G169" t="str">
            <v>Janvier</v>
          </cell>
        </row>
        <row r="170">
          <cell r="A170">
            <v>404000000</v>
          </cell>
          <cell r="E170">
            <v>171.71</v>
          </cell>
          <cell r="F170">
            <v>0</v>
          </cell>
          <cell r="G170" t="str">
            <v>Décembre</v>
          </cell>
        </row>
        <row r="171">
          <cell r="A171">
            <v>404000000</v>
          </cell>
          <cell r="E171">
            <v>0</v>
          </cell>
          <cell r="F171">
            <v>539037.12</v>
          </cell>
          <cell r="G171" t="str">
            <v>Mardi</v>
          </cell>
        </row>
        <row r="172">
          <cell r="A172">
            <v>404000000</v>
          </cell>
          <cell r="E172">
            <v>944.4</v>
          </cell>
          <cell r="F172">
            <v>0</v>
          </cell>
          <cell r="G172" t="str">
            <v>Lundi</v>
          </cell>
        </row>
        <row r="173">
          <cell r="A173">
            <v>404700000</v>
          </cell>
          <cell r="E173">
            <v>0</v>
          </cell>
          <cell r="F173">
            <v>95.95</v>
          </cell>
          <cell r="G173" t="str">
            <v>Janvier</v>
          </cell>
        </row>
        <row r="174">
          <cell r="A174">
            <v>404700000</v>
          </cell>
          <cell r="E174">
            <v>0</v>
          </cell>
          <cell r="F174">
            <v>36577.01</v>
          </cell>
          <cell r="G174" t="str">
            <v>Décembre</v>
          </cell>
        </row>
        <row r="175">
          <cell r="A175">
            <v>404700000</v>
          </cell>
          <cell r="E175">
            <v>0</v>
          </cell>
          <cell r="F175">
            <v>19124.54</v>
          </cell>
          <cell r="G175" t="str">
            <v>Mardi</v>
          </cell>
        </row>
        <row r="176">
          <cell r="A176">
            <v>404700000</v>
          </cell>
          <cell r="E176">
            <v>0</v>
          </cell>
          <cell r="F176">
            <v>944.4</v>
          </cell>
          <cell r="G176" t="str">
            <v>Lundi</v>
          </cell>
        </row>
        <row r="177">
          <cell r="A177">
            <v>408100000</v>
          </cell>
          <cell r="E177">
            <v>0</v>
          </cell>
          <cell r="F177">
            <v>955736.11</v>
          </cell>
          <cell r="G177" t="str">
            <v>Mardi</v>
          </cell>
        </row>
        <row r="178">
          <cell r="A178">
            <v>408100000</v>
          </cell>
          <cell r="E178">
            <v>0</v>
          </cell>
          <cell r="F178">
            <v>148708</v>
          </cell>
          <cell r="G178" t="str">
            <v>Truc</v>
          </cell>
        </row>
        <row r="179">
          <cell r="A179">
            <v>408200000</v>
          </cell>
          <cell r="E179">
            <v>0</v>
          </cell>
          <cell r="F179">
            <v>2500</v>
          </cell>
          <cell r="G179" t="str">
            <v>Truc</v>
          </cell>
        </row>
        <row r="180">
          <cell r="A180">
            <v>408200000</v>
          </cell>
          <cell r="E180">
            <v>0</v>
          </cell>
          <cell r="F180">
            <v>2772</v>
          </cell>
          <cell r="G180" t="str">
            <v>Truc</v>
          </cell>
        </row>
        <row r="181">
          <cell r="A181">
            <v>408200000</v>
          </cell>
          <cell r="E181">
            <v>0</v>
          </cell>
          <cell r="F181">
            <v>600</v>
          </cell>
          <cell r="G181" t="str">
            <v>Février</v>
          </cell>
        </row>
        <row r="182">
          <cell r="A182">
            <v>408200000</v>
          </cell>
          <cell r="E182">
            <v>0</v>
          </cell>
          <cell r="F182">
            <v>800</v>
          </cell>
          <cell r="G182" t="str">
            <v>Truc</v>
          </cell>
        </row>
        <row r="183">
          <cell r="A183">
            <v>408200000</v>
          </cell>
          <cell r="E183">
            <v>0</v>
          </cell>
          <cell r="F183">
            <v>600</v>
          </cell>
          <cell r="G183" t="str">
            <v>Mardi</v>
          </cell>
        </row>
        <row r="184">
          <cell r="A184">
            <v>408200000</v>
          </cell>
          <cell r="E184">
            <v>0</v>
          </cell>
          <cell r="F184">
            <v>4215</v>
          </cell>
          <cell r="G184" t="str">
            <v>Truc</v>
          </cell>
        </row>
        <row r="185">
          <cell r="A185">
            <v>408200000</v>
          </cell>
          <cell r="E185">
            <v>0</v>
          </cell>
          <cell r="F185">
            <v>2400</v>
          </cell>
          <cell r="G185" t="str">
            <v>Truc</v>
          </cell>
        </row>
        <row r="186">
          <cell r="A186">
            <v>408200000</v>
          </cell>
          <cell r="E186">
            <v>0</v>
          </cell>
          <cell r="F186">
            <v>8500</v>
          </cell>
          <cell r="G186" t="str">
            <v>Truc</v>
          </cell>
        </row>
        <row r="187">
          <cell r="A187">
            <v>409200000</v>
          </cell>
          <cell r="E187">
            <v>145298.87</v>
          </cell>
          <cell r="F187">
            <v>0</v>
          </cell>
          <cell r="G187" t="str">
            <v>Mardi</v>
          </cell>
        </row>
        <row r="188">
          <cell r="A188">
            <v>409200000</v>
          </cell>
          <cell r="E188">
            <v>250000</v>
          </cell>
          <cell r="F188">
            <v>0</v>
          </cell>
          <cell r="G188" t="str">
            <v>Truc</v>
          </cell>
        </row>
        <row r="189">
          <cell r="A189">
            <v>409800000</v>
          </cell>
          <cell r="E189">
            <v>0</v>
          </cell>
          <cell r="F189">
            <v>2040</v>
          </cell>
          <cell r="G189" t="str">
            <v>Juillet</v>
          </cell>
        </row>
        <row r="190">
          <cell r="A190">
            <v>411000000</v>
          </cell>
          <cell r="E190">
            <v>2484.64</v>
          </cell>
          <cell r="F190">
            <v>0</v>
          </cell>
          <cell r="G190" t="str">
            <v>Mai</v>
          </cell>
        </row>
        <row r="191">
          <cell r="A191">
            <v>411000000</v>
          </cell>
          <cell r="E191">
            <v>0</v>
          </cell>
          <cell r="F191">
            <v>0</v>
          </cell>
          <cell r="G191" t="str">
            <v>Mardi</v>
          </cell>
        </row>
        <row r="192">
          <cell r="A192">
            <v>411100000</v>
          </cell>
          <cell r="E192">
            <v>0</v>
          </cell>
          <cell r="F192">
            <v>0</v>
          </cell>
          <cell r="G192" t="str">
            <v>Mars</v>
          </cell>
        </row>
        <row r="193">
          <cell r="A193">
            <v>411100000</v>
          </cell>
          <cell r="E193">
            <v>0</v>
          </cell>
          <cell r="F193">
            <v>0</v>
          </cell>
          <cell r="G193" t="str">
            <v>Avril</v>
          </cell>
        </row>
        <row r="194">
          <cell r="A194">
            <v>411100000</v>
          </cell>
          <cell r="E194">
            <v>4330.8</v>
          </cell>
          <cell r="F194">
            <v>0</v>
          </cell>
          <cell r="G194" t="str">
            <v>Mai</v>
          </cell>
        </row>
        <row r="195">
          <cell r="A195">
            <v>411100000</v>
          </cell>
          <cell r="E195">
            <v>0</v>
          </cell>
          <cell r="F195">
            <v>0</v>
          </cell>
          <cell r="G195" t="str">
            <v>Juillet</v>
          </cell>
        </row>
        <row r="196">
          <cell r="A196">
            <v>411100000</v>
          </cell>
          <cell r="E196">
            <v>1995.6</v>
          </cell>
          <cell r="F196">
            <v>0</v>
          </cell>
          <cell r="G196" t="str">
            <v>Août</v>
          </cell>
        </row>
        <row r="197">
          <cell r="A197">
            <v>411100000</v>
          </cell>
          <cell r="E197">
            <v>0</v>
          </cell>
          <cell r="F197">
            <v>0</v>
          </cell>
          <cell r="G197" t="str">
            <v>Septembre</v>
          </cell>
        </row>
        <row r="198">
          <cell r="A198">
            <v>411100000</v>
          </cell>
          <cell r="E198">
            <v>0</v>
          </cell>
          <cell r="F198">
            <v>0</v>
          </cell>
          <cell r="G198" t="str">
            <v>Octobre</v>
          </cell>
        </row>
        <row r="199">
          <cell r="A199">
            <v>411100000</v>
          </cell>
          <cell r="E199">
            <v>0</v>
          </cell>
          <cell r="F199">
            <v>0</v>
          </cell>
          <cell r="G199" t="str">
            <v>Janvier</v>
          </cell>
        </row>
        <row r="200">
          <cell r="A200">
            <v>411100000</v>
          </cell>
          <cell r="E200">
            <v>0</v>
          </cell>
          <cell r="F200">
            <v>0</v>
          </cell>
          <cell r="G200" t="str">
            <v>Novembre</v>
          </cell>
        </row>
        <row r="201">
          <cell r="A201">
            <v>411100000</v>
          </cell>
          <cell r="E201">
            <v>0</v>
          </cell>
          <cell r="F201">
            <v>0</v>
          </cell>
          <cell r="G201" t="str">
            <v>Décembre</v>
          </cell>
        </row>
        <row r="202">
          <cell r="A202">
            <v>411100000</v>
          </cell>
          <cell r="E202">
            <v>5409</v>
          </cell>
          <cell r="F202">
            <v>0</v>
          </cell>
          <cell r="G202" t="str">
            <v>Février</v>
          </cell>
        </row>
        <row r="203">
          <cell r="A203">
            <v>411100000</v>
          </cell>
          <cell r="E203">
            <v>5383.52</v>
          </cell>
          <cell r="F203">
            <v>0</v>
          </cell>
          <cell r="G203" t="str">
            <v>Mardi</v>
          </cell>
        </row>
        <row r="204">
          <cell r="A204">
            <v>411100000</v>
          </cell>
          <cell r="E204">
            <v>0</v>
          </cell>
          <cell r="F204">
            <v>0</v>
          </cell>
          <cell r="G204" t="str">
            <v>Lundi</v>
          </cell>
        </row>
        <row r="205">
          <cell r="A205">
            <v>411110000</v>
          </cell>
          <cell r="E205">
            <v>0</v>
          </cell>
          <cell r="F205">
            <v>0</v>
          </cell>
          <cell r="G205" t="str">
            <v>Juin</v>
          </cell>
        </row>
        <row r="206">
          <cell r="A206">
            <v>411300000</v>
          </cell>
          <cell r="E206">
            <v>0</v>
          </cell>
          <cell r="F206">
            <v>0</v>
          </cell>
          <cell r="G206" t="str">
            <v>Truc</v>
          </cell>
        </row>
        <row r="207">
          <cell r="A207">
            <v>418100000</v>
          </cell>
          <cell r="E207">
            <v>8044</v>
          </cell>
          <cell r="F207">
            <v>0</v>
          </cell>
          <cell r="G207" t="str">
            <v>Mars</v>
          </cell>
        </row>
        <row r="208">
          <cell r="A208">
            <v>418100000</v>
          </cell>
          <cell r="E208">
            <v>7080</v>
          </cell>
          <cell r="F208">
            <v>0</v>
          </cell>
          <cell r="G208" t="str">
            <v>Avril</v>
          </cell>
        </row>
        <row r="209">
          <cell r="A209">
            <v>418100000</v>
          </cell>
          <cell r="E209">
            <v>6591.6</v>
          </cell>
          <cell r="F209">
            <v>0</v>
          </cell>
          <cell r="G209" t="str">
            <v>Juin</v>
          </cell>
        </row>
        <row r="210">
          <cell r="A210">
            <v>418100000</v>
          </cell>
          <cell r="E210">
            <v>26266</v>
          </cell>
          <cell r="F210">
            <v>0</v>
          </cell>
          <cell r="G210" t="str">
            <v>Mai</v>
          </cell>
        </row>
        <row r="211">
          <cell r="A211">
            <v>418100000</v>
          </cell>
          <cell r="E211">
            <v>22932</v>
          </cell>
          <cell r="F211">
            <v>0</v>
          </cell>
          <cell r="G211" t="str">
            <v>Juillet</v>
          </cell>
        </row>
        <row r="212">
          <cell r="A212">
            <v>418100000</v>
          </cell>
          <cell r="E212">
            <v>11952.8</v>
          </cell>
          <cell r="F212">
            <v>0</v>
          </cell>
          <cell r="G212" t="str">
            <v>Août</v>
          </cell>
        </row>
        <row r="213">
          <cell r="A213">
            <v>418100000</v>
          </cell>
          <cell r="E213">
            <v>1644</v>
          </cell>
          <cell r="F213">
            <v>0</v>
          </cell>
          <cell r="G213" t="str">
            <v>Septembre</v>
          </cell>
        </row>
        <row r="214">
          <cell r="A214">
            <v>418100000</v>
          </cell>
          <cell r="E214">
            <v>6056</v>
          </cell>
          <cell r="F214">
            <v>0</v>
          </cell>
          <cell r="G214" t="str">
            <v>Octobre</v>
          </cell>
        </row>
        <row r="215">
          <cell r="A215">
            <v>418100000</v>
          </cell>
          <cell r="E215">
            <v>9752</v>
          </cell>
          <cell r="F215">
            <v>0</v>
          </cell>
          <cell r="G215" t="str">
            <v>Janvier</v>
          </cell>
        </row>
        <row r="216">
          <cell r="A216">
            <v>418100000</v>
          </cell>
          <cell r="E216">
            <v>14788</v>
          </cell>
          <cell r="F216">
            <v>0</v>
          </cell>
          <cell r="G216" t="str">
            <v>Novembre</v>
          </cell>
        </row>
        <row r="217">
          <cell r="A217">
            <v>418100000</v>
          </cell>
          <cell r="E217">
            <v>2764</v>
          </cell>
          <cell r="F217">
            <v>0</v>
          </cell>
          <cell r="G217" t="str">
            <v>Décembre</v>
          </cell>
        </row>
        <row r="218">
          <cell r="A218">
            <v>418100000</v>
          </cell>
          <cell r="E218">
            <v>52945.52</v>
          </cell>
          <cell r="F218">
            <v>0</v>
          </cell>
          <cell r="G218" t="str">
            <v>Février</v>
          </cell>
        </row>
        <row r="219">
          <cell r="A219">
            <v>418100000</v>
          </cell>
          <cell r="E219">
            <v>115313</v>
          </cell>
          <cell r="F219">
            <v>0</v>
          </cell>
          <cell r="G219" t="str">
            <v>Mardi</v>
          </cell>
        </row>
        <row r="220">
          <cell r="A220">
            <v>418100000</v>
          </cell>
          <cell r="E220">
            <v>3792</v>
          </cell>
          <cell r="F220">
            <v>0</v>
          </cell>
          <cell r="G220" t="str">
            <v>Lundi</v>
          </cell>
        </row>
        <row r="221">
          <cell r="A221">
            <v>418120000</v>
          </cell>
          <cell r="E221">
            <v>12810</v>
          </cell>
          <cell r="F221">
            <v>0</v>
          </cell>
          <cell r="G221" t="str">
            <v>Truc</v>
          </cell>
        </row>
        <row r="222">
          <cell r="A222">
            <v>419800000</v>
          </cell>
          <cell r="E222">
            <v>0</v>
          </cell>
          <cell r="F222">
            <v>0</v>
          </cell>
          <cell r="G222" t="str">
            <v>Mardi</v>
          </cell>
        </row>
        <row r="223">
          <cell r="A223">
            <v>444000000</v>
          </cell>
          <cell r="E223">
            <v>9618</v>
          </cell>
          <cell r="F223">
            <v>0</v>
          </cell>
          <cell r="G223" t="str">
            <v>Avril</v>
          </cell>
        </row>
        <row r="224">
          <cell r="A224">
            <v>445500000</v>
          </cell>
          <cell r="E224">
            <v>0</v>
          </cell>
          <cell r="F224">
            <v>0</v>
          </cell>
          <cell r="G224" t="str">
            <v>Mars</v>
          </cell>
        </row>
        <row r="225">
          <cell r="A225">
            <v>445500000</v>
          </cell>
          <cell r="E225">
            <v>0</v>
          </cell>
          <cell r="F225">
            <v>0</v>
          </cell>
          <cell r="G225" t="str">
            <v>Avril</v>
          </cell>
        </row>
        <row r="226">
          <cell r="A226">
            <v>445500000</v>
          </cell>
          <cell r="E226">
            <v>7373</v>
          </cell>
          <cell r="F226">
            <v>0</v>
          </cell>
          <cell r="G226" t="str">
            <v>Juin</v>
          </cell>
        </row>
        <row r="227">
          <cell r="A227">
            <v>445500000</v>
          </cell>
          <cell r="E227">
            <v>0</v>
          </cell>
          <cell r="F227">
            <v>40</v>
          </cell>
          <cell r="G227" t="str">
            <v>Mai</v>
          </cell>
        </row>
        <row r="228">
          <cell r="A228">
            <v>445500000</v>
          </cell>
          <cell r="E228">
            <v>20911</v>
          </cell>
          <cell r="F228">
            <v>0</v>
          </cell>
          <cell r="G228" t="str">
            <v>Juillet</v>
          </cell>
        </row>
        <row r="229">
          <cell r="A229">
            <v>445500000</v>
          </cell>
          <cell r="E229">
            <v>17556</v>
          </cell>
          <cell r="F229">
            <v>0</v>
          </cell>
          <cell r="G229" t="str">
            <v>Août</v>
          </cell>
        </row>
        <row r="230">
          <cell r="A230">
            <v>445500000</v>
          </cell>
          <cell r="E230">
            <v>0</v>
          </cell>
          <cell r="F230">
            <v>0</v>
          </cell>
          <cell r="G230" t="str">
            <v>Septembre</v>
          </cell>
        </row>
        <row r="231">
          <cell r="A231">
            <v>445500000</v>
          </cell>
          <cell r="E231">
            <v>0</v>
          </cell>
          <cell r="F231">
            <v>0</v>
          </cell>
          <cell r="G231" t="str">
            <v>Octobre</v>
          </cell>
        </row>
        <row r="232">
          <cell r="A232">
            <v>445500000</v>
          </cell>
          <cell r="E232">
            <v>0</v>
          </cell>
          <cell r="F232">
            <v>0</v>
          </cell>
          <cell r="G232" t="str">
            <v>Janvier</v>
          </cell>
        </row>
        <row r="233">
          <cell r="A233">
            <v>445500000</v>
          </cell>
          <cell r="E233">
            <v>0</v>
          </cell>
          <cell r="F233">
            <v>0</v>
          </cell>
          <cell r="G233" t="str">
            <v>Novembre</v>
          </cell>
        </row>
        <row r="234">
          <cell r="A234">
            <v>445500000</v>
          </cell>
          <cell r="E234">
            <v>0</v>
          </cell>
          <cell r="F234">
            <v>0</v>
          </cell>
          <cell r="G234" t="str">
            <v>Décembre</v>
          </cell>
        </row>
        <row r="235">
          <cell r="A235">
            <v>445500000</v>
          </cell>
          <cell r="E235">
            <v>0</v>
          </cell>
          <cell r="F235">
            <v>0</v>
          </cell>
          <cell r="G235" t="str">
            <v>Février</v>
          </cell>
        </row>
        <row r="236">
          <cell r="A236">
            <v>445500000</v>
          </cell>
          <cell r="E236">
            <v>0</v>
          </cell>
          <cell r="F236">
            <v>1</v>
          </cell>
          <cell r="G236" t="str">
            <v>Truc</v>
          </cell>
        </row>
        <row r="237">
          <cell r="A237">
            <v>445500000</v>
          </cell>
          <cell r="E237">
            <v>0</v>
          </cell>
          <cell r="F237">
            <v>0</v>
          </cell>
          <cell r="G237" t="str">
            <v>Lundi</v>
          </cell>
        </row>
        <row r="238">
          <cell r="A238">
            <v>445620000</v>
          </cell>
          <cell r="E238">
            <v>8457.6</v>
          </cell>
          <cell r="F238">
            <v>0</v>
          </cell>
          <cell r="G238" t="str">
            <v>Juillet</v>
          </cell>
        </row>
        <row r="239">
          <cell r="A239">
            <v>445620000</v>
          </cell>
          <cell r="E239">
            <v>0</v>
          </cell>
          <cell r="F239">
            <v>177.16</v>
          </cell>
          <cell r="G239" t="str">
            <v>Janvier</v>
          </cell>
        </row>
        <row r="240">
          <cell r="A240">
            <v>445620000</v>
          </cell>
          <cell r="E240">
            <v>13489.25</v>
          </cell>
          <cell r="F240">
            <v>0</v>
          </cell>
          <cell r="G240" t="str">
            <v>Décembre</v>
          </cell>
        </row>
        <row r="241">
          <cell r="A241">
            <v>445620000</v>
          </cell>
          <cell r="E241">
            <v>94025.54</v>
          </cell>
          <cell r="F241">
            <v>0</v>
          </cell>
          <cell r="G241" t="str">
            <v>Mardi</v>
          </cell>
        </row>
        <row r="242">
          <cell r="A242">
            <v>445620000</v>
          </cell>
          <cell r="E242">
            <v>158.03</v>
          </cell>
          <cell r="F242">
            <v>0</v>
          </cell>
          <cell r="G242" t="str">
            <v>Lundi</v>
          </cell>
        </row>
        <row r="243">
          <cell r="A243">
            <v>445660000</v>
          </cell>
          <cell r="E243">
            <v>250.88</v>
          </cell>
          <cell r="F243">
            <v>0</v>
          </cell>
          <cell r="G243" t="str">
            <v>Juillet</v>
          </cell>
        </row>
        <row r="244">
          <cell r="A244">
            <v>445660000</v>
          </cell>
          <cell r="E244">
            <v>0</v>
          </cell>
          <cell r="F244">
            <v>557.34</v>
          </cell>
          <cell r="G244" t="str">
            <v>Janvier</v>
          </cell>
        </row>
        <row r="245">
          <cell r="A245">
            <v>445660000</v>
          </cell>
          <cell r="E245">
            <v>0</v>
          </cell>
          <cell r="F245">
            <v>60</v>
          </cell>
          <cell r="G245" t="str">
            <v>Novembre</v>
          </cell>
        </row>
        <row r="246">
          <cell r="A246">
            <v>445660000</v>
          </cell>
          <cell r="E246">
            <v>229.35</v>
          </cell>
          <cell r="F246">
            <v>0</v>
          </cell>
          <cell r="G246" t="str">
            <v>Décembre</v>
          </cell>
        </row>
        <row r="247">
          <cell r="A247">
            <v>445660000</v>
          </cell>
          <cell r="E247">
            <v>18190</v>
          </cell>
          <cell r="F247">
            <v>0</v>
          </cell>
          <cell r="G247" t="str">
            <v>Février</v>
          </cell>
        </row>
        <row r="248">
          <cell r="A248">
            <v>445660000</v>
          </cell>
          <cell r="E248">
            <v>201</v>
          </cell>
          <cell r="F248">
            <v>0</v>
          </cell>
          <cell r="G248" t="str">
            <v>Truc</v>
          </cell>
        </row>
        <row r="249">
          <cell r="A249">
            <v>445660000</v>
          </cell>
          <cell r="E249">
            <v>4772.38</v>
          </cell>
          <cell r="F249">
            <v>0</v>
          </cell>
          <cell r="G249" t="str">
            <v>Mardi</v>
          </cell>
        </row>
        <row r="250">
          <cell r="A250">
            <v>445660000</v>
          </cell>
          <cell r="E250">
            <v>0</v>
          </cell>
          <cell r="F250">
            <v>0</v>
          </cell>
          <cell r="G250" t="str">
            <v>Truc</v>
          </cell>
        </row>
        <row r="251">
          <cell r="A251">
            <v>445660000</v>
          </cell>
          <cell r="E251">
            <v>162096.24</v>
          </cell>
          <cell r="F251">
            <v>0</v>
          </cell>
          <cell r="G251" t="str">
            <v>Truc</v>
          </cell>
        </row>
        <row r="252">
          <cell r="A252">
            <v>445662000</v>
          </cell>
          <cell r="E252">
            <v>65145.73</v>
          </cell>
          <cell r="F252">
            <v>0</v>
          </cell>
          <cell r="G252" t="str">
            <v>Mardi</v>
          </cell>
        </row>
        <row r="253">
          <cell r="A253">
            <v>445662000</v>
          </cell>
          <cell r="E253">
            <v>90</v>
          </cell>
          <cell r="F253">
            <v>0</v>
          </cell>
          <cell r="G253" t="str">
            <v>Truc</v>
          </cell>
        </row>
        <row r="254">
          <cell r="A254">
            <v>445670000</v>
          </cell>
          <cell r="E254">
            <v>117385</v>
          </cell>
          <cell r="F254">
            <v>0</v>
          </cell>
          <cell r="G254" t="str">
            <v>Décembre</v>
          </cell>
        </row>
        <row r="255">
          <cell r="A255">
            <v>445670000</v>
          </cell>
          <cell r="E255">
            <v>352472</v>
          </cell>
          <cell r="F255">
            <v>0</v>
          </cell>
          <cell r="G255" t="str">
            <v>Mardi</v>
          </cell>
        </row>
        <row r="256">
          <cell r="A256">
            <v>445710000</v>
          </cell>
          <cell r="E256">
            <v>0</v>
          </cell>
          <cell r="F256">
            <v>4693.76</v>
          </cell>
          <cell r="G256" t="str">
            <v>Mars</v>
          </cell>
        </row>
        <row r="257">
          <cell r="A257">
            <v>445710000</v>
          </cell>
          <cell r="E257">
            <v>0</v>
          </cell>
          <cell r="F257">
            <v>2805.45</v>
          </cell>
          <cell r="G257" t="str">
            <v>Avril</v>
          </cell>
        </row>
        <row r="258">
          <cell r="A258">
            <v>445710000</v>
          </cell>
          <cell r="E258">
            <v>0</v>
          </cell>
          <cell r="F258">
            <v>14745.8</v>
          </cell>
          <cell r="G258" t="str">
            <v>Juin</v>
          </cell>
        </row>
        <row r="259">
          <cell r="A259">
            <v>445710000</v>
          </cell>
          <cell r="E259">
            <v>0</v>
          </cell>
          <cell r="F259">
            <v>29480.65</v>
          </cell>
          <cell r="G259" t="str">
            <v>Mai</v>
          </cell>
        </row>
        <row r="260">
          <cell r="A260">
            <v>445710000</v>
          </cell>
          <cell r="E260">
            <v>0</v>
          </cell>
          <cell r="F260">
            <v>57275.55</v>
          </cell>
          <cell r="G260" t="str">
            <v>Juillet</v>
          </cell>
        </row>
        <row r="261">
          <cell r="A261">
            <v>445710000</v>
          </cell>
          <cell r="E261">
            <v>0</v>
          </cell>
          <cell r="F261">
            <v>35112.9</v>
          </cell>
          <cell r="G261" t="str">
            <v>Août</v>
          </cell>
        </row>
        <row r="262">
          <cell r="A262">
            <v>445710000</v>
          </cell>
          <cell r="E262">
            <v>0</v>
          </cell>
          <cell r="F262">
            <v>2546.16</v>
          </cell>
          <cell r="G262" t="str">
            <v>Septembre</v>
          </cell>
        </row>
        <row r="263">
          <cell r="A263">
            <v>445710000</v>
          </cell>
          <cell r="E263">
            <v>0</v>
          </cell>
          <cell r="F263">
            <v>20745.7</v>
          </cell>
          <cell r="G263" t="str">
            <v>Octobre</v>
          </cell>
        </row>
        <row r="264">
          <cell r="A264">
            <v>445710000</v>
          </cell>
          <cell r="E264">
            <v>0</v>
          </cell>
          <cell r="F264">
            <v>33522.89</v>
          </cell>
          <cell r="G264" t="str">
            <v>Janvier</v>
          </cell>
        </row>
        <row r="265">
          <cell r="A265">
            <v>445710000</v>
          </cell>
          <cell r="E265">
            <v>0</v>
          </cell>
          <cell r="F265">
            <v>6037.66</v>
          </cell>
          <cell r="G265" t="str">
            <v>Novembre</v>
          </cell>
        </row>
        <row r="266">
          <cell r="A266">
            <v>445710000</v>
          </cell>
          <cell r="E266">
            <v>0</v>
          </cell>
          <cell r="F266">
            <v>10591.04</v>
          </cell>
          <cell r="G266" t="str">
            <v>Décembre</v>
          </cell>
        </row>
        <row r="267">
          <cell r="A267">
            <v>445710000</v>
          </cell>
          <cell r="E267">
            <v>0</v>
          </cell>
          <cell r="F267">
            <v>6642.27</v>
          </cell>
          <cell r="G267" t="str">
            <v>Février</v>
          </cell>
        </row>
        <row r="268">
          <cell r="A268">
            <v>445710000</v>
          </cell>
          <cell r="E268">
            <v>0</v>
          </cell>
          <cell r="F268">
            <v>89434.31</v>
          </cell>
          <cell r="G268" t="str">
            <v>Mardi</v>
          </cell>
        </row>
        <row r="269">
          <cell r="A269">
            <v>445710000</v>
          </cell>
          <cell r="E269">
            <v>0</v>
          </cell>
          <cell r="F269">
            <v>354279.86</v>
          </cell>
          <cell r="G269" t="str">
            <v>Truc</v>
          </cell>
        </row>
        <row r="270">
          <cell r="A270">
            <v>445710000</v>
          </cell>
          <cell r="E270">
            <v>0</v>
          </cell>
          <cell r="F270">
            <v>17541.41</v>
          </cell>
          <cell r="G270" t="str">
            <v>Lundi</v>
          </cell>
        </row>
        <row r="271">
          <cell r="A271">
            <v>445762000</v>
          </cell>
          <cell r="E271">
            <v>0</v>
          </cell>
          <cell r="F271">
            <v>65145.73</v>
          </cell>
          <cell r="G271" t="str">
            <v>Mardi</v>
          </cell>
        </row>
        <row r="272">
          <cell r="A272">
            <v>445762000</v>
          </cell>
          <cell r="E272">
            <v>0</v>
          </cell>
          <cell r="F272">
            <v>90</v>
          </cell>
          <cell r="G272" t="str">
            <v>Truc</v>
          </cell>
        </row>
        <row r="273">
          <cell r="A273">
            <v>445860000</v>
          </cell>
          <cell r="E273">
            <v>460</v>
          </cell>
          <cell r="F273">
            <v>0</v>
          </cell>
          <cell r="G273" t="str">
            <v>Truc</v>
          </cell>
        </row>
        <row r="274">
          <cell r="A274">
            <v>445860000</v>
          </cell>
          <cell r="E274">
            <v>100</v>
          </cell>
          <cell r="F274">
            <v>0</v>
          </cell>
          <cell r="G274" t="str">
            <v>Février</v>
          </cell>
        </row>
        <row r="275">
          <cell r="A275">
            <v>445860000</v>
          </cell>
          <cell r="E275">
            <v>0</v>
          </cell>
          <cell r="F275">
            <v>200</v>
          </cell>
          <cell r="G275" t="str">
            <v>Truc</v>
          </cell>
        </row>
        <row r="276">
          <cell r="A276">
            <v>445860000</v>
          </cell>
          <cell r="E276">
            <v>157110.35</v>
          </cell>
          <cell r="F276">
            <v>0</v>
          </cell>
          <cell r="G276" t="str">
            <v>Mardi</v>
          </cell>
        </row>
        <row r="277">
          <cell r="A277">
            <v>445860000</v>
          </cell>
          <cell r="E277">
            <v>25185</v>
          </cell>
          <cell r="F277">
            <v>0</v>
          </cell>
          <cell r="G277" t="str">
            <v>Truc</v>
          </cell>
        </row>
        <row r="278">
          <cell r="A278">
            <v>445870000</v>
          </cell>
          <cell r="E278">
            <v>0</v>
          </cell>
          <cell r="F278">
            <v>1340</v>
          </cell>
          <cell r="G278" t="str">
            <v>Mars</v>
          </cell>
        </row>
        <row r="279">
          <cell r="A279">
            <v>445870000</v>
          </cell>
          <cell r="E279">
            <v>0</v>
          </cell>
          <cell r="F279">
            <v>1180</v>
          </cell>
          <cell r="G279" t="str">
            <v>Avril</v>
          </cell>
        </row>
        <row r="280">
          <cell r="A280">
            <v>445870000</v>
          </cell>
          <cell r="E280">
            <v>0</v>
          </cell>
          <cell r="F280">
            <v>1096.5999999999999</v>
          </cell>
          <cell r="G280" t="str">
            <v>Juin</v>
          </cell>
        </row>
        <row r="281">
          <cell r="A281">
            <v>445870000</v>
          </cell>
          <cell r="E281">
            <v>0</v>
          </cell>
          <cell r="F281">
            <v>4377</v>
          </cell>
          <cell r="G281" t="str">
            <v>Mai</v>
          </cell>
        </row>
        <row r="282">
          <cell r="A282">
            <v>445870000</v>
          </cell>
          <cell r="E282">
            <v>0</v>
          </cell>
          <cell r="F282">
            <v>3482</v>
          </cell>
          <cell r="G282" t="str">
            <v>Juillet</v>
          </cell>
        </row>
        <row r="283">
          <cell r="A283">
            <v>445870000</v>
          </cell>
          <cell r="E283">
            <v>0</v>
          </cell>
          <cell r="F283">
            <v>1990.8</v>
          </cell>
          <cell r="G283" t="str">
            <v>Août</v>
          </cell>
        </row>
        <row r="284">
          <cell r="A284">
            <v>445870000</v>
          </cell>
          <cell r="E284">
            <v>0</v>
          </cell>
          <cell r="F284">
            <v>272</v>
          </cell>
          <cell r="G284" t="str">
            <v>Septembre</v>
          </cell>
        </row>
        <row r="285">
          <cell r="A285">
            <v>445870000</v>
          </cell>
          <cell r="E285">
            <v>0</v>
          </cell>
          <cell r="F285">
            <v>1008</v>
          </cell>
          <cell r="G285" t="str">
            <v>Octobre</v>
          </cell>
        </row>
        <row r="286">
          <cell r="A286">
            <v>445870000</v>
          </cell>
          <cell r="E286">
            <v>0</v>
          </cell>
          <cell r="F286">
            <v>1624</v>
          </cell>
          <cell r="G286" t="str">
            <v>Janvier</v>
          </cell>
        </row>
        <row r="287">
          <cell r="A287">
            <v>445870000</v>
          </cell>
          <cell r="E287">
            <v>0</v>
          </cell>
          <cell r="F287">
            <v>2464</v>
          </cell>
          <cell r="G287" t="str">
            <v>Novembre</v>
          </cell>
        </row>
        <row r="288">
          <cell r="A288">
            <v>445870000</v>
          </cell>
          <cell r="E288">
            <v>0</v>
          </cell>
          <cell r="F288">
            <v>464</v>
          </cell>
          <cell r="G288" t="str">
            <v>Décembre</v>
          </cell>
        </row>
        <row r="289">
          <cell r="A289">
            <v>445870000</v>
          </cell>
          <cell r="E289">
            <v>0</v>
          </cell>
          <cell r="F289">
            <v>4692</v>
          </cell>
          <cell r="G289" t="str">
            <v>Février</v>
          </cell>
        </row>
        <row r="290">
          <cell r="A290">
            <v>445870000</v>
          </cell>
          <cell r="E290">
            <v>0</v>
          </cell>
          <cell r="F290">
            <v>24938</v>
          </cell>
          <cell r="G290" t="str">
            <v>Mardi</v>
          </cell>
        </row>
        <row r="291">
          <cell r="A291">
            <v>445870000</v>
          </cell>
          <cell r="E291">
            <v>0</v>
          </cell>
          <cell r="F291">
            <v>632</v>
          </cell>
          <cell r="G291" t="str">
            <v>Lundi</v>
          </cell>
        </row>
        <row r="292">
          <cell r="A292">
            <v>448600000</v>
          </cell>
          <cell r="E292">
            <v>0</v>
          </cell>
          <cell r="F292">
            <v>8540</v>
          </cell>
          <cell r="G292" t="str">
            <v>Mars</v>
          </cell>
        </row>
        <row r="293">
          <cell r="A293">
            <v>448600000</v>
          </cell>
          <cell r="E293">
            <v>0</v>
          </cell>
          <cell r="F293">
            <v>7368</v>
          </cell>
          <cell r="G293" t="str">
            <v>Avril</v>
          </cell>
        </row>
        <row r="294">
          <cell r="A294">
            <v>448600000</v>
          </cell>
          <cell r="E294">
            <v>0</v>
          </cell>
          <cell r="F294">
            <v>4437</v>
          </cell>
          <cell r="G294" t="str">
            <v>Juin</v>
          </cell>
        </row>
        <row r="295">
          <cell r="A295">
            <v>448600000</v>
          </cell>
          <cell r="E295">
            <v>0</v>
          </cell>
          <cell r="F295">
            <v>19983</v>
          </cell>
          <cell r="G295" t="str">
            <v>Mai</v>
          </cell>
        </row>
        <row r="296">
          <cell r="A296">
            <v>448600000</v>
          </cell>
          <cell r="E296">
            <v>0</v>
          </cell>
          <cell r="F296">
            <v>19572</v>
          </cell>
          <cell r="G296" t="str">
            <v>Juillet</v>
          </cell>
        </row>
        <row r="297">
          <cell r="A297">
            <v>448600000</v>
          </cell>
          <cell r="E297">
            <v>0</v>
          </cell>
          <cell r="F297">
            <v>11320</v>
          </cell>
          <cell r="G297" t="str">
            <v>Août</v>
          </cell>
        </row>
        <row r="298">
          <cell r="A298">
            <v>448600000</v>
          </cell>
          <cell r="E298">
            <v>0</v>
          </cell>
          <cell r="F298">
            <v>835</v>
          </cell>
          <cell r="G298" t="str">
            <v>Truc</v>
          </cell>
        </row>
        <row r="299">
          <cell r="A299">
            <v>448600000</v>
          </cell>
          <cell r="E299">
            <v>0</v>
          </cell>
          <cell r="F299">
            <v>1372</v>
          </cell>
          <cell r="G299" t="str">
            <v>Septembre</v>
          </cell>
        </row>
        <row r="300">
          <cell r="A300">
            <v>448600000</v>
          </cell>
          <cell r="E300">
            <v>0</v>
          </cell>
          <cell r="F300">
            <v>6628</v>
          </cell>
          <cell r="G300" t="str">
            <v>Octobre</v>
          </cell>
        </row>
        <row r="301">
          <cell r="A301">
            <v>448600000</v>
          </cell>
          <cell r="E301">
            <v>0</v>
          </cell>
          <cell r="F301">
            <v>12688</v>
          </cell>
          <cell r="G301" t="str">
            <v>Janvier</v>
          </cell>
        </row>
        <row r="302">
          <cell r="A302">
            <v>448600000</v>
          </cell>
          <cell r="E302">
            <v>0</v>
          </cell>
          <cell r="F302">
            <v>13297</v>
          </cell>
          <cell r="G302" t="str">
            <v>Novembre</v>
          </cell>
        </row>
        <row r="303">
          <cell r="A303">
            <v>448600000</v>
          </cell>
          <cell r="E303">
            <v>0</v>
          </cell>
          <cell r="F303">
            <v>3608</v>
          </cell>
          <cell r="G303" t="str">
            <v>Décembre</v>
          </cell>
        </row>
        <row r="304">
          <cell r="A304">
            <v>448600000</v>
          </cell>
          <cell r="E304">
            <v>0</v>
          </cell>
          <cell r="F304">
            <v>568</v>
          </cell>
          <cell r="G304" t="str">
            <v>Truc</v>
          </cell>
        </row>
        <row r="305">
          <cell r="A305">
            <v>448600000</v>
          </cell>
          <cell r="E305">
            <v>0</v>
          </cell>
          <cell r="F305">
            <v>18822</v>
          </cell>
          <cell r="G305" t="str">
            <v>Février</v>
          </cell>
        </row>
        <row r="306">
          <cell r="A306">
            <v>448600000</v>
          </cell>
          <cell r="E306">
            <v>0</v>
          </cell>
          <cell r="F306">
            <v>112842</v>
          </cell>
          <cell r="G306" t="str">
            <v>Mardi</v>
          </cell>
        </row>
        <row r="307">
          <cell r="A307">
            <v>448600000</v>
          </cell>
          <cell r="E307">
            <v>0</v>
          </cell>
          <cell r="F307">
            <v>3319</v>
          </cell>
          <cell r="G307" t="str">
            <v>Lundi</v>
          </cell>
        </row>
        <row r="308">
          <cell r="A308">
            <v>455000000</v>
          </cell>
          <cell r="E308">
            <v>546224.53</v>
          </cell>
          <cell r="F308">
            <v>0</v>
          </cell>
          <cell r="G308" t="str">
            <v>Mars</v>
          </cell>
        </row>
        <row r="309">
          <cell r="A309">
            <v>455000000</v>
          </cell>
          <cell r="E309">
            <v>675258.71</v>
          </cell>
          <cell r="F309">
            <v>0</v>
          </cell>
          <cell r="G309" t="str">
            <v>Avril</v>
          </cell>
        </row>
        <row r="310">
          <cell r="A310">
            <v>455000000</v>
          </cell>
          <cell r="E310">
            <v>0</v>
          </cell>
          <cell r="F310">
            <v>138566.37</v>
          </cell>
          <cell r="G310" t="str">
            <v>Juin</v>
          </cell>
        </row>
        <row r="311">
          <cell r="A311">
            <v>455000000</v>
          </cell>
          <cell r="E311">
            <v>0</v>
          </cell>
          <cell r="F311">
            <v>79903.97</v>
          </cell>
          <cell r="G311" t="str">
            <v>Truc</v>
          </cell>
        </row>
        <row r="312">
          <cell r="A312">
            <v>455000000</v>
          </cell>
          <cell r="E312">
            <v>0</v>
          </cell>
          <cell r="F312">
            <v>1262709.01</v>
          </cell>
          <cell r="G312" t="str">
            <v>Mai</v>
          </cell>
        </row>
        <row r="313">
          <cell r="A313">
            <v>455000000</v>
          </cell>
          <cell r="E313">
            <v>0</v>
          </cell>
          <cell r="F313">
            <v>1450173.55</v>
          </cell>
          <cell r="G313" t="str">
            <v>Juillet</v>
          </cell>
        </row>
        <row r="314">
          <cell r="A314">
            <v>455000000</v>
          </cell>
          <cell r="E314">
            <v>0</v>
          </cell>
          <cell r="F314">
            <v>178159.8</v>
          </cell>
          <cell r="G314" t="str">
            <v>Août</v>
          </cell>
        </row>
        <row r="315">
          <cell r="A315">
            <v>455000000</v>
          </cell>
          <cell r="E315">
            <v>572327.13</v>
          </cell>
          <cell r="F315">
            <v>0</v>
          </cell>
          <cell r="G315" t="str">
            <v>Truc</v>
          </cell>
        </row>
        <row r="316">
          <cell r="A316">
            <v>455000000</v>
          </cell>
          <cell r="E316">
            <v>0</v>
          </cell>
          <cell r="F316">
            <v>425722.97</v>
          </cell>
          <cell r="G316" t="str">
            <v>Septembre</v>
          </cell>
        </row>
        <row r="317">
          <cell r="A317">
            <v>455000000</v>
          </cell>
          <cell r="E317">
            <v>1122224.3899999999</v>
          </cell>
          <cell r="F317">
            <v>0</v>
          </cell>
          <cell r="G317" t="str">
            <v>Octobre</v>
          </cell>
        </row>
        <row r="318">
          <cell r="A318">
            <v>455000000</v>
          </cell>
          <cell r="E318">
            <v>52249.75</v>
          </cell>
          <cell r="F318">
            <v>0</v>
          </cell>
          <cell r="G318" t="str">
            <v>Janvier</v>
          </cell>
        </row>
        <row r="319">
          <cell r="A319">
            <v>455000000</v>
          </cell>
          <cell r="E319">
            <v>1103114.28</v>
          </cell>
          <cell r="F319">
            <v>0</v>
          </cell>
          <cell r="G319" t="str">
            <v>Novembre</v>
          </cell>
        </row>
        <row r="320">
          <cell r="A320">
            <v>455000000</v>
          </cell>
          <cell r="E320">
            <v>0</v>
          </cell>
          <cell r="F320">
            <v>454014.27</v>
          </cell>
          <cell r="G320" t="str">
            <v>Décembre</v>
          </cell>
        </row>
        <row r="321">
          <cell r="A321">
            <v>455000000</v>
          </cell>
          <cell r="E321">
            <v>0</v>
          </cell>
          <cell r="F321">
            <v>45.59</v>
          </cell>
          <cell r="G321" t="str">
            <v>Truc</v>
          </cell>
        </row>
        <row r="322">
          <cell r="A322">
            <v>455000000</v>
          </cell>
          <cell r="E322">
            <v>0</v>
          </cell>
          <cell r="F322">
            <v>983909.12</v>
          </cell>
          <cell r="G322" t="str">
            <v>Février</v>
          </cell>
        </row>
        <row r="323">
          <cell r="A323">
            <v>455000000</v>
          </cell>
          <cell r="E323">
            <v>0</v>
          </cell>
          <cell r="F323">
            <v>12927464.029999999</v>
          </cell>
          <cell r="G323" t="str">
            <v>Mardi</v>
          </cell>
        </row>
        <row r="324">
          <cell r="A324">
            <v>455000000</v>
          </cell>
          <cell r="E324">
            <v>0</v>
          </cell>
          <cell r="F324">
            <v>2663012.83</v>
          </cell>
          <cell r="G324" t="str">
            <v>Truc</v>
          </cell>
        </row>
        <row r="325">
          <cell r="A325">
            <v>455000000</v>
          </cell>
          <cell r="E325">
            <v>406683.22</v>
          </cell>
          <cell r="F325">
            <v>0</v>
          </cell>
          <cell r="G325" t="str">
            <v>Lundi</v>
          </cell>
        </row>
        <row r="326">
          <cell r="A326">
            <v>455100000</v>
          </cell>
          <cell r="E326">
            <v>0</v>
          </cell>
          <cell r="F326">
            <v>0</v>
          </cell>
          <cell r="G326" t="str">
            <v>Truc</v>
          </cell>
        </row>
        <row r="327">
          <cell r="A327">
            <v>455100000</v>
          </cell>
          <cell r="E327">
            <v>0</v>
          </cell>
          <cell r="F327">
            <v>0</v>
          </cell>
          <cell r="G327" t="str">
            <v>Truc</v>
          </cell>
        </row>
        <row r="328">
          <cell r="A328">
            <v>455900000</v>
          </cell>
          <cell r="E328">
            <v>0</v>
          </cell>
          <cell r="F328">
            <v>79903.97</v>
          </cell>
          <cell r="G328" t="str">
            <v>Truc</v>
          </cell>
        </row>
        <row r="329">
          <cell r="A329">
            <v>466000000</v>
          </cell>
          <cell r="E329">
            <v>79903.97</v>
          </cell>
          <cell r="F329">
            <v>0</v>
          </cell>
          <cell r="G329" t="str">
            <v>Truc</v>
          </cell>
        </row>
        <row r="330">
          <cell r="A330">
            <v>467000000</v>
          </cell>
          <cell r="E330">
            <v>819.97</v>
          </cell>
          <cell r="F330">
            <v>0</v>
          </cell>
          <cell r="G330" t="str">
            <v>Truc</v>
          </cell>
        </row>
        <row r="331">
          <cell r="A331">
            <v>467000000</v>
          </cell>
          <cell r="E331">
            <v>789.97</v>
          </cell>
          <cell r="F331">
            <v>0</v>
          </cell>
          <cell r="G331" t="str">
            <v>Truc</v>
          </cell>
        </row>
        <row r="332">
          <cell r="A332">
            <v>467000000</v>
          </cell>
          <cell r="E332">
            <v>895957.43</v>
          </cell>
          <cell r="F332">
            <v>0</v>
          </cell>
          <cell r="G332" t="str">
            <v>Truc</v>
          </cell>
        </row>
        <row r="333">
          <cell r="A333">
            <v>467000000</v>
          </cell>
          <cell r="E333">
            <v>0</v>
          </cell>
          <cell r="F333">
            <v>2779095.29</v>
          </cell>
          <cell r="G333" t="str">
            <v>Truc</v>
          </cell>
        </row>
        <row r="334">
          <cell r="A334">
            <v>467000000</v>
          </cell>
          <cell r="E334">
            <v>0</v>
          </cell>
          <cell r="F334">
            <v>351975.41</v>
          </cell>
          <cell r="G334" t="str">
            <v>Truc</v>
          </cell>
        </row>
        <row r="335">
          <cell r="A335">
            <v>467000000</v>
          </cell>
          <cell r="E335">
            <v>888919.44</v>
          </cell>
          <cell r="F335">
            <v>0</v>
          </cell>
          <cell r="G335" t="str">
            <v>Truc</v>
          </cell>
        </row>
        <row r="336">
          <cell r="A336">
            <v>467000000</v>
          </cell>
          <cell r="E336">
            <v>0</v>
          </cell>
          <cell r="F336">
            <v>0</v>
          </cell>
          <cell r="G336" t="str">
            <v>Truc</v>
          </cell>
        </row>
        <row r="337">
          <cell r="A337">
            <v>467000000</v>
          </cell>
          <cell r="E337">
            <v>0</v>
          </cell>
          <cell r="F337">
            <v>50803119.909999996</v>
          </cell>
          <cell r="G337" t="str">
            <v>Truc</v>
          </cell>
        </row>
        <row r="338">
          <cell r="A338">
            <v>467100000</v>
          </cell>
          <cell r="E338">
            <v>0</v>
          </cell>
          <cell r="F338">
            <v>523</v>
          </cell>
          <cell r="G338" t="str">
            <v>Septembre</v>
          </cell>
        </row>
        <row r="339">
          <cell r="A339">
            <v>467100000</v>
          </cell>
          <cell r="E339">
            <v>3611</v>
          </cell>
          <cell r="F339">
            <v>0</v>
          </cell>
          <cell r="G339" t="str">
            <v>Truc</v>
          </cell>
        </row>
        <row r="340">
          <cell r="A340">
            <v>467100000</v>
          </cell>
          <cell r="E340">
            <v>2167</v>
          </cell>
          <cell r="F340">
            <v>0</v>
          </cell>
          <cell r="G340" t="str">
            <v>Janvier</v>
          </cell>
        </row>
        <row r="341">
          <cell r="A341">
            <v>467100000</v>
          </cell>
          <cell r="E341">
            <v>8738</v>
          </cell>
          <cell r="F341">
            <v>0</v>
          </cell>
          <cell r="G341" t="str">
            <v>Décembre</v>
          </cell>
        </row>
        <row r="342">
          <cell r="A342">
            <v>467100000</v>
          </cell>
          <cell r="E342">
            <v>10541</v>
          </cell>
          <cell r="F342">
            <v>0</v>
          </cell>
          <cell r="G342" t="str">
            <v>Février</v>
          </cell>
        </row>
        <row r="343">
          <cell r="A343">
            <v>467100000</v>
          </cell>
          <cell r="E343">
            <v>7737</v>
          </cell>
          <cell r="F343">
            <v>0</v>
          </cell>
          <cell r="G343" t="str">
            <v>Truc</v>
          </cell>
        </row>
        <row r="344">
          <cell r="A344">
            <v>467100000</v>
          </cell>
          <cell r="E344">
            <v>216080</v>
          </cell>
          <cell r="F344">
            <v>0</v>
          </cell>
          <cell r="G344" t="str">
            <v>Mardi</v>
          </cell>
        </row>
        <row r="345">
          <cell r="A345">
            <v>467100000</v>
          </cell>
          <cell r="E345">
            <v>6974</v>
          </cell>
          <cell r="F345">
            <v>0</v>
          </cell>
          <cell r="G345" t="str">
            <v>Truc</v>
          </cell>
        </row>
        <row r="346">
          <cell r="A346">
            <v>467100000</v>
          </cell>
          <cell r="E346">
            <v>15410</v>
          </cell>
          <cell r="F346">
            <v>0</v>
          </cell>
          <cell r="G346" t="str">
            <v>Truc</v>
          </cell>
        </row>
        <row r="347">
          <cell r="A347">
            <v>467100000</v>
          </cell>
          <cell r="E347">
            <v>1609</v>
          </cell>
          <cell r="F347">
            <v>0</v>
          </cell>
          <cell r="G347" t="str">
            <v>Lundi</v>
          </cell>
        </row>
        <row r="348">
          <cell r="A348">
            <v>467300000</v>
          </cell>
          <cell r="E348">
            <v>79903.97</v>
          </cell>
          <cell r="F348">
            <v>0</v>
          </cell>
          <cell r="G348" t="str">
            <v>Truc</v>
          </cell>
        </row>
        <row r="349">
          <cell r="A349">
            <v>467300000</v>
          </cell>
          <cell r="E349">
            <v>39412.33</v>
          </cell>
          <cell r="F349">
            <v>0</v>
          </cell>
          <cell r="G349" t="str">
            <v>Truc</v>
          </cell>
        </row>
        <row r="350">
          <cell r="A350">
            <v>467300000</v>
          </cell>
          <cell r="E350">
            <v>1620000</v>
          </cell>
          <cell r="F350">
            <v>0</v>
          </cell>
          <cell r="G350" t="str">
            <v>Truc</v>
          </cell>
        </row>
        <row r="351">
          <cell r="A351">
            <v>486000000</v>
          </cell>
          <cell r="E351">
            <v>9078.77</v>
          </cell>
          <cell r="F351">
            <v>0</v>
          </cell>
          <cell r="G351" t="str">
            <v>Mai</v>
          </cell>
        </row>
        <row r="352">
          <cell r="A352">
            <v>486000000</v>
          </cell>
          <cell r="E352">
            <v>54165.8</v>
          </cell>
          <cell r="F352">
            <v>0</v>
          </cell>
          <cell r="G352" t="str">
            <v>Février</v>
          </cell>
        </row>
        <row r="353">
          <cell r="A353">
            <v>486000000</v>
          </cell>
          <cell r="E353">
            <v>94681</v>
          </cell>
          <cell r="F353">
            <v>0</v>
          </cell>
          <cell r="G353" t="str">
            <v>Mardi</v>
          </cell>
        </row>
        <row r="354">
          <cell r="A354">
            <v>486000000</v>
          </cell>
          <cell r="E354">
            <v>0</v>
          </cell>
          <cell r="F354">
            <v>0</v>
          </cell>
          <cell r="G354" t="str">
            <v>Truc</v>
          </cell>
        </row>
        <row r="355">
          <cell r="A355">
            <v>487000000</v>
          </cell>
          <cell r="E355">
            <v>0</v>
          </cell>
          <cell r="F355">
            <v>24576</v>
          </cell>
          <cell r="G355" t="str">
            <v>Juin</v>
          </cell>
        </row>
        <row r="356">
          <cell r="A356">
            <v>487000000</v>
          </cell>
          <cell r="E356">
            <v>0</v>
          </cell>
          <cell r="F356">
            <v>97926</v>
          </cell>
          <cell r="G356" t="str">
            <v>Mai</v>
          </cell>
        </row>
        <row r="357">
          <cell r="A357">
            <v>487000000</v>
          </cell>
          <cell r="E357">
            <v>0</v>
          </cell>
          <cell r="F357">
            <v>95360</v>
          </cell>
          <cell r="G357" t="str">
            <v>Juillet</v>
          </cell>
        </row>
        <row r="358">
          <cell r="A358">
            <v>487000000</v>
          </cell>
          <cell r="E358">
            <v>0</v>
          </cell>
          <cell r="F358">
            <v>58522</v>
          </cell>
          <cell r="G358" t="str">
            <v>Août</v>
          </cell>
        </row>
        <row r="359">
          <cell r="A359">
            <v>487000000</v>
          </cell>
          <cell r="E359">
            <v>0</v>
          </cell>
          <cell r="F359">
            <v>69154</v>
          </cell>
          <cell r="G359" t="str">
            <v>Octobre</v>
          </cell>
        </row>
        <row r="360">
          <cell r="A360">
            <v>487000000</v>
          </cell>
          <cell r="E360">
            <v>0</v>
          </cell>
          <cell r="F360">
            <v>71364</v>
          </cell>
          <cell r="G360" t="str">
            <v>Janvier</v>
          </cell>
        </row>
        <row r="361">
          <cell r="A361">
            <v>487000000</v>
          </cell>
          <cell r="E361">
            <v>0</v>
          </cell>
          <cell r="F361">
            <v>88585</v>
          </cell>
          <cell r="G361" t="str">
            <v>Mardi</v>
          </cell>
        </row>
        <row r="362">
          <cell r="A362">
            <v>487000000</v>
          </cell>
          <cell r="E362">
            <v>0</v>
          </cell>
          <cell r="F362">
            <v>19040</v>
          </cell>
          <cell r="G362" t="str">
            <v>Lundi</v>
          </cell>
        </row>
        <row r="363">
          <cell r="A363">
            <v>512101000</v>
          </cell>
          <cell r="E363">
            <v>0</v>
          </cell>
          <cell r="F363">
            <v>0</v>
          </cell>
          <cell r="G363" t="str">
            <v>Mars</v>
          </cell>
        </row>
        <row r="364">
          <cell r="A364">
            <v>512101000</v>
          </cell>
          <cell r="E364">
            <v>0</v>
          </cell>
          <cell r="F364">
            <v>0</v>
          </cell>
          <cell r="G364" t="str">
            <v>Avril</v>
          </cell>
        </row>
        <row r="365">
          <cell r="A365">
            <v>512101000</v>
          </cell>
          <cell r="E365">
            <v>0</v>
          </cell>
          <cell r="F365">
            <v>0</v>
          </cell>
          <cell r="G365" t="str">
            <v>Juin</v>
          </cell>
        </row>
        <row r="366">
          <cell r="A366">
            <v>512101000</v>
          </cell>
          <cell r="E366">
            <v>0</v>
          </cell>
          <cell r="F366">
            <v>849.97</v>
          </cell>
          <cell r="G366" t="str">
            <v>Truc</v>
          </cell>
        </row>
        <row r="367">
          <cell r="A367">
            <v>512101000</v>
          </cell>
          <cell r="E367">
            <v>0</v>
          </cell>
          <cell r="F367">
            <v>0</v>
          </cell>
          <cell r="G367" t="str">
            <v>Mai</v>
          </cell>
        </row>
        <row r="368">
          <cell r="A368">
            <v>512101000</v>
          </cell>
          <cell r="E368">
            <v>0</v>
          </cell>
          <cell r="F368">
            <v>0</v>
          </cell>
          <cell r="G368" t="str">
            <v>Juillet</v>
          </cell>
        </row>
        <row r="369">
          <cell r="A369">
            <v>512101000</v>
          </cell>
          <cell r="E369">
            <v>0</v>
          </cell>
          <cell r="F369">
            <v>0</v>
          </cell>
          <cell r="G369" t="str">
            <v>Août</v>
          </cell>
        </row>
        <row r="370">
          <cell r="A370">
            <v>512101000</v>
          </cell>
          <cell r="E370">
            <v>0</v>
          </cell>
          <cell r="F370">
            <v>0</v>
          </cell>
          <cell r="G370" t="str">
            <v>Truc</v>
          </cell>
        </row>
        <row r="371">
          <cell r="A371">
            <v>512101000</v>
          </cell>
          <cell r="E371">
            <v>0</v>
          </cell>
          <cell r="F371">
            <v>0</v>
          </cell>
          <cell r="G371" t="str">
            <v>Septembre</v>
          </cell>
        </row>
        <row r="372">
          <cell r="A372">
            <v>512101000</v>
          </cell>
          <cell r="E372">
            <v>0</v>
          </cell>
          <cell r="F372">
            <v>849.97</v>
          </cell>
          <cell r="G372" t="str">
            <v>Truc</v>
          </cell>
        </row>
        <row r="373">
          <cell r="A373">
            <v>512101000</v>
          </cell>
          <cell r="E373">
            <v>12477.42</v>
          </cell>
          <cell r="F373">
            <v>0</v>
          </cell>
          <cell r="G373" t="str">
            <v>Truc</v>
          </cell>
        </row>
        <row r="374">
          <cell r="A374">
            <v>512101000</v>
          </cell>
          <cell r="E374">
            <v>0</v>
          </cell>
          <cell r="F374">
            <v>0</v>
          </cell>
          <cell r="G374" t="str">
            <v>Octobre</v>
          </cell>
        </row>
        <row r="375">
          <cell r="A375">
            <v>512101000</v>
          </cell>
          <cell r="E375">
            <v>0</v>
          </cell>
          <cell r="F375">
            <v>0</v>
          </cell>
          <cell r="G375" t="str">
            <v>Janvier</v>
          </cell>
        </row>
        <row r="376">
          <cell r="A376">
            <v>512101000</v>
          </cell>
          <cell r="E376">
            <v>0</v>
          </cell>
          <cell r="F376">
            <v>0</v>
          </cell>
          <cell r="G376" t="str">
            <v>Novembre</v>
          </cell>
        </row>
        <row r="377">
          <cell r="A377">
            <v>512101000</v>
          </cell>
          <cell r="E377">
            <v>0</v>
          </cell>
          <cell r="F377">
            <v>0</v>
          </cell>
          <cell r="G377" t="str">
            <v>Décembre</v>
          </cell>
        </row>
        <row r="378">
          <cell r="A378">
            <v>512101000</v>
          </cell>
          <cell r="E378">
            <v>11257.45</v>
          </cell>
          <cell r="F378">
            <v>0</v>
          </cell>
          <cell r="G378" t="str">
            <v>Truc</v>
          </cell>
        </row>
        <row r="379">
          <cell r="A379">
            <v>512101000</v>
          </cell>
          <cell r="E379">
            <v>60375.58</v>
          </cell>
          <cell r="F379">
            <v>0</v>
          </cell>
          <cell r="G379" t="str">
            <v>Février</v>
          </cell>
        </row>
        <row r="380">
          <cell r="A380">
            <v>512101000</v>
          </cell>
          <cell r="E380">
            <v>10156.39</v>
          </cell>
          <cell r="F380">
            <v>0</v>
          </cell>
          <cell r="G380" t="str">
            <v>Truc</v>
          </cell>
        </row>
        <row r="381">
          <cell r="A381">
            <v>512101000</v>
          </cell>
          <cell r="E381">
            <v>0</v>
          </cell>
          <cell r="F381">
            <v>30.15</v>
          </cell>
          <cell r="G381" t="str">
            <v>Mardi</v>
          </cell>
        </row>
        <row r="382">
          <cell r="A382">
            <v>512101000</v>
          </cell>
          <cell r="E382">
            <v>10310.35</v>
          </cell>
          <cell r="F382">
            <v>0</v>
          </cell>
          <cell r="G382" t="str">
            <v>Truc</v>
          </cell>
        </row>
        <row r="383">
          <cell r="A383">
            <v>512101000</v>
          </cell>
          <cell r="E383">
            <v>2125679.41</v>
          </cell>
          <cell r="F383">
            <v>0</v>
          </cell>
          <cell r="G383" t="str">
            <v>Truc</v>
          </cell>
        </row>
        <row r="384">
          <cell r="A384">
            <v>512101000</v>
          </cell>
          <cell r="E384">
            <v>0</v>
          </cell>
          <cell r="F384">
            <v>0</v>
          </cell>
          <cell r="G384" t="str">
            <v>Lundi</v>
          </cell>
        </row>
        <row r="385">
          <cell r="A385">
            <v>512101000</v>
          </cell>
          <cell r="E385">
            <v>584197.56000000006</v>
          </cell>
          <cell r="F385">
            <v>0</v>
          </cell>
          <cell r="G385" t="str">
            <v>Truc</v>
          </cell>
        </row>
        <row r="386">
          <cell r="A386">
            <v>512106000</v>
          </cell>
          <cell r="E386">
            <v>591752.44999999995</v>
          </cell>
          <cell r="F386">
            <v>0</v>
          </cell>
          <cell r="G386" t="str">
            <v>Février</v>
          </cell>
        </row>
        <row r="387">
          <cell r="A387">
            <v>606100000</v>
          </cell>
          <cell r="E387">
            <v>490.66</v>
          </cell>
          <cell r="F387">
            <v>0</v>
          </cell>
          <cell r="G387" t="str">
            <v>Mardi</v>
          </cell>
        </row>
        <row r="388">
          <cell r="A388">
            <v>607217101</v>
          </cell>
          <cell r="E388">
            <v>262343.33</v>
          </cell>
          <cell r="F388">
            <v>0</v>
          </cell>
          <cell r="G388" t="str">
            <v>Truc</v>
          </cell>
        </row>
        <row r="389">
          <cell r="A389">
            <v>607217103</v>
          </cell>
          <cell r="E389">
            <v>796025.88</v>
          </cell>
          <cell r="F389">
            <v>0</v>
          </cell>
          <cell r="G389" t="str">
            <v>Truc</v>
          </cell>
        </row>
        <row r="390">
          <cell r="A390">
            <v>607227201</v>
          </cell>
          <cell r="E390">
            <v>983666.66</v>
          </cell>
          <cell r="F390">
            <v>0</v>
          </cell>
          <cell r="G390" t="str">
            <v>Truc</v>
          </cell>
        </row>
        <row r="391">
          <cell r="A391">
            <v>607227203</v>
          </cell>
          <cell r="E391">
            <v>1031260.53</v>
          </cell>
          <cell r="F391">
            <v>0</v>
          </cell>
          <cell r="G391" t="str">
            <v>Truc</v>
          </cell>
        </row>
        <row r="392">
          <cell r="A392">
            <v>607237301</v>
          </cell>
          <cell r="E392">
            <v>18420.490000000002</v>
          </cell>
          <cell r="F392">
            <v>0</v>
          </cell>
          <cell r="G392" t="str">
            <v>Truc</v>
          </cell>
        </row>
        <row r="393">
          <cell r="A393">
            <v>607237303</v>
          </cell>
          <cell r="E393">
            <v>61445</v>
          </cell>
          <cell r="F393">
            <v>0</v>
          </cell>
          <cell r="G393" t="str">
            <v>Truc</v>
          </cell>
        </row>
        <row r="394">
          <cell r="A394">
            <v>607247401</v>
          </cell>
          <cell r="E394">
            <v>14615.84</v>
          </cell>
          <cell r="F394">
            <v>0</v>
          </cell>
          <cell r="G394" t="str">
            <v>Truc</v>
          </cell>
        </row>
        <row r="395">
          <cell r="A395">
            <v>607297101</v>
          </cell>
          <cell r="E395">
            <v>127957.16</v>
          </cell>
          <cell r="F395">
            <v>0</v>
          </cell>
          <cell r="G395" t="str">
            <v>Truc</v>
          </cell>
        </row>
        <row r="396">
          <cell r="A396">
            <v>607297103</v>
          </cell>
          <cell r="E396">
            <v>36979</v>
          </cell>
          <cell r="F396">
            <v>0</v>
          </cell>
          <cell r="G396" t="str">
            <v>Truc</v>
          </cell>
        </row>
        <row r="397">
          <cell r="A397">
            <v>608000000</v>
          </cell>
          <cell r="E397">
            <v>163</v>
          </cell>
          <cell r="F397">
            <v>0</v>
          </cell>
          <cell r="G397" t="str">
            <v>Février</v>
          </cell>
        </row>
        <row r="398">
          <cell r="A398">
            <v>608000000</v>
          </cell>
          <cell r="E398">
            <v>0</v>
          </cell>
          <cell r="F398">
            <v>0</v>
          </cell>
          <cell r="G398" t="str">
            <v>Mardi</v>
          </cell>
        </row>
        <row r="399">
          <cell r="A399">
            <v>612500000</v>
          </cell>
          <cell r="E399">
            <v>108327.81</v>
          </cell>
          <cell r="F399">
            <v>0</v>
          </cell>
          <cell r="G399" t="str">
            <v>Février</v>
          </cell>
        </row>
        <row r="400">
          <cell r="A400">
            <v>614000000</v>
          </cell>
          <cell r="E400">
            <v>238.66</v>
          </cell>
          <cell r="F400">
            <v>0</v>
          </cell>
          <cell r="G400" t="str">
            <v>Mai</v>
          </cell>
        </row>
        <row r="401">
          <cell r="A401">
            <v>615200000</v>
          </cell>
          <cell r="E401">
            <v>2727.56</v>
          </cell>
          <cell r="F401">
            <v>0</v>
          </cell>
          <cell r="G401" t="str">
            <v>Juillet</v>
          </cell>
        </row>
        <row r="402">
          <cell r="A402">
            <v>615200000</v>
          </cell>
          <cell r="E402">
            <v>60</v>
          </cell>
          <cell r="F402">
            <v>0</v>
          </cell>
          <cell r="G402" t="str">
            <v>Janvier</v>
          </cell>
        </row>
        <row r="403">
          <cell r="A403">
            <v>615200000</v>
          </cell>
          <cell r="E403">
            <v>27101.51</v>
          </cell>
          <cell r="F403">
            <v>0</v>
          </cell>
          <cell r="G403" t="str">
            <v>Décembre</v>
          </cell>
        </row>
        <row r="404">
          <cell r="A404">
            <v>615200000</v>
          </cell>
          <cell r="E404">
            <v>17150</v>
          </cell>
          <cell r="F404">
            <v>0</v>
          </cell>
          <cell r="G404" t="str">
            <v>Mardi</v>
          </cell>
        </row>
        <row r="405">
          <cell r="A405">
            <v>616000000</v>
          </cell>
          <cell r="E405">
            <v>24776.52</v>
          </cell>
          <cell r="F405">
            <v>0</v>
          </cell>
          <cell r="G405" t="str">
            <v>Février</v>
          </cell>
        </row>
        <row r="406">
          <cell r="A406">
            <v>616000000</v>
          </cell>
          <cell r="E406">
            <v>1157.8499999999999</v>
          </cell>
          <cell r="F406">
            <v>0</v>
          </cell>
          <cell r="G406" t="str">
            <v>Mardi</v>
          </cell>
        </row>
        <row r="407">
          <cell r="A407">
            <v>621400000</v>
          </cell>
          <cell r="E407">
            <v>105403</v>
          </cell>
          <cell r="F407">
            <v>0</v>
          </cell>
          <cell r="G407" t="str">
            <v>Truc</v>
          </cell>
        </row>
        <row r="408">
          <cell r="A408">
            <v>621401000</v>
          </cell>
          <cell r="E408">
            <v>171924.75</v>
          </cell>
          <cell r="F408">
            <v>0</v>
          </cell>
          <cell r="G408" t="str">
            <v>Mardi</v>
          </cell>
        </row>
        <row r="409">
          <cell r="A409">
            <v>622600000</v>
          </cell>
          <cell r="E409">
            <v>500</v>
          </cell>
          <cell r="F409">
            <v>0</v>
          </cell>
          <cell r="G409" t="str">
            <v>Truc</v>
          </cell>
        </row>
        <row r="410">
          <cell r="A410">
            <v>622600000</v>
          </cell>
          <cell r="E410">
            <v>2312</v>
          </cell>
          <cell r="F410">
            <v>0</v>
          </cell>
          <cell r="G410" t="str">
            <v>Truc</v>
          </cell>
        </row>
        <row r="411">
          <cell r="A411">
            <v>622600000</v>
          </cell>
          <cell r="E411">
            <v>0</v>
          </cell>
          <cell r="F411">
            <v>60</v>
          </cell>
          <cell r="G411" t="str">
            <v>Février</v>
          </cell>
        </row>
        <row r="412">
          <cell r="A412">
            <v>622600000</v>
          </cell>
          <cell r="E412">
            <v>500</v>
          </cell>
          <cell r="F412">
            <v>0</v>
          </cell>
          <cell r="G412" t="str">
            <v>Mardi</v>
          </cell>
        </row>
        <row r="413">
          <cell r="A413">
            <v>622600000</v>
          </cell>
          <cell r="E413">
            <v>915</v>
          </cell>
          <cell r="F413">
            <v>0</v>
          </cell>
          <cell r="G413" t="str">
            <v>Truc</v>
          </cell>
        </row>
        <row r="414">
          <cell r="A414">
            <v>622603000</v>
          </cell>
          <cell r="E414">
            <v>2221</v>
          </cell>
          <cell r="F414">
            <v>0</v>
          </cell>
          <cell r="G414" t="str">
            <v>Truc</v>
          </cell>
        </row>
        <row r="415">
          <cell r="A415">
            <v>622603000</v>
          </cell>
          <cell r="E415">
            <v>2010</v>
          </cell>
          <cell r="F415">
            <v>0</v>
          </cell>
          <cell r="G415" t="str">
            <v>Février</v>
          </cell>
        </row>
        <row r="416">
          <cell r="A416">
            <v>622603000</v>
          </cell>
          <cell r="E416">
            <v>46</v>
          </cell>
          <cell r="F416">
            <v>0</v>
          </cell>
          <cell r="G416" t="str">
            <v>Truc</v>
          </cell>
        </row>
        <row r="417">
          <cell r="A417">
            <v>622603000</v>
          </cell>
          <cell r="E417">
            <v>10</v>
          </cell>
          <cell r="F417">
            <v>0</v>
          </cell>
          <cell r="G417" t="str">
            <v>Mardi</v>
          </cell>
        </row>
        <row r="418">
          <cell r="A418">
            <v>622603000</v>
          </cell>
          <cell r="E418">
            <v>321.60000000000002</v>
          </cell>
          <cell r="F418">
            <v>0</v>
          </cell>
          <cell r="G418" t="str">
            <v>Truc</v>
          </cell>
        </row>
        <row r="419">
          <cell r="A419">
            <v>622620000</v>
          </cell>
          <cell r="E419">
            <v>20370</v>
          </cell>
          <cell r="F419">
            <v>0</v>
          </cell>
          <cell r="G419" t="str">
            <v>Mardi</v>
          </cell>
        </row>
        <row r="420">
          <cell r="A420">
            <v>622630000</v>
          </cell>
          <cell r="E420">
            <v>42133</v>
          </cell>
          <cell r="F420">
            <v>0</v>
          </cell>
          <cell r="G420" t="str">
            <v>Mardi</v>
          </cell>
        </row>
        <row r="421">
          <cell r="A421">
            <v>622650000</v>
          </cell>
          <cell r="E421">
            <v>3100</v>
          </cell>
          <cell r="F421">
            <v>0</v>
          </cell>
          <cell r="G421" t="str">
            <v>Mardi</v>
          </cell>
        </row>
        <row r="422">
          <cell r="A422">
            <v>622699000</v>
          </cell>
          <cell r="E422">
            <v>5565</v>
          </cell>
          <cell r="F422">
            <v>0</v>
          </cell>
          <cell r="G422" t="str">
            <v>Mardi</v>
          </cell>
        </row>
        <row r="423">
          <cell r="A423">
            <v>622699000</v>
          </cell>
          <cell r="E423">
            <v>450</v>
          </cell>
          <cell r="F423">
            <v>0</v>
          </cell>
          <cell r="G423" t="str">
            <v>Truc</v>
          </cell>
        </row>
        <row r="424">
          <cell r="A424">
            <v>622700000</v>
          </cell>
          <cell r="E424">
            <v>708.33</v>
          </cell>
          <cell r="F424">
            <v>0</v>
          </cell>
          <cell r="G424" t="str">
            <v>Décembre</v>
          </cell>
        </row>
        <row r="425">
          <cell r="A425">
            <v>627800000</v>
          </cell>
          <cell r="E425">
            <v>240.75</v>
          </cell>
          <cell r="F425">
            <v>0</v>
          </cell>
          <cell r="G425" t="str">
            <v>Mars</v>
          </cell>
        </row>
        <row r="426">
          <cell r="A426">
            <v>627800000</v>
          </cell>
          <cell r="E426">
            <v>285.14999999999998</v>
          </cell>
          <cell r="F426">
            <v>0</v>
          </cell>
          <cell r="G426" t="str">
            <v>Avril</v>
          </cell>
        </row>
        <row r="427">
          <cell r="A427">
            <v>627800000</v>
          </cell>
          <cell r="E427">
            <v>284.85000000000002</v>
          </cell>
          <cell r="F427">
            <v>0</v>
          </cell>
          <cell r="G427" t="str">
            <v>Juin</v>
          </cell>
        </row>
        <row r="428">
          <cell r="A428">
            <v>627800000</v>
          </cell>
          <cell r="E428">
            <v>30</v>
          </cell>
          <cell r="F428">
            <v>0</v>
          </cell>
          <cell r="G428" t="str">
            <v>Truc</v>
          </cell>
        </row>
        <row r="429">
          <cell r="A429">
            <v>627800000</v>
          </cell>
          <cell r="E429">
            <v>316.23</v>
          </cell>
          <cell r="F429">
            <v>0</v>
          </cell>
          <cell r="G429" t="str">
            <v>Mai</v>
          </cell>
        </row>
        <row r="430">
          <cell r="A430">
            <v>627800000</v>
          </cell>
          <cell r="E430">
            <v>345.63</v>
          </cell>
          <cell r="F430">
            <v>0</v>
          </cell>
          <cell r="G430" t="str">
            <v>Juillet</v>
          </cell>
        </row>
        <row r="431">
          <cell r="A431">
            <v>627800000</v>
          </cell>
          <cell r="E431">
            <v>284.85000000000002</v>
          </cell>
          <cell r="F431">
            <v>0</v>
          </cell>
          <cell r="G431" t="str">
            <v>Août</v>
          </cell>
        </row>
        <row r="432">
          <cell r="A432">
            <v>627800000</v>
          </cell>
          <cell r="E432">
            <v>284.39999999999998</v>
          </cell>
          <cell r="F432">
            <v>0</v>
          </cell>
          <cell r="G432" t="str">
            <v>Truc</v>
          </cell>
        </row>
        <row r="433">
          <cell r="A433">
            <v>627800000</v>
          </cell>
          <cell r="E433">
            <v>285</v>
          </cell>
          <cell r="F433">
            <v>0</v>
          </cell>
          <cell r="G433" t="str">
            <v>Septembre</v>
          </cell>
        </row>
        <row r="434">
          <cell r="A434">
            <v>627800000</v>
          </cell>
          <cell r="E434">
            <v>60</v>
          </cell>
          <cell r="F434">
            <v>0</v>
          </cell>
          <cell r="G434" t="str">
            <v>Truc</v>
          </cell>
        </row>
        <row r="435">
          <cell r="A435">
            <v>627800000</v>
          </cell>
          <cell r="E435">
            <v>293.89999999999998</v>
          </cell>
          <cell r="F435">
            <v>0</v>
          </cell>
          <cell r="G435" t="str">
            <v>Truc</v>
          </cell>
        </row>
        <row r="436">
          <cell r="A436">
            <v>627800000</v>
          </cell>
          <cell r="E436">
            <v>284.85000000000002</v>
          </cell>
          <cell r="F436">
            <v>0</v>
          </cell>
          <cell r="G436" t="str">
            <v>Octobre</v>
          </cell>
        </row>
        <row r="437">
          <cell r="A437">
            <v>627800000</v>
          </cell>
          <cell r="E437">
            <v>285</v>
          </cell>
          <cell r="F437">
            <v>0</v>
          </cell>
          <cell r="G437" t="str">
            <v>Janvier</v>
          </cell>
        </row>
        <row r="438">
          <cell r="A438">
            <v>627800000</v>
          </cell>
          <cell r="E438">
            <v>285.14999999999998</v>
          </cell>
          <cell r="F438">
            <v>0</v>
          </cell>
          <cell r="G438" t="str">
            <v>Novembre</v>
          </cell>
        </row>
        <row r="439">
          <cell r="A439">
            <v>627800000</v>
          </cell>
          <cell r="E439">
            <v>285.42</v>
          </cell>
          <cell r="F439">
            <v>0</v>
          </cell>
          <cell r="G439" t="str">
            <v>Décembre</v>
          </cell>
        </row>
        <row r="440">
          <cell r="A440">
            <v>627800000</v>
          </cell>
          <cell r="E440">
            <v>284.43</v>
          </cell>
          <cell r="F440">
            <v>0</v>
          </cell>
          <cell r="G440" t="str">
            <v>Truc</v>
          </cell>
        </row>
        <row r="441">
          <cell r="A441">
            <v>627800000</v>
          </cell>
          <cell r="E441">
            <v>278.43</v>
          </cell>
          <cell r="F441">
            <v>0</v>
          </cell>
          <cell r="G441" t="str">
            <v>Février</v>
          </cell>
        </row>
        <row r="442">
          <cell r="A442">
            <v>627800000</v>
          </cell>
          <cell r="E442">
            <v>303.39999999999998</v>
          </cell>
          <cell r="F442">
            <v>0</v>
          </cell>
          <cell r="G442" t="str">
            <v>Truc</v>
          </cell>
        </row>
        <row r="443">
          <cell r="A443">
            <v>627800000</v>
          </cell>
          <cell r="E443">
            <v>292.56</v>
          </cell>
          <cell r="F443">
            <v>0</v>
          </cell>
          <cell r="G443" t="str">
            <v>Mardi</v>
          </cell>
        </row>
        <row r="444">
          <cell r="A444">
            <v>627800000</v>
          </cell>
          <cell r="E444">
            <v>293.89999999999998</v>
          </cell>
          <cell r="F444">
            <v>0</v>
          </cell>
          <cell r="G444" t="str">
            <v>Truc</v>
          </cell>
        </row>
        <row r="445">
          <cell r="A445">
            <v>627800000</v>
          </cell>
          <cell r="E445">
            <v>308.08999999999997</v>
          </cell>
          <cell r="F445">
            <v>0</v>
          </cell>
          <cell r="G445" t="str">
            <v>Truc</v>
          </cell>
        </row>
        <row r="446">
          <cell r="A446">
            <v>627800000</v>
          </cell>
          <cell r="E446">
            <v>284.88</v>
          </cell>
          <cell r="F446">
            <v>0</v>
          </cell>
          <cell r="G446" t="str">
            <v>Lundi</v>
          </cell>
        </row>
        <row r="447">
          <cell r="A447">
            <v>627800000</v>
          </cell>
          <cell r="E447">
            <v>317.70999999999998</v>
          </cell>
          <cell r="F447">
            <v>0</v>
          </cell>
          <cell r="G447" t="str">
            <v>Truc</v>
          </cell>
        </row>
        <row r="448">
          <cell r="A448">
            <v>635111000</v>
          </cell>
          <cell r="E448">
            <v>424</v>
          </cell>
          <cell r="F448">
            <v>0</v>
          </cell>
          <cell r="G448" t="str">
            <v>Mars</v>
          </cell>
        </row>
        <row r="449">
          <cell r="A449">
            <v>635111000</v>
          </cell>
          <cell r="E449">
            <v>308</v>
          </cell>
          <cell r="F449">
            <v>0</v>
          </cell>
          <cell r="G449" t="str">
            <v>Avril</v>
          </cell>
        </row>
        <row r="450">
          <cell r="A450">
            <v>635111000</v>
          </cell>
          <cell r="E450">
            <v>160</v>
          </cell>
          <cell r="F450">
            <v>0</v>
          </cell>
          <cell r="G450" t="str">
            <v>Juin</v>
          </cell>
        </row>
        <row r="451">
          <cell r="A451">
            <v>635111000</v>
          </cell>
          <cell r="E451">
            <v>1228</v>
          </cell>
          <cell r="F451">
            <v>0</v>
          </cell>
          <cell r="G451" t="str">
            <v>Mai</v>
          </cell>
        </row>
        <row r="452">
          <cell r="A452">
            <v>635111000</v>
          </cell>
          <cell r="E452">
            <v>1612</v>
          </cell>
          <cell r="F452">
            <v>0</v>
          </cell>
          <cell r="G452" t="str">
            <v>Juillet</v>
          </cell>
        </row>
        <row r="453">
          <cell r="A453">
            <v>635111000</v>
          </cell>
          <cell r="E453">
            <v>804</v>
          </cell>
          <cell r="F453">
            <v>0</v>
          </cell>
          <cell r="G453" t="str">
            <v>Août</v>
          </cell>
        </row>
        <row r="454">
          <cell r="A454">
            <v>635111000</v>
          </cell>
          <cell r="E454">
            <v>1340</v>
          </cell>
          <cell r="F454">
            <v>0</v>
          </cell>
          <cell r="G454" t="str">
            <v>Octobre</v>
          </cell>
        </row>
        <row r="455">
          <cell r="A455">
            <v>635111000</v>
          </cell>
          <cell r="E455">
            <v>1040</v>
          </cell>
          <cell r="F455">
            <v>0</v>
          </cell>
          <cell r="G455" t="str">
            <v>Janvier</v>
          </cell>
        </row>
        <row r="456">
          <cell r="A456">
            <v>635111000</v>
          </cell>
          <cell r="E456">
            <v>959</v>
          </cell>
          <cell r="F456">
            <v>0</v>
          </cell>
          <cell r="G456" t="str">
            <v>Novembre</v>
          </cell>
        </row>
        <row r="457">
          <cell r="A457">
            <v>635111000</v>
          </cell>
          <cell r="E457">
            <v>264</v>
          </cell>
          <cell r="F457">
            <v>0</v>
          </cell>
          <cell r="G457" t="str">
            <v>Décembre</v>
          </cell>
        </row>
        <row r="458">
          <cell r="A458">
            <v>635111000</v>
          </cell>
          <cell r="E458">
            <v>1528</v>
          </cell>
          <cell r="F458">
            <v>0</v>
          </cell>
          <cell r="G458" t="str">
            <v>Février</v>
          </cell>
        </row>
        <row r="459">
          <cell r="A459">
            <v>635111000</v>
          </cell>
          <cell r="E459">
            <v>8000</v>
          </cell>
          <cell r="F459">
            <v>0</v>
          </cell>
          <cell r="G459" t="str">
            <v>Mardi</v>
          </cell>
        </row>
        <row r="460">
          <cell r="A460">
            <v>635120000</v>
          </cell>
          <cell r="E460">
            <v>6704</v>
          </cell>
          <cell r="F460">
            <v>0</v>
          </cell>
          <cell r="G460" t="str">
            <v>Mars</v>
          </cell>
        </row>
        <row r="461">
          <cell r="A461">
            <v>635120000</v>
          </cell>
          <cell r="E461">
            <v>5900</v>
          </cell>
          <cell r="F461">
            <v>0</v>
          </cell>
          <cell r="G461" t="str">
            <v>Avril</v>
          </cell>
        </row>
        <row r="462">
          <cell r="A462">
            <v>635120000</v>
          </cell>
          <cell r="E462">
            <v>3512</v>
          </cell>
          <cell r="F462">
            <v>0</v>
          </cell>
          <cell r="G462" t="str">
            <v>Juin</v>
          </cell>
        </row>
        <row r="463">
          <cell r="A463">
            <v>635120000</v>
          </cell>
          <cell r="E463">
            <v>18264</v>
          </cell>
          <cell r="F463">
            <v>0</v>
          </cell>
          <cell r="G463" t="str">
            <v>Mai</v>
          </cell>
        </row>
        <row r="464">
          <cell r="A464">
            <v>635120000</v>
          </cell>
          <cell r="E464">
            <v>17960</v>
          </cell>
          <cell r="F464">
            <v>0</v>
          </cell>
          <cell r="G464" t="str">
            <v>Juillet</v>
          </cell>
        </row>
        <row r="465">
          <cell r="A465">
            <v>635120000</v>
          </cell>
          <cell r="E465">
            <v>8288</v>
          </cell>
          <cell r="F465">
            <v>0</v>
          </cell>
          <cell r="G465" t="str">
            <v>Août</v>
          </cell>
        </row>
        <row r="466">
          <cell r="A466">
            <v>635120000</v>
          </cell>
          <cell r="E466">
            <v>1372</v>
          </cell>
          <cell r="F466">
            <v>0</v>
          </cell>
          <cell r="G466" t="str">
            <v>Septembre</v>
          </cell>
        </row>
        <row r="467">
          <cell r="A467">
            <v>635120000</v>
          </cell>
          <cell r="E467">
            <v>5048</v>
          </cell>
          <cell r="F467">
            <v>0</v>
          </cell>
          <cell r="G467" t="str">
            <v>Octobre</v>
          </cell>
        </row>
        <row r="468">
          <cell r="A468">
            <v>635120000</v>
          </cell>
          <cell r="E468">
            <v>8128</v>
          </cell>
          <cell r="F468">
            <v>0</v>
          </cell>
          <cell r="G468" t="str">
            <v>Janvier</v>
          </cell>
        </row>
        <row r="469">
          <cell r="A469">
            <v>635120000</v>
          </cell>
          <cell r="E469">
            <v>12324</v>
          </cell>
          <cell r="F469">
            <v>0</v>
          </cell>
          <cell r="G469" t="str">
            <v>Novembre</v>
          </cell>
        </row>
        <row r="470">
          <cell r="A470">
            <v>635120000</v>
          </cell>
          <cell r="E470">
            <v>2300</v>
          </cell>
          <cell r="F470">
            <v>0</v>
          </cell>
          <cell r="G470" t="str">
            <v>Décembre</v>
          </cell>
        </row>
        <row r="471">
          <cell r="A471">
            <v>635120000</v>
          </cell>
          <cell r="E471">
            <v>12768</v>
          </cell>
          <cell r="F471">
            <v>0</v>
          </cell>
          <cell r="G471" t="str">
            <v>Février</v>
          </cell>
        </row>
        <row r="472">
          <cell r="A472">
            <v>635120000</v>
          </cell>
          <cell r="E472">
            <v>103468</v>
          </cell>
          <cell r="F472">
            <v>0</v>
          </cell>
          <cell r="G472" t="str">
            <v>Mardi</v>
          </cell>
        </row>
        <row r="473">
          <cell r="A473">
            <v>635120000</v>
          </cell>
          <cell r="E473">
            <v>3160</v>
          </cell>
          <cell r="F473">
            <v>0</v>
          </cell>
          <cell r="G473" t="str">
            <v>Lundi</v>
          </cell>
        </row>
        <row r="474">
          <cell r="A474">
            <v>635130000</v>
          </cell>
          <cell r="E474">
            <v>265</v>
          </cell>
          <cell r="F474">
            <v>0</v>
          </cell>
          <cell r="G474" t="str">
            <v>Juin</v>
          </cell>
        </row>
        <row r="475">
          <cell r="A475">
            <v>635130000</v>
          </cell>
          <cell r="E475">
            <v>491</v>
          </cell>
          <cell r="F475">
            <v>0</v>
          </cell>
          <cell r="G475" t="str">
            <v>Mai</v>
          </cell>
        </row>
        <row r="476">
          <cell r="A476">
            <v>635130000</v>
          </cell>
          <cell r="E476">
            <v>835</v>
          </cell>
          <cell r="F476">
            <v>0</v>
          </cell>
          <cell r="G476" t="str">
            <v>Truc</v>
          </cell>
        </row>
        <row r="477">
          <cell r="A477">
            <v>635130000</v>
          </cell>
          <cell r="E477">
            <v>240</v>
          </cell>
          <cell r="F477">
            <v>0</v>
          </cell>
          <cell r="G477" t="str">
            <v>Octobre</v>
          </cell>
        </row>
        <row r="478">
          <cell r="A478">
            <v>635130000</v>
          </cell>
          <cell r="E478">
            <v>404</v>
          </cell>
          <cell r="F478">
            <v>0</v>
          </cell>
          <cell r="G478" t="str">
            <v>Janvier</v>
          </cell>
        </row>
        <row r="479">
          <cell r="A479">
            <v>635130000</v>
          </cell>
          <cell r="E479">
            <v>568</v>
          </cell>
          <cell r="F479">
            <v>0</v>
          </cell>
          <cell r="G479" t="str">
            <v>Truc</v>
          </cell>
        </row>
        <row r="480">
          <cell r="A480">
            <v>635130000</v>
          </cell>
          <cell r="E480">
            <v>526</v>
          </cell>
          <cell r="F480">
            <v>0</v>
          </cell>
          <cell r="G480" t="str">
            <v>Février</v>
          </cell>
        </row>
        <row r="481">
          <cell r="A481">
            <v>635130000</v>
          </cell>
          <cell r="E481">
            <v>1374</v>
          </cell>
          <cell r="F481">
            <v>0</v>
          </cell>
          <cell r="G481" t="str">
            <v>Mardi</v>
          </cell>
        </row>
        <row r="482">
          <cell r="A482">
            <v>635130000</v>
          </cell>
          <cell r="E482">
            <v>159</v>
          </cell>
          <cell r="F482">
            <v>0</v>
          </cell>
          <cell r="G482" t="str">
            <v>Lundi</v>
          </cell>
        </row>
        <row r="483">
          <cell r="A483">
            <v>635131000</v>
          </cell>
          <cell r="E483">
            <v>1983</v>
          </cell>
          <cell r="F483">
            <v>0</v>
          </cell>
          <cell r="G483" t="str">
            <v>Juin</v>
          </cell>
        </row>
        <row r="484">
          <cell r="A484">
            <v>635131000</v>
          </cell>
          <cell r="E484">
            <v>3625</v>
          </cell>
          <cell r="F484">
            <v>0</v>
          </cell>
          <cell r="G484" t="str">
            <v>Mai</v>
          </cell>
        </row>
        <row r="485">
          <cell r="A485">
            <v>635131000</v>
          </cell>
          <cell r="E485">
            <v>1150</v>
          </cell>
          <cell r="F485">
            <v>0</v>
          </cell>
          <cell r="G485" t="str">
            <v>Juillet</v>
          </cell>
        </row>
        <row r="486">
          <cell r="A486">
            <v>635131000</v>
          </cell>
          <cell r="E486">
            <v>1674</v>
          </cell>
          <cell r="F486">
            <v>0</v>
          </cell>
          <cell r="G486" t="str">
            <v>Août</v>
          </cell>
        </row>
        <row r="487">
          <cell r="A487">
            <v>635132000</v>
          </cell>
          <cell r="E487">
            <v>732.7</v>
          </cell>
          <cell r="F487">
            <v>0</v>
          </cell>
          <cell r="G487" t="str">
            <v>Mardi</v>
          </cell>
        </row>
        <row r="488">
          <cell r="A488">
            <v>658000000</v>
          </cell>
          <cell r="E488">
            <v>0.72</v>
          </cell>
          <cell r="F488">
            <v>0</v>
          </cell>
          <cell r="G488" t="str">
            <v>Mars</v>
          </cell>
        </row>
        <row r="489">
          <cell r="A489">
            <v>658000000</v>
          </cell>
          <cell r="E489">
            <v>0.15</v>
          </cell>
          <cell r="F489">
            <v>0</v>
          </cell>
          <cell r="G489" t="str">
            <v>Avril</v>
          </cell>
        </row>
        <row r="490">
          <cell r="A490">
            <v>658000000</v>
          </cell>
          <cell r="E490">
            <v>0.2</v>
          </cell>
          <cell r="F490">
            <v>0</v>
          </cell>
          <cell r="G490" t="str">
            <v>Juin</v>
          </cell>
        </row>
        <row r="491">
          <cell r="A491">
            <v>658000000</v>
          </cell>
          <cell r="E491">
            <v>0.47</v>
          </cell>
          <cell r="F491">
            <v>0</v>
          </cell>
          <cell r="G491" t="str">
            <v>Mai</v>
          </cell>
        </row>
        <row r="492">
          <cell r="A492">
            <v>658000000</v>
          </cell>
          <cell r="E492">
            <v>0.4</v>
          </cell>
          <cell r="F492">
            <v>0</v>
          </cell>
          <cell r="G492" t="str">
            <v>Août</v>
          </cell>
        </row>
        <row r="493">
          <cell r="A493">
            <v>658000000</v>
          </cell>
          <cell r="E493">
            <v>0.1</v>
          </cell>
          <cell r="F493">
            <v>0</v>
          </cell>
          <cell r="G493" t="str">
            <v>Octobre</v>
          </cell>
        </row>
        <row r="494">
          <cell r="A494">
            <v>658000000</v>
          </cell>
          <cell r="E494">
            <v>0.15</v>
          </cell>
          <cell r="F494">
            <v>0</v>
          </cell>
          <cell r="G494" t="str">
            <v>Janvier</v>
          </cell>
        </row>
        <row r="495">
          <cell r="A495">
            <v>658000000</v>
          </cell>
          <cell r="E495">
            <v>0.54</v>
          </cell>
          <cell r="F495">
            <v>0</v>
          </cell>
          <cell r="G495" t="str">
            <v>Novembre</v>
          </cell>
        </row>
        <row r="496">
          <cell r="A496">
            <v>658000000</v>
          </cell>
          <cell r="E496">
            <v>0.32</v>
          </cell>
          <cell r="F496">
            <v>0</v>
          </cell>
          <cell r="G496" t="str">
            <v>Décembre</v>
          </cell>
        </row>
        <row r="497">
          <cell r="A497">
            <v>658000000</v>
          </cell>
          <cell r="E497">
            <v>1.53</v>
          </cell>
          <cell r="F497">
            <v>0</v>
          </cell>
          <cell r="G497" t="str">
            <v>Février</v>
          </cell>
        </row>
        <row r="498">
          <cell r="A498">
            <v>658000000</v>
          </cell>
          <cell r="E498">
            <v>3.25</v>
          </cell>
          <cell r="F498">
            <v>0</v>
          </cell>
          <cell r="G498" t="str">
            <v>Mardi</v>
          </cell>
        </row>
        <row r="499">
          <cell r="A499">
            <v>658000000</v>
          </cell>
          <cell r="E499">
            <v>0.59</v>
          </cell>
          <cell r="F499">
            <v>0</v>
          </cell>
          <cell r="G499" t="str">
            <v>Truc</v>
          </cell>
        </row>
        <row r="500">
          <cell r="A500">
            <v>661310000</v>
          </cell>
          <cell r="E500">
            <v>466.79</v>
          </cell>
          <cell r="F500">
            <v>0</v>
          </cell>
          <cell r="G500" t="str">
            <v>Juin</v>
          </cell>
        </row>
        <row r="501">
          <cell r="A501">
            <v>661310000</v>
          </cell>
          <cell r="E501">
            <v>3439.33</v>
          </cell>
          <cell r="F501">
            <v>0</v>
          </cell>
          <cell r="G501" t="str">
            <v>Mai</v>
          </cell>
        </row>
        <row r="502">
          <cell r="A502">
            <v>661310000</v>
          </cell>
          <cell r="E502">
            <v>3855.27</v>
          </cell>
          <cell r="F502">
            <v>0</v>
          </cell>
          <cell r="G502" t="str">
            <v>Juillet</v>
          </cell>
        </row>
        <row r="503">
          <cell r="A503">
            <v>661310000</v>
          </cell>
          <cell r="E503">
            <v>731.76</v>
          </cell>
          <cell r="F503">
            <v>0</v>
          </cell>
          <cell r="G503" t="str">
            <v>Août</v>
          </cell>
        </row>
        <row r="504">
          <cell r="A504">
            <v>661310000</v>
          </cell>
          <cell r="E504">
            <v>1045.75</v>
          </cell>
          <cell r="F504">
            <v>0</v>
          </cell>
          <cell r="G504" t="str">
            <v>Septembre</v>
          </cell>
        </row>
        <row r="505">
          <cell r="A505">
            <v>661310000</v>
          </cell>
          <cell r="E505">
            <v>475.99</v>
          </cell>
          <cell r="F505">
            <v>0</v>
          </cell>
          <cell r="G505" t="str">
            <v>Janvier</v>
          </cell>
        </row>
        <row r="506">
          <cell r="A506">
            <v>661310000</v>
          </cell>
          <cell r="E506">
            <v>1168.77</v>
          </cell>
          <cell r="F506">
            <v>0</v>
          </cell>
          <cell r="G506" t="str">
            <v>Décembre</v>
          </cell>
        </row>
        <row r="507">
          <cell r="A507">
            <v>661310000</v>
          </cell>
          <cell r="E507">
            <v>2593.27</v>
          </cell>
          <cell r="F507">
            <v>0</v>
          </cell>
          <cell r="G507" t="str">
            <v>Février</v>
          </cell>
        </row>
        <row r="508">
          <cell r="A508">
            <v>661310000</v>
          </cell>
          <cell r="E508">
            <v>31130.73</v>
          </cell>
          <cell r="F508">
            <v>0</v>
          </cell>
          <cell r="G508" t="str">
            <v>Mardi</v>
          </cell>
        </row>
        <row r="509">
          <cell r="A509">
            <v>661310000</v>
          </cell>
          <cell r="E509">
            <v>928.99</v>
          </cell>
          <cell r="F509">
            <v>0</v>
          </cell>
          <cell r="G509" t="str">
            <v>Truc</v>
          </cell>
        </row>
        <row r="510">
          <cell r="A510">
            <v>671200000</v>
          </cell>
          <cell r="E510">
            <v>173</v>
          </cell>
          <cell r="F510">
            <v>0</v>
          </cell>
          <cell r="G510" t="str">
            <v>Mai</v>
          </cell>
        </row>
        <row r="511">
          <cell r="A511">
            <v>681120000</v>
          </cell>
          <cell r="E511">
            <v>17872.12</v>
          </cell>
          <cell r="F511">
            <v>0</v>
          </cell>
          <cell r="G511" t="str">
            <v>Mars</v>
          </cell>
        </row>
        <row r="512">
          <cell r="A512">
            <v>681120000</v>
          </cell>
          <cell r="E512">
            <v>2476.7199999999998</v>
          </cell>
          <cell r="F512">
            <v>0</v>
          </cell>
          <cell r="G512" t="str">
            <v>Avril</v>
          </cell>
        </row>
        <row r="513">
          <cell r="A513">
            <v>681120000</v>
          </cell>
          <cell r="E513">
            <v>10524.51</v>
          </cell>
          <cell r="F513">
            <v>0</v>
          </cell>
          <cell r="G513" t="str">
            <v>Juin</v>
          </cell>
        </row>
        <row r="514">
          <cell r="A514">
            <v>681120000</v>
          </cell>
          <cell r="E514">
            <v>89624.08</v>
          </cell>
          <cell r="F514">
            <v>0</v>
          </cell>
          <cell r="G514" t="str">
            <v>Mai</v>
          </cell>
        </row>
        <row r="515">
          <cell r="A515">
            <v>681120000</v>
          </cell>
          <cell r="E515">
            <v>55779.21</v>
          </cell>
          <cell r="F515">
            <v>0</v>
          </cell>
          <cell r="G515" t="str">
            <v>Juillet</v>
          </cell>
        </row>
        <row r="516">
          <cell r="A516">
            <v>681120000</v>
          </cell>
          <cell r="E516">
            <v>28229.68</v>
          </cell>
          <cell r="F516">
            <v>0</v>
          </cell>
          <cell r="G516" t="str">
            <v>Août</v>
          </cell>
        </row>
        <row r="517">
          <cell r="A517">
            <v>681120000</v>
          </cell>
          <cell r="E517">
            <v>25406.51</v>
          </cell>
          <cell r="F517">
            <v>0</v>
          </cell>
          <cell r="G517" t="str">
            <v>Septembre</v>
          </cell>
        </row>
        <row r="518">
          <cell r="A518">
            <v>681120000</v>
          </cell>
          <cell r="E518">
            <v>20509.349999999999</v>
          </cell>
          <cell r="F518">
            <v>0</v>
          </cell>
          <cell r="G518" t="str">
            <v>Octobre</v>
          </cell>
        </row>
        <row r="519">
          <cell r="A519">
            <v>681120000</v>
          </cell>
          <cell r="E519">
            <v>44306.09</v>
          </cell>
          <cell r="F519">
            <v>0</v>
          </cell>
          <cell r="G519" t="str">
            <v>Janvier</v>
          </cell>
        </row>
        <row r="520">
          <cell r="A520">
            <v>681120000</v>
          </cell>
          <cell r="E520">
            <v>1140.55</v>
          </cell>
          <cell r="F520">
            <v>0</v>
          </cell>
          <cell r="G520" t="str">
            <v>Novembre</v>
          </cell>
        </row>
        <row r="521">
          <cell r="A521">
            <v>681120000</v>
          </cell>
          <cell r="E521">
            <v>19680.48</v>
          </cell>
          <cell r="F521">
            <v>0</v>
          </cell>
          <cell r="G521" t="str">
            <v>Décembre</v>
          </cell>
        </row>
        <row r="522">
          <cell r="A522">
            <v>681120000</v>
          </cell>
          <cell r="E522">
            <v>721.32</v>
          </cell>
          <cell r="F522">
            <v>0</v>
          </cell>
          <cell r="G522" t="str">
            <v>Février</v>
          </cell>
        </row>
        <row r="523">
          <cell r="A523">
            <v>681120000</v>
          </cell>
          <cell r="E523">
            <v>590843.17000000004</v>
          </cell>
          <cell r="F523">
            <v>0</v>
          </cell>
          <cell r="G523" t="str">
            <v>Mardi</v>
          </cell>
        </row>
        <row r="524">
          <cell r="A524">
            <v>681120000</v>
          </cell>
          <cell r="E524">
            <v>1438.87</v>
          </cell>
          <cell r="F524">
            <v>0</v>
          </cell>
          <cell r="G524" t="str">
            <v>Lundi</v>
          </cell>
        </row>
        <row r="525">
          <cell r="A525">
            <v>706000000</v>
          </cell>
          <cell r="E525">
            <v>0</v>
          </cell>
          <cell r="F525">
            <v>93875.199999999997</v>
          </cell>
          <cell r="G525" t="str">
            <v>Mars</v>
          </cell>
        </row>
        <row r="526">
          <cell r="A526">
            <v>706000000</v>
          </cell>
          <cell r="E526">
            <v>0</v>
          </cell>
          <cell r="F526">
            <v>56108.92</v>
          </cell>
          <cell r="G526" t="str">
            <v>Avril</v>
          </cell>
        </row>
        <row r="527">
          <cell r="A527">
            <v>706000000</v>
          </cell>
          <cell r="E527">
            <v>0</v>
          </cell>
          <cell r="F527">
            <v>49152.959999999999</v>
          </cell>
          <cell r="G527" t="str">
            <v>Juin</v>
          </cell>
        </row>
        <row r="528">
          <cell r="A528">
            <v>706000000</v>
          </cell>
          <cell r="E528">
            <v>0</v>
          </cell>
          <cell r="F528">
            <v>197920.4</v>
          </cell>
          <cell r="G528" t="str">
            <v>Mai</v>
          </cell>
        </row>
        <row r="529">
          <cell r="A529">
            <v>706000000</v>
          </cell>
          <cell r="E529">
            <v>0</v>
          </cell>
          <cell r="F529">
            <v>191017.78</v>
          </cell>
          <cell r="G529" t="str">
            <v>Juillet</v>
          </cell>
        </row>
        <row r="530">
          <cell r="A530">
            <v>706000000</v>
          </cell>
          <cell r="E530">
            <v>0</v>
          </cell>
          <cell r="F530">
            <v>117042.48</v>
          </cell>
          <cell r="G530" t="str">
            <v>Août</v>
          </cell>
        </row>
        <row r="531">
          <cell r="A531">
            <v>706000000</v>
          </cell>
          <cell r="E531">
            <v>0</v>
          </cell>
          <cell r="F531">
            <v>50923.28</v>
          </cell>
          <cell r="G531" t="str">
            <v>Septembre</v>
          </cell>
        </row>
        <row r="532">
          <cell r="A532">
            <v>706000000</v>
          </cell>
          <cell r="E532">
            <v>0</v>
          </cell>
          <cell r="F532">
            <v>138305.01999999999</v>
          </cell>
          <cell r="G532" t="str">
            <v>Octobre</v>
          </cell>
        </row>
        <row r="533">
          <cell r="A533">
            <v>706000000</v>
          </cell>
          <cell r="E533">
            <v>0</v>
          </cell>
          <cell r="F533">
            <v>196564.72</v>
          </cell>
          <cell r="G533" t="str">
            <v>Janvier</v>
          </cell>
        </row>
        <row r="534">
          <cell r="A534">
            <v>706000000</v>
          </cell>
          <cell r="E534">
            <v>0</v>
          </cell>
          <cell r="F534">
            <v>120756.4</v>
          </cell>
          <cell r="G534" t="str">
            <v>Novembre</v>
          </cell>
        </row>
        <row r="535">
          <cell r="A535">
            <v>706000000</v>
          </cell>
          <cell r="E535">
            <v>0</v>
          </cell>
          <cell r="F535">
            <v>94238.73</v>
          </cell>
          <cell r="G535" t="str">
            <v>Décembre</v>
          </cell>
        </row>
        <row r="536">
          <cell r="A536">
            <v>706000000</v>
          </cell>
          <cell r="E536">
            <v>0</v>
          </cell>
          <cell r="F536">
            <v>201251.92</v>
          </cell>
          <cell r="G536" t="str">
            <v>Février</v>
          </cell>
        </row>
        <row r="537">
          <cell r="A537">
            <v>706000000</v>
          </cell>
          <cell r="E537">
            <v>0</v>
          </cell>
          <cell r="F537">
            <v>1363924.47</v>
          </cell>
          <cell r="G537" t="str">
            <v>Mardi</v>
          </cell>
        </row>
        <row r="538">
          <cell r="A538">
            <v>706000000</v>
          </cell>
          <cell r="E538">
            <v>0</v>
          </cell>
          <cell r="F538">
            <v>91504.4</v>
          </cell>
          <cell r="G538" t="str">
            <v>Lundi</v>
          </cell>
        </row>
        <row r="539">
          <cell r="A539">
            <v>707217131</v>
          </cell>
          <cell r="E539">
            <v>0</v>
          </cell>
          <cell r="F539">
            <v>1058369.21</v>
          </cell>
          <cell r="G539" t="str">
            <v>Truc</v>
          </cell>
        </row>
        <row r="540">
          <cell r="A540">
            <v>707227231</v>
          </cell>
          <cell r="E540">
            <v>0</v>
          </cell>
          <cell r="F540">
            <v>2014927.19</v>
          </cell>
          <cell r="G540" t="str">
            <v>Truc</v>
          </cell>
        </row>
        <row r="541">
          <cell r="A541">
            <v>707237331</v>
          </cell>
          <cell r="E541">
            <v>0</v>
          </cell>
          <cell r="F541">
            <v>79865.490000000005</v>
          </cell>
          <cell r="G541" t="str">
            <v>Truc</v>
          </cell>
        </row>
        <row r="542">
          <cell r="A542">
            <v>707247431</v>
          </cell>
          <cell r="E542">
            <v>0</v>
          </cell>
          <cell r="F542">
            <v>14615.84</v>
          </cell>
          <cell r="G542" t="str">
            <v>Truc</v>
          </cell>
        </row>
        <row r="543">
          <cell r="A543">
            <v>707297131</v>
          </cell>
          <cell r="E543">
            <v>0</v>
          </cell>
          <cell r="F543">
            <v>164936.16</v>
          </cell>
          <cell r="G543" t="str">
            <v>Truc</v>
          </cell>
        </row>
        <row r="544">
          <cell r="A544">
            <v>707822201</v>
          </cell>
          <cell r="E544">
            <v>0</v>
          </cell>
          <cell r="F544">
            <v>17620</v>
          </cell>
          <cell r="G544" t="str">
            <v>Truc</v>
          </cell>
        </row>
        <row r="545">
          <cell r="A545">
            <v>707822901</v>
          </cell>
          <cell r="E545">
            <v>0</v>
          </cell>
          <cell r="F545">
            <v>11050</v>
          </cell>
          <cell r="G545" t="str">
            <v>Truc</v>
          </cell>
        </row>
        <row r="546">
          <cell r="A546">
            <v>708800000</v>
          </cell>
          <cell r="E546">
            <v>0</v>
          </cell>
          <cell r="F546">
            <v>1983</v>
          </cell>
          <cell r="G546" t="str">
            <v>Juin</v>
          </cell>
        </row>
        <row r="547">
          <cell r="A547">
            <v>708800000</v>
          </cell>
          <cell r="E547">
            <v>0</v>
          </cell>
          <cell r="F547">
            <v>3625</v>
          </cell>
          <cell r="G547" t="str">
            <v>Mai</v>
          </cell>
        </row>
        <row r="548">
          <cell r="A548">
            <v>708800000</v>
          </cell>
          <cell r="E548">
            <v>0</v>
          </cell>
          <cell r="F548">
            <v>1150</v>
          </cell>
          <cell r="G548" t="str">
            <v>Juillet</v>
          </cell>
        </row>
        <row r="549">
          <cell r="A549">
            <v>708800000</v>
          </cell>
          <cell r="E549">
            <v>0</v>
          </cell>
          <cell r="F549">
            <v>1674</v>
          </cell>
          <cell r="G549" t="str">
            <v>Août</v>
          </cell>
        </row>
        <row r="550">
          <cell r="A550">
            <v>708800000</v>
          </cell>
          <cell r="E550">
            <v>163</v>
          </cell>
          <cell r="F550">
            <v>0</v>
          </cell>
          <cell r="G550" t="str">
            <v>Février</v>
          </cell>
        </row>
        <row r="551">
          <cell r="A551">
            <v>708800000</v>
          </cell>
          <cell r="E551">
            <v>0</v>
          </cell>
          <cell r="F551">
            <v>0</v>
          </cell>
          <cell r="G551" t="str">
            <v>Mardi</v>
          </cell>
        </row>
        <row r="552">
          <cell r="A552">
            <v>708801000</v>
          </cell>
          <cell r="E552">
            <v>0</v>
          </cell>
          <cell r="F552">
            <v>6704</v>
          </cell>
          <cell r="G552" t="str">
            <v>Mars</v>
          </cell>
        </row>
        <row r="553">
          <cell r="A553">
            <v>708801000</v>
          </cell>
          <cell r="E553">
            <v>0</v>
          </cell>
          <cell r="F553">
            <v>5900</v>
          </cell>
          <cell r="G553" t="str">
            <v>Avril</v>
          </cell>
        </row>
        <row r="554">
          <cell r="A554">
            <v>708801000</v>
          </cell>
          <cell r="E554">
            <v>0</v>
          </cell>
          <cell r="F554">
            <v>3512</v>
          </cell>
          <cell r="G554" t="str">
            <v>Juin</v>
          </cell>
        </row>
        <row r="555">
          <cell r="A555">
            <v>708801000</v>
          </cell>
          <cell r="E555">
            <v>0</v>
          </cell>
          <cell r="F555">
            <v>18264</v>
          </cell>
          <cell r="G555" t="str">
            <v>Mai</v>
          </cell>
        </row>
        <row r="556">
          <cell r="A556">
            <v>708801000</v>
          </cell>
          <cell r="E556">
            <v>0</v>
          </cell>
          <cell r="F556">
            <v>17960</v>
          </cell>
          <cell r="G556" t="str">
            <v>Juillet</v>
          </cell>
        </row>
        <row r="557">
          <cell r="A557">
            <v>708801000</v>
          </cell>
          <cell r="E557">
            <v>0</v>
          </cell>
          <cell r="F557">
            <v>8288</v>
          </cell>
          <cell r="G557" t="str">
            <v>Août</v>
          </cell>
        </row>
        <row r="558">
          <cell r="A558">
            <v>708801000</v>
          </cell>
          <cell r="E558">
            <v>0</v>
          </cell>
          <cell r="F558">
            <v>1372</v>
          </cell>
          <cell r="G558" t="str">
            <v>Septembre</v>
          </cell>
        </row>
        <row r="559">
          <cell r="A559">
            <v>708801000</v>
          </cell>
          <cell r="E559">
            <v>0</v>
          </cell>
          <cell r="F559">
            <v>5048</v>
          </cell>
          <cell r="G559" t="str">
            <v>Octobre</v>
          </cell>
        </row>
        <row r="560">
          <cell r="A560">
            <v>708801000</v>
          </cell>
          <cell r="E560">
            <v>0</v>
          </cell>
          <cell r="F560">
            <v>8128</v>
          </cell>
          <cell r="G560" t="str">
            <v>Janvier</v>
          </cell>
        </row>
        <row r="561">
          <cell r="A561">
            <v>708801000</v>
          </cell>
          <cell r="E561">
            <v>0</v>
          </cell>
          <cell r="F561">
            <v>12324</v>
          </cell>
          <cell r="G561" t="str">
            <v>Novembre</v>
          </cell>
        </row>
        <row r="562">
          <cell r="A562">
            <v>708801000</v>
          </cell>
          <cell r="E562">
            <v>0</v>
          </cell>
          <cell r="F562">
            <v>2300</v>
          </cell>
          <cell r="G562" t="str">
            <v>Décembre</v>
          </cell>
        </row>
        <row r="563">
          <cell r="A563">
            <v>708801000</v>
          </cell>
          <cell r="E563">
            <v>0</v>
          </cell>
          <cell r="F563">
            <v>12768</v>
          </cell>
          <cell r="G563" t="str">
            <v>Février</v>
          </cell>
        </row>
        <row r="564">
          <cell r="A564">
            <v>708801000</v>
          </cell>
          <cell r="E564">
            <v>0</v>
          </cell>
          <cell r="F564">
            <v>103468</v>
          </cell>
          <cell r="G564" t="str">
            <v>Mardi</v>
          </cell>
        </row>
        <row r="565">
          <cell r="A565">
            <v>708801000</v>
          </cell>
          <cell r="E565">
            <v>0</v>
          </cell>
          <cell r="F565">
            <v>3160</v>
          </cell>
          <cell r="G565" t="str">
            <v>Lundi</v>
          </cell>
        </row>
        <row r="566">
          <cell r="A566">
            <v>708804000</v>
          </cell>
          <cell r="E566">
            <v>0</v>
          </cell>
          <cell r="F566">
            <v>24776.52</v>
          </cell>
          <cell r="G566" t="str">
            <v>Février</v>
          </cell>
        </row>
        <row r="567">
          <cell r="A567">
            <v>758000000</v>
          </cell>
          <cell r="E567">
            <v>0</v>
          </cell>
          <cell r="F567">
            <v>0.03</v>
          </cell>
          <cell r="G567" t="str">
            <v>Mars</v>
          </cell>
        </row>
        <row r="568">
          <cell r="A568">
            <v>758000000</v>
          </cell>
          <cell r="E568">
            <v>0</v>
          </cell>
          <cell r="F568">
            <v>1.35</v>
          </cell>
          <cell r="G568" t="str">
            <v>Avril</v>
          </cell>
        </row>
        <row r="569">
          <cell r="A569">
            <v>758000000</v>
          </cell>
          <cell r="E569">
            <v>0</v>
          </cell>
          <cell r="F569">
            <v>0.13</v>
          </cell>
          <cell r="G569" t="str">
            <v>Mai</v>
          </cell>
        </row>
        <row r="570">
          <cell r="A570">
            <v>758000000</v>
          </cell>
          <cell r="E570">
            <v>0</v>
          </cell>
          <cell r="F570">
            <v>0.4</v>
          </cell>
          <cell r="G570" t="str">
            <v>Juillet</v>
          </cell>
        </row>
        <row r="571">
          <cell r="A571">
            <v>758000000</v>
          </cell>
          <cell r="E571">
            <v>0</v>
          </cell>
          <cell r="F571">
            <v>0.53</v>
          </cell>
          <cell r="G571" t="str">
            <v>Septembre</v>
          </cell>
        </row>
        <row r="572">
          <cell r="A572">
            <v>758000000</v>
          </cell>
          <cell r="E572">
            <v>0</v>
          </cell>
          <cell r="F572">
            <v>0.2</v>
          </cell>
          <cell r="G572" t="str">
            <v>Octobre</v>
          </cell>
        </row>
        <row r="573">
          <cell r="A573">
            <v>758000000</v>
          </cell>
          <cell r="E573">
            <v>0</v>
          </cell>
          <cell r="F573">
            <v>0.2</v>
          </cell>
          <cell r="G573" t="str">
            <v>Janvier</v>
          </cell>
        </row>
        <row r="574">
          <cell r="A574">
            <v>758000000</v>
          </cell>
          <cell r="E574">
            <v>0</v>
          </cell>
          <cell r="F574">
            <v>0.23</v>
          </cell>
          <cell r="G574" t="str">
            <v>Décembre</v>
          </cell>
        </row>
        <row r="575">
          <cell r="A575">
            <v>758000000</v>
          </cell>
          <cell r="E575">
            <v>0</v>
          </cell>
          <cell r="F575">
            <v>2.1</v>
          </cell>
          <cell r="G575" t="str">
            <v>Mardi</v>
          </cell>
        </row>
        <row r="576">
          <cell r="A576">
            <v>758000000</v>
          </cell>
          <cell r="E576">
            <v>0</v>
          </cell>
          <cell r="F576">
            <v>1.43</v>
          </cell>
          <cell r="G576" t="str">
            <v>Lundi</v>
          </cell>
        </row>
        <row r="577">
          <cell r="A577">
            <v>763100000</v>
          </cell>
          <cell r="E577">
            <v>0</v>
          </cell>
          <cell r="F577">
            <v>16.21</v>
          </cell>
          <cell r="G577" t="str">
            <v>Mars</v>
          </cell>
        </row>
        <row r="578">
          <cell r="A578">
            <v>763100000</v>
          </cell>
          <cell r="E578">
            <v>0</v>
          </cell>
          <cell r="F578">
            <v>21.54</v>
          </cell>
          <cell r="G578" t="str">
            <v>Avril</v>
          </cell>
        </row>
        <row r="579">
          <cell r="A579">
            <v>763100000</v>
          </cell>
          <cell r="E579">
            <v>0</v>
          </cell>
          <cell r="F579">
            <v>19.09</v>
          </cell>
          <cell r="G579" t="str">
            <v>Truc</v>
          </cell>
        </row>
        <row r="580">
          <cell r="A580">
            <v>763100000</v>
          </cell>
          <cell r="E580">
            <v>0</v>
          </cell>
          <cell r="F580">
            <v>31.82</v>
          </cell>
          <cell r="G580" t="str">
            <v>Octobre</v>
          </cell>
        </row>
        <row r="581">
          <cell r="A581">
            <v>763100000</v>
          </cell>
          <cell r="E581">
            <v>0</v>
          </cell>
          <cell r="F581">
            <v>34.19</v>
          </cell>
          <cell r="G581" t="str">
            <v>Novembre</v>
          </cell>
        </row>
        <row r="582">
          <cell r="A582">
            <v>763100000</v>
          </cell>
          <cell r="E582">
            <v>0</v>
          </cell>
          <cell r="F582">
            <v>29.43</v>
          </cell>
          <cell r="G582" t="str">
            <v>Truc</v>
          </cell>
        </row>
        <row r="583">
          <cell r="A583">
            <v>763100000</v>
          </cell>
          <cell r="E583">
            <v>0</v>
          </cell>
          <cell r="F583">
            <v>9.9</v>
          </cell>
          <cell r="G583" t="str">
            <v>Lundi</v>
          </cell>
        </row>
        <row r="584">
          <cell r="A584">
            <v>880000000</v>
          </cell>
          <cell r="E584">
            <v>0</v>
          </cell>
          <cell r="F584">
            <v>183616.49</v>
          </cell>
          <cell r="G584" t="str">
            <v>Mars</v>
          </cell>
        </row>
        <row r="585">
          <cell r="A585">
            <v>880000000</v>
          </cell>
          <cell r="E585">
            <v>0</v>
          </cell>
          <cell r="F585">
            <v>113170.11</v>
          </cell>
          <cell r="G585" t="str">
            <v>Avril</v>
          </cell>
        </row>
        <row r="586">
          <cell r="A586">
            <v>880000000</v>
          </cell>
          <cell r="E586">
            <v>0</v>
          </cell>
          <cell r="F586">
            <v>109631.89</v>
          </cell>
          <cell r="G586" t="str">
            <v>Juin</v>
          </cell>
        </row>
        <row r="587">
          <cell r="A587">
            <v>880000000</v>
          </cell>
          <cell r="E587">
            <v>0</v>
          </cell>
          <cell r="F587">
            <v>0</v>
          </cell>
          <cell r="G587" t="str">
            <v>Truc</v>
          </cell>
        </row>
        <row r="588">
          <cell r="A588">
            <v>880000000</v>
          </cell>
          <cell r="E588">
            <v>0</v>
          </cell>
          <cell r="F588">
            <v>290787.84999999998</v>
          </cell>
          <cell r="G588" t="str">
            <v>Mai</v>
          </cell>
        </row>
        <row r="589">
          <cell r="A589">
            <v>880000000</v>
          </cell>
          <cell r="E589">
            <v>0</v>
          </cell>
          <cell r="F589">
            <v>300928.17</v>
          </cell>
          <cell r="G589" t="str">
            <v>Juillet</v>
          </cell>
        </row>
        <row r="590">
          <cell r="A590">
            <v>880000000</v>
          </cell>
          <cell r="E590">
            <v>0</v>
          </cell>
          <cell r="F590">
            <v>219690.8</v>
          </cell>
          <cell r="G590" t="str">
            <v>Août</v>
          </cell>
        </row>
        <row r="591">
          <cell r="A591">
            <v>880000000</v>
          </cell>
          <cell r="E591">
            <v>3908.01</v>
          </cell>
          <cell r="F591">
            <v>0</v>
          </cell>
          <cell r="G591" t="str">
            <v>Truc</v>
          </cell>
        </row>
        <row r="592">
          <cell r="A592">
            <v>880000000</v>
          </cell>
          <cell r="E592">
            <v>0</v>
          </cell>
          <cell r="F592">
            <v>50165.31</v>
          </cell>
          <cell r="G592" t="str">
            <v>Septembre</v>
          </cell>
        </row>
        <row r="593">
          <cell r="A593">
            <v>880000000</v>
          </cell>
          <cell r="E593">
            <v>0</v>
          </cell>
          <cell r="F593">
            <v>0</v>
          </cell>
          <cell r="G593" t="str">
            <v>Truc</v>
          </cell>
        </row>
        <row r="594">
          <cell r="A594">
            <v>880000000</v>
          </cell>
          <cell r="E594">
            <v>47001.78</v>
          </cell>
          <cell r="F594">
            <v>0</v>
          </cell>
          <cell r="G594" t="str">
            <v>Truc</v>
          </cell>
        </row>
        <row r="595">
          <cell r="A595">
            <v>880000000</v>
          </cell>
          <cell r="E595">
            <v>0</v>
          </cell>
          <cell r="F595">
            <v>338469.78</v>
          </cell>
          <cell r="G595" t="str">
            <v>Octobre</v>
          </cell>
        </row>
        <row r="596">
          <cell r="A596">
            <v>880000000</v>
          </cell>
          <cell r="E596">
            <v>0</v>
          </cell>
          <cell r="F596">
            <v>180643.76</v>
          </cell>
          <cell r="G596" t="str">
            <v>Janvier</v>
          </cell>
        </row>
        <row r="597">
          <cell r="A597">
            <v>880000000</v>
          </cell>
          <cell r="E597">
            <v>0</v>
          </cell>
          <cell r="F597">
            <v>350524.83</v>
          </cell>
          <cell r="G597" t="str">
            <v>Novembre</v>
          </cell>
        </row>
        <row r="598">
          <cell r="A598">
            <v>880000000</v>
          </cell>
          <cell r="E598">
            <v>0</v>
          </cell>
          <cell r="F598">
            <v>102511.42</v>
          </cell>
          <cell r="G598" t="str">
            <v>Décembre</v>
          </cell>
        </row>
        <row r="599">
          <cell r="A599">
            <v>880000000</v>
          </cell>
          <cell r="E599">
            <v>10683.19</v>
          </cell>
          <cell r="F599">
            <v>0</v>
          </cell>
          <cell r="G599" t="str">
            <v>Truc</v>
          </cell>
        </row>
        <row r="600">
          <cell r="A600">
            <v>880000000</v>
          </cell>
          <cell r="E600">
            <v>0</v>
          </cell>
          <cell r="F600">
            <v>183502.05</v>
          </cell>
          <cell r="G600" t="str">
            <v>Février</v>
          </cell>
        </row>
        <row r="601">
          <cell r="A601">
            <v>880000000</v>
          </cell>
          <cell r="E601">
            <v>151526.78</v>
          </cell>
          <cell r="F601">
            <v>0</v>
          </cell>
          <cell r="G601" t="str">
            <v>Truc</v>
          </cell>
        </row>
        <row r="602">
          <cell r="A602">
            <v>880000000</v>
          </cell>
          <cell r="E602">
            <v>0</v>
          </cell>
          <cell r="F602">
            <v>249098.57</v>
          </cell>
          <cell r="G602" t="str">
            <v>Mardi</v>
          </cell>
        </row>
        <row r="603">
          <cell r="A603">
            <v>880000000</v>
          </cell>
          <cell r="E603">
            <v>76101.69</v>
          </cell>
          <cell r="F603">
            <v>0</v>
          </cell>
          <cell r="G603" t="str">
            <v>Truc</v>
          </cell>
        </row>
        <row r="604">
          <cell r="A604">
            <v>880000000</v>
          </cell>
          <cell r="E604">
            <v>63461.03</v>
          </cell>
          <cell r="F604">
            <v>0</v>
          </cell>
          <cell r="G604" t="str">
            <v>Truc</v>
          </cell>
        </row>
        <row r="605">
          <cell r="A605">
            <v>880000000</v>
          </cell>
          <cell r="E605">
            <v>0</v>
          </cell>
          <cell r="F605">
            <v>60347.53</v>
          </cell>
          <cell r="G605" t="str">
            <v>Lundi</v>
          </cell>
        </row>
        <row r="606">
          <cell r="A606">
            <v>880000000</v>
          </cell>
          <cell r="E606">
            <v>480063.68</v>
          </cell>
          <cell r="F606">
            <v>0</v>
          </cell>
          <cell r="G606" t="str">
            <v>Truc</v>
          </cell>
        </row>
      </sheetData>
    </sheetDataSet>
  </externalBook>
</externalLink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3" backgroundRefresh="0" adjustColumnWidth="0" connectionId="5" xr16:uid="{228049E9-A86D-4F57-96E8-5C4A91989B33}" autoFormatId="16" applyNumberFormats="0" applyBorderFormats="0" applyFontFormats="0" applyPatternFormats="0" applyAlignmentFormats="0" applyWidthHeightFormats="0">
  <queryTableRefresh preserveSortFilterLayout="0" nextId="22">
    <queryTableFields count="21">
      <queryTableField id="1" name="Société" tableColumnId="43"/>
      <queryTableField id="2" name="TOTAL" tableColumnId="44"/>
      <queryTableField id="3" name="FDR" tableColumnId="45"/>
      <queryTableField id="4" name="BFR" tableColumnId="46"/>
      <queryTableField id="5" name="C/C" tableColumnId="47"/>
      <queryTableField id="6" name="RESULTAT" tableColumnId="48"/>
      <queryTableField id="7" name="EBIT" tableColumnId="49"/>
      <queryTableField id="8" name="PRODUITS FINANCIERES" tableColumnId="50"/>
      <queryTableField id="9" name="CHARGES FINANCIERES" tableColumnId="51"/>
      <queryTableField id="10" name="DOTATIONS" tableColumnId="52"/>
      <queryTableField id="11" name="CAPITAL" tableColumnId="53"/>
      <queryTableField id="12" name="TERRAINS" tableColumnId="54"/>
      <queryTableField id="13" name="AMÉNAGEMENT DE TERRAINS" tableColumnId="55"/>
      <queryTableField id="14" name="CONSTRUCTIONS" tableColumnId="56"/>
      <queryTableField id="15" name="LOYERS" tableColumnId="57"/>
      <queryTableField id="16" name="AMORTISSEMENT CONSTRUCTIONS" tableColumnId="58"/>
      <queryTableField id="17" name="AMORTISSEMENTS INSTALLATIONS GÉNÉRALES ET AGENCEMENTS" tableColumnId="59"/>
      <queryTableField id="18" name="AMORTISSEMENT AGENCEMENTS DE TERRAINS" tableColumnId="60"/>
      <queryTableField id="19" name="AMORTISSEMENTS INSTALLATIONS GÉNÉRALES ET AGENCEMENTS 2" tableColumnId="61"/>
      <queryTableField id="20" name="CONSTRUCTIONS IMMO EN COURS" tableColumnId="62"/>
      <queryTableField id="21" name="INSTALLATIONS TECHNIQUES" tableColumnId="63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30E8390-07B2-4405-9CE3-D6B900C86B0C}" name="Comptes" displayName="Comptes" ref="C1:H26" totalsRowShown="0" headerRowBorderDxfId="69" tableBorderDxfId="68" totalsRowBorderDxfId="67">
  <tableColumns count="6">
    <tableColumn id="1" xr3:uid="{4DCB4DED-26D6-4389-A783-6EA32D7E9735}" name="Numéro compte" dataDxfId="66"/>
    <tableColumn id="2" xr3:uid="{0179B123-2EA9-498D-802C-92A880C10763}" name="Colonne1" dataDxfId="65"/>
    <tableColumn id="3" xr3:uid="{B511A866-287D-48A1-95F8-0913AA039DD9}" name="Libellés" dataDxfId="64"/>
    <tableColumn id="4" xr3:uid="{B3851EAF-684F-42FA-B0CA-908B577D8416}" name="Sens" dataDxfId="63"/>
    <tableColumn id="5" xr3:uid="{A81A3EE6-A50B-4B59-A05D-2087A8B99312}" name="Ordre" dataDxfId="62"/>
    <tableColumn id="8" xr3:uid="{484D2F66-C1DD-4C56-86A1-83DCAFD88717}" name="Synthese" dataDxfId="61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B65F1FB-3C57-4227-8855-612319ADC669}" name="SCI" displayName="SCI" ref="A1:A15" totalsRowShown="0" headerRowDxfId="60" dataDxfId="58" headerRowBorderDxfId="59" tableBorderDxfId="57" totalsRowBorderDxfId="56">
  <autoFilter ref="A1:A15" xr:uid="{876F3433-87AD-4D09-9C8A-FD860F3816C5}"/>
  <tableColumns count="1">
    <tableColumn id="1" xr3:uid="{DCCF3C73-A0CD-45EA-B1B5-6C11CBFD24F6}" name="SCI" dataDxfId="52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A420D69-F1C1-4609-9B55-B8976C1F3777}" name="Final" displayName="Final" ref="C2:W16" tableType="queryTable" totalsRowShown="0" headerRowDxfId="55" dataDxfId="54" totalsRowDxfId="53" dataCellStyle="Milliers">
  <autoFilter ref="C2:W16" xr:uid="{575358D5-0C84-44A4-ADF8-20ACC1549C16}"/>
  <tableColumns count="21">
    <tableColumn id="43" xr3:uid="{8AEA2B1D-E507-4CED-BCE5-D0C71A4CB9FC}" uniqueName="43" name="Société" queryTableFieldId="1" dataDxfId="20" totalsRowDxfId="41" dataCellStyle="Milliers"/>
    <tableColumn id="44" xr3:uid="{29D59C0E-85E3-4798-87E6-C74D7ECA57B6}" uniqueName="44" name="TOTAL" queryTableFieldId="2" dataDxfId="19" totalsRowDxfId="40" dataCellStyle="Monétaire"/>
    <tableColumn id="45" xr3:uid="{B7596765-C778-4D72-96A0-4AEE64446A41}" uniqueName="45" name="FDR" queryTableFieldId="3" dataDxfId="18" totalsRowDxfId="39" dataCellStyle="Monétaire"/>
    <tableColumn id="46" xr3:uid="{AB12E4E6-BF87-4A89-9A6D-5BBB90D3056B}" uniqueName="46" name="BFR" queryTableFieldId="4" dataDxfId="17" totalsRowDxfId="38" dataCellStyle="Monétaire"/>
    <tableColumn id="47" xr3:uid="{10BD0E2F-457B-4198-BCFC-B4622D46BD34}" uniqueName="47" name="C/C" queryTableFieldId="5" dataDxfId="16" totalsRowDxfId="37" dataCellStyle="Monétaire"/>
    <tableColumn id="48" xr3:uid="{A4F92BC5-6837-4667-99C2-BC03C39BF7A6}" uniqueName="48" name="RESULTAT" queryTableFieldId="6" dataDxfId="15" totalsRowDxfId="36" dataCellStyle="Monétaire"/>
    <tableColumn id="49" xr3:uid="{C7BC1EB5-8624-447A-928B-C3FB3C57EA58}" uniqueName="49" name="EBIT" queryTableFieldId="7" dataDxfId="14" totalsRowDxfId="35" dataCellStyle="Monétaire"/>
    <tableColumn id="50" xr3:uid="{50CE6EF9-79E6-4BF4-B2FC-8325D1901C43}" uniqueName="50" name="PRODUITS FINANCIERES" queryTableFieldId="8" dataDxfId="13" totalsRowDxfId="34" dataCellStyle="Monétaire"/>
    <tableColumn id="51" xr3:uid="{F809A792-E92E-4046-ADC3-5E497231D459}" uniqueName="51" name="CHARGES FINANCIERES" queryTableFieldId="9" dataDxfId="12" totalsRowDxfId="33" dataCellStyle="Monétaire"/>
    <tableColumn id="52" xr3:uid="{56F0FB94-87C2-4F9F-9B23-E489EB019991}" uniqueName="52" name="DOTATIONS" queryTableFieldId="10" dataDxfId="11" totalsRowDxfId="32" dataCellStyle="Monétaire"/>
    <tableColumn id="53" xr3:uid="{D54C9EA5-6FEE-4ACA-9281-5F8CCB5864B2}" uniqueName="53" name="CAPITAL" queryTableFieldId="11" dataDxfId="10" totalsRowDxfId="31" dataCellStyle="Monétaire"/>
    <tableColumn id="54" xr3:uid="{F68423A1-7DB3-4740-89F1-680333486BC8}" uniqueName="54" name="TERRAINS" queryTableFieldId="12" dataDxfId="9" totalsRowDxfId="30" dataCellStyle="Monétaire"/>
    <tableColumn id="55" xr3:uid="{B4FADF5C-B7DE-41D2-A46D-42F7CC0E4EBD}" uniqueName="55" name="AMÉNAGEMENT DE TERRAINS" queryTableFieldId="13" dataDxfId="8" totalsRowDxfId="29" dataCellStyle="Monétaire"/>
    <tableColumn id="56" xr3:uid="{4CF6493F-0E33-4CE4-9D91-8584B85D5ECE}" uniqueName="56" name="CONSTRUCTIONS" queryTableFieldId="14" dataDxfId="7" totalsRowDxfId="28" dataCellStyle="Monétaire"/>
    <tableColumn id="57" xr3:uid="{A72797FB-F4E0-4F55-80D7-C28AADE9D752}" uniqueName="57" name="LOYERS" queryTableFieldId="15" dataDxfId="6" totalsRowDxfId="27" dataCellStyle="Monétaire"/>
    <tableColumn id="58" xr3:uid="{5D8CCA41-47B1-43A5-AD37-4F7ECA6DEB40}" uniqueName="58" name="AMORTISSEMENT CONSTRUCTIONS" queryTableFieldId="16" dataDxfId="5" totalsRowDxfId="26" dataCellStyle="Monétaire"/>
    <tableColumn id="59" xr3:uid="{CA5D0A8D-7FE1-474A-B5E6-104745B6147E}" uniqueName="59" name="AMORTISSEMENTS INSTALLATIONS GÉNÉRALES ET AGENCEMENTS" queryTableFieldId="17" dataDxfId="4" totalsRowDxfId="25" dataCellStyle="Monétaire"/>
    <tableColumn id="60" xr3:uid="{92862457-3E36-41BB-AA91-34696AD27A6D}" uniqueName="60" name="AMORTISSEMENT AGENCEMENTS DE TERRAINS" queryTableFieldId="18" dataDxfId="3" totalsRowDxfId="24" dataCellStyle="Monétaire"/>
    <tableColumn id="61" xr3:uid="{D0C72770-B60D-43E2-934D-F5C9E86B4AB5}" uniqueName="61" name="AMORTISSEMENTS INSTALLATIONS GÉNÉRALES ET AGENCEMENTS 2" queryTableFieldId="19" dataDxfId="2" totalsRowDxfId="23" dataCellStyle="Monétaire"/>
    <tableColumn id="62" xr3:uid="{93AB0F69-09AD-48EC-B785-03DBF9DE4425}" uniqueName="62" name="CONSTRUCTIONS IMMO EN COURS" queryTableFieldId="20" dataDxfId="1" totalsRowDxfId="22" dataCellStyle="Monétaire"/>
    <tableColumn id="63" xr3:uid="{E66E73B6-F1A3-408A-9CA4-8A953DF08E3B}" uniqueName="63" name="INSTALLATIONS TECHNIQUES" queryTableFieldId="21" dataDxfId="0" totalsRowDxfId="21" dataCellStyle="Monétaire"/>
  </tableColumns>
  <tableStyleInfo name="TableStyleMedium7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2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3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4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5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6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7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F0D461-76D8-467E-AEEB-3B782ADF905F}">
  <sheetPr codeName="Feuil3">
    <tabColor rgb="FFFF0000"/>
  </sheetPr>
  <dimension ref="A1:N26"/>
  <sheetViews>
    <sheetView workbookViewId="0">
      <selection activeCell="A6" sqref="A6"/>
    </sheetView>
  </sheetViews>
  <sheetFormatPr baseColWidth="10" defaultRowHeight="18" customHeight="1" x14ac:dyDescent="0.25"/>
  <cols>
    <col min="1" max="1" width="29.7109375" style="1" bestFit="1" customWidth="1"/>
    <col min="2" max="2" width="7.140625" style="51" customWidth="1"/>
    <col min="3" max="3" width="27.28515625" style="32" customWidth="1"/>
    <col min="4" max="4" width="14.7109375" style="32" customWidth="1"/>
    <col min="5" max="5" width="58.28515625" style="1" bestFit="1" customWidth="1"/>
    <col min="6" max="7" width="9" style="1" customWidth="1"/>
    <col min="8" max="8" width="59.28515625" style="1" bestFit="1" customWidth="1"/>
    <col min="9" max="9" width="5.42578125" style="1" customWidth="1"/>
    <col min="10" max="10" width="15.28515625" style="1" bestFit="1" customWidth="1"/>
    <col min="11" max="11" width="11.42578125" style="1"/>
    <col min="12" max="12" width="49" style="1" bestFit="1" customWidth="1"/>
    <col min="13" max="13" width="11.42578125" style="1"/>
    <col min="14" max="14" width="45.42578125" style="1" customWidth="1"/>
    <col min="15" max="19" width="11.42578125" style="1"/>
    <col min="20" max="20" width="15.28515625" style="1" bestFit="1" customWidth="1"/>
    <col min="21" max="16384" width="11.42578125" style="1"/>
  </cols>
  <sheetData>
    <row r="1" spans="1:14" ht="18" customHeight="1" x14ac:dyDescent="0.25">
      <c r="A1" s="40" t="s">
        <v>61</v>
      </c>
      <c r="C1" s="48" t="s">
        <v>71</v>
      </c>
      <c r="D1" s="49" t="s">
        <v>94</v>
      </c>
      <c r="E1" s="50" t="s">
        <v>70</v>
      </c>
      <c r="F1" s="42" t="s">
        <v>99</v>
      </c>
      <c r="G1" s="42" t="s">
        <v>102</v>
      </c>
      <c r="H1" s="42" t="s">
        <v>103</v>
      </c>
      <c r="I1" s="32"/>
      <c r="J1" s="25" t="s">
        <v>0</v>
      </c>
      <c r="L1" s="17">
        <f ca="1">TODAY()</f>
        <v>44326</v>
      </c>
    </row>
    <row r="2" spans="1:14" ht="18" customHeight="1" x14ac:dyDescent="0.25">
      <c r="A2" s="91" t="s">
        <v>108</v>
      </c>
      <c r="B2" s="47"/>
      <c r="C2" s="46" t="s">
        <v>8</v>
      </c>
      <c r="D2" s="46" t="s">
        <v>20</v>
      </c>
      <c r="E2" s="43" t="s">
        <v>40</v>
      </c>
      <c r="F2" s="43" t="s">
        <v>100</v>
      </c>
      <c r="G2" s="46">
        <v>1</v>
      </c>
      <c r="H2" s="46" t="s">
        <v>40</v>
      </c>
      <c r="I2" s="32"/>
      <c r="J2" s="25" t="s">
        <v>28</v>
      </c>
      <c r="L2" s="18" t="s">
        <v>86</v>
      </c>
    </row>
    <row r="3" spans="1:14" ht="18" customHeight="1" x14ac:dyDescent="0.25">
      <c r="A3" s="91" t="s">
        <v>109</v>
      </c>
      <c r="B3" s="47"/>
      <c r="C3" s="46" t="s">
        <v>8</v>
      </c>
      <c r="D3" s="46" t="s">
        <v>16</v>
      </c>
      <c r="E3" s="43" t="s">
        <v>1</v>
      </c>
      <c r="F3" s="43" t="s">
        <v>100</v>
      </c>
      <c r="G3" s="46">
        <v>2</v>
      </c>
      <c r="H3" s="46" t="s">
        <v>1</v>
      </c>
      <c r="I3" s="32"/>
      <c r="J3" s="25" t="s">
        <v>80</v>
      </c>
      <c r="L3" s="19">
        <f ca="1">YEAR(L1)</f>
        <v>2021</v>
      </c>
    </row>
    <row r="4" spans="1:14" ht="18" customHeight="1" x14ac:dyDescent="0.25">
      <c r="A4" s="91" t="s">
        <v>110</v>
      </c>
      <c r="B4" s="47"/>
      <c r="C4" s="46" t="s">
        <v>9</v>
      </c>
      <c r="D4" s="46" t="s">
        <v>17</v>
      </c>
      <c r="E4" s="43" t="s">
        <v>2</v>
      </c>
      <c r="F4" s="43" t="s">
        <v>101</v>
      </c>
      <c r="G4" s="46">
        <v>3</v>
      </c>
      <c r="H4" s="46" t="s">
        <v>2</v>
      </c>
      <c r="I4" s="32"/>
      <c r="J4" s="15" t="s">
        <v>93</v>
      </c>
      <c r="L4" s="19">
        <f ca="1">MONTH(L1)-2</f>
        <v>3</v>
      </c>
    </row>
    <row r="5" spans="1:14" ht="18" customHeight="1" x14ac:dyDescent="0.25">
      <c r="A5" s="91" t="s">
        <v>111</v>
      </c>
      <c r="C5" s="46" t="s">
        <v>10</v>
      </c>
      <c r="D5" s="46" t="s">
        <v>18</v>
      </c>
      <c r="E5" s="43" t="s">
        <v>2</v>
      </c>
      <c r="F5" s="43" t="s">
        <v>101</v>
      </c>
      <c r="G5" s="46">
        <v>3</v>
      </c>
      <c r="H5" s="46" t="s">
        <v>2</v>
      </c>
      <c r="I5" s="32"/>
      <c r="J5" s="15" t="s">
        <v>81</v>
      </c>
      <c r="L5" s="17" t="s">
        <v>87</v>
      </c>
    </row>
    <row r="6" spans="1:14" ht="18" customHeight="1" x14ac:dyDescent="0.25">
      <c r="A6" s="91" t="s">
        <v>112</v>
      </c>
      <c r="B6" s="47"/>
      <c r="C6" s="46" t="s">
        <v>11</v>
      </c>
      <c r="D6" s="46" t="s">
        <v>19</v>
      </c>
      <c r="E6" s="43" t="s">
        <v>3</v>
      </c>
      <c r="F6" s="43" t="s">
        <v>101</v>
      </c>
      <c r="G6" s="46">
        <v>4</v>
      </c>
      <c r="H6" s="46" t="s">
        <v>3</v>
      </c>
      <c r="I6" s="32"/>
      <c r="L6" s="18" t="s">
        <v>89</v>
      </c>
    </row>
    <row r="7" spans="1:14" ht="18" customHeight="1" x14ac:dyDescent="0.25">
      <c r="A7" s="91" t="s">
        <v>113</v>
      </c>
      <c r="B7" s="47"/>
      <c r="C7" s="46" t="s">
        <v>12</v>
      </c>
      <c r="D7" s="46" t="s">
        <v>20</v>
      </c>
      <c r="E7" s="43" t="s">
        <v>4</v>
      </c>
      <c r="F7" s="43" t="s">
        <v>100</v>
      </c>
      <c r="G7" s="46">
        <v>5</v>
      </c>
      <c r="H7" s="46" t="s">
        <v>4</v>
      </c>
      <c r="I7" s="32"/>
      <c r="L7" s="19" t="s">
        <v>84</v>
      </c>
      <c r="N7" s="19"/>
    </row>
    <row r="8" spans="1:14" ht="18" customHeight="1" x14ac:dyDescent="0.25">
      <c r="A8" s="91" t="s">
        <v>114</v>
      </c>
      <c r="B8" s="47"/>
      <c r="C8" s="46" t="s">
        <v>12</v>
      </c>
      <c r="D8" s="46" t="s">
        <v>21</v>
      </c>
      <c r="E8" s="43" t="s">
        <v>5</v>
      </c>
      <c r="F8" s="43" t="s">
        <v>100</v>
      </c>
      <c r="G8" s="46">
        <v>6</v>
      </c>
      <c r="H8" s="46" t="s">
        <v>5</v>
      </c>
      <c r="I8" s="32"/>
      <c r="L8" s="1" t="s">
        <v>85</v>
      </c>
    </row>
    <row r="9" spans="1:14" ht="18" customHeight="1" x14ac:dyDescent="0.25">
      <c r="A9" s="91" t="s">
        <v>115</v>
      </c>
      <c r="C9" s="46" t="s">
        <v>13</v>
      </c>
      <c r="D9" s="46" t="s">
        <v>22</v>
      </c>
      <c r="E9" s="43" t="s">
        <v>5</v>
      </c>
      <c r="F9" s="43" t="s">
        <v>100</v>
      </c>
      <c r="G9" s="46">
        <v>6</v>
      </c>
      <c r="H9" s="46" t="s">
        <v>5</v>
      </c>
      <c r="I9" s="32"/>
      <c r="L9" s="1" t="s">
        <v>88</v>
      </c>
    </row>
    <row r="10" spans="1:14" ht="18" customHeight="1" x14ac:dyDescent="0.25">
      <c r="A10" s="91" t="s">
        <v>116</v>
      </c>
      <c r="B10" s="47"/>
      <c r="C10" s="46" t="s">
        <v>14</v>
      </c>
      <c r="D10" s="46" t="s">
        <v>20</v>
      </c>
      <c r="E10" s="43" t="s">
        <v>6</v>
      </c>
      <c r="F10" s="43" t="s">
        <v>100</v>
      </c>
      <c r="G10" s="46">
        <v>7</v>
      </c>
      <c r="H10" s="46" t="s">
        <v>6</v>
      </c>
      <c r="I10" s="32"/>
    </row>
    <row r="11" spans="1:14" ht="18" customHeight="1" x14ac:dyDescent="0.25">
      <c r="A11" s="91" t="s">
        <v>117</v>
      </c>
      <c r="B11" s="47"/>
      <c r="C11" s="46" t="s">
        <v>15</v>
      </c>
      <c r="D11" s="46" t="s">
        <v>23</v>
      </c>
      <c r="E11" s="43" t="s">
        <v>98</v>
      </c>
      <c r="F11" s="43" t="s">
        <v>100</v>
      </c>
      <c r="G11" s="46">
        <v>8</v>
      </c>
      <c r="H11" s="46" t="s">
        <v>98</v>
      </c>
      <c r="I11" s="32"/>
      <c r="L11" s="18"/>
    </row>
    <row r="12" spans="1:14" ht="18" customHeight="1" x14ac:dyDescent="0.25">
      <c r="A12" s="91" t="s">
        <v>118</v>
      </c>
      <c r="B12" s="47"/>
      <c r="C12" s="46" t="s">
        <v>13</v>
      </c>
      <c r="D12" s="46" t="s">
        <v>24</v>
      </c>
      <c r="E12" s="43" t="s">
        <v>7</v>
      </c>
      <c r="F12" s="43" t="s">
        <v>101</v>
      </c>
      <c r="G12" s="46">
        <v>9</v>
      </c>
      <c r="H12" s="46" t="s">
        <v>7</v>
      </c>
      <c r="I12" s="32"/>
    </row>
    <row r="13" spans="1:14" ht="18" customHeight="1" x14ac:dyDescent="0.25">
      <c r="A13" s="91" t="s">
        <v>119</v>
      </c>
      <c r="B13" s="47"/>
      <c r="C13" s="44" t="s">
        <v>38</v>
      </c>
      <c r="D13" s="44" t="s">
        <v>39</v>
      </c>
      <c r="E13" s="44" t="s">
        <v>37</v>
      </c>
      <c r="F13" s="44" t="s">
        <v>100</v>
      </c>
      <c r="G13" s="44">
        <v>8</v>
      </c>
      <c r="H13" s="46" t="s">
        <v>98</v>
      </c>
      <c r="I13" s="32"/>
      <c r="L13" s="19"/>
      <c r="N13" s="19"/>
    </row>
    <row r="14" spans="1:14" ht="18" customHeight="1" x14ac:dyDescent="0.25">
      <c r="A14" s="90" t="s">
        <v>120</v>
      </c>
      <c r="B14" s="47"/>
      <c r="C14" s="44" t="s">
        <v>57</v>
      </c>
      <c r="D14" s="44" t="s">
        <v>58</v>
      </c>
      <c r="E14" s="45" t="s">
        <v>25</v>
      </c>
      <c r="F14" s="45" t="s">
        <v>100</v>
      </c>
      <c r="G14" s="44">
        <v>11</v>
      </c>
      <c r="H14" s="44" t="s">
        <v>25</v>
      </c>
      <c r="I14" s="32"/>
    </row>
    <row r="15" spans="1:14" ht="18" customHeight="1" x14ac:dyDescent="0.25">
      <c r="A15" s="90" t="s">
        <v>121</v>
      </c>
      <c r="B15" s="47"/>
      <c r="C15" s="44" t="s">
        <v>59</v>
      </c>
      <c r="D15" s="44" t="s">
        <v>60</v>
      </c>
      <c r="E15" s="45" t="s">
        <v>97</v>
      </c>
      <c r="F15" s="45" t="s">
        <v>101</v>
      </c>
      <c r="G15" s="44">
        <v>12</v>
      </c>
      <c r="H15" s="44" t="s">
        <v>97</v>
      </c>
      <c r="I15" s="32"/>
      <c r="L15" s="20"/>
    </row>
    <row r="16" spans="1:14" ht="18" customHeight="1" x14ac:dyDescent="0.25">
      <c r="B16" s="47"/>
      <c r="C16" s="44" t="s">
        <v>62</v>
      </c>
      <c r="D16" s="44" t="s">
        <v>63</v>
      </c>
      <c r="E16" s="45" t="s">
        <v>26</v>
      </c>
      <c r="F16" s="45" t="s">
        <v>100</v>
      </c>
      <c r="G16" s="44">
        <v>13</v>
      </c>
      <c r="H16" s="44" t="s">
        <v>26</v>
      </c>
      <c r="I16" s="32"/>
    </row>
    <row r="17" spans="2:9" ht="18" customHeight="1" x14ac:dyDescent="0.25">
      <c r="B17" s="47"/>
      <c r="C17" s="44" t="s">
        <v>64</v>
      </c>
      <c r="D17" s="44" t="s">
        <v>65</v>
      </c>
      <c r="E17" s="45" t="s">
        <v>29</v>
      </c>
      <c r="F17" s="45" t="s">
        <v>100</v>
      </c>
      <c r="G17" s="44">
        <v>14</v>
      </c>
      <c r="H17" s="44" t="s">
        <v>29</v>
      </c>
      <c r="I17" s="32"/>
    </row>
    <row r="18" spans="2:9" ht="18" customHeight="1" x14ac:dyDescent="0.25">
      <c r="B18" s="47"/>
      <c r="C18" s="44" t="s">
        <v>8</v>
      </c>
      <c r="D18" s="44" t="s">
        <v>66</v>
      </c>
      <c r="E18" s="44" t="s">
        <v>30</v>
      </c>
      <c r="F18" s="44" t="s">
        <v>100</v>
      </c>
      <c r="G18" s="44">
        <v>10</v>
      </c>
      <c r="H18" s="44" t="s">
        <v>30</v>
      </c>
      <c r="I18" s="32"/>
    </row>
    <row r="19" spans="2:9" ht="18" customHeight="1" x14ac:dyDescent="0.25">
      <c r="B19" s="47"/>
      <c r="C19" s="44" t="s">
        <v>67</v>
      </c>
      <c r="D19" s="44" t="s">
        <v>68</v>
      </c>
      <c r="E19" s="44" t="s">
        <v>35</v>
      </c>
      <c r="F19" s="44" t="s">
        <v>100</v>
      </c>
      <c r="G19" s="44">
        <v>13</v>
      </c>
      <c r="H19" s="44" t="s">
        <v>26</v>
      </c>
      <c r="I19" s="32"/>
    </row>
    <row r="20" spans="2:9" ht="18" customHeight="1" x14ac:dyDescent="0.25">
      <c r="B20" s="47"/>
      <c r="C20" s="44" t="s">
        <v>50</v>
      </c>
      <c r="D20" s="44" t="s">
        <v>52</v>
      </c>
      <c r="E20" s="44" t="s">
        <v>96</v>
      </c>
      <c r="F20" s="44" t="s">
        <v>100</v>
      </c>
      <c r="G20" s="44">
        <v>16</v>
      </c>
      <c r="H20" s="44" t="s">
        <v>96</v>
      </c>
      <c r="I20" s="32"/>
    </row>
    <row r="21" spans="2:9" ht="18" customHeight="1" x14ac:dyDescent="0.25">
      <c r="B21" s="47"/>
      <c r="C21" s="44" t="s">
        <v>51</v>
      </c>
      <c r="D21" s="44" t="s">
        <v>53</v>
      </c>
      <c r="E21" s="44" t="s">
        <v>56</v>
      </c>
      <c r="F21" s="44" t="s">
        <v>100</v>
      </c>
      <c r="G21" s="44">
        <v>17</v>
      </c>
      <c r="H21" s="44" t="s">
        <v>56</v>
      </c>
      <c r="I21" s="32"/>
    </row>
    <row r="22" spans="2:9" ht="18" customHeight="1" x14ac:dyDescent="0.25">
      <c r="B22" s="47"/>
      <c r="C22" s="44" t="s">
        <v>54</v>
      </c>
      <c r="D22" s="44" t="s">
        <v>55</v>
      </c>
      <c r="E22" s="44" t="s">
        <v>96</v>
      </c>
      <c r="F22" s="44" t="s">
        <v>100</v>
      </c>
      <c r="G22" s="44">
        <v>18</v>
      </c>
      <c r="H22" s="44" t="s">
        <v>104</v>
      </c>
      <c r="I22" s="32"/>
    </row>
    <row r="23" spans="2:9" ht="18" customHeight="1" x14ac:dyDescent="0.25">
      <c r="B23" s="47"/>
      <c r="C23" s="46" t="s">
        <v>69</v>
      </c>
      <c r="D23" s="46" t="s">
        <v>75</v>
      </c>
      <c r="E23" s="44" t="s">
        <v>36</v>
      </c>
      <c r="F23" s="44" t="s">
        <v>100</v>
      </c>
      <c r="G23" s="44">
        <v>15</v>
      </c>
      <c r="H23" s="44" t="s">
        <v>36</v>
      </c>
      <c r="I23" s="32"/>
    </row>
    <row r="24" spans="2:9" ht="18" customHeight="1" x14ac:dyDescent="0.25">
      <c r="C24" s="46" t="s">
        <v>73</v>
      </c>
      <c r="D24" s="46" t="s">
        <v>74</v>
      </c>
      <c r="E24" s="45" t="s">
        <v>72</v>
      </c>
      <c r="F24" s="45" t="s">
        <v>100</v>
      </c>
      <c r="G24" s="44">
        <v>19</v>
      </c>
      <c r="H24" s="44" t="s">
        <v>72</v>
      </c>
      <c r="I24" s="32"/>
    </row>
    <row r="25" spans="2:9" ht="18" customHeight="1" x14ac:dyDescent="0.25">
      <c r="C25" s="44" t="s">
        <v>78</v>
      </c>
      <c r="D25" s="44" t="s">
        <v>79</v>
      </c>
      <c r="E25" s="45" t="s">
        <v>76</v>
      </c>
      <c r="F25" s="45" t="s">
        <v>100</v>
      </c>
      <c r="G25" s="44">
        <v>20</v>
      </c>
      <c r="H25" s="44" t="s">
        <v>76</v>
      </c>
      <c r="I25" s="32"/>
    </row>
    <row r="26" spans="2:9" ht="18" customHeight="1" x14ac:dyDescent="0.25">
      <c r="C26" s="44" t="s">
        <v>50</v>
      </c>
      <c r="D26" s="44" t="s">
        <v>52</v>
      </c>
      <c r="E26" s="45" t="s">
        <v>77</v>
      </c>
      <c r="F26" s="45" t="s">
        <v>100</v>
      </c>
      <c r="G26" s="44">
        <v>20</v>
      </c>
      <c r="H26" s="44" t="s">
        <v>76</v>
      </c>
      <c r="I26" s="32"/>
    </row>
  </sheetData>
  <phoneticPr fontId="7" type="noConversion"/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128C36-7A81-433E-9D7F-CF8915AD42AE}">
  <sheetPr codeName="Feuil1">
    <tabColor rgb="FF00B050"/>
  </sheetPr>
  <dimension ref="A1:U35"/>
  <sheetViews>
    <sheetView zoomScale="120" zoomScaleNormal="120" workbookViewId="0">
      <pane xSplit="1" ySplit="3" topLeftCell="B4" activePane="bottomRight" state="frozen"/>
      <selection pane="topRight" activeCell="B1" sqref="B1"/>
      <selection pane="bottomLeft" activeCell="A3" sqref="A3"/>
      <selection pane="bottomRight" activeCell="H25" sqref="H25"/>
    </sheetView>
  </sheetViews>
  <sheetFormatPr baseColWidth="10" defaultRowHeight="15" x14ac:dyDescent="0.25"/>
  <cols>
    <col min="1" max="1" width="48.28515625" style="3" customWidth="1"/>
    <col min="2" max="2" width="14.42578125" style="3" bestFit="1" customWidth="1"/>
    <col min="3" max="3" width="15.5703125" style="3" bestFit="1" customWidth="1"/>
    <col min="4" max="4" width="17.5703125" style="3" bestFit="1" customWidth="1"/>
    <col min="5" max="5" width="16.140625" style="3" bestFit="1" customWidth="1"/>
    <col min="6" max="6" width="15" style="3" bestFit="1" customWidth="1"/>
    <col min="7" max="7" width="14.42578125" style="3" bestFit="1" customWidth="1"/>
    <col min="8" max="8" width="28.140625" style="3" bestFit="1" customWidth="1"/>
    <col min="9" max="9" width="26.42578125" style="3" bestFit="1" customWidth="1"/>
    <col min="10" max="10" width="16.7109375" style="3" bestFit="1" customWidth="1"/>
    <col min="11" max="11" width="16.7109375" style="3" customWidth="1"/>
    <col min="12" max="12" width="15.5703125" style="3" bestFit="1" customWidth="1"/>
    <col min="13" max="13" width="31.5703125" style="3" bestFit="1" customWidth="1"/>
    <col min="14" max="14" width="20.7109375" style="3" bestFit="1" customWidth="1"/>
    <col min="15" max="15" width="16.140625" style="3" bestFit="1" customWidth="1"/>
    <col min="16" max="16" width="36.85546875" style="3" bestFit="1" customWidth="1"/>
    <col min="17" max="17" width="63.140625" style="3" bestFit="1" customWidth="1"/>
    <col min="18" max="18" width="47.140625" style="3" bestFit="1" customWidth="1"/>
    <col min="19" max="19" width="63.140625" style="3" bestFit="1" customWidth="1"/>
    <col min="20" max="20" width="36.28515625" style="3" bestFit="1" customWidth="1"/>
    <col min="21" max="21" width="31.28515625" style="3" bestFit="1" customWidth="1"/>
    <col min="22" max="16384" width="11.42578125" style="3"/>
  </cols>
  <sheetData>
    <row r="1" spans="1:21" ht="24" customHeight="1" thickBot="1" x14ac:dyDescent="0.3">
      <c r="A1" s="5" t="s">
        <v>107</v>
      </c>
      <c r="B1" s="84" t="s">
        <v>32</v>
      </c>
      <c r="C1" s="85"/>
      <c r="D1" s="85"/>
      <c r="E1" s="85"/>
      <c r="F1" s="85"/>
      <c r="G1" s="85"/>
      <c r="H1" s="85"/>
      <c r="I1" s="85"/>
      <c r="J1" s="85"/>
      <c r="K1" s="86"/>
      <c r="L1" s="84" t="s">
        <v>27</v>
      </c>
      <c r="M1" s="85"/>
      <c r="N1" s="85"/>
      <c r="O1" s="85"/>
      <c r="P1" s="85"/>
      <c r="Q1" s="85"/>
      <c r="R1" s="85"/>
      <c r="S1" s="85"/>
      <c r="T1" s="85"/>
      <c r="U1" s="86"/>
    </row>
    <row r="2" spans="1:21" ht="15.75" customHeight="1" thickBot="1" x14ac:dyDescent="0.3">
      <c r="A2" s="6" t="s">
        <v>33</v>
      </c>
      <c r="B2" s="76"/>
      <c r="C2" s="77"/>
      <c r="D2" s="77"/>
      <c r="E2" s="77"/>
      <c r="F2" s="77"/>
      <c r="G2" s="77"/>
      <c r="H2" s="77"/>
      <c r="I2" s="77"/>
      <c r="J2" s="77"/>
      <c r="K2" s="78"/>
      <c r="L2" s="87"/>
      <c r="M2" s="88"/>
      <c r="N2" s="88"/>
      <c r="O2" s="88"/>
      <c r="P2" s="88"/>
      <c r="Q2" s="88"/>
      <c r="R2" s="88"/>
      <c r="S2" s="88"/>
      <c r="T2" s="88"/>
      <c r="U2" s="89"/>
    </row>
    <row r="3" spans="1:21" s="37" customFormat="1" ht="16.5" thickBot="1" x14ac:dyDescent="0.3">
      <c r="A3" s="33" t="str">
        <f>[1]Feuil1!$G$1</f>
        <v>Société</v>
      </c>
      <c r="B3" s="34" t="str">
        <f>Legende!J1</f>
        <v>Total</v>
      </c>
      <c r="C3" s="34" t="str">
        <f>Legende!E3</f>
        <v>FDR</v>
      </c>
      <c r="D3" s="34" t="str">
        <f>Legende!E4</f>
        <v>BFR</v>
      </c>
      <c r="E3" s="34" t="str">
        <f>Legende!E6</f>
        <v>C/C</v>
      </c>
      <c r="F3" s="34" t="str">
        <f>Legende!E7</f>
        <v>RESULTAT</v>
      </c>
      <c r="G3" s="34" t="str">
        <f>Legende!E8</f>
        <v>EBIT</v>
      </c>
      <c r="H3" s="34" t="str">
        <f>Legende!E10</f>
        <v>PRODUITS FINANCIERES</v>
      </c>
      <c r="I3" s="34" t="str">
        <f>Legende!E11</f>
        <v>CHARGES FINANCIERES</v>
      </c>
      <c r="J3" s="34" t="str">
        <f>Legende!E12</f>
        <v>DOTATIONS</v>
      </c>
      <c r="K3" s="35" t="s">
        <v>30</v>
      </c>
      <c r="L3" s="33" t="str">
        <f>Legende!E14</f>
        <v>TERRAINS</v>
      </c>
      <c r="M3" s="33" t="str">
        <f>Legende!E15</f>
        <v>AMÉNAGEMENT DE TERRAINS</v>
      </c>
      <c r="N3" s="33" t="s">
        <v>26</v>
      </c>
      <c r="O3" s="35" t="str">
        <f>Legende!E17</f>
        <v>LOYERS</v>
      </c>
      <c r="P3" s="35" t="str">
        <f>Legende!E23</f>
        <v>AMORTISSEMENT CONSTRUCTIONS</v>
      </c>
      <c r="Q3" s="35" t="str">
        <f>Legende!E20</f>
        <v>AMORTISSEMENTS INSTALLATIONS GÉNÉRALES ET AGENCEMENTS</v>
      </c>
      <c r="R3" s="35" t="str">
        <f>Legende!E21</f>
        <v>AMORTISSEMENT AGENCEMENTS DE TERRAINS</v>
      </c>
      <c r="S3" s="35" t="str">
        <f>Legende!E22</f>
        <v>AMORTISSEMENTS INSTALLATIONS GÉNÉRALES ET AGENCEMENTS</v>
      </c>
      <c r="T3" s="35" t="str">
        <f>Legende!E24</f>
        <v>CONSTRUCTIONS IMMO EN COURS</v>
      </c>
      <c r="U3" s="36" t="str">
        <f>Legende!E25</f>
        <v>INSTALLATIONS TECHNIQUES</v>
      </c>
    </row>
    <row r="4" spans="1:21" ht="15.75" thickBot="1" x14ac:dyDescent="0.3">
      <c r="A4" s="7" t="str">
        <f>Legende!A2</f>
        <v>Janvier</v>
      </c>
      <c r="B4" s="9">
        <f>SUM(SUMIFS([1]Feuil1!$F$2:$F$1000,[1]Feuil1!$A$2:$A$1000,Legende!$C$2,[1]Feuil1!$A$2:$A$1000,Legende!$D$2,[1]Feuil1!$G$2:$G$1000,Legende!A2))-SUM(SUMIFS([1]Feuil1!$E$2:$E$1000,[1]Feuil1!$A$2:$A$1000,Legende!$C$2,[1]Feuil1!$A$2:$A$1000,Legende!$D$2,[1]Feuil1!$G$2:$G$1000,Legende!A2))</f>
        <v>-180643.75999999931</v>
      </c>
      <c r="C4" s="9">
        <f>SUM(SUMIFS([1]Feuil1!$F$2:$F$1000,[1]Feuil1!$A$2:$A$1000,Legende!$C$3,[1]Feuil1!$A$2:$A$1000,Legende!$D$3,[1]Feuil1!$G$2:$G$1000,Legende!A2))-SUM(SUMIFS([1]Feuil1!$E$2:$E$1000,[1]Feuil1!$A$2:$A$1000,Legende!$C$3,[1]Feuil1!$A$2:$A$1000,Legende!$D$3,[1]Feuil1!$G$2:$G$1000,Legende!A2))</f>
        <v>-382466.95000000019</v>
      </c>
      <c r="D4" s="9">
        <f>SUMIFS([1]Feuil1!$E$2:$E$1000,[1]Feuil1!$A$2:$A$1000,Legende!$C$4,[1]Feuil1!$A$2:$A$1000,Legende!$D$4,[1]Feuil1!$G$2:$G$1000,Legende!A2)+SUMIFS([1]Feuil1!$E$2:$E$1000,[1]Feuil1!$A$2:$A$1000,Legende!$C$5,[1]Feuil1!$A$2:$A$1000,Legende!$D$5,[1]Feuil1!$G$2:$G$1000,Legende!A2)-SUMIFS([1]Feuil1!$F$2:$F$1000,[1]Feuil1!$A$2:$A$1000,Legende!$C$4,[1]Feuil1!$A$2:$A$1000,Legende!$D$4,[1]Feuil1!$G$2:$G$1000,Legende!A2)-SUMIFS([1]Feuil1!$F$2:$F$1000,[1]Feuil1!$A$2:$A$1000,Legende!$C$5,[1]Feuil1!$A$2:$A$1000,Legende!$D$5,[1]Feuil1!$G$2:$G$1000,Legende!A2)</f>
        <v>-104079.25</v>
      </c>
      <c r="E4" s="9">
        <f>SUM(SUMIFS([1]Feuil1!$E$2:$E$1000,[1]Feuil1!$A$2:$A$1000,Legende!$C$6,[1]Feuil1!$A$2:$A$1000,Legende!$D$6,[1]Feuil1!$G$2:$G$1000,Legende!A2))-SUMPRODUCT(SUMIFS([1]Feuil1!$F$2:$F$1000,[1]Feuil1!$A$2:$A$1000,Legende!$C$6,[1]Feuil1!$A$2:$A$1000,Legende!$D$6,[1]Feuil1!$G$2:$G$1000,Legende!A2))</f>
        <v>52249.75</v>
      </c>
      <c r="F4" s="9">
        <f>SUM(SUMIFS([1]Feuil1!$F$2:$F$1000,[1]Feuil1!$A$2:$A$1000,Legende!$C$7,[1]Feuil1!$A$2:$A$1000,Legende!$D$7,[1]Feuil1!$G$2:$G$1000,Legende!A2))-SUM(SUMIFS([1]Feuil1!$E$2:$E$1000,[1]Feuil1!$A$2:$A$1000,Legende!$C$7,[1]Feuil1!$A$2:$A$1000,Legende!$D$7,[1]Feuil1!$G$2:$G$1000,Legende!A2))</f>
        <v>149993.69</v>
      </c>
      <c r="G4" s="9">
        <f>(SUM(SUMIFS([1]Feuil1!$F$2:$F$1000,[1]Feuil1!$A$2:$A$1000,Legende!$C$8,[1]Feuil1!$A$2:$A$1000,Legende!$D$8,[1]Feuil1!$G$2:$G$1000,Legende!A2))+SUM(SUMIFS([1]Feuil1!$F$2:$F$1000,[1]Feuil1!$A$2:$A$1000,Legende!$C$9,[1]Feuil1!$A$2:$A$1000,Legende!$D$9,[1]Feuil1!$G$2:$G$1000,Legende!A2)))-(SUM(SUMIFS([1]Feuil1!$E$2:$E$1000,[1]Feuil1!$A$2:$A$1000,Legende!$C$8,[1]Feuil1!$A$2:$A$1000,Legende!$D$8,[1]Feuil1!$G$2:$G$1000,Legende!A2))+SUM(SUMIFS([1]Feuil1!$E$2:$E$1000,[1]Feuil1!$A$2:$A$1000,Legende!$C$9,[1]Feuil1!$A$2:$A$1000,Legende!$D$9,[1]Feuil1!$G$2:$G$1000,Legende!A2)))</f>
        <v>150469.68000000002</v>
      </c>
      <c r="H4" s="9">
        <f>SUM(SUMIFS([1]Feuil1!$F$2:$F$1000,[1]Feuil1!$A$2:$A$1000,Legende!$C$10,[1]Feuil1!$A$2:$A$1000,Legende!$D$10,[1]Feuil1!$G$2:$G$1000,Legende!A2))-SUM(SUMIFS([1]Feuil1!$E$2:$E$1000,[1]Feuil1!$A$2:$A$1000,Legende!$C$10,[1]Feuil1!$A$2:$A$1000,Legende!$D$10,[1]Feuil1!$G$2:$G$1000,Legende!A2))</f>
        <v>0</v>
      </c>
      <c r="I4" s="9">
        <f>(SUM(SUMIFS([1]Feuil1!$F$2:$F$1000,[1]Feuil1!$A$2:$A$1000,Legende!$C$11,[1]Feuil1!$A$2:$A$1000,Legende!$D$11,[1]Feuil1!$G$2:$G$1000,Legende!A2))+SUM(SUMIFS([1]Feuil1!$F$2:$F$1000,[1]Feuil1!$A$2:$A$1000,Legende!$C$13,[1]Feuil1!$A$2:$A$1000,Legende!$D$13,[1]Feuil1!$G$2:$G$1000,Legende!A2)))-(SUM(SUMIFS([1]Feuil1!$E$2:$E$1000,[1]Feuil1!$A$2:$A$1000,Legende!$C$11,[1]Feuil1!$A$2:$A$1000,Legende!$D$11,[1]Feuil1!$G$2:$G$1000,Legende!A2))+SUM(SUMIFS([1]Feuil1!$E$2:$E$1000,[1]Feuil1!$A$2:$A$1000,Legende!$C$13,[1]Feuil1!$A$2:$A$1000,Legende!$D$13,[1]Feuil1!$G$2:$G$1000,Legende!A2)))</f>
        <v>-475.99</v>
      </c>
      <c r="J4" s="9">
        <f>SUM(SUMIFS([1]Feuil1!$E$2:$E$1000,[1]Feuil1!$A$2:$A$1000,Legende!$C$12,[1]Feuil1!$A$2:$A$1000,Legende!$D$12,[1]Feuil1!$G$2:$G$1000,Legende!A2))-SUM(SUMIFS([1]Feuil1!$F$2:$F$1000,[1]Feuil1!$A$2:$A$1000,Legende!$C$12,[1]Feuil1!$A$2:$A$1000,Legende!$D$12,[1]Feuil1!$G$2:$G$1000,Legende!A2))</f>
        <v>44306.09</v>
      </c>
      <c r="K4" s="9">
        <f>SUM(SUMIFS([1]Feuil1!$F$2:$F$1000,[1]Feuil1!$A$2:$A$1000,Legende!$C$18,[1]Feuil1!$A$2:$A$1000,Legende!$D$18,[1]Feuil1!$G$2:$G$1000,Legende!A2))-SUM(SUMIFS([1]Feuil1!$E$2:$E$1000,[1]Feuil1!$A$2:$A$1000,Legende!$C$18,[1]Feuil1!$A$2:$A$1000,Legende!$D$18,[1]Feuil1!$G$2:$G$1000,Legende!A2))</f>
        <v>7622.45</v>
      </c>
      <c r="L4" s="9">
        <f>SUM(SUMIFS([1]Feuil1!$F$2:$F$1000,[1]Feuil1!$A$2:$A$1000,Legende!$C$14,[1]Feuil1!$A$2:$A$1000,Legende!$D$14,[1]Feuil1!$G$2:$G$1000,Legende!A2))-SUM(SUMIFS([1]Feuil1!$E$2:$E$1000,[1]Feuil1!$A$2:$A$1000,Legende!$C$14,[1]Feuil1!$A$2:$A$1000,Legende!$D$14,[1]Feuil1!$G$2:$G$1000,Legende!A2))</f>
        <v>-96042.880000000005</v>
      </c>
      <c r="M4" s="9">
        <f>SUM(SUMIFS([1]Feuil1!$E$2:$E$1000,[1]Feuil1!$A$2:$A$1000,Legende!$C$15,[1]Feuil1!$A$2:$A$1000,Legende!$D$15,[1]Feuil1!$G$2:$G$1000,Legende!A2))-SUM(SUMIFS([1]Feuil1!$F$2:$F$1000,[1]Feuil1!$A$2:$A$1000,Legende!$C$15,[1]Feuil1!$A$2:$A$1000,Legende!$D$15,[1]Feuil1!$G$2:$G$1000,Legende!A2))</f>
        <v>4850.68</v>
      </c>
      <c r="N4" s="9">
        <f>(SUM(SUMIFS([1]Feuil1!$F$2:$F$1000,[1]Feuil1!$A$2:$A$1000,Legende!$C$16,[1]Feuil1!$A$2:$A$1000,Legende!$D$16,[1]Feuil1!$G$2:$G$1000,Legende!A2))+SUM(SUMIFS([1]Feuil1!$F$2:$F$1000,[1]Feuil1!$A$2:$A$1000,Legende!$C$19,[1]Feuil1!$A$2:$A$1000,Legende!$D$19,[1]Feuil1!$G$2:$G$1000,Legende!A2)))-(SUM(SUMIFS([1]Feuil1!$E$2:$E$1000,[1]Feuil1!$A$2:$A$1000,Legende!$C$16,[1]Feuil1!$A$2:$A$1000,Legende!$D$16,[1]Feuil1!$G$2:$G$1000,Legende!A2))+SUM(SUMIFS([1]Feuil1!$E$2:$E$1000,[1]Feuil1!$A$2:$A$1000,Legende!$C$19,[1]Feuil1!$A$2:$A$1000,Legende!$D$19,[1]Feuil1!$G$2:$G$1000,Legende!A2)))</f>
        <v>-2597797.67</v>
      </c>
      <c r="O4" s="9">
        <f>SUM(SUMIFS([1]Feuil1!$F$2:$F$1000,[1]Feuil1!$A$2:$A$1000,Legende!$C$17,[1]Feuil1!$A$2:$A$1000,Legende!$D$17,[1]Feuil1!$G$2:$G$1000,Legende!A2))-SUM(SUMIFS([1]Feuil1!$E$2:$E$1000,[1]Feuil1!$A$2:$A$1000,Legende!$C$17,[1]Feuil1!$A$2:$A$1000,Legende!$D$17,[1]Feuil1!$G$2:$G$1000,Legende!A2))</f>
        <v>196564.72</v>
      </c>
      <c r="P4" s="9">
        <f>SUM(SUMIFS([1]Feuil1!$F$2:$F$1000,[1]Feuil1!$A$2:$A$1000,Legende!$C$23,[1]Feuil1!$A$2:$A$1000,Legende!$D$23,[1]Feuil1!$G$2:$G$1000,Legende!A2))-SUM(SUMIFS([1]Feuil1!$E$2:$E$1000,[1]Feuil1!$A$2:$A$1000,Legende!$C$23,[1]Feuil1!$A$2:$A$1000,Legende!$D$23,[1]Feuil1!$G$2:$G$1000,Legende!A2))</f>
        <v>1543199.34</v>
      </c>
      <c r="Q4" s="9">
        <f>SUM(SUMIFS([1]Feuil1!$F$2:$F$1000,[1]Feuil1!$A$2:$A$1000,Legende!$C$20,[1]Feuil1!$A$2:$A$1000,Legende!$D$20,[1]Feuil1!$G$2:$G$1000,Legende!A2))-SUM(SUMIFS([1]Feuil1!$E$2:$E$1000,[1]Feuil1!$A$2:$A$1000,Legende!$C$20,[1]Feuil1!$A$2:$A$1000,Legende!$D$20,[1]Feuil1!$G$2:$G$1000,Legende!A2))</f>
        <v>-4036</v>
      </c>
      <c r="R4" s="9">
        <f>SUM(SUMIFS([1]Feuil1!$F$2:$F$1000,[1]Feuil1!$A$2:$A$1000,Legende!$C$21,[1]Feuil1!$A$2:$A$1000,Legende!$D$21,[1]Feuil1!$G$2:$G$1000,Legende!A2))-SUM(SUMIFS([1]Feuil1!$E$2:$E$1000,[1]Feuil1!$A$2:$A$1000,Legende!$C$21,[1]Feuil1!$A$2:$A$1000,Legende!$D$21,[1]Feuil1!$G$2:$G$1000,Legende!A2))</f>
        <v>0</v>
      </c>
      <c r="S4" s="9">
        <f>SUM(SUMIFS([1]Feuil1!$F$2:$F$1000,[1]Feuil1!$A$2:$A$1000,Legende!$C$22,[1]Feuil1!$A$2:$A$1000,Legende!$D$22,[1]Feuil1!$G$2:$G$1000,Legende!A2))-SUM(SUMIFS([1]Feuil1!$E$2:$E$1000,[1]Feuil1!$A$2:$A$1000,Legende!$C$22,[1]Feuil1!$A$2:$A$1000,Legende!$D$22,[1]Feuil1!$G$2:$G$1000,Legende!A2))</f>
        <v>234.14</v>
      </c>
      <c r="T4" s="9">
        <f>SUM(SUMIFS([1]Feuil1!$F$2:$F$1000,[1]Feuil1!$A$2:$A$1000,Legende!$C$24,[1]Feuil1!$A$2:$A$1000,Legende!$D$24,[1]Feuil1!$G$2:$G$1000,Legende!A2))-SUM(SUMIFS([1]Feuil1!$E$2:$E$1000,[1]Feuil1!$A$2:$A$1000,Legende!$C$24,[1]Feuil1!$A$2:$A$1000,Legende!$D$24,[1]Feuil1!$G$2:$G$1000,Legende!A2))</f>
        <v>-19048.91</v>
      </c>
      <c r="U4" s="9">
        <f>(SUM(SUMIFS([1]Feuil1!$F$2:$F$1000,[1]Feuil1!$A$2:$A$1000,Legende!$C$25,[1]Feuil1!$A$2:$A$1000,Legende!$D$25,[1]Feuil1!$G$2:$G$1000,Legende!A2))+SUM(SUMIFS([1]Feuil1!$F$2:$F$1000,[1]Feuil1!$A$2:$A$1000,Legende!$C$26,[1]Feuil1!$A$2:$A$1000,Legende!$D$26,[1]Feuil1!$G$2:$G$1000,Legende!A2)))-(SUM(SUMIFS([1]Feuil1!$E$2:$E$1000,[1]Feuil1!$A$2:$A$1000,Legende!$C$25,[1]Feuil1!$A$2:$A$1000,Legende!$D$25,[1]Feuil1!$G$2:$G$1000,Legende!A2))+SUM(SUMIFS([1]Feuil1!$E$2:$E$1000,[1]Feuil1!$A$2:$A$1000,Legende!$C$26,[1]Feuil1!$A$2:$A$1000,Legende!$D$26,[1]Feuil1!$G$2:$G$1000,Legende!A2)))</f>
        <v>-4036</v>
      </c>
    </row>
    <row r="5" spans="1:21" ht="15.75" thickBot="1" x14ac:dyDescent="0.3">
      <c r="A5" s="7" t="str">
        <f>Legende!A3</f>
        <v>Février</v>
      </c>
      <c r="B5" s="9">
        <f>SUM(SUMIFS([1]Feuil1!$F$2:$F$1000,[1]Feuil1!$A$2:$A$1000,Legende!$C$2,[1]Feuil1!$A$2:$A$1000,Legende!$D$2,[1]Feuil1!$G$2:$G$1000,Legende!A3))-SUM(SUMIFS([1]Feuil1!$E$2:$E$1000,[1]Feuil1!$A$2:$A$1000,Legende!$C$2,[1]Feuil1!$A$2:$A$1000,Legende!$D$2,[1]Feuil1!$G$2:$G$1000,Legende!A3))</f>
        <v>-183502.04999999935</v>
      </c>
      <c r="C5" s="9">
        <f>SUM(SUMIFS([1]Feuil1!$F$2:$F$1000,[1]Feuil1!$A$2:$A$1000,Legende!$C$3,[1]Feuil1!$A$2:$A$1000,Legende!$D$3,[1]Feuil1!$G$2:$G$1000,Legende!A3))-SUM(SUMIFS([1]Feuil1!$E$2:$E$1000,[1]Feuil1!$A$2:$A$1000,Legende!$C$3,[1]Feuil1!$A$2:$A$1000,Legende!$D$3,[1]Feuil1!$G$2:$G$1000,Legende!A3))</f>
        <v>-499185.46999999974</v>
      </c>
      <c r="D5" s="9">
        <f>(SUM(SUMIFS([1]Feuil1!$E$2:$E$1000,[1]Feuil1!$A$2:$A$1000,Legende!$C$4,[1]Feuil1!$A$2:$A$1000,Legende!$D$4,[1]Feuil1!$G$2:$G$1000,Legende!A3))+SUM(SUMIFS([1]Feuil1!$E$2:$E$1000,[1]Feuil1!$A$2:$A$1000,Legende!$C$5,[1]Feuil1!$A$2:$A$1000,Legende!$D$5,[1]Feuil1!$G$2:$G$1000,Legende!A3)))-(SUM(SUMIFS([1]Feuil1!$F$2:$F$1000,[1]Feuil1!$A$2:$A$1000,Legende!$C$4,[1]Feuil1!$A$2:$A$1000,Legende!$D$4,[1]Feuil1!$G$2:$G$1000,Legende!A3))+SUM(SUMIFS([1]Feuil1!$F$2:$F$1000,[1]Feuil1!$A$2:$A$1000,Legende!$C$5,[1]Feuil1!$A$2:$A$1000,Legende!$D$5,[1]Feuil1!$G$2:$G$1000,Legende!A3)))</f>
        <v>101097.23000000001</v>
      </c>
      <c r="E5" s="9">
        <f>SUM(SUMIFS([1]Feuil1!$E$2:$E$1000,[1]Feuil1!$A$2:$A$1000,Legende!$C$6,[1]Feuil1!$A$2:$A$1000,Legende!$D$6,[1]Feuil1!$G$2:$G$1000,Legende!A3))-SUMPRODUCT(SUMIFS([1]Feuil1!$F$2:$F$1000,[1]Feuil1!$A$2:$A$1000,Legende!$C$6,[1]Feuil1!$A$2:$A$1000,Legende!$D$6,[1]Feuil1!$G$2:$G$1000,Legende!A3))</f>
        <v>-983909.12</v>
      </c>
      <c r="F5" s="9">
        <f>SUM(SUMIFS([1]Feuil1!$F$2:$F$1000,[1]Feuil1!$A$2:$A$1000,Legende!$C$7,[1]Feuil1!$A$2:$A$1000,Legende!$D$7,[1]Feuil1!$G$2:$G$1000,Legende!A3))-SUM(SUMIFS([1]Feuil1!$E$2:$E$1000,[1]Feuil1!$A$2:$A$1000,Legende!$C$7,[1]Feuil1!$A$2:$A$1000,Legende!$D$7,[1]Feuil1!$G$2:$G$1000,Legende!A3))</f>
        <v>84999.560000000027</v>
      </c>
      <c r="G5" s="9">
        <f>(SUM(SUMIFS([1]Feuil1!$F$2:$F$1000,[1]Feuil1!$A$2:$A$1000,Legende!$C$8,[1]Feuil1!$A$2:$A$1000,Legende!$D$8,[1]Feuil1!$G$2:$G$1000,Legende!A3))+SUM(SUMIFS([1]Feuil1!$F$2:$F$1000,[1]Feuil1!$A$2:$A$1000,Legende!$C$9,[1]Feuil1!$A$2:$A$1000,Legende!$D$9,[1]Feuil1!$G$2:$G$1000,Legende!A3)))-(SUM(SUMIFS([1]Feuil1!$E$2:$E$1000,[1]Feuil1!$A$2:$A$1000,Legende!$C$8,[1]Feuil1!$A$2:$A$1000,Legende!$D$8,[1]Feuil1!$G$2:$G$1000,Legende!A3))+SUM(SUMIFS([1]Feuil1!$E$2:$E$1000,[1]Feuil1!$A$2:$A$1000,Legende!$C$9,[1]Feuil1!$A$2:$A$1000,Legende!$D$9,[1]Feuil1!$G$2:$G$1000,Legende!A3)))</f>
        <v>87592.830000000016</v>
      </c>
      <c r="H5" s="9">
        <f>SUM(SUMIFS([1]Feuil1!$F$2:$F$1000,[1]Feuil1!$A$2:$A$1000,Legende!$C$10,[1]Feuil1!$A$2:$A$1000,Legende!$D$10,[1]Feuil1!$G$2:$G$1000,Legende!A3))-SUM(SUMIFS([1]Feuil1!$E$2:$E$1000,[1]Feuil1!$A$2:$A$1000,Legende!$C$10,[1]Feuil1!$A$2:$A$1000,Legende!$D$10,[1]Feuil1!$G$2:$G$1000,Legende!A3))</f>
        <v>0</v>
      </c>
      <c r="I5" s="9">
        <f>(SUM(SUMIFS([1]Feuil1!$F$2:$F$1000,[1]Feuil1!$A$2:$A$1000,Legende!$C$11,[1]Feuil1!$A$2:$A$1000,Legende!$D$11,[1]Feuil1!$G$2:$G$1000,Legende!A3))+SUM(SUMIFS([1]Feuil1!$F$2:$F$1000,[1]Feuil1!$A$2:$A$1000,Legende!$C$13,[1]Feuil1!$A$2:$A$1000,Legende!$D$13,[1]Feuil1!$G$2:$G$1000,Legende!A3)))-(SUM(SUMIFS([1]Feuil1!$E$2:$E$1000,[1]Feuil1!$A$2:$A$1000,Legende!$C$11,[1]Feuil1!$A$2:$A$1000,Legende!$D$11,[1]Feuil1!$G$2:$G$1000,Legende!A3))+SUM(SUMIFS([1]Feuil1!$E$2:$E$1000,[1]Feuil1!$A$2:$A$1000,Legende!$C$13,[1]Feuil1!$A$2:$A$1000,Legende!$D$13,[1]Feuil1!$G$2:$G$1000,Legende!A3)))</f>
        <v>-2593.27</v>
      </c>
      <c r="J5" s="9">
        <f>SUM(SUMIFS([1]Feuil1!$E$2:$E$1000,[1]Feuil1!$A$2:$A$1000,Legende!$C$12,[1]Feuil1!$A$2:$A$1000,Legende!$D$12,[1]Feuil1!$G$2:$G$1000,Legende!A3))-SUM(SUMIFS([1]Feuil1!$F$2:$F$1000,[1]Feuil1!$A$2:$A$1000,Legende!$C$12,[1]Feuil1!$A$2:$A$1000,Legende!$D$12,[1]Feuil1!$G$2:$G$1000,Legende!A3))</f>
        <v>721.32</v>
      </c>
      <c r="K5" s="9">
        <f>SUM(SUMIFS([1]Feuil1!$F$2:$F$1000,[1]Feuil1!$A$2:$A$1000,Legende!$C$18,[1]Feuil1!$A$2:$A$1000,Legende!$D$18,[1]Feuil1!$G$2:$G$1000,Legende!A3))-SUM(SUMIFS([1]Feuil1!$E$2:$E$1000,[1]Feuil1!$A$2:$A$1000,Legende!$C$18,[1]Feuil1!$A$2:$A$1000,Legende!$D$18,[1]Feuil1!$G$2:$G$1000,Legende!A3))</f>
        <v>840000</v>
      </c>
      <c r="L5" s="9">
        <f>SUM(SUMIFS([1]Feuil1!$F$2:$F$1000,[1]Feuil1!$A$2:$A$1000,Legende!$C$14,[1]Feuil1!$A$2:$A$1000,Legende!$D$14,[1]Feuil1!$G$2:$G$1000,Legende!A3))-SUM(SUMIFS([1]Feuil1!$E$2:$E$1000,[1]Feuil1!$A$2:$A$1000,Legende!$C$14,[1]Feuil1!$A$2:$A$1000,Legende!$D$14,[1]Feuil1!$G$2:$G$1000,Legende!A3))</f>
        <v>0</v>
      </c>
      <c r="M5" s="9">
        <f>SUM(SUMIFS([1]Feuil1!$E$2:$E$1000,[1]Feuil1!$A$2:$A$1000,Legende!$C$15,[1]Feuil1!$A$2:$A$1000,Legende!$D$15,[1]Feuil1!$G$2:$G$1000,Legende!A3))-SUM(SUMIFS([1]Feuil1!$F$2:$F$1000,[1]Feuil1!$A$2:$A$1000,Legende!$C$15,[1]Feuil1!$A$2:$A$1000,Legende!$D$15,[1]Feuil1!$G$2:$G$1000,Legende!A3))</f>
        <v>0</v>
      </c>
      <c r="N5" s="9">
        <f>(SUM(SUMIFS([1]Feuil1!$F$2:$F$1000,[1]Feuil1!$A$2:$A$1000,Legende!$C$16,[1]Feuil1!$A$2:$A$1000,Legende!$D$16,[1]Feuil1!$G$2:$G$1000,Legende!A3))+SUM(SUMIFS([1]Feuil1!$F$2:$F$1000,[1]Feuil1!$A$2:$A$1000,Legende!$C$19,[1]Feuil1!$A$2:$A$1000,Legende!$D$19,[1]Feuil1!$G$2:$G$1000,Legende!A3)))-(SUM(SUMIFS([1]Feuil1!$E$2:$E$1000,[1]Feuil1!$A$2:$A$1000,Legende!$C$16,[1]Feuil1!$A$2:$A$1000,Legende!$D$16,[1]Feuil1!$G$2:$G$1000,Legende!A3))+SUM(SUMIFS([1]Feuil1!$E$2:$E$1000,[1]Feuil1!$A$2:$A$1000,Legende!$C$19,[1]Feuil1!$A$2:$A$1000,Legende!$D$19,[1]Feuil1!$G$2:$G$1000,Legende!A3)))</f>
        <v>0</v>
      </c>
      <c r="O5" s="9">
        <f>SUM(SUMIFS([1]Feuil1!$F$2:$F$1000,[1]Feuil1!$A$2:$A$1000,Legende!$C$17,[1]Feuil1!$A$2:$A$1000,Legende!$D$17,[1]Feuil1!$G$2:$G$1000,Legende!A3))-SUM(SUMIFS([1]Feuil1!$E$2:$E$1000,[1]Feuil1!$A$2:$A$1000,Legende!$C$17,[1]Feuil1!$A$2:$A$1000,Legende!$D$17,[1]Feuil1!$G$2:$G$1000,Legende!A3))</f>
        <v>201251.92</v>
      </c>
      <c r="P5" s="9">
        <f>SUM(SUMIFS([1]Feuil1!$F$2:$F$1000,[1]Feuil1!$A$2:$A$1000,Legende!$C$23,[1]Feuil1!$A$2:$A$1000,Legende!$D$23,[1]Feuil1!$G$2:$G$1000,Legende!A3))-SUM(SUMIFS([1]Feuil1!$E$2:$E$1000,[1]Feuil1!$A$2:$A$1000,Legende!$C$23,[1]Feuil1!$A$2:$A$1000,Legende!$D$23,[1]Feuil1!$G$2:$G$1000,Legende!A3))</f>
        <v>0</v>
      </c>
      <c r="Q5" s="9">
        <f>SUM(SUMIFS([1]Feuil1!$F$2:$F$1000,[1]Feuil1!$A$2:$A$1000,Legende!$C$20,[1]Feuil1!$A$2:$A$1000,Legende!$D$20,[1]Feuil1!$G$2:$G$1000,Legende!A3))-SUM(SUMIFS([1]Feuil1!$E$2:$E$1000,[1]Feuil1!$A$2:$A$1000,Legende!$C$20,[1]Feuil1!$A$2:$A$1000,Legende!$D$20,[1]Feuil1!$G$2:$G$1000,Legende!A3))</f>
        <v>-60331.86</v>
      </c>
      <c r="R5" s="9">
        <f>SUM(SUMIFS([1]Feuil1!$F$2:$F$1000,[1]Feuil1!$A$2:$A$1000,Legende!$C$21,[1]Feuil1!$A$2:$A$1000,Legende!$D$21,[1]Feuil1!$G$2:$G$1000,Legende!A3))-SUM(SUMIFS([1]Feuil1!$E$2:$E$1000,[1]Feuil1!$A$2:$A$1000,Legende!$C$21,[1]Feuil1!$A$2:$A$1000,Legende!$D$21,[1]Feuil1!$G$2:$G$1000,Legende!A3))</f>
        <v>0</v>
      </c>
      <c r="S5" s="9">
        <f>SUM(SUMIFS([1]Feuil1!$F$2:$F$1000,[1]Feuil1!$A$2:$A$1000,Legende!$C$22,[1]Feuil1!$A$2:$A$1000,Legende!$D$22,[1]Feuil1!$G$2:$G$1000,Legende!A3))-SUM(SUMIFS([1]Feuil1!$E$2:$E$1000,[1]Feuil1!$A$2:$A$1000,Legende!$C$22,[1]Feuil1!$A$2:$A$1000,Legende!$D$22,[1]Feuil1!$G$2:$G$1000,Legende!A3))</f>
        <v>60330.12</v>
      </c>
      <c r="T5" s="9">
        <f>SUM(SUMIFS([1]Feuil1!$F$2:$F$1000,[1]Feuil1!$A$2:$A$1000,Legende!$C$24,[1]Feuil1!$A$2:$A$1000,Legende!$D$24,[1]Feuil1!$G$2:$G$1000,Legende!A3))-SUM(SUMIFS([1]Feuil1!$E$2:$E$1000,[1]Feuil1!$A$2:$A$1000,Legende!$C$24,[1]Feuil1!$A$2:$A$1000,Legende!$D$24,[1]Feuil1!$G$2:$G$1000,Legende!A3))</f>
        <v>0</v>
      </c>
      <c r="U5" s="9">
        <f>(SUM(SUMIFS([1]Feuil1!$F$2:$F$1000,[1]Feuil1!$A$2:$A$1000,Legende!$C$25,[1]Feuil1!$A$2:$A$1000,Legende!$D$25,[1]Feuil1!$G$2:$G$1000,Legende!A3))+SUM(SUMIFS([1]Feuil1!$F$2:$F$1000,[1]Feuil1!$A$2:$A$1000,Legende!$C$26,[1]Feuil1!$A$2:$A$1000,Legende!$D$26,[1]Feuil1!$G$2:$G$1000,Legende!A3)))-(SUM(SUMIFS([1]Feuil1!$E$2:$E$1000,[1]Feuil1!$A$2:$A$1000,Legende!$C$25,[1]Feuil1!$A$2:$A$1000,Legende!$D$25,[1]Feuil1!$G$2:$G$1000,Legende!A3))+SUM(SUMIFS([1]Feuil1!$E$2:$E$1000,[1]Feuil1!$A$2:$A$1000,Legende!$C$26,[1]Feuil1!$A$2:$A$1000,Legende!$D$26,[1]Feuil1!$G$2:$G$1000,Legende!A3)))</f>
        <v>-69875.759999999995</v>
      </c>
    </row>
    <row r="6" spans="1:21" ht="15.75" thickBot="1" x14ac:dyDescent="0.3">
      <c r="A6" s="7" t="str">
        <f>Legende!A4</f>
        <v>Mars</v>
      </c>
      <c r="B6" s="9">
        <f>SUM(SUMIFS([1]Feuil1!$F$2:$F$1000,[1]Feuil1!$A$2:$A$1000,Legende!$C$2,[1]Feuil1!$A$2:$A$1000,Legende!$D$2,[1]Feuil1!$G$2:$G$1000,Legende!A4))-SUM(SUMIFS([1]Feuil1!$E$2:$E$1000,[1]Feuil1!$A$2:$A$1000,Legende!$C$2,[1]Feuil1!$A$2:$A$1000,Legende!$D$2,[1]Feuil1!$G$2:$G$1000,Legende!A4))</f>
        <v>-183616.49000000022</v>
      </c>
      <c r="C6" s="9">
        <f>SUM(SUMIFS([1]Feuil1!$F$2:$F$1000,[1]Feuil1!$A$2:$A$1000,Legende!$C$3,[1]Feuil1!$A$2:$A$1000,Legende!$D$3,[1]Feuil1!$G$2:$G$1000,Legende!A4))-SUM(SUMIFS([1]Feuil1!$E$2:$E$1000,[1]Feuil1!$A$2:$A$1000,Legende!$C$3,[1]Feuil1!$A$2:$A$1000,Legende!$D$3,[1]Feuil1!$G$2:$G$1000,Legende!A4))</f>
        <v>280724.43000000017</v>
      </c>
      <c r="D6" s="9">
        <f>(SUM(SUMIFS([1]Feuil1!$E$2:$E$1000,[1]Feuil1!$A$2:$A$1000,Legende!$C$4,[1]Feuil1!$A$2:$A$1000,Legende!$D$4,[1]Feuil1!$G$2:$G$1000,Legende!A4))+SUM(SUMIFS([1]Feuil1!$E$2:$E$1000,[1]Feuil1!$A$2:$A$1000,Legende!$C$5,[1]Feuil1!$A$2:$A$1000,Legende!$D$5,[1]Feuil1!$G$2:$G$1000,Legende!A4)))-(SUM(SUMIFS([1]Feuil1!$F$2:$F$1000,[1]Feuil1!$A$2:$A$1000,Legende!$C$4,[1]Feuil1!$A$2:$A$1000,Legende!$D$4,[1]Feuil1!$G$2:$G$1000,Legende!A4))+SUM(SUMIFS([1]Feuil1!$F$2:$F$1000,[1]Feuil1!$A$2:$A$1000,Legende!$C$5,[1]Feuil1!$A$2:$A$1000,Legende!$D$5,[1]Feuil1!$G$2:$G$1000,Legende!A4)))</f>
        <v>-6529.76</v>
      </c>
      <c r="E6" s="9">
        <f>SUM(SUMIFS([1]Feuil1!$E$2:$E$1000,[1]Feuil1!$A$2:$A$1000,Legende!$C$6,[1]Feuil1!$A$2:$A$1000,Legende!$D$6,[1]Feuil1!$G$2:$G$1000,Legende!A4))-SUMPRODUCT(SUMIFS([1]Feuil1!$F$2:$F$1000,[1]Feuil1!$A$2:$A$1000,Legende!$C$6,[1]Feuil1!$A$2:$A$1000,Legende!$D$6,[1]Feuil1!$G$2:$G$1000,Legende!A4))</f>
        <v>546224.53</v>
      </c>
      <c r="F6" s="9">
        <f>SUM(SUMIFS([1]Feuil1!$F$2:$F$1000,[1]Feuil1!$A$2:$A$1000,Legende!$C$7,[1]Feuil1!$A$2:$A$1000,Legende!$D$7,[1]Feuil1!$G$2:$G$1000,Legende!A4))-SUM(SUMIFS([1]Feuil1!$E$2:$E$1000,[1]Feuil1!$A$2:$A$1000,Legende!$C$7,[1]Feuil1!$A$2:$A$1000,Legende!$D$7,[1]Feuil1!$G$2:$G$1000,Legende!A4))</f>
        <v>75353.850000000006</v>
      </c>
      <c r="G6" s="9">
        <f>(SUM(SUMIFS([1]Feuil1!$F$2:$F$1000,[1]Feuil1!$A$2:$A$1000,Legende!$C$8,[1]Feuil1!$A$2:$A$1000,Legende!$D$8,[1]Feuil1!$G$2:$G$1000,Legende!A4))+SUM(SUMIFS([1]Feuil1!$F$2:$F$1000,[1]Feuil1!$A$2:$A$1000,Legende!$C$9,[1]Feuil1!$A$2:$A$1000,Legende!$D$9,[1]Feuil1!$G$2:$G$1000,Legende!A4)))-(SUM(SUMIFS([1]Feuil1!$E$2:$E$1000,[1]Feuil1!$A$2:$A$1000,Legende!$C$8,[1]Feuil1!$A$2:$A$1000,Legende!$D$8,[1]Feuil1!$G$2:$G$1000,Legende!A4))+SUM(SUMIFS([1]Feuil1!$E$2:$E$1000,[1]Feuil1!$A$2:$A$1000,Legende!$C$9,[1]Feuil1!$A$2:$A$1000,Legende!$D$9,[1]Feuil1!$G$2:$G$1000,Legende!A4)))</f>
        <v>75337.64</v>
      </c>
      <c r="H6" s="9">
        <f>SUM(SUMIFS([1]Feuil1!$F$2:$F$1000,[1]Feuil1!$A$2:$A$1000,Legende!$C$10,[1]Feuil1!$A$2:$A$1000,Legende!$D$10,[1]Feuil1!$G$2:$G$1000,Legende!A4))-SUM(SUMIFS([1]Feuil1!$E$2:$E$1000,[1]Feuil1!$A$2:$A$1000,Legende!$C$10,[1]Feuil1!$A$2:$A$1000,Legende!$D$10,[1]Feuil1!$G$2:$G$1000,Legende!A4))</f>
        <v>16.21</v>
      </c>
      <c r="I6" s="9">
        <f>(SUM(SUMIFS([1]Feuil1!$F$2:$F$1000,[1]Feuil1!$A$2:$A$1000,Legende!$C$11,[1]Feuil1!$A$2:$A$1000,Legende!$D$11,[1]Feuil1!$G$2:$G$1000,Legende!A4))+SUM(SUMIFS([1]Feuil1!$F$2:$F$1000,[1]Feuil1!$A$2:$A$1000,Legende!$C$13,[1]Feuil1!$A$2:$A$1000,Legende!$D$13,[1]Feuil1!$G$2:$G$1000,Legende!A4)))-(SUM(SUMIFS([1]Feuil1!$E$2:$E$1000,[1]Feuil1!$A$2:$A$1000,Legende!$C$11,[1]Feuil1!$A$2:$A$1000,Legende!$D$11,[1]Feuil1!$G$2:$G$1000,Legende!A4))+SUM(SUMIFS([1]Feuil1!$E$2:$E$1000,[1]Feuil1!$A$2:$A$1000,Legende!$C$13,[1]Feuil1!$A$2:$A$1000,Legende!$D$13,[1]Feuil1!$G$2:$G$1000,Legende!A4)))</f>
        <v>0</v>
      </c>
      <c r="J6" s="9">
        <f>SUM(SUMIFS([1]Feuil1!$E$2:$E$1000,[1]Feuil1!$A$2:$A$1000,Legende!$C$12,[1]Feuil1!$A$2:$A$1000,Legende!$D$12,[1]Feuil1!$G$2:$G$1000,Legende!A4))-SUM(SUMIFS([1]Feuil1!$F$2:$F$1000,[1]Feuil1!$A$2:$A$1000,Legende!$C$12,[1]Feuil1!$A$2:$A$1000,Legende!$D$12,[1]Feuil1!$G$2:$G$1000,Legende!A4))</f>
        <v>17872.12</v>
      </c>
      <c r="K6" s="9">
        <f>SUM(SUMIFS([1]Feuil1!$F$2:$F$1000,[1]Feuil1!$A$2:$A$1000,Legende!$C$18,[1]Feuil1!$A$2:$A$1000,Legende!$D$18,[1]Feuil1!$G$2:$G$1000,Legende!A4))-SUM(SUMIFS([1]Feuil1!$E$2:$E$1000,[1]Feuil1!$A$2:$A$1000,Legende!$C$18,[1]Feuil1!$A$2:$A$1000,Legende!$D$18,[1]Feuil1!$G$2:$G$1000,Legende!A4))</f>
        <v>15244.9</v>
      </c>
      <c r="L6" s="9">
        <f>SUM(SUMIFS([1]Feuil1!$F$2:$F$1000,[1]Feuil1!$A$2:$A$1000,Legende!$C$14,[1]Feuil1!$A$2:$A$1000,Legende!$D$14,[1]Feuil1!$G$2:$G$1000,Legende!A4))-SUM(SUMIFS([1]Feuil1!$E$2:$E$1000,[1]Feuil1!$A$2:$A$1000,Legende!$C$14,[1]Feuil1!$A$2:$A$1000,Legende!$D$14,[1]Feuil1!$G$2:$G$1000,Legende!A4))</f>
        <v>-185384.1</v>
      </c>
      <c r="M6" s="9">
        <f>SUM(SUMIFS([1]Feuil1!$E$2:$E$1000,[1]Feuil1!$A$2:$A$1000,Legende!$C$15,[1]Feuil1!$A$2:$A$1000,Legende!$D$15,[1]Feuil1!$G$2:$G$1000,Legende!A4))-SUM(SUMIFS([1]Feuil1!$F$2:$F$1000,[1]Feuil1!$A$2:$A$1000,Legende!$C$15,[1]Feuil1!$A$2:$A$1000,Legende!$D$15,[1]Feuil1!$G$2:$G$1000,Legende!A4))</f>
        <v>0</v>
      </c>
      <c r="N6" s="9">
        <f>(SUM(SUMIFS([1]Feuil1!$F$2:$F$1000,[1]Feuil1!$A$2:$A$1000,Legende!$C$16,[1]Feuil1!$A$2:$A$1000,Legende!$D$16,[1]Feuil1!$G$2:$G$1000,Legende!A4))+SUM(SUMIFS([1]Feuil1!$F$2:$F$1000,[1]Feuil1!$A$2:$A$1000,Legende!$C$19,[1]Feuil1!$A$2:$A$1000,Legende!$D$19,[1]Feuil1!$G$2:$G$1000,Legende!A4)))-(SUM(SUMIFS([1]Feuil1!$E$2:$E$1000,[1]Feuil1!$A$2:$A$1000,Legende!$C$16,[1]Feuil1!$A$2:$A$1000,Legende!$D$16,[1]Feuil1!$G$2:$G$1000,Legende!A4))+SUM(SUMIFS([1]Feuil1!$E$2:$E$1000,[1]Feuil1!$A$2:$A$1000,Legende!$C$19,[1]Feuil1!$A$2:$A$1000,Legende!$D$19,[1]Feuil1!$G$2:$G$1000,Legende!A4)))</f>
        <v>-1851092.67</v>
      </c>
      <c r="O6" s="9">
        <f>SUM(SUMIFS([1]Feuil1!$F$2:$F$1000,[1]Feuil1!$A$2:$A$1000,Legende!$C$17,[1]Feuil1!$A$2:$A$1000,Legende!$D$17,[1]Feuil1!$G$2:$G$1000,Legende!A4))-SUM(SUMIFS([1]Feuil1!$E$2:$E$1000,[1]Feuil1!$A$2:$A$1000,Legende!$C$17,[1]Feuil1!$A$2:$A$1000,Legende!$D$17,[1]Feuil1!$G$2:$G$1000,Legende!A4))</f>
        <v>93875.199999999997</v>
      </c>
      <c r="P6" s="9">
        <f>SUM(SUMIFS([1]Feuil1!$F$2:$F$1000,[1]Feuil1!$A$2:$A$1000,Legende!$C$23,[1]Feuil1!$A$2:$A$1000,Legende!$D$23,[1]Feuil1!$G$2:$G$1000,Legende!A4))-SUM(SUMIFS([1]Feuil1!$E$2:$E$1000,[1]Feuil1!$A$2:$A$1000,Legende!$C$23,[1]Feuil1!$A$2:$A$1000,Legende!$D$23,[1]Feuil1!$G$2:$G$1000,Legende!A4))</f>
        <v>1322132.17</v>
      </c>
      <c r="Q6" s="9">
        <f>SUM(SUMIFS([1]Feuil1!$F$2:$F$1000,[1]Feuil1!$A$2:$A$1000,Legende!$C$20,[1]Feuil1!$A$2:$A$1000,Legende!$D$20,[1]Feuil1!$G$2:$G$1000,Legende!A4))-SUM(SUMIFS([1]Feuil1!$E$2:$E$1000,[1]Feuil1!$A$2:$A$1000,Legende!$C$20,[1]Feuil1!$A$2:$A$1000,Legende!$D$20,[1]Feuil1!$G$2:$G$1000,Legende!A4))</f>
        <v>0</v>
      </c>
      <c r="R6" s="9">
        <f>SUM(SUMIFS([1]Feuil1!$F$2:$F$1000,[1]Feuil1!$A$2:$A$1000,Legende!$C$21,[1]Feuil1!$A$2:$A$1000,Legende!$D$21,[1]Feuil1!$G$2:$G$1000,Legende!A4))-SUM(SUMIFS([1]Feuil1!$E$2:$E$1000,[1]Feuil1!$A$2:$A$1000,Legende!$C$21,[1]Feuil1!$A$2:$A$1000,Legende!$D$21,[1]Feuil1!$G$2:$G$1000,Legende!A4))</f>
        <v>0</v>
      </c>
      <c r="S6" s="9">
        <f>SUM(SUMIFS([1]Feuil1!$F$2:$F$1000,[1]Feuil1!$A$2:$A$1000,Legende!$C$22,[1]Feuil1!$A$2:$A$1000,Legende!$D$22,[1]Feuil1!$G$2:$G$1000,Legende!A4))-SUM(SUMIFS([1]Feuil1!$E$2:$E$1000,[1]Feuil1!$A$2:$A$1000,Legende!$C$22,[1]Feuil1!$A$2:$A$1000,Legende!$D$22,[1]Feuil1!$G$2:$G$1000,Legende!A4))</f>
        <v>0</v>
      </c>
      <c r="T6" s="9">
        <f>SUM(SUMIFS([1]Feuil1!$F$2:$F$1000,[1]Feuil1!$A$2:$A$1000,Legende!$C$24,[1]Feuil1!$A$2:$A$1000,Legende!$D$24,[1]Feuil1!$G$2:$G$1000,Legende!A4))-SUM(SUMIFS([1]Feuil1!$E$2:$E$1000,[1]Feuil1!$A$2:$A$1000,Legende!$C$24,[1]Feuil1!$A$2:$A$1000,Legende!$D$24,[1]Feuil1!$G$2:$G$1000,Legende!A4))</f>
        <v>0</v>
      </c>
      <c r="U6" s="9">
        <f>(SUM(SUMIFS([1]Feuil1!$F$2:$F$1000,[1]Feuil1!$A$2:$A$1000,Legende!$C$25,[1]Feuil1!$A$2:$A$1000,Legende!$D$25,[1]Feuil1!$G$2:$G$1000,Legende!A4))+SUM(SUMIFS([1]Feuil1!$F$2:$F$1000,[1]Feuil1!$A$2:$A$1000,Legende!$C$26,[1]Feuil1!$A$2:$A$1000,Legende!$D$26,[1]Feuil1!$G$2:$G$1000,Legende!A4)))-(SUM(SUMIFS([1]Feuil1!$E$2:$E$1000,[1]Feuil1!$A$2:$A$1000,Legende!$C$25,[1]Feuil1!$A$2:$A$1000,Legende!$D$25,[1]Feuil1!$G$2:$G$1000,Legende!A4))+SUM(SUMIFS([1]Feuil1!$E$2:$E$1000,[1]Feuil1!$A$2:$A$1000,Legende!$C$26,[1]Feuil1!$A$2:$A$1000,Legende!$D$26,[1]Feuil1!$G$2:$G$1000,Legende!A4)))</f>
        <v>0</v>
      </c>
    </row>
    <row r="7" spans="1:21" ht="15.75" thickBot="1" x14ac:dyDescent="0.3">
      <c r="A7" s="7" t="str">
        <f>Legende!A5</f>
        <v>Avril</v>
      </c>
      <c r="B7" s="9">
        <f>SUM(SUMIFS([1]Feuil1!$F$2:$F$1000,[1]Feuil1!$A$2:$A$1000,Legende!$C$2,[1]Feuil1!$A$2:$A$1000,Legende!$D$2,[1]Feuil1!$G$2:$G$1000,Legende!A5))-SUM(SUMIFS([1]Feuil1!$E$2:$E$1000,[1]Feuil1!$A$2:$A$1000,Legende!$C$2,[1]Feuil1!$A$2:$A$1000,Legende!$D$2,[1]Feuil1!$G$2:$G$1000,Legende!A5))</f>
        <v>-113170.10999999964</v>
      </c>
      <c r="C7" s="9">
        <f>SUM(SUMIFS([1]Feuil1!$F$2:$F$1000,[1]Feuil1!$A$2:$A$1000,Legende!$C$3,[1]Feuil1!$A$2:$A$1000,Legende!$D$3,[1]Feuil1!$G$2:$G$1000,Legende!A5))-SUM(SUMIFS([1]Feuil1!$E$2:$E$1000,[1]Feuil1!$A$2:$A$1000,Legende!$C$3,[1]Feuil1!$A$2:$A$1000,Legende!$D$3,[1]Feuil1!$G$2:$G$1000,Legende!A5))</f>
        <v>514371.3600000001</v>
      </c>
      <c r="D7" s="9">
        <f>(SUM(SUMIFS([1]Feuil1!$E$2:$E$1000,[1]Feuil1!$A$2:$A$1000,Legende!$C$4,[1]Feuil1!$A$2:$A$1000,Legende!$D$4,[1]Feuil1!$G$2:$G$1000,Legende!A5))+SUM(SUMIFS([1]Feuil1!$E$2:$E$1000,[1]Feuil1!$A$2:$A$1000,Legende!$C$5,[1]Feuil1!$A$2:$A$1000,Legende!$D$5,[1]Feuil1!$G$2:$G$1000,Legende!A5)))-(SUM(SUMIFS([1]Feuil1!$F$2:$F$1000,[1]Feuil1!$A$2:$A$1000,Legende!$C$4,[1]Feuil1!$A$2:$A$1000,Legende!$D$4,[1]Feuil1!$G$2:$G$1000,Legende!A5))+SUM(SUMIFS([1]Feuil1!$F$2:$F$1000,[1]Feuil1!$A$2:$A$1000,Legende!$C$5,[1]Feuil1!$A$2:$A$1000,Legende!$D$5,[1]Feuil1!$G$2:$G$1000,Legende!A5)))</f>
        <v>5344.5499999999993</v>
      </c>
      <c r="E7" s="9">
        <f>SUM(SUMIFS([1]Feuil1!$E$2:$E$1000,[1]Feuil1!$A$2:$A$1000,Legende!$C$6,[1]Feuil1!$A$2:$A$1000,Legende!$D$6,[1]Feuil1!$G$2:$G$1000,Legende!A5))-SUMPRODUCT(SUMIFS([1]Feuil1!$F$2:$F$1000,[1]Feuil1!$A$2:$A$1000,Legende!$C$6,[1]Feuil1!$A$2:$A$1000,Legende!$D$6,[1]Feuil1!$G$2:$G$1000,Legende!A5))</f>
        <v>675258.71</v>
      </c>
      <c r="F7" s="9">
        <f>SUM(SUMIFS([1]Feuil1!$F$2:$F$1000,[1]Feuil1!$A$2:$A$1000,Legende!$C$7,[1]Feuil1!$A$2:$A$1000,Legende!$D$7,[1]Feuil1!$G$2:$G$1000,Legende!A5))-SUM(SUMIFS([1]Feuil1!$E$2:$E$1000,[1]Feuil1!$A$2:$A$1000,Legende!$C$7,[1]Feuil1!$A$2:$A$1000,Legende!$D$7,[1]Feuil1!$G$2:$G$1000,Legende!A5))</f>
        <v>53061.79</v>
      </c>
      <c r="G7" s="9">
        <f>(SUM(SUMIFS([1]Feuil1!$F$2:$F$1000,[1]Feuil1!$A$2:$A$1000,Legende!$C$8,[1]Feuil1!$A$2:$A$1000,Legende!$D$8,[1]Feuil1!$G$2:$G$1000,Legende!A5))+SUM(SUMIFS([1]Feuil1!$F$2:$F$1000,[1]Feuil1!$A$2:$A$1000,Legende!$C$9,[1]Feuil1!$A$2:$A$1000,Legende!$D$9,[1]Feuil1!$G$2:$G$1000,Legende!A5)))-(SUM(SUMIFS([1]Feuil1!$E$2:$E$1000,[1]Feuil1!$A$2:$A$1000,Legende!$C$8,[1]Feuil1!$A$2:$A$1000,Legende!$D$8,[1]Feuil1!$G$2:$G$1000,Legende!A5))+SUM(SUMIFS([1]Feuil1!$E$2:$E$1000,[1]Feuil1!$A$2:$A$1000,Legende!$C$9,[1]Feuil1!$A$2:$A$1000,Legende!$D$9,[1]Feuil1!$G$2:$G$1000,Legende!A5)))</f>
        <v>53040.25</v>
      </c>
      <c r="H7" s="9">
        <f>SUM(SUMIFS([1]Feuil1!$F$2:$F$1000,[1]Feuil1!$A$2:$A$1000,Legende!$C$10,[1]Feuil1!$A$2:$A$1000,Legende!$D$10,[1]Feuil1!$G$2:$G$1000,Legende!A5))-SUM(SUMIFS([1]Feuil1!$E$2:$E$1000,[1]Feuil1!$A$2:$A$1000,Legende!$C$10,[1]Feuil1!$A$2:$A$1000,Legende!$D$10,[1]Feuil1!$G$2:$G$1000,Legende!A5))</f>
        <v>21.54</v>
      </c>
      <c r="I7" s="9">
        <f>(SUM(SUMIFS([1]Feuil1!$F$2:$F$1000,[1]Feuil1!$A$2:$A$1000,Legende!$C$11,[1]Feuil1!$A$2:$A$1000,Legende!$D$11,[1]Feuil1!$G$2:$G$1000,Legende!A5))+SUM(SUMIFS([1]Feuil1!$F$2:$F$1000,[1]Feuil1!$A$2:$A$1000,Legende!$C$13,[1]Feuil1!$A$2:$A$1000,Legende!$D$13,[1]Feuil1!$G$2:$G$1000,Legende!A5)))-(SUM(SUMIFS([1]Feuil1!$E$2:$E$1000,[1]Feuil1!$A$2:$A$1000,Legende!$C$11,[1]Feuil1!$A$2:$A$1000,Legende!$D$11,[1]Feuil1!$G$2:$G$1000,Legende!A5))+SUM(SUMIFS([1]Feuil1!$E$2:$E$1000,[1]Feuil1!$A$2:$A$1000,Legende!$C$13,[1]Feuil1!$A$2:$A$1000,Legende!$D$13,[1]Feuil1!$G$2:$G$1000,Legende!A5)))</f>
        <v>0</v>
      </c>
      <c r="J7" s="9">
        <f>SUM(SUMIFS([1]Feuil1!$E$2:$E$1000,[1]Feuil1!$A$2:$A$1000,Legende!$C$12,[1]Feuil1!$A$2:$A$1000,Legende!$D$12,[1]Feuil1!$G$2:$G$1000,Legende!A5))-SUM(SUMIFS([1]Feuil1!$F$2:$F$1000,[1]Feuil1!$A$2:$A$1000,Legende!$C$12,[1]Feuil1!$A$2:$A$1000,Legende!$D$12,[1]Feuil1!$G$2:$G$1000,Legende!A5))</f>
        <v>2476.7199999999998</v>
      </c>
      <c r="K7" s="9">
        <f>SUM(SUMIFS([1]Feuil1!$F$2:$F$1000,[1]Feuil1!$A$2:$A$1000,Legende!$C$18,[1]Feuil1!$A$2:$A$1000,Legende!$D$18,[1]Feuil1!$G$2:$G$1000,Legende!A5))-SUM(SUMIFS([1]Feuil1!$E$2:$E$1000,[1]Feuil1!$A$2:$A$1000,Legende!$C$18,[1]Feuil1!$A$2:$A$1000,Legende!$D$18,[1]Feuil1!$G$2:$G$1000,Legende!A5))</f>
        <v>110000</v>
      </c>
      <c r="L7" s="9">
        <f>SUM(SUMIFS([1]Feuil1!$F$2:$F$1000,[1]Feuil1!$A$2:$A$1000,Legende!$C$14,[1]Feuil1!$A$2:$A$1000,Legende!$D$14,[1]Feuil1!$G$2:$G$1000,Legende!A5))-SUM(SUMIFS([1]Feuil1!$E$2:$E$1000,[1]Feuil1!$A$2:$A$1000,Legende!$C$14,[1]Feuil1!$A$2:$A$1000,Legende!$D$14,[1]Feuil1!$G$2:$G$1000,Legende!A5))</f>
        <v>-121959.21</v>
      </c>
      <c r="M7" s="9">
        <f>SUM(SUMIFS([1]Feuil1!$E$2:$E$1000,[1]Feuil1!$A$2:$A$1000,Legende!$C$15,[1]Feuil1!$A$2:$A$1000,Legende!$D$15,[1]Feuil1!$G$2:$G$1000,Legende!A5))-SUM(SUMIFS([1]Feuil1!$F$2:$F$1000,[1]Feuil1!$A$2:$A$1000,Legende!$C$15,[1]Feuil1!$A$2:$A$1000,Legende!$D$15,[1]Feuil1!$G$2:$G$1000,Legende!A5))</f>
        <v>0</v>
      </c>
      <c r="N7" s="9">
        <f>(SUM(SUMIFS([1]Feuil1!$F$2:$F$1000,[1]Feuil1!$A$2:$A$1000,Legende!$C$16,[1]Feuil1!$A$2:$A$1000,Legende!$D$16,[1]Feuil1!$G$2:$G$1000,Legende!A5))+SUM(SUMIFS([1]Feuil1!$F$2:$F$1000,[1]Feuil1!$A$2:$A$1000,Legende!$C$19,[1]Feuil1!$A$2:$A$1000,Legende!$D$19,[1]Feuil1!$G$2:$G$1000,Legende!A5)))-(SUM(SUMIFS([1]Feuil1!$E$2:$E$1000,[1]Feuil1!$A$2:$A$1000,Legende!$C$16,[1]Feuil1!$A$2:$A$1000,Legende!$D$16,[1]Feuil1!$G$2:$G$1000,Legende!A5))+SUM(SUMIFS([1]Feuil1!$E$2:$E$1000,[1]Feuil1!$A$2:$A$1000,Legende!$C$19,[1]Feuil1!$A$2:$A$1000,Legende!$D$19,[1]Feuil1!$G$2:$G$1000,Legende!A5)))</f>
        <v>-631177.53</v>
      </c>
      <c r="O7" s="9">
        <f>SUM(SUMIFS([1]Feuil1!$F$2:$F$1000,[1]Feuil1!$A$2:$A$1000,Legende!$C$17,[1]Feuil1!$A$2:$A$1000,Legende!$D$17,[1]Feuil1!$G$2:$G$1000,Legende!A5))-SUM(SUMIFS([1]Feuil1!$E$2:$E$1000,[1]Feuil1!$A$2:$A$1000,Legende!$C$17,[1]Feuil1!$A$2:$A$1000,Legende!$D$17,[1]Feuil1!$G$2:$G$1000,Legende!A5))</f>
        <v>56108.92</v>
      </c>
      <c r="P7" s="9">
        <f>SUM(SUMIFS([1]Feuil1!$F$2:$F$1000,[1]Feuil1!$A$2:$A$1000,Legende!$C$23,[1]Feuil1!$A$2:$A$1000,Legende!$D$23,[1]Feuil1!$G$2:$G$1000,Legende!A5))-SUM(SUMIFS([1]Feuil1!$E$2:$E$1000,[1]Feuil1!$A$2:$A$1000,Legende!$C$23,[1]Feuil1!$A$2:$A$1000,Legende!$D$23,[1]Feuil1!$G$2:$G$1000,Legende!A5))</f>
        <v>610477.49</v>
      </c>
      <c r="Q7" s="9">
        <f>SUM(SUMIFS([1]Feuil1!$F$2:$F$1000,[1]Feuil1!$A$2:$A$1000,Legende!$C$20,[1]Feuil1!$A$2:$A$1000,Legende!$D$20,[1]Feuil1!$G$2:$G$1000,Legende!A5))-SUM(SUMIFS([1]Feuil1!$E$2:$E$1000,[1]Feuil1!$A$2:$A$1000,Legende!$C$20,[1]Feuil1!$A$2:$A$1000,Legende!$D$20,[1]Feuil1!$G$2:$G$1000,Legende!A5))</f>
        <v>0</v>
      </c>
      <c r="R7" s="9">
        <f>SUM(SUMIFS([1]Feuil1!$F$2:$F$1000,[1]Feuil1!$A$2:$A$1000,Legende!$C$21,[1]Feuil1!$A$2:$A$1000,Legende!$D$21,[1]Feuil1!$G$2:$G$1000,Legende!A5))-SUM(SUMIFS([1]Feuil1!$E$2:$E$1000,[1]Feuil1!$A$2:$A$1000,Legende!$C$21,[1]Feuil1!$A$2:$A$1000,Legende!$D$21,[1]Feuil1!$G$2:$G$1000,Legende!A5))</f>
        <v>0</v>
      </c>
      <c r="S7" s="9">
        <f>SUM(SUMIFS([1]Feuil1!$F$2:$F$1000,[1]Feuil1!$A$2:$A$1000,Legende!$C$22,[1]Feuil1!$A$2:$A$1000,Legende!$D$22,[1]Feuil1!$G$2:$G$1000,Legende!A5))-SUM(SUMIFS([1]Feuil1!$E$2:$E$1000,[1]Feuil1!$A$2:$A$1000,Legende!$C$22,[1]Feuil1!$A$2:$A$1000,Legende!$D$22,[1]Feuil1!$G$2:$G$1000,Legende!A5))</f>
        <v>0</v>
      </c>
      <c r="T7" s="9">
        <f>SUM(SUMIFS([1]Feuil1!$F$2:$F$1000,[1]Feuil1!$A$2:$A$1000,Legende!$C$24,[1]Feuil1!$A$2:$A$1000,Legende!$D$24,[1]Feuil1!$G$2:$G$1000,Legende!A5))-SUM(SUMIFS([1]Feuil1!$E$2:$E$1000,[1]Feuil1!$A$2:$A$1000,Legende!$C$24,[1]Feuil1!$A$2:$A$1000,Legende!$D$24,[1]Feuil1!$G$2:$G$1000,Legende!A5))</f>
        <v>0</v>
      </c>
      <c r="U7" s="9">
        <f>(SUM(SUMIFS([1]Feuil1!$F$2:$F$1000,[1]Feuil1!$A$2:$A$1000,Legende!$C$25,[1]Feuil1!$A$2:$A$1000,Legende!$D$25,[1]Feuil1!$G$2:$G$1000,Legende!A5))+SUM(SUMIFS([1]Feuil1!$F$2:$F$1000,[1]Feuil1!$A$2:$A$1000,Legende!$C$26,[1]Feuil1!$A$2:$A$1000,Legende!$D$26,[1]Feuil1!$G$2:$G$1000,Legende!A5)))-(SUM(SUMIFS([1]Feuil1!$E$2:$E$1000,[1]Feuil1!$A$2:$A$1000,Legende!$C$25,[1]Feuil1!$A$2:$A$1000,Legende!$D$25,[1]Feuil1!$G$2:$G$1000,Legende!A5))+SUM(SUMIFS([1]Feuil1!$E$2:$E$1000,[1]Feuil1!$A$2:$A$1000,Legende!$C$26,[1]Feuil1!$A$2:$A$1000,Legende!$D$26,[1]Feuil1!$G$2:$G$1000,Legende!A5)))</f>
        <v>0</v>
      </c>
    </row>
    <row r="8" spans="1:21" ht="15.75" thickBot="1" x14ac:dyDescent="0.3">
      <c r="A8" s="7" t="str">
        <f>Legende!A6</f>
        <v>Mai</v>
      </c>
      <c r="B8" s="9">
        <f>SUM(SUMIFS([1]Feuil1!$F$2:$F$1000,[1]Feuil1!$A$2:$A$1000,Legende!$C$2,[1]Feuil1!$A$2:$A$1000,Legende!$D$2,[1]Feuil1!$G$2:$G$1000,Legende!A6))-SUM(SUMIFS([1]Feuil1!$E$2:$E$1000,[1]Feuil1!$A$2:$A$1000,Legende!$C$2,[1]Feuil1!$A$2:$A$1000,Legende!$D$2,[1]Feuil1!$G$2:$G$1000,Legende!A6))</f>
        <v>-290787.84999999963</v>
      </c>
      <c r="C8" s="9">
        <f>SUM(SUMIFS([1]Feuil1!$F$2:$F$1000,[1]Feuil1!$A$2:$A$1000,Legende!$C$3,[1]Feuil1!$A$2:$A$1000,Legende!$D$3,[1]Feuil1!$G$2:$G$1000,Legende!A6))-SUM(SUMIFS([1]Feuil1!$E$2:$E$1000,[1]Feuil1!$A$2:$A$1000,Legende!$C$3,[1]Feuil1!$A$2:$A$1000,Legende!$D$3,[1]Feuil1!$G$2:$G$1000,Legende!A6))</f>
        <v>-1766747.75</v>
      </c>
      <c r="D8" s="9">
        <f>(SUM(SUMIFS([1]Feuil1!$E$2:$E$1000,[1]Feuil1!$A$2:$A$1000,Legende!$C$4,[1]Feuil1!$A$2:$A$1000,Legende!$D$4,[1]Feuil1!$G$2:$G$1000,Legende!A6))+SUM(SUMIFS([1]Feuil1!$E$2:$E$1000,[1]Feuil1!$A$2:$A$1000,Legende!$C$5,[1]Feuil1!$A$2:$A$1000,Legende!$D$5,[1]Feuil1!$G$2:$G$1000,Legende!A6)))-(SUM(SUMIFS([1]Feuil1!$F$2:$F$1000,[1]Feuil1!$A$2:$A$1000,Legende!$C$4,[1]Feuil1!$A$2:$A$1000,Legende!$D$4,[1]Feuil1!$G$2:$G$1000,Legende!A6))+SUM(SUMIFS([1]Feuil1!$F$2:$F$1000,[1]Feuil1!$A$2:$A$1000,Legende!$C$5,[1]Feuil1!$A$2:$A$1000,Legende!$D$5,[1]Feuil1!$G$2:$G$1000,Legende!A6)))</f>
        <v>-110841.12999999999</v>
      </c>
      <c r="E8" s="9">
        <f>SUM(SUMIFS([1]Feuil1!$E$2:$E$1000,[1]Feuil1!$A$2:$A$1000,Legende!$C$6,[1]Feuil1!$A$2:$A$1000,Legende!$D$6,[1]Feuil1!$G$2:$G$1000,Legende!A6))-SUMPRODUCT(SUMIFS([1]Feuil1!$F$2:$F$1000,[1]Feuil1!$A$2:$A$1000,Legende!$C$6,[1]Feuil1!$A$2:$A$1000,Legende!$D$6,[1]Feuil1!$G$2:$G$1000,Legende!A6))</f>
        <v>-1262709.01</v>
      </c>
      <c r="F8" s="9">
        <f>SUM(SUMIFS([1]Feuil1!$F$2:$F$1000,[1]Feuil1!$A$2:$A$1000,Legende!$C$7,[1]Feuil1!$A$2:$A$1000,Legende!$D$7,[1]Feuil1!$G$2:$G$1000,Legende!A6))-SUM(SUMIFS([1]Feuil1!$E$2:$E$1000,[1]Feuil1!$A$2:$A$1000,Legende!$C$7,[1]Feuil1!$A$2:$A$1000,Legende!$D$7,[1]Feuil1!$G$2:$G$1000,Legende!A6))</f>
        <v>102409.76</v>
      </c>
      <c r="G8" s="9">
        <f>(SUM(SUMIFS([1]Feuil1!$F$2:$F$1000,[1]Feuil1!$A$2:$A$1000,Legende!$C$8,[1]Feuil1!$A$2:$A$1000,Legende!$D$8,[1]Feuil1!$G$2:$G$1000,Legende!A6))+SUM(SUMIFS([1]Feuil1!$F$2:$F$1000,[1]Feuil1!$A$2:$A$1000,Legende!$C$9,[1]Feuil1!$A$2:$A$1000,Legende!$D$9,[1]Feuil1!$G$2:$G$1000,Legende!A6)))-(SUM(SUMIFS([1]Feuil1!$E$2:$E$1000,[1]Feuil1!$A$2:$A$1000,Legende!$C$8,[1]Feuil1!$A$2:$A$1000,Legende!$D$8,[1]Feuil1!$G$2:$G$1000,Legende!A6))+SUM(SUMIFS([1]Feuil1!$E$2:$E$1000,[1]Feuil1!$A$2:$A$1000,Legende!$C$9,[1]Feuil1!$A$2:$A$1000,Legende!$D$9,[1]Feuil1!$G$2:$G$1000,Legende!A6)))</f>
        <v>106022.09</v>
      </c>
      <c r="H8" s="9">
        <f>SUM(SUMIFS([1]Feuil1!$F$2:$F$1000,[1]Feuil1!$A$2:$A$1000,Legende!$C$10,[1]Feuil1!$A$2:$A$1000,Legende!$D$10,[1]Feuil1!$G$2:$G$1000,Legende!A6))-SUM(SUMIFS([1]Feuil1!$E$2:$E$1000,[1]Feuil1!$A$2:$A$1000,Legende!$C$10,[1]Feuil1!$A$2:$A$1000,Legende!$D$10,[1]Feuil1!$G$2:$G$1000,Legende!A6))</f>
        <v>0</v>
      </c>
      <c r="I8" s="9">
        <f>(SUM(SUMIFS([1]Feuil1!$F$2:$F$1000,[1]Feuil1!$A$2:$A$1000,Legende!$C$11,[1]Feuil1!$A$2:$A$1000,Legende!$D$11,[1]Feuil1!$G$2:$G$1000,Legende!A6))+SUM(SUMIFS([1]Feuil1!$F$2:$F$1000,[1]Feuil1!$A$2:$A$1000,Legende!$C$13,[1]Feuil1!$A$2:$A$1000,Legende!$D$13,[1]Feuil1!$G$2:$G$1000,Legende!A6)))-(SUM(SUMIFS([1]Feuil1!$E$2:$E$1000,[1]Feuil1!$A$2:$A$1000,Legende!$C$11,[1]Feuil1!$A$2:$A$1000,Legende!$D$11,[1]Feuil1!$G$2:$G$1000,Legende!A6))+SUM(SUMIFS([1]Feuil1!$E$2:$E$1000,[1]Feuil1!$A$2:$A$1000,Legende!$C$13,[1]Feuil1!$A$2:$A$1000,Legende!$D$13,[1]Feuil1!$G$2:$G$1000,Legende!A6)))</f>
        <v>-3612.33</v>
      </c>
      <c r="J8" s="9">
        <f>SUM(SUMIFS([1]Feuil1!$E$2:$E$1000,[1]Feuil1!$A$2:$A$1000,Legende!$C$12,[1]Feuil1!$A$2:$A$1000,Legende!$D$12,[1]Feuil1!$G$2:$G$1000,Legende!A6))-SUM(SUMIFS([1]Feuil1!$F$2:$F$1000,[1]Feuil1!$A$2:$A$1000,Legende!$C$12,[1]Feuil1!$A$2:$A$1000,Legende!$D$12,[1]Feuil1!$G$2:$G$1000,Legende!A6))</f>
        <v>89624.08</v>
      </c>
      <c r="K8" s="9">
        <f>SUM(SUMIFS([1]Feuil1!$F$2:$F$1000,[1]Feuil1!$A$2:$A$1000,Legende!$C$18,[1]Feuil1!$A$2:$A$1000,Legende!$D$18,[1]Feuil1!$G$2:$G$1000,Legende!A6))-SUM(SUMIFS([1]Feuil1!$E$2:$E$1000,[1]Feuil1!$A$2:$A$1000,Legende!$C$18,[1]Feuil1!$A$2:$A$1000,Legende!$D$18,[1]Feuil1!$G$2:$G$1000,Legende!A6))</f>
        <v>1524.49</v>
      </c>
      <c r="L8" s="9">
        <f>SUM(SUMIFS([1]Feuil1!$F$2:$F$1000,[1]Feuil1!$A$2:$A$1000,Legende!$C$14,[1]Feuil1!$A$2:$A$1000,Legende!$D$14,[1]Feuil1!$G$2:$G$1000,Legende!A6))-SUM(SUMIFS([1]Feuil1!$E$2:$E$1000,[1]Feuil1!$A$2:$A$1000,Legende!$C$14,[1]Feuil1!$A$2:$A$1000,Legende!$D$14,[1]Feuil1!$G$2:$G$1000,Legende!A6))</f>
        <v>-1119796.07</v>
      </c>
      <c r="M8" s="9">
        <f>SUM(SUMIFS([1]Feuil1!$E$2:$E$1000,[1]Feuil1!$A$2:$A$1000,Legende!$C$15,[1]Feuil1!$A$2:$A$1000,Legende!$D$15,[1]Feuil1!$G$2:$G$1000,Legende!A6))-SUM(SUMIFS([1]Feuil1!$F$2:$F$1000,[1]Feuil1!$A$2:$A$1000,Legende!$C$15,[1]Feuil1!$A$2:$A$1000,Legende!$D$15,[1]Feuil1!$G$2:$G$1000,Legende!A6))</f>
        <v>257983.27</v>
      </c>
      <c r="N8" s="9">
        <f>(SUM(SUMIFS([1]Feuil1!$F$2:$F$1000,[1]Feuil1!$A$2:$A$1000,Legende!$C$16,[1]Feuil1!$A$2:$A$1000,Legende!$D$16,[1]Feuil1!$G$2:$G$1000,Legende!A6))+SUM(SUMIFS([1]Feuil1!$F$2:$F$1000,[1]Feuil1!$A$2:$A$1000,Legende!$C$19,[1]Feuil1!$A$2:$A$1000,Legende!$D$19,[1]Feuil1!$G$2:$G$1000,Legende!A6)))-(SUM(SUMIFS([1]Feuil1!$E$2:$E$1000,[1]Feuil1!$A$2:$A$1000,Legende!$C$16,[1]Feuil1!$A$2:$A$1000,Legende!$D$16,[1]Feuil1!$G$2:$G$1000,Legende!A6))+SUM(SUMIFS([1]Feuil1!$E$2:$E$1000,[1]Feuil1!$A$2:$A$1000,Legende!$C$19,[1]Feuil1!$A$2:$A$1000,Legende!$D$19,[1]Feuil1!$G$2:$G$1000,Legende!A6)))</f>
        <v>-4326822.2700000005</v>
      </c>
      <c r="O8" s="9">
        <f>SUM(SUMIFS([1]Feuil1!$F$2:$F$1000,[1]Feuil1!$A$2:$A$1000,Legende!$C$17,[1]Feuil1!$A$2:$A$1000,Legende!$D$17,[1]Feuil1!$G$2:$G$1000,Legende!A6))-SUM(SUMIFS([1]Feuil1!$E$2:$E$1000,[1]Feuil1!$A$2:$A$1000,Legende!$C$17,[1]Feuil1!$A$2:$A$1000,Legende!$D$17,[1]Feuil1!$G$2:$G$1000,Legende!A6))</f>
        <v>197920.4</v>
      </c>
      <c r="P8" s="9">
        <f>SUM(SUMIFS([1]Feuil1!$F$2:$F$1000,[1]Feuil1!$A$2:$A$1000,Legende!$C$23,[1]Feuil1!$A$2:$A$1000,Legende!$D$23,[1]Feuil1!$G$2:$G$1000,Legende!A6))-SUM(SUMIFS([1]Feuil1!$E$2:$E$1000,[1]Feuil1!$A$2:$A$1000,Legende!$C$23,[1]Feuil1!$A$2:$A$1000,Legende!$D$23,[1]Feuil1!$G$2:$G$1000,Legende!A6))</f>
        <v>2527489.54</v>
      </c>
      <c r="Q8" s="9">
        <f>SUM(SUMIFS([1]Feuil1!$F$2:$F$1000,[1]Feuil1!$A$2:$A$1000,Legende!$C$20,[1]Feuil1!$A$2:$A$1000,Legende!$D$20,[1]Feuil1!$G$2:$G$1000,Legende!A6))-SUM(SUMIFS([1]Feuil1!$E$2:$E$1000,[1]Feuil1!$A$2:$A$1000,Legende!$C$20,[1]Feuil1!$A$2:$A$1000,Legende!$D$20,[1]Feuil1!$G$2:$G$1000,Legende!A6))</f>
        <v>0</v>
      </c>
      <c r="R8" s="9">
        <f>SUM(SUMIFS([1]Feuil1!$F$2:$F$1000,[1]Feuil1!$A$2:$A$1000,Legende!$C$21,[1]Feuil1!$A$2:$A$1000,Legende!$D$21,[1]Feuil1!$G$2:$G$1000,Legende!A6))-SUM(SUMIFS([1]Feuil1!$E$2:$E$1000,[1]Feuil1!$A$2:$A$1000,Legende!$C$21,[1]Feuil1!$A$2:$A$1000,Legende!$D$21,[1]Feuil1!$G$2:$G$1000,Legende!A6))</f>
        <v>257983.27</v>
      </c>
      <c r="S8" s="9">
        <f>SUM(SUMIFS([1]Feuil1!$F$2:$F$1000,[1]Feuil1!$A$2:$A$1000,Legende!$C$22,[1]Feuil1!$A$2:$A$1000,Legende!$D$22,[1]Feuil1!$G$2:$G$1000,Legende!A6))-SUM(SUMIFS([1]Feuil1!$E$2:$E$1000,[1]Feuil1!$A$2:$A$1000,Legende!$C$22,[1]Feuil1!$A$2:$A$1000,Legende!$D$22,[1]Feuil1!$G$2:$G$1000,Legende!A6))</f>
        <v>0</v>
      </c>
      <c r="T8" s="9">
        <f>SUM(SUMIFS([1]Feuil1!$F$2:$F$1000,[1]Feuil1!$A$2:$A$1000,Legende!$C$24,[1]Feuil1!$A$2:$A$1000,Legende!$D$24,[1]Feuil1!$G$2:$G$1000,Legende!A6))-SUM(SUMIFS([1]Feuil1!$E$2:$E$1000,[1]Feuil1!$A$2:$A$1000,Legende!$C$24,[1]Feuil1!$A$2:$A$1000,Legende!$D$24,[1]Feuil1!$G$2:$G$1000,Legende!A6))</f>
        <v>0</v>
      </c>
      <c r="U8" s="9">
        <f>(SUM(SUMIFS([1]Feuil1!$F$2:$F$1000,[1]Feuil1!$A$2:$A$1000,Legende!$C$25,[1]Feuil1!$A$2:$A$1000,Legende!$D$25,[1]Feuil1!$G$2:$G$1000,Legende!A6))+SUM(SUMIFS([1]Feuil1!$F$2:$F$1000,[1]Feuil1!$A$2:$A$1000,Legende!$C$26,[1]Feuil1!$A$2:$A$1000,Legende!$D$26,[1]Feuil1!$G$2:$G$1000,Legende!A6)))-(SUM(SUMIFS([1]Feuil1!$E$2:$E$1000,[1]Feuil1!$A$2:$A$1000,Legende!$C$25,[1]Feuil1!$A$2:$A$1000,Legende!$D$25,[1]Feuil1!$G$2:$G$1000,Legende!A6))+SUM(SUMIFS([1]Feuil1!$E$2:$E$1000,[1]Feuil1!$A$2:$A$1000,Legende!$C$26,[1]Feuil1!$A$2:$A$1000,Legende!$D$26,[1]Feuil1!$G$2:$G$1000,Legende!A6)))</f>
        <v>0</v>
      </c>
    </row>
    <row r="9" spans="1:21" ht="15.75" thickBot="1" x14ac:dyDescent="0.3">
      <c r="A9" s="7" t="str">
        <f>Legende!A7</f>
        <v>Juin</v>
      </c>
      <c r="B9" s="9">
        <f>SUM(SUMIFS([1]Feuil1!$F$2:$F$1000,[1]Feuil1!$A$2:$A$1000,Legende!$C$2,[1]Feuil1!$A$2:$A$1000,Legende!$D$2,[1]Feuil1!$G$2:$G$1000,Legende!A7))-SUM(SUMIFS([1]Feuil1!$E$2:$E$1000,[1]Feuil1!$A$2:$A$1000,Legende!$C$2,[1]Feuil1!$A$2:$A$1000,Legende!$D$2,[1]Feuil1!$G$2:$G$1000,Legende!A7))</f>
        <v>-109631.89000000036</v>
      </c>
      <c r="C9" s="9">
        <f>SUM(SUMIFS([1]Feuil1!$F$2:$F$1000,[1]Feuil1!$A$2:$A$1000,Legende!$C$3,[1]Feuil1!$A$2:$A$1000,Legende!$D$3,[1]Feuil1!$G$2:$G$1000,Legende!A7))-SUM(SUMIFS([1]Feuil1!$E$2:$E$1000,[1]Feuil1!$A$2:$A$1000,Legende!$C$3,[1]Feuil1!$A$2:$A$1000,Legende!$D$3,[1]Feuil1!$G$2:$G$1000,Legende!A7))</f>
        <v>-316540.67000000016</v>
      </c>
      <c r="D9" s="9">
        <f>(SUM(SUMIFS([1]Feuil1!$E$2:$E$1000,[1]Feuil1!$A$2:$A$1000,Legende!$C$4,[1]Feuil1!$A$2:$A$1000,Legende!$D$4,[1]Feuil1!$G$2:$G$1000,Legende!A7))+SUM(SUMIFS([1]Feuil1!$E$2:$E$1000,[1]Feuil1!$A$2:$A$1000,Legende!$C$5,[1]Feuil1!$A$2:$A$1000,Legende!$D$5,[1]Feuil1!$G$2:$G$1000,Legende!A7)))-(SUM(SUMIFS([1]Feuil1!$F$2:$F$1000,[1]Feuil1!$A$2:$A$1000,Legende!$C$4,[1]Feuil1!$A$2:$A$1000,Legende!$D$4,[1]Feuil1!$G$2:$G$1000,Legende!A7))+SUM(SUMIFS([1]Feuil1!$F$2:$F$1000,[1]Feuil1!$A$2:$A$1000,Legende!$C$5,[1]Feuil1!$A$2:$A$1000,Legende!$D$5,[1]Feuil1!$G$2:$G$1000,Legende!A7)))</f>
        <v>-30890.800000000003</v>
      </c>
      <c r="E9" s="9">
        <f>SUM(SUMIFS([1]Feuil1!$E$2:$E$1000,[1]Feuil1!$A$2:$A$1000,Legende!$C$6,[1]Feuil1!$A$2:$A$1000,Legende!$D$6,[1]Feuil1!$G$2:$G$1000,Legende!A7))-SUMPRODUCT(SUMIFS([1]Feuil1!$F$2:$F$1000,[1]Feuil1!$A$2:$A$1000,Legende!$C$6,[1]Feuil1!$A$2:$A$1000,Legende!$D$6,[1]Feuil1!$G$2:$G$1000,Legende!A7))</f>
        <v>-138566.37</v>
      </c>
      <c r="F9" s="9">
        <f>SUM(SUMIFS([1]Feuil1!$F$2:$F$1000,[1]Feuil1!$A$2:$A$1000,Legende!$C$7,[1]Feuil1!$A$2:$A$1000,Legende!$D$7,[1]Feuil1!$G$2:$G$1000,Legende!A7))-SUM(SUMIFS([1]Feuil1!$E$2:$E$1000,[1]Feuil1!$A$2:$A$1000,Legende!$C$7,[1]Feuil1!$A$2:$A$1000,Legende!$D$7,[1]Feuil1!$G$2:$G$1000,Legende!A7))</f>
        <v>37451.61</v>
      </c>
      <c r="G9" s="9">
        <f>(SUM(SUMIFS([1]Feuil1!$F$2:$F$1000,[1]Feuil1!$A$2:$A$1000,Legende!$C$8,[1]Feuil1!$A$2:$A$1000,Legende!$D$8,[1]Feuil1!$G$2:$G$1000,Legende!A7))+SUM(SUMIFS([1]Feuil1!$F$2:$F$1000,[1]Feuil1!$A$2:$A$1000,Legende!$C$9,[1]Feuil1!$A$2:$A$1000,Legende!$D$9,[1]Feuil1!$G$2:$G$1000,Legende!A7)))-(SUM(SUMIFS([1]Feuil1!$E$2:$E$1000,[1]Feuil1!$A$2:$A$1000,Legende!$C$8,[1]Feuil1!$A$2:$A$1000,Legende!$D$8,[1]Feuil1!$G$2:$G$1000,Legende!A7))+SUM(SUMIFS([1]Feuil1!$E$2:$E$1000,[1]Feuil1!$A$2:$A$1000,Legende!$C$9,[1]Feuil1!$A$2:$A$1000,Legende!$D$9,[1]Feuil1!$G$2:$G$1000,Legende!A7)))</f>
        <v>37918.399999999994</v>
      </c>
      <c r="H9" s="9">
        <f>SUM(SUMIFS([1]Feuil1!$F$2:$F$1000,[1]Feuil1!$A$2:$A$1000,Legende!$C$10,[1]Feuil1!$A$2:$A$1000,Legende!$D$10,[1]Feuil1!$G$2:$G$1000,Legende!A7))-SUM(SUMIFS([1]Feuil1!$E$2:$E$1000,[1]Feuil1!$A$2:$A$1000,Legende!$C$10,[1]Feuil1!$A$2:$A$1000,Legende!$D$10,[1]Feuil1!$G$2:$G$1000,Legende!A7))</f>
        <v>0</v>
      </c>
      <c r="I9" s="9">
        <f>(SUM(SUMIFS([1]Feuil1!$F$2:$F$1000,[1]Feuil1!$A$2:$A$1000,Legende!$C$11,[1]Feuil1!$A$2:$A$1000,Legende!$D$11,[1]Feuil1!$G$2:$G$1000,Legende!A7))+SUM(SUMIFS([1]Feuil1!$F$2:$F$1000,[1]Feuil1!$A$2:$A$1000,Legende!$C$13,[1]Feuil1!$A$2:$A$1000,Legende!$D$13,[1]Feuil1!$G$2:$G$1000,Legende!A7)))-(SUM(SUMIFS([1]Feuil1!$E$2:$E$1000,[1]Feuil1!$A$2:$A$1000,Legende!$C$11,[1]Feuil1!$A$2:$A$1000,Legende!$D$11,[1]Feuil1!$G$2:$G$1000,Legende!A7))+SUM(SUMIFS([1]Feuil1!$E$2:$E$1000,[1]Feuil1!$A$2:$A$1000,Legende!$C$13,[1]Feuil1!$A$2:$A$1000,Legende!$D$13,[1]Feuil1!$G$2:$G$1000,Legende!A7)))</f>
        <v>-466.79</v>
      </c>
      <c r="J9" s="9">
        <f>SUM(SUMIFS([1]Feuil1!$E$2:$E$1000,[1]Feuil1!$A$2:$A$1000,Legende!$C$12,[1]Feuil1!$A$2:$A$1000,Legende!$D$12,[1]Feuil1!$G$2:$G$1000,Legende!A7))-SUM(SUMIFS([1]Feuil1!$F$2:$F$1000,[1]Feuil1!$A$2:$A$1000,Legende!$C$12,[1]Feuil1!$A$2:$A$1000,Legende!$D$12,[1]Feuil1!$G$2:$G$1000,Legende!A7))</f>
        <v>10524.51</v>
      </c>
      <c r="K9" s="9">
        <f>SUM(SUMIFS([1]Feuil1!$F$2:$F$1000,[1]Feuil1!$A$2:$A$1000,Legende!$C$18,[1]Feuil1!$A$2:$A$1000,Legende!$D$18,[1]Feuil1!$G$2:$G$1000,Legende!A7))-SUM(SUMIFS([1]Feuil1!$E$2:$E$1000,[1]Feuil1!$A$2:$A$1000,Legende!$C$18,[1]Feuil1!$A$2:$A$1000,Legende!$D$18,[1]Feuil1!$G$2:$G$1000,Legende!A7))</f>
        <v>21594</v>
      </c>
      <c r="L9" s="9">
        <f>SUM(SUMIFS([1]Feuil1!$F$2:$F$1000,[1]Feuil1!$A$2:$A$1000,Legende!$C$14,[1]Feuil1!$A$2:$A$1000,Legende!$D$14,[1]Feuil1!$G$2:$G$1000,Legende!A7))-SUM(SUMIFS([1]Feuil1!$E$2:$E$1000,[1]Feuil1!$A$2:$A$1000,Legende!$C$14,[1]Feuil1!$A$2:$A$1000,Legende!$D$14,[1]Feuil1!$G$2:$G$1000,Legende!A7))</f>
        <v>-417814.73</v>
      </c>
      <c r="M9" s="9">
        <f>SUM(SUMIFS([1]Feuil1!$E$2:$E$1000,[1]Feuil1!$A$2:$A$1000,Legende!$C$15,[1]Feuil1!$A$2:$A$1000,Legende!$D$15,[1]Feuil1!$G$2:$G$1000,Legende!A7))-SUM(SUMIFS([1]Feuil1!$F$2:$F$1000,[1]Feuil1!$A$2:$A$1000,Legende!$C$15,[1]Feuil1!$A$2:$A$1000,Legende!$D$15,[1]Feuil1!$G$2:$G$1000,Legende!A7))</f>
        <v>40783</v>
      </c>
      <c r="N9" s="9">
        <f>(SUM(SUMIFS([1]Feuil1!$F$2:$F$1000,[1]Feuil1!$A$2:$A$1000,Legende!$C$16,[1]Feuil1!$A$2:$A$1000,Legende!$D$16,[1]Feuil1!$G$2:$G$1000,Legende!A7))+SUM(SUMIFS([1]Feuil1!$F$2:$F$1000,[1]Feuil1!$A$2:$A$1000,Legende!$C$19,[1]Feuil1!$A$2:$A$1000,Legende!$D$19,[1]Feuil1!$G$2:$G$1000,Legende!A7)))-(SUM(SUMIFS([1]Feuil1!$E$2:$E$1000,[1]Feuil1!$A$2:$A$1000,Legende!$C$16,[1]Feuil1!$A$2:$A$1000,Legende!$D$16,[1]Feuil1!$G$2:$G$1000,Legende!A7))+SUM(SUMIFS([1]Feuil1!$E$2:$E$1000,[1]Feuil1!$A$2:$A$1000,Legende!$C$19,[1]Feuil1!$A$2:$A$1000,Legende!$D$19,[1]Feuil1!$G$2:$G$1000,Legende!A7)))</f>
        <v>-1400916.23</v>
      </c>
      <c r="O9" s="9">
        <f>SUM(SUMIFS([1]Feuil1!$F$2:$F$1000,[1]Feuil1!$A$2:$A$1000,Legende!$C$17,[1]Feuil1!$A$2:$A$1000,Legende!$D$17,[1]Feuil1!$G$2:$G$1000,Legende!A7))-SUM(SUMIFS([1]Feuil1!$E$2:$E$1000,[1]Feuil1!$A$2:$A$1000,Legende!$C$17,[1]Feuil1!$A$2:$A$1000,Legende!$D$17,[1]Feuil1!$G$2:$G$1000,Legende!A7))</f>
        <v>49152.959999999999</v>
      </c>
      <c r="P9" s="9">
        <f>SUM(SUMIFS([1]Feuil1!$F$2:$F$1000,[1]Feuil1!$A$2:$A$1000,Legende!$C$23,[1]Feuil1!$A$2:$A$1000,Legende!$D$23,[1]Feuil1!$G$2:$G$1000,Legende!A7))-SUM(SUMIFS([1]Feuil1!$E$2:$E$1000,[1]Feuil1!$A$2:$A$1000,Legende!$C$23,[1]Feuil1!$A$2:$A$1000,Legende!$D$23,[1]Feuil1!$G$2:$G$1000,Legende!A7))</f>
        <v>1128464.3999999999</v>
      </c>
      <c r="Q9" s="9">
        <f>SUM(SUMIFS([1]Feuil1!$F$2:$F$1000,[1]Feuil1!$A$2:$A$1000,Legende!$C$20,[1]Feuil1!$A$2:$A$1000,Legende!$D$20,[1]Feuil1!$G$2:$G$1000,Legende!A7))-SUM(SUMIFS([1]Feuil1!$E$2:$E$1000,[1]Feuil1!$A$2:$A$1000,Legende!$C$20,[1]Feuil1!$A$2:$A$1000,Legende!$D$20,[1]Feuil1!$G$2:$G$1000,Legende!A7))</f>
        <v>0</v>
      </c>
      <c r="R9" s="9">
        <f>SUM(SUMIFS([1]Feuil1!$F$2:$F$1000,[1]Feuil1!$A$2:$A$1000,Legende!$C$21,[1]Feuil1!$A$2:$A$1000,Legende!$D$21,[1]Feuil1!$G$2:$G$1000,Legende!A7))-SUM(SUMIFS([1]Feuil1!$E$2:$E$1000,[1]Feuil1!$A$2:$A$1000,Legende!$C$21,[1]Feuil1!$A$2:$A$1000,Legende!$D$21,[1]Feuil1!$G$2:$G$1000,Legende!A7))</f>
        <v>40783</v>
      </c>
      <c r="S9" s="9">
        <f>SUM(SUMIFS([1]Feuil1!$F$2:$F$1000,[1]Feuil1!$A$2:$A$1000,Legende!$C$22,[1]Feuil1!$A$2:$A$1000,Legende!$D$22,[1]Feuil1!$G$2:$G$1000,Legende!A7))-SUM(SUMIFS([1]Feuil1!$E$2:$E$1000,[1]Feuil1!$A$2:$A$1000,Legende!$C$22,[1]Feuil1!$A$2:$A$1000,Legende!$D$22,[1]Feuil1!$G$2:$G$1000,Legende!A7))</f>
        <v>0</v>
      </c>
      <c r="T9" s="9">
        <f>SUM(SUMIFS([1]Feuil1!$F$2:$F$1000,[1]Feuil1!$A$2:$A$1000,Legende!$C$24,[1]Feuil1!$A$2:$A$1000,Legende!$D$24,[1]Feuil1!$G$2:$G$1000,Legende!A7))-SUM(SUMIFS([1]Feuil1!$E$2:$E$1000,[1]Feuil1!$A$2:$A$1000,Legende!$C$24,[1]Feuil1!$A$2:$A$1000,Legende!$D$24,[1]Feuil1!$G$2:$G$1000,Legende!A7))</f>
        <v>0</v>
      </c>
      <c r="U9" s="9">
        <f>(SUM(SUMIFS([1]Feuil1!$F$2:$F$1000,[1]Feuil1!$A$2:$A$1000,Legende!$C$25,[1]Feuil1!$A$2:$A$1000,Legende!$D$25,[1]Feuil1!$G$2:$G$1000,Legende!A7))+SUM(SUMIFS([1]Feuil1!$F$2:$F$1000,[1]Feuil1!$A$2:$A$1000,Legende!$C$26,[1]Feuil1!$A$2:$A$1000,Legende!$D$26,[1]Feuil1!$G$2:$G$1000,Legende!A7)))-(SUM(SUMIFS([1]Feuil1!$E$2:$E$1000,[1]Feuil1!$A$2:$A$1000,Legende!$C$25,[1]Feuil1!$A$2:$A$1000,Legende!$D$25,[1]Feuil1!$G$2:$G$1000,Legende!A7))+SUM(SUMIFS([1]Feuil1!$E$2:$E$1000,[1]Feuil1!$A$2:$A$1000,Legende!$C$26,[1]Feuil1!$A$2:$A$1000,Legende!$D$26,[1]Feuil1!$G$2:$G$1000,Legende!A7)))</f>
        <v>0</v>
      </c>
    </row>
    <row r="10" spans="1:21" ht="15.75" thickBot="1" x14ac:dyDescent="0.3">
      <c r="A10" s="7" t="str">
        <f>Legende!A8</f>
        <v>Juillet</v>
      </c>
      <c r="B10" s="9">
        <f>SUM(SUMIFS([1]Feuil1!$F$2:$F$1000,[1]Feuil1!$A$2:$A$1000,Legende!$C$2,[1]Feuil1!$A$2:$A$1000,Legende!$D$2,[1]Feuil1!$G$2:$G$1000,Legende!A8))-SUM(SUMIFS([1]Feuil1!$E$2:$E$1000,[1]Feuil1!$A$2:$A$1000,Legende!$C$2,[1]Feuil1!$A$2:$A$1000,Legende!$D$2,[1]Feuil1!$G$2:$G$1000,Legende!A8))</f>
        <v>-300928.16999999993</v>
      </c>
      <c r="C10" s="9">
        <f>SUM(SUMIFS([1]Feuil1!$F$2:$F$1000,[1]Feuil1!$A$2:$A$1000,Legende!$C$3,[1]Feuil1!$A$2:$A$1000,Legende!$D$3,[1]Feuil1!$G$2:$G$1000,Legende!A8))-SUM(SUMIFS([1]Feuil1!$E$2:$E$1000,[1]Feuil1!$A$2:$A$1000,Legende!$C$3,[1]Feuil1!$A$2:$A$1000,Legende!$D$3,[1]Feuil1!$G$2:$G$1000,Legende!A8))</f>
        <v>-2007859.3700000015</v>
      </c>
      <c r="D10" s="9">
        <f>(SUM(SUMIFS([1]Feuil1!$E$2:$E$1000,[1]Feuil1!$A$2:$A$1000,Legende!$C$4,[1]Feuil1!$A$2:$A$1000,Legende!$D$4,[1]Feuil1!$G$2:$G$1000,Legende!A8))+SUM(SUMIFS([1]Feuil1!$E$2:$E$1000,[1]Feuil1!$A$2:$A$1000,Legende!$C$5,[1]Feuil1!$A$2:$A$1000,Legende!$D$5,[1]Feuil1!$G$2:$G$1000,Legende!A8)))-(SUM(SUMIFS([1]Feuil1!$F$2:$F$1000,[1]Feuil1!$A$2:$A$1000,Legende!$C$4,[1]Feuil1!$A$2:$A$1000,Legende!$D$4,[1]Feuil1!$G$2:$G$1000,Legende!A8))+SUM(SUMIFS([1]Feuil1!$F$2:$F$1000,[1]Feuil1!$A$2:$A$1000,Legende!$C$5,[1]Feuil1!$A$2:$A$1000,Legende!$D$5,[1]Feuil1!$G$2:$G$1000,Legende!A8)))</f>
        <v>-130059.14</v>
      </c>
      <c r="E10" s="9">
        <f>SUM(SUMIFS([1]Feuil1!$E$2:$E$1000,[1]Feuil1!$A$2:$A$1000,Legende!$C$6,[1]Feuil1!$A$2:$A$1000,Legende!$D$6,[1]Feuil1!$G$2:$G$1000,Legende!A8))-SUMPRODUCT(SUMIFS([1]Feuil1!$F$2:$F$1000,[1]Feuil1!$A$2:$A$1000,Legende!$C$6,[1]Feuil1!$A$2:$A$1000,Legende!$D$6,[1]Feuil1!$G$2:$G$1000,Legende!A8))</f>
        <v>-1450173.55</v>
      </c>
      <c r="F10" s="9">
        <f>SUM(SUMIFS([1]Feuil1!$F$2:$F$1000,[1]Feuil1!$A$2:$A$1000,Legende!$C$7,[1]Feuil1!$A$2:$A$1000,Legende!$D$7,[1]Feuil1!$G$2:$G$1000,Legende!A8))-SUM(SUMIFS([1]Feuil1!$E$2:$E$1000,[1]Feuil1!$A$2:$A$1000,Legende!$C$7,[1]Feuil1!$A$2:$A$1000,Legende!$D$7,[1]Feuil1!$G$2:$G$1000,Legende!A8))</f>
        <v>126698.51</v>
      </c>
      <c r="G10" s="9">
        <f>(SUM(SUMIFS([1]Feuil1!$F$2:$F$1000,[1]Feuil1!$A$2:$A$1000,Legende!$C$8,[1]Feuil1!$A$2:$A$1000,Legende!$D$8,[1]Feuil1!$G$2:$G$1000,Legende!A8))+SUM(SUMIFS([1]Feuil1!$F$2:$F$1000,[1]Feuil1!$A$2:$A$1000,Legende!$C$9,[1]Feuil1!$A$2:$A$1000,Legende!$D$9,[1]Feuil1!$G$2:$G$1000,Legende!A8)))-(SUM(SUMIFS([1]Feuil1!$E$2:$E$1000,[1]Feuil1!$A$2:$A$1000,Legende!$C$8,[1]Feuil1!$A$2:$A$1000,Legende!$D$8,[1]Feuil1!$G$2:$G$1000,Legende!A8))+SUM(SUMIFS([1]Feuil1!$E$2:$E$1000,[1]Feuil1!$A$2:$A$1000,Legende!$C$9,[1]Feuil1!$A$2:$A$1000,Legende!$D$9,[1]Feuil1!$G$2:$G$1000,Legende!A8)))</f>
        <v>130553.78</v>
      </c>
      <c r="H10" s="9">
        <f>SUM(SUMIFS([1]Feuil1!$F$2:$F$1000,[1]Feuil1!$A$2:$A$1000,Legende!$C$10,[1]Feuil1!$A$2:$A$1000,Legende!$D$10,[1]Feuil1!$G$2:$G$1000,Legende!A8))-SUM(SUMIFS([1]Feuil1!$E$2:$E$1000,[1]Feuil1!$A$2:$A$1000,Legende!$C$10,[1]Feuil1!$A$2:$A$1000,Legende!$D$10,[1]Feuil1!$G$2:$G$1000,Legende!A8))</f>
        <v>0</v>
      </c>
      <c r="I10" s="9">
        <f>(SUM(SUMIFS([1]Feuil1!$F$2:$F$1000,[1]Feuil1!$A$2:$A$1000,Legende!$C$11,[1]Feuil1!$A$2:$A$1000,Legende!$D$11,[1]Feuil1!$G$2:$G$1000,Legende!A8))+SUM(SUMIFS([1]Feuil1!$F$2:$F$1000,[1]Feuil1!$A$2:$A$1000,Legende!$C$13,[1]Feuil1!$A$2:$A$1000,Legende!$D$13,[1]Feuil1!$G$2:$G$1000,Legende!A8)))-(SUM(SUMIFS([1]Feuil1!$E$2:$E$1000,[1]Feuil1!$A$2:$A$1000,Legende!$C$11,[1]Feuil1!$A$2:$A$1000,Legende!$D$11,[1]Feuil1!$G$2:$G$1000,Legende!A8))+SUM(SUMIFS([1]Feuil1!$E$2:$E$1000,[1]Feuil1!$A$2:$A$1000,Legende!$C$13,[1]Feuil1!$A$2:$A$1000,Legende!$D$13,[1]Feuil1!$G$2:$G$1000,Legende!A8)))</f>
        <v>-3855.27</v>
      </c>
      <c r="J10" s="9">
        <f>SUM(SUMIFS([1]Feuil1!$E$2:$E$1000,[1]Feuil1!$A$2:$A$1000,Legende!$C$12,[1]Feuil1!$A$2:$A$1000,Legende!$D$12,[1]Feuil1!$G$2:$G$1000,Legende!A8))-SUM(SUMIFS([1]Feuil1!$F$2:$F$1000,[1]Feuil1!$A$2:$A$1000,Legende!$C$12,[1]Feuil1!$A$2:$A$1000,Legende!$D$12,[1]Feuil1!$G$2:$G$1000,Legende!A8))</f>
        <v>55779.21</v>
      </c>
      <c r="K10" s="9">
        <f>SUM(SUMIFS([1]Feuil1!$F$2:$F$1000,[1]Feuil1!$A$2:$A$1000,Legende!$C$18,[1]Feuil1!$A$2:$A$1000,Legende!$D$18,[1]Feuil1!$G$2:$G$1000,Legende!A8))-SUM(SUMIFS([1]Feuil1!$E$2:$E$1000,[1]Feuil1!$A$2:$A$1000,Legende!$C$18,[1]Feuil1!$A$2:$A$1000,Legende!$D$18,[1]Feuil1!$G$2:$G$1000,Legende!A8))</f>
        <v>7500</v>
      </c>
      <c r="L10" s="9">
        <f>SUM(SUMIFS([1]Feuil1!$F$2:$F$1000,[1]Feuil1!$A$2:$A$1000,Legende!$C$14,[1]Feuil1!$A$2:$A$1000,Legende!$D$14,[1]Feuil1!$G$2:$G$1000,Legende!A8))-SUM(SUMIFS([1]Feuil1!$E$2:$E$1000,[1]Feuil1!$A$2:$A$1000,Legende!$C$14,[1]Feuil1!$A$2:$A$1000,Legende!$D$14,[1]Feuil1!$G$2:$G$1000,Legende!A8))</f>
        <v>-1368590.58</v>
      </c>
      <c r="M10" s="9">
        <f>SUM(SUMIFS([1]Feuil1!$E$2:$E$1000,[1]Feuil1!$A$2:$A$1000,Legende!$C$15,[1]Feuil1!$A$2:$A$1000,Legende!$D$15,[1]Feuil1!$G$2:$G$1000,Legende!A8))-SUM(SUMIFS([1]Feuil1!$F$2:$F$1000,[1]Feuil1!$A$2:$A$1000,Legende!$C$15,[1]Feuil1!$A$2:$A$1000,Legende!$D$15,[1]Feuil1!$G$2:$G$1000,Legende!A8))</f>
        <v>3756.98</v>
      </c>
      <c r="N10" s="9">
        <f>(SUM(SUMIFS([1]Feuil1!$F$2:$F$1000,[1]Feuil1!$A$2:$A$1000,Legende!$C$16,[1]Feuil1!$A$2:$A$1000,Legende!$D$16,[1]Feuil1!$G$2:$G$1000,Legende!A8))+SUM(SUMIFS([1]Feuil1!$F$2:$F$1000,[1]Feuil1!$A$2:$A$1000,Legende!$C$19,[1]Feuil1!$A$2:$A$1000,Legende!$D$19,[1]Feuil1!$G$2:$G$1000,Legende!A8)))-(SUM(SUMIFS([1]Feuil1!$E$2:$E$1000,[1]Feuil1!$A$2:$A$1000,Legende!$C$16,[1]Feuil1!$A$2:$A$1000,Legende!$D$16,[1]Feuil1!$G$2:$G$1000,Legende!A8))+SUM(SUMIFS([1]Feuil1!$E$2:$E$1000,[1]Feuil1!$A$2:$A$1000,Legende!$C$19,[1]Feuil1!$A$2:$A$1000,Legende!$D$19,[1]Feuil1!$G$2:$G$1000,Legende!A8)))</f>
        <v>-4436790.67</v>
      </c>
      <c r="O10" s="9">
        <f>SUM(SUMIFS([1]Feuil1!$F$2:$F$1000,[1]Feuil1!$A$2:$A$1000,Legende!$C$17,[1]Feuil1!$A$2:$A$1000,Legende!$D$17,[1]Feuil1!$G$2:$G$1000,Legende!A8))-SUM(SUMIFS([1]Feuil1!$E$2:$E$1000,[1]Feuil1!$A$2:$A$1000,Legende!$C$17,[1]Feuil1!$A$2:$A$1000,Legende!$D$17,[1]Feuil1!$G$2:$G$1000,Legende!A8))</f>
        <v>191017.78</v>
      </c>
      <c r="P10" s="9">
        <f>SUM(SUMIFS([1]Feuil1!$F$2:$F$1000,[1]Feuil1!$A$2:$A$1000,Legende!$C$23,[1]Feuil1!$A$2:$A$1000,Legende!$D$23,[1]Feuil1!$G$2:$G$1000,Legende!A8))-SUM(SUMIFS([1]Feuil1!$E$2:$E$1000,[1]Feuil1!$A$2:$A$1000,Legende!$C$23,[1]Feuil1!$A$2:$A$1000,Legende!$D$23,[1]Feuil1!$G$2:$G$1000,Legende!A8))</f>
        <v>2203927.8199999998</v>
      </c>
      <c r="Q10" s="9">
        <f>SUM(SUMIFS([1]Feuil1!$F$2:$F$1000,[1]Feuil1!$A$2:$A$1000,Legende!$C$20,[1]Feuil1!$A$2:$A$1000,Legende!$D$20,[1]Feuil1!$G$2:$G$1000,Legende!A8))-SUM(SUMIFS([1]Feuil1!$E$2:$E$1000,[1]Feuil1!$A$2:$A$1000,Legende!$C$20,[1]Feuil1!$A$2:$A$1000,Legende!$D$20,[1]Feuil1!$G$2:$G$1000,Legende!A8))</f>
        <v>-98487.82</v>
      </c>
      <c r="R10" s="9">
        <f>SUM(SUMIFS([1]Feuil1!$F$2:$F$1000,[1]Feuil1!$A$2:$A$1000,Legende!$C$21,[1]Feuil1!$A$2:$A$1000,Legende!$D$21,[1]Feuil1!$G$2:$G$1000,Legende!A8))-SUM(SUMIFS([1]Feuil1!$E$2:$E$1000,[1]Feuil1!$A$2:$A$1000,Legende!$C$21,[1]Feuil1!$A$2:$A$1000,Legende!$D$21,[1]Feuil1!$G$2:$G$1000,Legende!A8))</f>
        <v>2002.63</v>
      </c>
      <c r="S10" s="9">
        <f>SUM(SUMIFS([1]Feuil1!$F$2:$F$1000,[1]Feuil1!$A$2:$A$1000,Legende!$C$22,[1]Feuil1!$A$2:$A$1000,Legende!$D$22,[1]Feuil1!$G$2:$G$1000,Legende!A8))-SUM(SUMIFS([1]Feuil1!$E$2:$E$1000,[1]Feuil1!$A$2:$A$1000,Legende!$C$22,[1]Feuil1!$A$2:$A$1000,Legende!$D$22,[1]Feuil1!$G$2:$G$1000,Legende!A8))</f>
        <v>4740.3999999999996</v>
      </c>
      <c r="T10" s="9">
        <f>SUM(SUMIFS([1]Feuil1!$F$2:$F$1000,[1]Feuil1!$A$2:$A$1000,Legende!$C$24,[1]Feuil1!$A$2:$A$1000,Legende!$D$24,[1]Feuil1!$G$2:$G$1000,Legende!A8))-SUM(SUMIFS([1]Feuil1!$E$2:$E$1000,[1]Feuil1!$A$2:$A$1000,Legende!$C$24,[1]Feuil1!$A$2:$A$1000,Legende!$D$24,[1]Feuil1!$G$2:$G$1000,Legende!A8))</f>
        <v>-33460.199999999997</v>
      </c>
      <c r="U10" s="9">
        <f>(SUM(SUMIFS([1]Feuil1!$F$2:$F$1000,[1]Feuil1!$A$2:$A$1000,Legende!$C$25,[1]Feuil1!$A$2:$A$1000,Legende!$D$25,[1]Feuil1!$G$2:$G$1000,Legende!A8))+SUM(SUMIFS([1]Feuil1!$F$2:$F$1000,[1]Feuil1!$A$2:$A$1000,Legende!$C$26,[1]Feuil1!$A$2:$A$1000,Legende!$D$26,[1]Feuil1!$G$2:$G$1000,Legende!A8)))-(SUM(SUMIFS([1]Feuil1!$E$2:$E$1000,[1]Feuil1!$A$2:$A$1000,Legende!$C$25,[1]Feuil1!$A$2:$A$1000,Legende!$D$25,[1]Feuil1!$G$2:$G$1000,Legende!A8))+SUM(SUMIFS([1]Feuil1!$E$2:$E$1000,[1]Feuil1!$A$2:$A$1000,Legende!$C$26,[1]Feuil1!$A$2:$A$1000,Legende!$D$26,[1]Feuil1!$G$2:$G$1000,Legende!A8)))</f>
        <v>-98487.82</v>
      </c>
    </row>
    <row r="11" spans="1:21" ht="15.75" thickBot="1" x14ac:dyDescent="0.3">
      <c r="A11" s="7" t="str">
        <f>Legende!A9</f>
        <v>Août</v>
      </c>
      <c r="B11" s="9">
        <f>SUM(SUMIFS([1]Feuil1!$F$2:$F$1000,[1]Feuil1!$A$2:$A$1000,Legende!$C$2,[1]Feuil1!$A$2:$A$1000,Legende!$D$2,[1]Feuil1!$G$2:$G$1000,Legende!A9))-SUM(SUMIFS([1]Feuil1!$E$2:$E$1000,[1]Feuil1!$A$2:$A$1000,Legende!$C$2,[1]Feuil1!$A$2:$A$1000,Legende!$D$2,[1]Feuil1!$G$2:$G$1000,Legende!A9))</f>
        <v>-219690.80000000028</v>
      </c>
      <c r="C11" s="9">
        <f>SUM(SUMIFS([1]Feuil1!$F$2:$F$1000,[1]Feuil1!$A$2:$A$1000,Legende!$C$3,[1]Feuil1!$A$2:$A$1000,Legende!$D$3,[1]Feuil1!$G$2:$G$1000,Legende!A9))-SUM(SUMIFS([1]Feuil1!$E$2:$E$1000,[1]Feuil1!$A$2:$A$1000,Legende!$C$3,[1]Feuil1!$A$2:$A$1000,Legende!$D$3,[1]Feuil1!$G$2:$G$1000,Legende!A9))</f>
        <v>-560901.39999999991</v>
      </c>
      <c r="D11" s="9">
        <f>(SUM(SUMIFS([1]Feuil1!$E$2:$E$1000,[1]Feuil1!$A$2:$A$1000,Legende!$C$4,[1]Feuil1!$A$2:$A$1000,Legende!$D$4,[1]Feuil1!$G$2:$G$1000,Legende!A9))+SUM(SUMIFS([1]Feuil1!$E$2:$E$1000,[1]Feuil1!$A$2:$A$1000,Legende!$C$5,[1]Feuil1!$A$2:$A$1000,Legende!$D$5,[1]Feuil1!$G$2:$G$1000,Legende!A9)))-(SUM(SUMIFS([1]Feuil1!$F$2:$F$1000,[1]Feuil1!$A$2:$A$1000,Legende!$C$4,[1]Feuil1!$A$2:$A$1000,Legende!$D$4,[1]Feuil1!$G$2:$G$1000,Legende!A9))+SUM(SUMIFS([1]Feuil1!$F$2:$F$1000,[1]Feuil1!$A$2:$A$1000,Legende!$C$5,[1]Feuil1!$A$2:$A$1000,Legende!$D$5,[1]Feuil1!$G$2:$G$1000,Legende!A9)))</f>
        <v>-76059.010000000009</v>
      </c>
      <c r="E11" s="9">
        <f>SUM(SUMIFS([1]Feuil1!$E$2:$E$1000,[1]Feuil1!$A$2:$A$1000,Legende!$C$6,[1]Feuil1!$A$2:$A$1000,Legende!$D$6,[1]Feuil1!$G$2:$G$1000,Legende!A9))-SUMPRODUCT(SUMIFS([1]Feuil1!$F$2:$F$1000,[1]Feuil1!$A$2:$A$1000,Legende!$C$6,[1]Feuil1!$A$2:$A$1000,Legende!$D$6,[1]Feuil1!$G$2:$G$1000,Legende!A9))</f>
        <v>-178159.8</v>
      </c>
      <c r="F11" s="9">
        <f>SUM(SUMIFS([1]Feuil1!$F$2:$F$1000,[1]Feuil1!$A$2:$A$1000,Legende!$C$7,[1]Feuil1!$A$2:$A$1000,Legende!$D$7,[1]Feuil1!$G$2:$G$1000,Legende!A9))-SUM(SUMIFS([1]Feuil1!$E$2:$E$1000,[1]Feuil1!$A$2:$A$1000,Legende!$C$7,[1]Feuil1!$A$2:$A$1000,Legende!$D$7,[1]Feuil1!$G$2:$G$1000,Legende!A9))</f>
        <v>86991.79</v>
      </c>
      <c r="G11" s="9">
        <f>(SUM(SUMIFS([1]Feuil1!$F$2:$F$1000,[1]Feuil1!$A$2:$A$1000,Legende!$C$8,[1]Feuil1!$A$2:$A$1000,Legende!$D$8,[1]Feuil1!$G$2:$G$1000,Legende!A9))+SUM(SUMIFS([1]Feuil1!$F$2:$F$1000,[1]Feuil1!$A$2:$A$1000,Legende!$C$9,[1]Feuil1!$A$2:$A$1000,Legende!$D$9,[1]Feuil1!$G$2:$G$1000,Legende!A9)))-(SUM(SUMIFS([1]Feuil1!$E$2:$E$1000,[1]Feuil1!$A$2:$A$1000,Legende!$C$8,[1]Feuil1!$A$2:$A$1000,Legende!$D$8,[1]Feuil1!$G$2:$G$1000,Legende!A9))+SUM(SUMIFS([1]Feuil1!$E$2:$E$1000,[1]Feuil1!$A$2:$A$1000,Legende!$C$9,[1]Feuil1!$A$2:$A$1000,Legende!$D$9,[1]Feuil1!$G$2:$G$1000,Legende!A9)))</f>
        <v>87723.549999999988</v>
      </c>
      <c r="H11" s="9">
        <f>SUM(SUMIFS([1]Feuil1!$F$2:$F$1000,[1]Feuil1!$A$2:$A$1000,Legende!$C$10,[1]Feuil1!$A$2:$A$1000,Legende!$D$10,[1]Feuil1!$G$2:$G$1000,Legende!A9))-SUM(SUMIFS([1]Feuil1!$E$2:$E$1000,[1]Feuil1!$A$2:$A$1000,Legende!$C$10,[1]Feuil1!$A$2:$A$1000,Legende!$D$10,[1]Feuil1!$G$2:$G$1000,Legende!A9))</f>
        <v>0</v>
      </c>
      <c r="I11" s="9">
        <f>(SUM(SUMIFS([1]Feuil1!$F$2:$F$1000,[1]Feuil1!$A$2:$A$1000,Legende!$C$11,[1]Feuil1!$A$2:$A$1000,Legende!$D$11,[1]Feuil1!$G$2:$G$1000,Legende!A9))+SUM(SUMIFS([1]Feuil1!$F$2:$F$1000,[1]Feuil1!$A$2:$A$1000,Legende!$C$13,[1]Feuil1!$A$2:$A$1000,Legende!$D$13,[1]Feuil1!$G$2:$G$1000,Legende!A9)))-(SUM(SUMIFS([1]Feuil1!$E$2:$E$1000,[1]Feuil1!$A$2:$A$1000,Legende!$C$11,[1]Feuil1!$A$2:$A$1000,Legende!$D$11,[1]Feuil1!$G$2:$G$1000,Legende!A9))+SUM(SUMIFS([1]Feuil1!$E$2:$E$1000,[1]Feuil1!$A$2:$A$1000,Legende!$C$13,[1]Feuil1!$A$2:$A$1000,Legende!$D$13,[1]Feuil1!$G$2:$G$1000,Legende!A9)))</f>
        <v>-731.76</v>
      </c>
      <c r="J11" s="9">
        <f>SUM(SUMIFS([1]Feuil1!$E$2:$E$1000,[1]Feuil1!$A$2:$A$1000,Legende!$C$12,[1]Feuil1!$A$2:$A$1000,Legende!$D$12,[1]Feuil1!$G$2:$G$1000,Legende!A9))-SUM(SUMIFS([1]Feuil1!$F$2:$F$1000,[1]Feuil1!$A$2:$A$1000,Legende!$C$12,[1]Feuil1!$A$2:$A$1000,Legende!$D$12,[1]Feuil1!$G$2:$G$1000,Legende!A9))</f>
        <v>28229.68</v>
      </c>
      <c r="K11" s="9">
        <f>SUM(SUMIFS([1]Feuil1!$F$2:$F$1000,[1]Feuil1!$A$2:$A$1000,Legende!$C$18,[1]Feuil1!$A$2:$A$1000,Legende!$D$18,[1]Feuil1!$G$2:$G$1000,Legende!A9))-SUM(SUMIFS([1]Feuil1!$E$2:$E$1000,[1]Feuil1!$A$2:$A$1000,Legende!$C$18,[1]Feuil1!$A$2:$A$1000,Legende!$D$18,[1]Feuil1!$G$2:$G$1000,Legende!A9))</f>
        <v>1525</v>
      </c>
      <c r="L11" s="9">
        <f>SUM(SUMIFS([1]Feuil1!$F$2:$F$1000,[1]Feuil1!$A$2:$A$1000,Legende!$C$14,[1]Feuil1!$A$2:$A$1000,Legende!$D$14,[1]Feuil1!$G$2:$G$1000,Legende!A9))-SUM(SUMIFS([1]Feuil1!$E$2:$E$1000,[1]Feuil1!$A$2:$A$1000,Legende!$C$14,[1]Feuil1!$A$2:$A$1000,Legende!$D$14,[1]Feuil1!$G$2:$G$1000,Legende!A9))</f>
        <v>-640285.87</v>
      </c>
      <c r="M11" s="9">
        <f>SUM(SUMIFS([1]Feuil1!$E$2:$E$1000,[1]Feuil1!$A$2:$A$1000,Legende!$C$15,[1]Feuil1!$A$2:$A$1000,Legende!$D$15,[1]Feuil1!$G$2:$G$1000,Legende!A9))-SUM(SUMIFS([1]Feuil1!$F$2:$F$1000,[1]Feuil1!$A$2:$A$1000,Legende!$C$15,[1]Feuil1!$A$2:$A$1000,Legende!$D$15,[1]Feuil1!$G$2:$G$1000,Legende!A9))</f>
        <v>0</v>
      </c>
      <c r="N11" s="9">
        <f>(SUM(SUMIFS([1]Feuil1!$F$2:$F$1000,[1]Feuil1!$A$2:$A$1000,Legende!$C$16,[1]Feuil1!$A$2:$A$1000,Legende!$D$16,[1]Feuil1!$G$2:$G$1000,Legende!A9))+SUM(SUMIFS([1]Feuil1!$F$2:$F$1000,[1]Feuil1!$A$2:$A$1000,Legende!$C$19,[1]Feuil1!$A$2:$A$1000,Legende!$D$19,[1]Feuil1!$G$2:$G$1000,Legende!A9)))-(SUM(SUMIFS([1]Feuil1!$E$2:$E$1000,[1]Feuil1!$A$2:$A$1000,Legende!$C$16,[1]Feuil1!$A$2:$A$1000,Legende!$D$16,[1]Feuil1!$G$2:$G$1000,Legende!A9))+SUM(SUMIFS([1]Feuil1!$E$2:$E$1000,[1]Feuil1!$A$2:$A$1000,Legende!$C$19,[1]Feuil1!$A$2:$A$1000,Legende!$D$19,[1]Feuil1!$G$2:$G$1000,Legende!A9)))</f>
        <v>-2626577.0099999998</v>
      </c>
      <c r="O11" s="9">
        <f>SUM(SUMIFS([1]Feuil1!$F$2:$F$1000,[1]Feuil1!$A$2:$A$1000,Legende!$C$17,[1]Feuil1!$A$2:$A$1000,Legende!$D$17,[1]Feuil1!$G$2:$G$1000,Legende!A9))-SUM(SUMIFS([1]Feuil1!$E$2:$E$1000,[1]Feuil1!$A$2:$A$1000,Legende!$C$17,[1]Feuil1!$A$2:$A$1000,Legende!$D$17,[1]Feuil1!$G$2:$G$1000,Legende!A9))</f>
        <v>117042.48</v>
      </c>
      <c r="P11" s="9">
        <f>SUM(SUMIFS([1]Feuil1!$F$2:$F$1000,[1]Feuil1!$A$2:$A$1000,Legende!$C$23,[1]Feuil1!$A$2:$A$1000,Legende!$D$23,[1]Feuil1!$G$2:$G$1000,Legende!A9))-SUM(SUMIFS([1]Feuil1!$E$2:$E$1000,[1]Feuil1!$A$2:$A$1000,Legende!$C$23,[1]Feuil1!$A$2:$A$1000,Legende!$D$23,[1]Feuil1!$G$2:$G$1000,Legende!A9))</f>
        <v>1904470.51</v>
      </c>
      <c r="Q11" s="9">
        <f>SUM(SUMIFS([1]Feuil1!$F$2:$F$1000,[1]Feuil1!$A$2:$A$1000,Legende!$C$20,[1]Feuil1!$A$2:$A$1000,Legende!$D$20,[1]Feuil1!$G$2:$G$1000,Legende!A9))-SUM(SUMIFS([1]Feuil1!$E$2:$E$1000,[1]Feuil1!$A$2:$A$1000,Legende!$C$20,[1]Feuil1!$A$2:$A$1000,Legende!$D$20,[1]Feuil1!$G$2:$G$1000,Legende!A9))</f>
        <v>0</v>
      </c>
      <c r="R11" s="9">
        <f>SUM(SUMIFS([1]Feuil1!$F$2:$F$1000,[1]Feuil1!$A$2:$A$1000,Legende!$C$21,[1]Feuil1!$A$2:$A$1000,Legende!$D$21,[1]Feuil1!$G$2:$G$1000,Legende!A9))-SUM(SUMIFS([1]Feuil1!$E$2:$E$1000,[1]Feuil1!$A$2:$A$1000,Legende!$C$21,[1]Feuil1!$A$2:$A$1000,Legende!$D$21,[1]Feuil1!$G$2:$G$1000,Legende!A9))</f>
        <v>0</v>
      </c>
      <c r="S11" s="9">
        <f>SUM(SUMIFS([1]Feuil1!$F$2:$F$1000,[1]Feuil1!$A$2:$A$1000,Legende!$C$22,[1]Feuil1!$A$2:$A$1000,Legende!$D$22,[1]Feuil1!$G$2:$G$1000,Legende!A9))-SUM(SUMIFS([1]Feuil1!$E$2:$E$1000,[1]Feuil1!$A$2:$A$1000,Legende!$C$22,[1]Feuil1!$A$2:$A$1000,Legende!$D$22,[1]Feuil1!$G$2:$G$1000,Legende!A9))</f>
        <v>0</v>
      </c>
      <c r="T11" s="9">
        <f>SUM(SUMIFS([1]Feuil1!$F$2:$F$1000,[1]Feuil1!$A$2:$A$1000,Legende!$C$24,[1]Feuil1!$A$2:$A$1000,Legende!$D$24,[1]Feuil1!$G$2:$G$1000,Legende!A9))-SUM(SUMIFS([1]Feuil1!$E$2:$E$1000,[1]Feuil1!$A$2:$A$1000,Legende!$C$24,[1]Feuil1!$A$2:$A$1000,Legende!$D$24,[1]Feuil1!$G$2:$G$1000,Legende!A9))</f>
        <v>0</v>
      </c>
      <c r="U11" s="9">
        <f>(SUM(SUMIFS([1]Feuil1!$F$2:$F$1000,[1]Feuil1!$A$2:$A$1000,Legende!$C$25,[1]Feuil1!$A$2:$A$1000,Legende!$D$25,[1]Feuil1!$G$2:$G$1000,Legende!A9))+SUM(SUMIFS([1]Feuil1!$F$2:$F$1000,[1]Feuil1!$A$2:$A$1000,Legende!$C$26,[1]Feuil1!$A$2:$A$1000,Legende!$D$26,[1]Feuil1!$G$2:$G$1000,Legende!A9)))-(SUM(SUMIFS([1]Feuil1!$E$2:$E$1000,[1]Feuil1!$A$2:$A$1000,Legende!$C$25,[1]Feuil1!$A$2:$A$1000,Legende!$D$25,[1]Feuil1!$G$2:$G$1000,Legende!A9))+SUM(SUMIFS([1]Feuil1!$E$2:$E$1000,[1]Feuil1!$A$2:$A$1000,Legende!$C$26,[1]Feuil1!$A$2:$A$1000,Legende!$D$26,[1]Feuil1!$G$2:$G$1000,Legende!A9)))</f>
        <v>0</v>
      </c>
    </row>
    <row r="12" spans="1:21" ht="15.75" thickBot="1" x14ac:dyDescent="0.3">
      <c r="A12" s="7" t="str">
        <f>Legende!A10</f>
        <v>Septembre</v>
      </c>
      <c r="B12" s="9">
        <f>SUM(SUMIFS([1]Feuil1!$F$2:$F$1000,[1]Feuil1!$A$2:$A$1000,Legende!$C$2,[1]Feuil1!$A$2:$A$1000,Legende!$D$2,[1]Feuil1!$G$2:$G$1000,Legende!A10))-SUM(SUMIFS([1]Feuil1!$E$2:$E$1000,[1]Feuil1!$A$2:$A$1000,Legende!$C$2,[1]Feuil1!$A$2:$A$1000,Legende!$D$2,[1]Feuil1!$G$2:$G$1000,Legende!A10))</f>
        <v>-50165.310000000056</v>
      </c>
      <c r="C12" s="9">
        <f>SUM(SUMIFS([1]Feuil1!$F$2:$F$1000,[1]Feuil1!$A$2:$A$1000,Legende!$C$3,[1]Feuil1!$A$2:$A$1000,Legende!$D$3,[1]Feuil1!$G$2:$G$1000,Legende!A10))-SUM(SUMIFS([1]Feuil1!$E$2:$E$1000,[1]Feuil1!$A$2:$A$1000,Legende!$C$3,[1]Feuil1!$A$2:$A$1000,Legende!$D$3,[1]Feuil1!$G$2:$G$1000,Legende!A10))</f>
        <v>-503143.99</v>
      </c>
      <c r="D12" s="9">
        <f>(SUM(SUMIFS([1]Feuil1!$E$2:$E$1000,[1]Feuil1!$A$2:$A$1000,Legende!$C$4,[1]Feuil1!$A$2:$A$1000,Legende!$D$4,[1]Feuil1!$G$2:$G$1000,Legende!A10))+SUM(SUMIFS([1]Feuil1!$E$2:$E$1000,[1]Feuil1!$A$2:$A$1000,Legende!$C$5,[1]Feuil1!$A$2:$A$1000,Legende!$D$5,[1]Feuil1!$G$2:$G$1000,Legende!A10)))-(SUM(SUMIFS([1]Feuil1!$F$2:$F$1000,[1]Feuil1!$A$2:$A$1000,Legende!$C$4,[1]Feuil1!$A$2:$A$1000,Legende!$D$4,[1]Feuil1!$G$2:$G$1000,Legende!A10))+SUM(SUMIFS([1]Feuil1!$F$2:$F$1000,[1]Feuil1!$A$2:$A$1000,Legende!$C$5,[1]Feuil1!$A$2:$A$1000,Legende!$D$5,[1]Feuil1!$G$2:$G$1000,Legende!A10)))</f>
        <v>-3069.16</v>
      </c>
      <c r="E12" s="9">
        <f>SUM(SUMIFS([1]Feuil1!$E$2:$E$1000,[1]Feuil1!$A$2:$A$1000,Legende!$C$6,[1]Feuil1!$A$2:$A$1000,Legende!$D$6,[1]Feuil1!$G$2:$G$1000,Legende!A10))-SUMPRODUCT(SUMIFS([1]Feuil1!$F$2:$F$1000,[1]Feuil1!$A$2:$A$1000,Legende!$C$6,[1]Feuil1!$A$2:$A$1000,Legende!$D$6,[1]Feuil1!$G$2:$G$1000,Legende!A10))</f>
        <v>-425722.97</v>
      </c>
      <c r="F12" s="9">
        <f>SUM(SUMIFS([1]Feuil1!$F$2:$F$1000,[1]Feuil1!$A$2:$A$1000,Legende!$C$7,[1]Feuil1!$A$2:$A$1000,Legende!$D$7,[1]Feuil1!$G$2:$G$1000,Legende!A10))-SUM(SUMIFS([1]Feuil1!$E$2:$E$1000,[1]Feuil1!$A$2:$A$1000,Legende!$C$7,[1]Feuil1!$A$2:$A$1000,Legende!$D$7,[1]Feuil1!$G$2:$G$1000,Legende!A10))</f>
        <v>24186.55</v>
      </c>
      <c r="G12" s="9">
        <f>(SUM(SUMIFS([1]Feuil1!$F$2:$F$1000,[1]Feuil1!$A$2:$A$1000,Legende!$C$8,[1]Feuil1!$A$2:$A$1000,Legende!$D$8,[1]Feuil1!$G$2:$G$1000,Legende!A10))+SUM(SUMIFS([1]Feuil1!$F$2:$F$1000,[1]Feuil1!$A$2:$A$1000,Legende!$C$9,[1]Feuil1!$A$2:$A$1000,Legende!$D$9,[1]Feuil1!$G$2:$G$1000,Legende!A10)))-(SUM(SUMIFS([1]Feuil1!$E$2:$E$1000,[1]Feuil1!$A$2:$A$1000,Legende!$C$8,[1]Feuil1!$A$2:$A$1000,Legende!$D$8,[1]Feuil1!$G$2:$G$1000,Legende!A10))+SUM(SUMIFS([1]Feuil1!$E$2:$E$1000,[1]Feuil1!$A$2:$A$1000,Legende!$C$9,[1]Feuil1!$A$2:$A$1000,Legende!$D$9,[1]Feuil1!$G$2:$G$1000,Legende!A10)))</f>
        <v>25232.3</v>
      </c>
      <c r="H12" s="9">
        <f>SUM(SUMIFS([1]Feuil1!$F$2:$F$1000,[1]Feuil1!$A$2:$A$1000,Legende!$C$10,[1]Feuil1!$A$2:$A$1000,Legende!$D$10,[1]Feuil1!$G$2:$G$1000,Legende!A10))-SUM(SUMIFS([1]Feuil1!$E$2:$E$1000,[1]Feuil1!$A$2:$A$1000,Legende!$C$10,[1]Feuil1!$A$2:$A$1000,Legende!$D$10,[1]Feuil1!$G$2:$G$1000,Legende!A10))</f>
        <v>0</v>
      </c>
      <c r="I12" s="9">
        <f>(SUM(SUMIFS([1]Feuil1!$F$2:$F$1000,[1]Feuil1!$A$2:$A$1000,Legende!$C$11,[1]Feuil1!$A$2:$A$1000,Legende!$D$11,[1]Feuil1!$G$2:$G$1000,Legende!A10))+SUM(SUMIFS([1]Feuil1!$F$2:$F$1000,[1]Feuil1!$A$2:$A$1000,Legende!$C$13,[1]Feuil1!$A$2:$A$1000,Legende!$D$13,[1]Feuil1!$G$2:$G$1000,Legende!A10)))-(SUM(SUMIFS([1]Feuil1!$E$2:$E$1000,[1]Feuil1!$A$2:$A$1000,Legende!$C$11,[1]Feuil1!$A$2:$A$1000,Legende!$D$11,[1]Feuil1!$G$2:$G$1000,Legende!A10))+SUM(SUMIFS([1]Feuil1!$E$2:$E$1000,[1]Feuil1!$A$2:$A$1000,Legende!$C$13,[1]Feuil1!$A$2:$A$1000,Legende!$D$13,[1]Feuil1!$G$2:$G$1000,Legende!A10)))</f>
        <v>-1045.75</v>
      </c>
      <c r="J12" s="9">
        <f>SUM(SUMIFS([1]Feuil1!$E$2:$E$1000,[1]Feuil1!$A$2:$A$1000,Legende!$C$12,[1]Feuil1!$A$2:$A$1000,Legende!$D$12,[1]Feuil1!$G$2:$G$1000,Legende!A10))-SUM(SUMIFS([1]Feuil1!$F$2:$F$1000,[1]Feuil1!$A$2:$A$1000,Legende!$C$12,[1]Feuil1!$A$2:$A$1000,Legende!$D$12,[1]Feuil1!$G$2:$G$1000,Legende!A10))</f>
        <v>25406.51</v>
      </c>
      <c r="K12" s="9">
        <f>SUM(SUMIFS([1]Feuil1!$F$2:$F$1000,[1]Feuil1!$A$2:$A$1000,Legende!$C$18,[1]Feuil1!$A$2:$A$1000,Legende!$D$18,[1]Feuil1!$G$2:$G$1000,Legende!A10))-SUM(SUMIFS([1]Feuil1!$E$2:$E$1000,[1]Feuil1!$A$2:$A$1000,Legende!$C$18,[1]Feuil1!$A$2:$A$1000,Legende!$D$18,[1]Feuil1!$G$2:$G$1000,Legende!A10))</f>
        <v>15000</v>
      </c>
      <c r="L12" s="9">
        <f>SUM(SUMIFS([1]Feuil1!$F$2:$F$1000,[1]Feuil1!$A$2:$A$1000,Legende!$C$14,[1]Feuil1!$A$2:$A$1000,Legende!$D$14,[1]Feuil1!$G$2:$G$1000,Legende!A10))-SUM(SUMIFS([1]Feuil1!$E$2:$E$1000,[1]Feuil1!$A$2:$A$1000,Legende!$C$14,[1]Feuil1!$A$2:$A$1000,Legende!$D$14,[1]Feuil1!$G$2:$G$1000,Legende!A10))</f>
        <v>-46000</v>
      </c>
      <c r="M12" s="9">
        <f>SUM(SUMIFS([1]Feuil1!$E$2:$E$1000,[1]Feuil1!$A$2:$A$1000,Legende!$C$15,[1]Feuil1!$A$2:$A$1000,Legende!$D$15,[1]Feuil1!$G$2:$G$1000,Legende!A10))-SUM(SUMIFS([1]Feuil1!$F$2:$F$1000,[1]Feuil1!$A$2:$A$1000,Legende!$C$15,[1]Feuil1!$A$2:$A$1000,Legende!$D$15,[1]Feuil1!$G$2:$G$1000,Legende!A10))</f>
        <v>0</v>
      </c>
      <c r="N12" s="9">
        <f>(SUM(SUMIFS([1]Feuil1!$F$2:$F$1000,[1]Feuil1!$A$2:$A$1000,Legende!$C$16,[1]Feuil1!$A$2:$A$1000,Legende!$D$16,[1]Feuil1!$G$2:$G$1000,Legende!A10))+SUM(SUMIFS([1]Feuil1!$F$2:$F$1000,[1]Feuil1!$A$2:$A$1000,Legende!$C$19,[1]Feuil1!$A$2:$A$1000,Legende!$D$19,[1]Feuil1!$G$2:$G$1000,Legende!A10)))-(SUM(SUMIFS([1]Feuil1!$E$2:$E$1000,[1]Feuil1!$A$2:$A$1000,Legende!$C$16,[1]Feuil1!$A$2:$A$1000,Legende!$D$16,[1]Feuil1!$G$2:$G$1000,Legende!A10))+SUM(SUMIFS([1]Feuil1!$E$2:$E$1000,[1]Feuil1!$A$2:$A$1000,Legende!$C$19,[1]Feuil1!$A$2:$A$1000,Legende!$D$19,[1]Feuil1!$G$2:$G$1000,Legende!A10)))</f>
        <v>-1666441.11</v>
      </c>
      <c r="O12" s="9">
        <f>SUM(SUMIFS([1]Feuil1!$F$2:$F$1000,[1]Feuil1!$A$2:$A$1000,Legende!$C$17,[1]Feuil1!$A$2:$A$1000,Legende!$D$17,[1]Feuil1!$G$2:$G$1000,Legende!A10))-SUM(SUMIFS([1]Feuil1!$E$2:$E$1000,[1]Feuil1!$A$2:$A$1000,Legende!$C$17,[1]Feuil1!$A$2:$A$1000,Legende!$D$17,[1]Feuil1!$G$2:$G$1000,Legende!A10))</f>
        <v>50923.28</v>
      </c>
      <c r="P12" s="9">
        <f>SUM(SUMIFS([1]Feuil1!$F$2:$F$1000,[1]Feuil1!$A$2:$A$1000,Legende!$C$23,[1]Feuil1!$A$2:$A$1000,Legende!$D$23,[1]Feuil1!$G$2:$G$1000,Legende!A10))-SUM(SUMIFS([1]Feuil1!$E$2:$E$1000,[1]Feuil1!$A$2:$A$1000,Legende!$C$23,[1]Feuil1!$A$2:$A$1000,Legende!$D$23,[1]Feuil1!$G$2:$G$1000,Legende!A10))</f>
        <v>1007402.53</v>
      </c>
      <c r="Q12" s="9">
        <f>SUM(SUMIFS([1]Feuil1!$F$2:$F$1000,[1]Feuil1!$A$2:$A$1000,Legende!$C$20,[1]Feuil1!$A$2:$A$1000,Legende!$D$20,[1]Feuil1!$G$2:$G$1000,Legende!A10))-SUM(SUMIFS([1]Feuil1!$E$2:$E$1000,[1]Feuil1!$A$2:$A$1000,Legende!$C$20,[1]Feuil1!$A$2:$A$1000,Legende!$D$20,[1]Feuil1!$G$2:$G$1000,Legende!A10))</f>
        <v>0</v>
      </c>
      <c r="R12" s="9">
        <f>SUM(SUMIFS([1]Feuil1!$F$2:$F$1000,[1]Feuil1!$A$2:$A$1000,Legende!$C$21,[1]Feuil1!$A$2:$A$1000,Legende!$D$21,[1]Feuil1!$G$2:$G$1000,Legende!A10))-SUM(SUMIFS([1]Feuil1!$E$2:$E$1000,[1]Feuil1!$A$2:$A$1000,Legende!$C$21,[1]Feuil1!$A$2:$A$1000,Legende!$D$21,[1]Feuil1!$G$2:$G$1000,Legende!A10))</f>
        <v>0</v>
      </c>
      <c r="S12" s="9">
        <f>SUM(SUMIFS([1]Feuil1!$F$2:$F$1000,[1]Feuil1!$A$2:$A$1000,Legende!$C$22,[1]Feuil1!$A$2:$A$1000,Legende!$D$22,[1]Feuil1!$G$2:$G$1000,Legende!A10))-SUM(SUMIFS([1]Feuil1!$E$2:$E$1000,[1]Feuil1!$A$2:$A$1000,Legende!$C$22,[1]Feuil1!$A$2:$A$1000,Legende!$D$22,[1]Feuil1!$G$2:$G$1000,Legende!A10))</f>
        <v>0</v>
      </c>
      <c r="T12" s="9">
        <f>SUM(SUMIFS([1]Feuil1!$F$2:$F$1000,[1]Feuil1!$A$2:$A$1000,Legende!$C$24,[1]Feuil1!$A$2:$A$1000,Legende!$D$24,[1]Feuil1!$G$2:$G$1000,Legende!A10))-SUM(SUMIFS([1]Feuil1!$E$2:$E$1000,[1]Feuil1!$A$2:$A$1000,Legende!$C$24,[1]Feuil1!$A$2:$A$1000,Legende!$D$24,[1]Feuil1!$G$2:$G$1000,Legende!A10))</f>
        <v>0</v>
      </c>
      <c r="U12" s="9">
        <f>(SUM(SUMIFS([1]Feuil1!$F$2:$F$1000,[1]Feuil1!$A$2:$A$1000,Legende!$C$25,[1]Feuil1!$A$2:$A$1000,Legende!$D$25,[1]Feuil1!$G$2:$G$1000,Legende!A10))+SUM(SUMIFS([1]Feuil1!$F$2:$F$1000,[1]Feuil1!$A$2:$A$1000,Legende!$C$26,[1]Feuil1!$A$2:$A$1000,Legende!$D$26,[1]Feuil1!$G$2:$G$1000,Legende!A10)))-(SUM(SUMIFS([1]Feuil1!$E$2:$E$1000,[1]Feuil1!$A$2:$A$1000,Legende!$C$25,[1]Feuil1!$A$2:$A$1000,Legende!$D$25,[1]Feuil1!$G$2:$G$1000,Legende!A10))+SUM(SUMIFS([1]Feuil1!$E$2:$E$1000,[1]Feuil1!$A$2:$A$1000,Legende!$C$26,[1]Feuil1!$A$2:$A$1000,Legende!$D$26,[1]Feuil1!$G$2:$G$1000,Legende!A10)))</f>
        <v>0</v>
      </c>
    </row>
    <row r="13" spans="1:21" ht="15.75" thickBot="1" x14ac:dyDescent="0.3">
      <c r="A13" s="7" t="str">
        <f>Legende!A11</f>
        <v>Octobre</v>
      </c>
      <c r="B13" s="9">
        <f>SUM(SUMIFS([1]Feuil1!$F$2:$F$1000,[1]Feuil1!$A$2:$A$1000,Legende!$C$2,[1]Feuil1!$A$2:$A$1000,Legende!$D$2,[1]Feuil1!$G$2:$G$1000,Legende!A11))-SUM(SUMIFS([1]Feuil1!$E$2:$E$1000,[1]Feuil1!$A$2:$A$1000,Legende!$C$2,[1]Feuil1!$A$2:$A$1000,Legende!$D$2,[1]Feuil1!$G$2:$G$1000,Legende!A11))</f>
        <v>-338469.7799999998</v>
      </c>
      <c r="C13" s="9">
        <f>SUM(SUMIFS([1]Feuil1!$F$2:$F$1000,[1]Feuil1!$A$2:$A$1000,Legende!$C$3,[1]Feuil1!$A$2:$A$1000,Legende!$D$3,[1]Feuil1!$G$2:$G$1000,Legende!A11))-SUM(SUMIFS([1]Feuil1!$E$2:$E$1000,[1]Feuil1!$A$2:$A$1000,Legende!$C$3,[1]Feuil1!$A$2:$A$1000,Legende!$D$3,[1]Feuil1!$G$2:$G$1000,Legende!A11))</f>
        <v>576312.16999999993</v>
      </c>
      <c r="D13" s="9">
        <f>(SUM(SUMIFS([1]Feuil1!$E$2:$E$1000,[1]Feuil1!$A$2:$A$1000,Legende!$C$4,[1]Feuil1!$A$2:$A$1000,Legende!$D$4,[1]Feuil1!$G$2:$G$1000,Legende!A11))+SUM(SUMIFS([1]Feuil1!$E$2:$E$1000,[1]Feuil1!$A$2:$A$1000,Legende!$C$5,[1]Feuil1!$A$2:$A$1000,Legende!$D$5,[1]Feuil1!$G$2:$G$1000,Legende!A11)))-(SUM(SUMIFS([1]Feuil1!$F$2:$F$1000,[1]Feuil1!$A$2:$A$1000,Legende!$C$4,[1]Feuil1!$A$2:$A$1000,Legende!$D$4,[1]Feuil1!$G$2:$G$1000,Legende!A11))+SUM(SUMIFS([1]Feuil1!$F$2:$F$1000,[1]Feuil1!$A$2:$A$1000,Legende!$C$5,[1]Feuil1!$A$2:$A$1000,Legende!$D$5,[1]Feuil1!$G$2:$G$1000,Legende!A11)))</f>
        <v>-91479.7</v>
      </c>
      <c r="E13" s="9">
        <f>SUM(SUMIFS([1]Feuil1!$E$2:$E$1000,[1]Feuil1!$A$2:$A$1000,Legende!$C$6,[1]Feuil1!$A$2:$A$1000,Legende!$D$6,[1]Feuil1!$G$2:$G$1000,Legende!A11))-SUMPRODUCT(SUMIFS([1]Feuil1!$F$2:$F$1000,[1]Feuil1!$A$2:$A$1000,Legende!$C$6,[1]Feuil1!$A$2:$A$1000,Legende!$D$6,[1]Feuil1!$G$2:$G$1000,Legende!A11))</f>
        <v>1122224.3899999999</v>
      </c>
      <c r="F13" s="9">
        <f>SUM(SUMIFS([1]Feuil1!$F$2:$F$1000,[1]Feuil1!$A$2:$A$1000,Legende!$C$7,[1]Feuil1!$A$2:$A$1000,Legende!$D$7,[1]Feuil1!$G$2:$G$1000,Legende!A11))-SUM(SUMIFS([1]Feuil1!$E$2:$E$1000,[1]Feuil1!$A$2:$A$1000,Legende!$C$7,[1]Feuil1!$A$2:$A$1000,Legende!$D$7,[1]Feuil1!$G$2:$G$1000,Legende!A11))</f>
        <v>115962.74</v>
      </c>
      <c r="G13" s="9">
        <f>(SUM(SUMIFS([1]Feuil1!$F$2:$F$1000,[1]Feuil1!$A$2:$A$1000,Legende!$C$8,[1]Feuil1!$A$2:$A$1000,Legende!$D$8,[1]Feuil1!$G$2:$G$1000,Legende!A11))+SUM(SUMIFS([1]Feuil1!$F$2:$F$1000,[1]Feuil1!$A$2:$A$1000,Legende!$C$9,[1]Feuil1!$A$2:$A$1000,Legende!$D$9,[1]Feuil1!$G$2:$G$1000,Legende!A11)))-(SUM(SUMIFS([1]Feuil1!$E$2:$E$1000,[1]Feuil1!$A$2:$A$1000,Legende!$C$8,[1]Feuil1!$A$2:$A$1000,Legende!$D$8,[1]Feuil1!$G$2:$G$1000,Legende!A11))+SUM(SUMIFS([1]Feuil1!$E$2:$E$1000,[1]Feuil1!$A$2:$A$1000,Legende!$C$9,[1]Feuil1!$A$2:$A$1000,Legende!$D$9,[1]Feuil1!$G$2:$G$1000,Legende!A11)))</f>
        <v>115930.92</v>
      </c>
      <c r="H13" s="9">
        <f>SUM(SUMIFS([1]Feuil1!$F$2:$F$1000,[1]Feuil1!$A$2:$A$1000,Legende!$C$10,[1]Feuil1!$A$2:$A$1000,Legende!$D$10,[1]Feuil1!$G$2:$G$1000,Legende!A11))-SUM(SUMIFS([1]Feuil1!$E$2:$E$1000,[1]Feuil1!$A$2:$A$1000,Legende!$C$10,[1]Feuil1!$A$2:$A$1000,Legende!$D$10,[1]Feuil1!$G$2:$G$1000,Legende!A11))</f>
        <v>31.82</v>
      </c>
      <c r="I13" s="9">
        <f>(SUM(SUMIFS([1]Feuil1!$F$2:$F$1000,[1]Feuil1!$A$2:$A$1000,Legende!$C$11,[1]Feuil1!$A$2:$A$1000,Legende!$D$11,[1]Feuil1!$G$2:$G$1000,Legende!A11))+SUM(SUMIFS([1]Feuil1!$F$2:$F$1000,[1]Feuil1!$A$2:$A$1000,Legende!$C$13,[1]Feuil1!$A$2:$A$1000,Legende!$D$13,[1]Feuil1!$G$2:$G$1000,Legende!A11)))-(SUM(SUMIFS([1]Feuil1!$E$2:$E$1000,[1]Feuil1!$A$2:$A$1000,Legende!$C$11,[1]Feuil1!$A$2:$A$1000,Legende!$D$11,[1]Feuil1!$G$2:$G$1000,Legende!A11))+SUM(SUMIFS([1]Feuil1!$E$2:$E$1000,[1]Feuil1!$A$2:$A$1000,Legende!$C$13,[1]Feuil1!$A$2:$A$1000,Legende!$D$13,[1]Feuil1!$G$2:$G$1000,Legende!A11)))</f>
        <v>0</v>
      </c>
      <c r="J13" s="9">
        <f>SUM(SUMIFS([1]Feuil1!$E$2:$E$1000,[1]Feuil1!$A$2:$A$1000,Legende!$C$12,[1]Feuil1!$A$2:$A$1000,Legende!$D$12,[1]Feuil1!$G$2:$G$1000,Legende!A11))-SUM(SUMIFS([1]Feuil1!$F$2:$F$1000,[1]Feuil1!$A$2:$A$1000,Legende!$C$12,[1]Feuil1!$A$2:$A$1000,Legende!$D$12,[1]Feuil1!$G$2:$G$1000,Legende!A11))</f>
        <v>20509.349999999999</v>
      </c>
      <c r="K13" s="9">
        <f>SUM(SUMIFS([1]Feuil1!$F$2:$F$1000,[1]Feuil1!$A$2:$A$1000,Legende!$C$18,[1]Feuil1!$A$2:$A$1000,Legende!$D$18,[1]Feuil1!$G$2:$G$1000,Legende!A11))-SUM(SUMIFS([1]Feuil1!$E$2:$E$1000,[1]Feuil1!$A$2:$A$1000,Legende!$C$18,[1]Feuil1!$A$2:$A$1000,Legende!$D$18,[1]Feuil1!$G$2:$G$1000,Legende!A11))</f>
        <v>22867.35</v>
      </c>
      <c r="L13" s="9">
        <f>SUM(SUMIFS([1]Feuil1!$F$2:$F$1000,[1]Feuil1!$A$2:$A$1000,Legende!$C$14,[1]Feuil1!$A$2:$A$1000,Legende!$D$14,[1]Feuil1!$G$2:$G$1000,Legende!A11))-SUM(SUMIFS([1]Feuil1!$E$2:$E$1000,[1]Feuil1!$A$2:$A$1000,Legende!$C$14,[1]Feuil1!$A$2:$A$1000,Legende!$D$14,[1]Feuil1!$G$2:$G$1000,Legende!A11))</f>
        <v>-156503.09</v>
      </c>
      <c r="M13" s="9">
        <f>SUM(SUMIFS([1]Feuil1!$E$2:$E$1000,[1]Feuil1!$A$2:$A$1000,Legende!$C$15,[1]Feuil1!$A$2:$A$1000,Legende!$D$15,[1]Feuil1!$G$2:$G$1000,Legende!A11))-SUM(SUMIFS([1]Feuil1!$F$2:$F$1000,[1]Feuil1!$A$2:$A$1000,Legende!$C$15,[1]Feuil1!$A$2:$A$1000,Legende!$D$15,[1]Feuil1!$G$2:$G$1000,Legende!A11))</f>
        <v>122876.78</v>
      </c>
      <c r="N13" s="9">
        <f>(SUM(SUMIFS([1]Feuil1!$F$2:$F$1000,[1]Feuil1!$A$2:$A$1000,Legende!$C$16,[1]Feuil1!$A$2:$A$1000,Legende!$D$16,[1]Feuil1!$G$2:$G$1000,Legende!A11))+SUM(SUMIFS([1]Feuil1!$F$2:$F$1000,[1]Feuil1!$A$2:$A$1000,Legende!$C$19,[1]Feuil1!$A$2:$A$1000,Legende!$D$19,[1]Feuil1!$G$2:$G$1000,Legende!A11)))-(SUM(SUMIFS([1]Feuil1!$E$2:$E$1000,[1]Feuil1!$A$2:$A$1000,Legende!$C$16,[1]Feuil1!$A$2:$A$1000,Legende!$D$16,[1]Feuil1!$G$2:$G$1000,Legende!A11))+SUM(SUMIFS([1]Feuil1!$E$2:$E$1000,[1]Feuil1!$A$2:$A$1000,Legende!$C$19,[1]Feuil1!$A$2:$A$1000,Legende!$D$19,[1]Feuil1!$G$2:$G$1000,Legende!A11)))</f>
        <v>-2142983.21</v>
      </c>
      <c r="O13" s="9">
        <f>SUM(SUMIFS([1]Feuil1!$F$2:$F$1000,[1]Feuil1!$A$2:$A$1000,Legende!$C$17,[1]Feuil1!$A$2:$A$1000,Legende!$D$17,[1]Feuil1!$G$2:$G$1000,Legende!A11))-SUM(SUMIFS([1]Feuil1!$E$2:$E$1000,[1]Feuil1!$A$2:$A$1000,Legende!$C$17,[1]Feuil1!$A$2:$A$1000,Legende!$D$17,[1]Feuil1!$G$2:$G$1000,Legende!A11))</f>
        <v>138305.01999999999</v>
      </c>
      <c r="P13" s="9">
        <f>SUM(SUMIFS([1]Feuil1!$F$2:$F$1000,[1]Feuil1!$A$2:$A$1000,Legende!$C$23,[1]Feuil1!$A$2:$A$1000,Legende!$D$23,[1]Feuil1!$G$2:$G$1000,Legende!A11))-SUM(SUMIFS([1]Feuil1!$E$2:$E$1000,[1]Feuil1!$A$2:$A$1000,Legende!$C$23,[1]Feuil1!$A$2:$A$1000,Legende!$D$23,[1]Feuil1!$G$2:$G$1000,Legende!A11))</f>
        <v>1729541.88</v>
      </c>
      <c r="Q13" s="9">
        <f>SUM(SUMIFS([1]Feuil1!$F$2:$F$1000,[1]Feuil1!$A$2:$A$1000,Legende!$C$20,[1]Feuil1!$A$2:$A$1000,Legende!$D$20,[1]Feuil1!$G$2:$G$1000,Legende!A11))-SUM(SUMIFS([1]Feuil1!$E$2:$E$1000,[1]Feuil1!$A$2:$A$1000,Legende!$C$20,[1]Feuil1!$A$2:$A$1000,Legende!$D$20,[1]Feuil1!$G$2:$G$1000,Legende!A11))</f>
        <v>0</v>
      </c>
      <c r="R13" s="9">
        <f>SUM(SUMIFS([1]Feuil1!$F$2:$F$1000,[1]Feuil1!$A$2:$A$1000,Legende!$C$21,[1]Feuil1!$A$2:$A$1000,Legende!$D$21,[1]Feuil1!$G$2:$G$1000,Legende!A11))-SUM(SUMIFS([1]Feuil1!$E$2:$E$1000,[1]Feuil1!$A$2:$A$1000,Legende!$C$21,[1]Feuil1!$A$2:$A$1000,Legende!$D$21,[1]Feuil1!$G$2:$G$1000,Legende!A11))</f>
        <v>122876.78</v>
      </c>
      <c r="S13" s="9">
        <f>SUM(SUMIFS([1]Feuil1!$F$2:$F$1000,[1]Feuil1!$A$2:$A$1000,Legende!$C$22,[1]Feuil1!$A$2:$A$1000,Legende!$D$22,[1]Feuil1!$G$2:$G$1000,Legende!A11))-SUM(SUMIFS([1]Feuil1!$E$2:$E$1000,[1]Feuil1!$A$2:$A$1000,Legende!$C$22,[1]Feuil1!$A$2:$A$1000,Legende!$D$22,[1]Feuil1!$G$2:$G$1000,Legende!A11))</f>
        <v>0</v>
      </c>
      <c r="T13" s="9">
        <f>SUM(SUMIFS([1]Feuil1!$F$2:$F$1000,[1]Feuil1!$A$2:$A$1000,Legende!$C$24,[1]Feuil1!$A$2:$A$1000,Legende!$D$24,[1]Feuil1!$G$2:$G$1000,Legende!A11))-SUM(SUMIFS([1]Feuil1!$E$2:$E$1000,[1]Feuil1!$A$2:$A$1000,Legende!$C$24,[1]Feuil1!$A$2:$A$1000,Legende!$D$24,[1]Feuil1!$G$2:$G$1000,Legende!A11))</f>
        <v>0</v>
      </c>
      <c r="U13" s="9">
        <f>(SUM(SUMIFS([1]Feuil1!$F$2:$F$1000,[1]Feuil1!$A$2:$A$1000,Legende!$C$25,[1]Feuil1!$A$2:$A$1000,Legende!$D$25,[1]Feuil1!$G$2:$G$1000,Legende!A11))+SUM(SUMIFS([1]Feuil1!$F$2:$F$1000,[1]Feuil1!$A$2:$A$1000,Legende!$C$26,[1]Feuil1!$A$2:$A$1000,Legende!$D$26,[1]Feuil1!$G$2:$G$1000,Legende!A11)))-(SUM(SUMIFS([1]Feuil1!$E$2:$E$1000,[1]Feuil1!$A$2:$A$1000,Legende!$C$25,[1]Feuil1!$A$2:$A$1000,Legende!$D$25,[1]Feuil1!$G$2:$G$1000,Legende!A11))+SUM(SUMIFS([1]Feuil1!$E$2:$E$1000,[1]Feuil1!$A$2:$A$1000,Legende!$C$26,[1]Feuil1!$A$2:$A$1000,Legende!$D$26,[1]Feuil1!$G$2:$G$1000,Legende!A11)))</f>
        <v>0</v>
      </c>
    </row>
    <row r="14" spans="1:21" ht="15.75" thickBot="1" x14ac:dyDescent="0.3">
      <c r="A14" s="7" t="str">
        <f>Legende!A12</f>
        <v>Novembre</v>
      </c>
      <c r="B14" s="9">
        <f>SUM(SUMIFS([1]Feuil1!$F$2:$F$1000,[1]Feuil1!$A$2:$A$1000,Legende!$C$2,[1]Feuil1!$A$2:$A$1000,Legende!$D$2,[1]Feuil1!$G$2:$G$1000,Legende!A12))-SUM(SUMIFS([1]Feuil1!$E$2:$E$1000,[1]Feuil1!$A$2:$A$1000,Legende!$C$2,[1]Feuil1!$A$2:$A$1000,Legende!$D$2,[1]Feuil1!$G$2:$G$1000,Legende!A12))</f>
        <v>-350524.83000000007</v>
      </c>
      <c r="C14" s="9">
        <f>SUM(SUMIFS([1]Feuil1!$F$2:$F$1000,[1]Feuil1!$A$2:$A$1000,Legende!$C$3,[1]Feuil1!$A$2:$A$1000,Legende!$D$3,[1]Feuil1!$G$2:$G$1000,Legende!A12))-SUM(SUMIFS([1]Feuil1!$E$2:$E$1000,[1]Feuil1!$A$2:$A$1000,Legende!$C$3,[1]Feuil1!$A$2:$A$1000,Legende!$D$3,[1]Feuil1!$G$2:$G$1000,Legende!A12))</f>
        <v>627113.44000000018</v>
      </c>
      <c r="D14" s="9">
        <f>(SUM(SUMIFS([1]Feuil1!$E$2:$E$1000,[1]Feuil1!$A$2:$A$1000,Legende!$C$4,[1]Feuil1!$A$2:$A$1000,Legende!$D$4,[1]Feuil1!$G$2:$G$1000,Legende!A12))+SUM(SUMIFS([1]Feuil1!$E$2:$E$1000,[1]Feuil1!$A$2:$A$1000,Legende!$C$5,[1]Feuil1!$A$2:$A$1000,Legende!$D$5,[1]Feuil1!$G$2:$G$1000,Legende!A12)))-(SUM(SUMIFS([1]Feuil1!$F$2:$F$1000,[1]Feuil1!$A$2:$A$1000,Legende!$C$4,[1]Feuil1!$A$2:$A$1000,Legende!$D$4,[1]Feuil1!$G$2:$G$1000,Legende!A12))+SUM(SUMIFS([1]Feuil1!$F$2:$F$1000,[1]Feuil1!$A$2:$A$1000,Legende!$C$5,[1]Feuil1!$A$2:$A$1000,Legende!$D$5,[1]Feuil1!$G$2:$G$1000,Legende!A12)))</f>
        <v>-7070.66</v>
      </c>
      <c r="E14" s="9">
        <f>SUM(SUMIFS([1]Feuil1!$E$2:$E$1000,[1]Feuil1!$A$2:$A$1000,Legende!$C$6,[1]Feuil1!$A$2:$A$1000,Legende!$D$6,[1]Feuil1!$G$2:$G$1000,Legende!A12))-SUMPRODUCT(SUMIFS([1]Feuil1!$F$2:$F$1000,[1]Feuil1!$A$2:$A$1000,Legende!$C$6,[1]Feuil1!$A$2:$A$1000,Legende!$D$6,[1]Feuil1!$G$2:$G$1000,Legende!A12))</f>
        <v>1103114.28</v>
      </c>
      <c r="F14" s="9">
        <f>SUM(SUMIFS([1]Feuil1!$F$2:$F$1000,[1]Feuil1!$A$2:$A$1000,Legende!$C$7,[1]Feuil1!$A$2:$A$1000,Legende!$D$7,[1]Feuil1!$G$2:$G$1000,Legende!A12))-SUM(SUMIFS([1]Feuil1!$E$2:$E$1000,[1]Feuil1!$A$2:$A$1000,Legende!$C$7,[1]Feuil1!$A$2:$A$1000,Legende!$D$7,[1]Feuil1!$G$2:$G$1000,Legende!A12))</f>
        <v>118405.34999999999</v>
      </c>
      <c r="G14" s="9">
        <f>(SUM(SUMIFS([1]Feuil1!$F$2:$F$1000,[1]Feuil1!$A$2:$A$1000,Legende!$C$8,[1]Feuil1!$A$2:$A$1000,Legende!$D$8,[1]Feuil1!$G$2:$G$1000,Legende!A12))+SUM(SUMIFS([1]Feuil1!$F$2:$F$1000,[1]Feuil1!$A$2:$A$1000,Legende!$C$9,[1]Feuil1!$A$2:$A$1000,Legende!$D$9,[1]Feuil1!$G$2:$G$1000,Legende!A12)))-(SUM(SUMIFS([1]Feuil1!$E$2:$E$1000,[1]Feuil1!$A$2:$A$1000,Legende!$C$8,[1]Feuil1!$A$2:$A$1000,Legende!$D$8,[1]Feuil1!$G$2:$G$1000,Legende!A12))+SUM(SUMIFS([1]Feuil1!$E$2:$E$1000,[1]Feuil1!$A$2:$A$1000,Legende!$C$9,[1]Feuil1!$A$2:$A$1000,Legende!$D$9,[1]Feuil1!$G$2:$G$1000,Legende!A12)))</f>
        <v>118371.15999999999</v>
      </c>
      <c r="H14" s="9">
        <f>SUM(SUMIFS([1]Feuil1!$F$2:$F$1000,[1]Feuil1!$A$2:$A$1000,Legende!$C$10,[1]Feuil1!$A$2:$A$1000,Legende!$D$10,[1]Feuil1!$G$2:$G$1000,Legende!A12))-SUM(SUMIFS([1]Feuil1!$E$2:$E$1000,[1]Feuil1!$A$2:$A$1000,Legende!$C$10,[1]Feuil1!$A$2:$A$1000,Legende!$D$10,[1]Feuil1!$G$2:$G$1000,Legende!A12))</f>
        <v>34.19</v>
      </c>
      <c r="I14" s="9">
        <f>(SUM(SUMIFS([1]Feuil1!$F$2:$F$1000,[1]Feuil1!$A$2:$A$1000,Legende!$C$11,[1]Feuil1!$A$2:$A$1000,Legende!$D$11,[1]Feuil1!$G$2:$G$1000,Legende!A12))+SUM(SUMIFS([1]Feuil1!$F$2:$F$1000,[1]Feuil1!$A$2:$A$1000,Legende!$C$13,[1]Feuil1!$A$2:$A$1000,Legende!$D$13,[1]Feuil1!$G$2:$G$1000,Legende!A12)))-(SUM(SUMIFS([1]Feuil1!$E$2:$E$1000,[1]Feuil1!$A$2:$A$1000,Legende!$C$11,[1]Feuil1!$A$2:$A$1000,Legende!$D$11,[1]Feuil1!$G$2:$G$1000,Legende!A12))+SUM(SUMIFS([1]Feuil1!$E$2:$E$1000,[1]Feuil1!$A$2:$A$1000,Legende!$C$13,[1]Feuil1!$A$2:$A$1000,Legende!$D$13,[1]Feuil1!$G$2:$G$1000,Legende!A12)))</f>
        <v>0</v>
      </c>
      <c r="J14" s="9">
        <f>SUM(SUMIFS([1]Feuil1!$E$2:$E$1000,[1]Feuil1!$A$2:$A$1000,Legende!$C$12,[1]Feuil1!$A$2:$A$1000,Legende!$D$12,[1]Feuil1!$G$2:$G$1000,Legende!A12))-SUM(SUMIFS([1]Feuil1!$F$2:$F$1000,[1]Feuil1!$A$2:$A$1000,Legende!$C$12,[1]Feuil1!$A$2:$A$1000,Legende!$D$12,[1]Feuil1!$G$2:$G$1000,Legende!A12))</f>
        <v>1140.55</v>
      </c>
      <c r="K14" s="9">
        <f>SUM(SUMIFS([1]Feuil1!$F$2:$F$1000,[1]Feuil1!$A$2:$A$1000,Legende!$C$18,[1]Feuil1!$A$2:$A$1000,Legende!$D$18,[1]Feuil1!$G$2:$G$1000,Legende!A12))-SUM(SUMIFS([1]Feuil1!$E$2:$E$1000,[1]Feuil1!$A$2:$A$1000,Legende!$C$18,[1]Feuil1!$A$2:$A$1000,Legende!$D$18,[1]Feuil1!$G$2:$G$1000,Legende!A12))</f>
        <v>15244.9</v>
      </c>
      <c r="L14" s="9">
        <f>SUM(SUMIFS([1]Feuil1!$F$2:$F$1000,[1]Feuil1!$A$2:$A$1000,Legende!$C$14,[1]Feuil1!$A$2:$A$1000,Legende!$D$14,[1]Feuil1!$G$2:$G$1000,Legende!A12))-SUM(SUMIFS([1]Feuil1!$E$2:$E$1000,[1]Feuil1!$A$2:$A$1000,Legende!$C$14,[1]Feuil1!$A$2:$A$1000,Legende!$D$14,[1]Feuil1!$G$2:$G$1000,Legende!A12))</f>
        <v>-178331.81</v>
      </c>
      <c r="M14" s="9">
        <f>SUM(SUMIFS([1]Feuil1!$E$2:$E$1000,[1]Feuil1!$A$2:$A$1000,Legende!$C$15,[1]Feuil1!$A$2:$A$1000,Legende!$D$15,[1]Feuil1!$G$2:$G$1000,Legende!A12))-SUM(SUMIFS([1]Feuil1!$F$2:$F$1000,[1]Feuil1!$A$2:$A$1000,Legende!$C$15,[1]Feuil1!$A$2:$A$1000,Legende!$D$15,[1]Feuil1!$G$2:$G$1000,Legende!A12))</f>
        <v>0</v>
      </c>
      <c r="N14" s="9">
        <f>(SUM(SUMIFS([1]Feuil1!$F$2:$F$1000,[1]Feuil1!$A$2:$A$1000,Legende!$C$16,[1]Feuil1!$A$2:$A$1000,Legende!$D$16,[1]Feuil1!$G$2:$G$1000,Legende!A12))+SUM(SUMIFS([1]Feuil1!$F$2:$F$1000,[1]Feuil1!$A$2:$A$1000,Legende!$C$19,[1]Feuil1!$A$2:$A$1000,Legende!$D$19,[1]Feuil1!$G$2:$G$1000,Legende!A12)))-(SUM(SUMIFS([1]Feuil1!$E$2:$E$1000,[1]Feuil1!$A$2:$A$1000,Legende!$C$16,[1]Feuil1!$A$2:$A$1000,Legende!$D$16,[1]Feuil1!$G$2:$G$1000,Legende!A12))+SUM(SUMIFS([1]Feuil1!$E$2:$E$1000,[1]Feuil1!$A$2:$A$1000,Legende!$C$19,[1]Feuil1!$A$2:$A$1000,Legende!$D$19,[1]Feuil1!$G$2:$G$1000,Legende!A12)))</f>
        <v>-785010.35</v>
      </c>
      <c r="O14" s="9">
        <f>SUM(SUMIFS([1]Feuil1!$F$2:$F$1000,[1]Feuil1!$A$2:$A$1000,Legende!$C$17,[1]Feuil1!$A$2:$A$1000,Legende!$D$17,[1]Feuil1!$G$2:$G$1000,Legende!A12))-SUM(SUMIFS([1]Feuil1!$E$2:$E$1000,[1]Feuil1!$A$2:$A$1000,Legende!$C$17,[1]Feuil1!$A$2:$A$1000,Legende!$D$17,[1]Feuil1!$G$2:$G$1000,Legende!A12))</f>
        <v>120756.4</v>
      </c>
      <c r="P14" s="9">
        <f>SUM(SUMIFS([1]Feuil1!$F$2:$F$1000,[1]Feuil1!$A$2:$A$1000,Legende!$C$23,[1]Feuil1!$A$2:$A$1000,Legende!$D$23,[1]Feuil1!$G$2:$G$1000,Legende!A12))-SUM(SUMIFS([1]Feuil1!$E$2:$E$1000,[1]Feuil1!$A$2:$A$1000,Legende!$C$23,[1]Feuil1!$A$2:$A$1000,Legende!$D$23,[1]Feuil1!$G$2:$G$1000,Legende!A12))</f>
        <v>750023.95</v>
      </c>
      <c r="Q14" s="9">
        <f>SUM(SUMIFS([1]Feuil1!$F$2:$F$1000,[1]Feuil1!$A$2:$A$1000,Legende!$C$20,[1]Feuil1!$A$2:$A$1000,Legende!$D$20,[1]Feuil1!$G$2:$G$1000,Legende!A12))-SUM(SUMIFS([1]Feuil1!$E$2:$E$1000,[1]Feuil1!$A$2:$A$1000,Legende!$C$20,[1]Feuil1!$A$2:$A$1000,Legende!$D$20,[1]Feuil1!$G$2:$G$1000,Legende!A12))</f>
        <v>0</v>
      </c>
      <c r="R14" s="9">
        <f>SUM(SUMIFS([1]Feuil1!$F$2:$F$1000,[1]Feuil1!$A$2:$A$1000,Legende!$C$21,[1]Feuil1!$A$2:$A$1000,Legende!$D$21,[1]Feuil1!$G$2:$G$1000,Legende!A12))-SUM(SUMIFS([1]Feuil1!$E$2:$E$1000,[1]Feuil1!$A$2:$A$1000,Legende!$C$21,[1]Feuil1!$A$2:$A$1000,Legende!$D$21,[1]Feuil1!$G$2:$G$1000,Legende!A12))</f>
        <v>0</v>
      </c>
      <c r="S14" s="9">
        <f>SUM(SUMIFS([1]Feuil1!$F$2:$F$1000,[1]Feuil1!$A$2:$A$1000,Legende!$C$22,[1]Feuil1!$A$2:$A$1000,Legende!$D$22,[1]Feuil1!$G$2:$G$1000,Legende!A12))-SUM(SUMIFS([1]Feuil1!$E$2:$E$1000,[1]Feuil1!$A$2:$A$1000,Legende!$C$22,[1]Feuil1!$A$2:$A$1000,Legende!$D$22,[1]Feuil1!$G$2:$G$1000,Legende!A12))</f>
        <v>0</v>
      </c>
      <c r="T14" s="9">
        <f>SUM(SUMIFS([1]Feuil1!$F$2:$F$1000,[1]Feuil1!$A$2:$A$1000,Legende!$C$24,[1]Feuil1!$A$2:$A$1000,Legende!$D$24,[1]Feuil1!$G$2:$G$1000,Legende!A12))-SUM(SUMIFS([1]Feuil1!$E$2:$E$1000,[1]Feuil1!$A$2:$A$1000,Legende!$C$24,[1]Feuil1!$A$2:$A$1000,Legende!$D$24,[1]Feuil1!$G$2:$G$1000,Legende!A12))</f>
        <v>0</v>
      </c>
      <c r="U14" s="9">
        <f>(SUM(SUMIFS([1]Feuil1!$F$2:$F$1000,[1]Feuil1!$A$2:$A$1000,Legende!$C$25,[1]Feuil1!$A$2:$A$1000,Legende!$D$25,[1]Feuil1!$G$2:$G$1000,Legende!A12))+SUM(SUMIFS([1]Feuil1!$F$2:$F$1000,[1]Feuil1!$A$2:$A$1000,Legende!$C$26,[1]Feuil1!$A$2:$A$1000,Legende!$D$26,[1]Feuil1!$G$2:$G$1000,Legende!A12)))-(SUM(SUMIFS([1]Feuil1!$E$2:$E$1000,[1]Feuil1!$A$2:$A$1000,Legende!$C$25,[1]Feuil1!$A$2:$A$1000,Legende!$D$25,[1]Feuil1!$G$2:$G$1000,Legende!A12))+SUM(SUMIFS([1]Feuil1!$E$2:$E$1000,[1]Feuil1!$A$2:$A$1000,Legende!$C$26,[1]Feuil1!$A$2:$A$1000,Legende!$D$26,[1]Feuil1!$G$2:$G$1000,Legende!A12)))</f>
        <v>0</v>
      </c>
    </row>
    <row r="15" spans="1:21" ht="15.75" thickBot="1" x14ac:dyDescent="0.3">
      <c r="A15" s="7" t="str">
        <f>Legende!A13</f>
        <v>Décembre</v>
      </c>
      <c r="B15" s="9">
        <f>SUM(SUMIFS([1]Feuil1!$F$2:$F$1000,[1]Feuil1!$A$2:$A$1000,Legende!$C$2,[1]Feuil1!$A$2:$A$1000,Legende!$D$2,[1]Feuil1!$G$2:$G$1000,Legende!A13))-SUM(SUMIFS([1]Feuil1!$E$2:$E$1000,[1]Feuil1!$A$2:$A$1000,Legende!$C$2,[1]Feuil1!$A$2:$A$1000,Legende!$D$2,[1]Feuil1!$G$2:$G$1000,Legende!A13))</f>
        <v>-102511.41999999993</v>
      </c>
      <c r="C15" s="9">
        <f>SUM(SUMIFS([1]Feuil1!$F$2:$F$1000,[1]Feuil1!$A$2:$A$1000,Legende!$C$3,[1]Feuil1!$A$2:$A$1000,Legende!$D$3,[1]Feuil1!$G$2:$G$1000,Legende!A13))-SUM(SUMIFS([1]Feuil1!$E$2:$E$1000,[1]Feuil1!$A$2:$A$1000,Legende!$C$3,[1]Feuil1!$A$2:$A$1000,Legende!$D$3,[1]Feuil1!$G$2:$G$1000,Legende!A13))</f>
        <v>-510791.36</v>
      </c>
      <c r="D15" s="9">
        <f>(SUM(SUMIFS([1]Feuil1!$E$2:$E$1000,[1]Feuil1!$A$2:$A$1000,Legende!$C$4,[1]Feuil1!$A$2:$A$1000,Legende!$D$4,[1]Feuil1!$G$2:$G$1000,Legende!A13))+SUM(SUMIFS([1]Feuil1!$E$2:$E$1000,[1]Feuil1!$A$2:$A$1000,Legende!$C$5,[1]Feuil1!$A$2:$A$1000,Legende!$D$5,[1]Feuil1!$G$2:$G$1000,Legende!A13)))-(SUM(SUMIFS([1]Feuil1!$F$2:$F$1000,[1]Feuil1!$A$2:$A$1000,Legende!$C$4,[1]Feuil1!$A$2:$A$1000,Legende!$D$4,[1]Feuil1!$G$2:$G$1000,Legende!A13))+SUM(SUMIFS([1]Feuil1!$F$2:$F$1000,[1]Feuil1!$A$2:$A$1000,Legende!$C$5,[1]Feuil1!$A$2:$A$1000,Legende!$D$5,[1]Feuil1!$G$2:$G$1000,Legende!A13)))</f>
        <v>90764.459999999992</v>
      </c>
      <c r="E15" s="9">
        <f>SUM(SUMIFS([1]Feuil1!$E$2:$E$1000,[1]Feuil1!$A$2:$A$1000,Legende!$C$6,[1]Feuil1!$A$2:$A$1000,Legende!$D$6,[1]Feuil1!$G$2:$G$1000,Legende!A13))-SUMPRODUCT(SUMIFS([1]Feuil1!$F$2:$F$1000,[1]Feuil1!$A$2:$A$1000,Legende!$C$6,[1]Feuil1!$A$2:$A$1000,Legende!$D$6,[1]Feuil1!$G$2:$G$1000,Legende!A13))</f>
        <v>-454014.27</v>
      </c>
      <c r="F15" s="9">
        <f>SUM(SUMIFS([1]Feuil1!$F$2:$F$1000,[1]Feuil1!$A$2:$A$1000,Legende!$C$7,[1]Feuil1!$A$2:$A$1000,Legende!$D$7,[1]Feuil1!$G$2:$G$1000,Legende!A13))-SUM(SUMIFS([1]Feuil1!$E$2:$E$1000,[1]Feuil1!$A$2:$A$1000,Legende!$C$7,[1]Feuil1!$A$2:$A$1000,Legende!$D$7,[1]Feuil1!$G$2:$G$1000,Legende!A13))</f>
        <v>45030.12999999999</v>
      </c>
      <c r="G15" s="9">
        <f>(SUM(SUMIFS([1]Feuil1!$F$2:$F$1000,[1]Feuil1!$A$2:$A$1000,Legende!$C$8,[1]Feuil1!$A$2:$A$1000,Legende!$D$8,[1]Feuil1!$G$2:$G$1000,Legende!A13))+SUM(SUMIFS([1]Feuil1!$F$2:$F$1000,[1]Feuil1!$A$2:$A$1000,Legende!$C$9,[1]Feuil1!$A$2:$A$1000,Legende!$D$9,[1]Feuil1!$G$2:$G$1000,Legende!A13)))-(SUM(SUMIFS([1]Feuil1!$E$2:$E$1000,[1]Feuil1!$A$2:$A$1000,Legende!$C$8,[1]Feuil1!$A$2:$A$1000,Legende!$D$8,[1]Feuil1!$G$2:$G$1000,Legende!A13))+SUM(SUMIFS([1]Feuil1!$E$2:$E$1000,[1]Feuil1!$A$2:$A$1000,Legende!$C$9,[1]Feuil1!$A$2:$A$1000,Legende!$D$9,[1]Feuil1!$G$2:$G$1000,Legende!A13)))</f>
        <v>46198.899999999994</v>
      </c>
      <c r="H15" s="9">
        <f>SUM(SUMIFS([1]Feuil1!$F$2:$F$1000,[1]Feuil1!$A$2:$A$1000,Legende!$C$10,[1]Feuil1!$A$2:$A$1000,Legende!$D$10,[1]Feuil1!$G$2:$G$1000,Legende!A13))-SUM(SUMIFS([1]Feuil1!$E$2:$E$1000,[1]Feuil1!$A$2:$A$1000,Legende!$C$10,[1]Feuil1!$A$2:$A$1000,Legende!$D$10,[1]Feuil1!$G$2:$G$1000,Legende!A13))</f>
        <v>0</v>
      </c>
      <c r="I15" s="9">
        <f>(SUM(SUMIFS([1]Feuil1!$F$2:$F$1000,[1]Feuil1!$A$2:$A$1000,Legende!$C$11,[1]Feuil1!$A$2:$A$1000,Legende!$D$11,[1]Feuil1!$G$2:$G$1000,Legende!A13))+SUM(SUMIFS([1]Feuil1!$F$2:$F$1000,[1]Feuil1!$A$2:$A$1000,Legende!$C$13,[1]Feuil1!$A$2:$A$1000,Legende!$D$13,[1]Feuil1!$G$2:$G$1000,Legende!A13)))-(SUM(SUMIFS([1]Feuil1!$E$2:$E$1000,[1]Feuil1!$A$2:$A$1000,Legende!$C$11,[1]Feuil1!$A$2:$A$1000,Legende!$D$11,[1]Feuil1!$G$2:$G$1000,Legende!A13))+SUM(SUMIFS([1]Feuil1!$E$2:$E$1000,[1]Feuil1!$A$2:$A$1000,Legende!$C$13,[1]Feuil1!$A$2:$A$1000,Legende!$D$13,[1]Feuil1!$G$2:$G$1000,Legende!A13)))</f>
        <v>-1168.77</v>
      </c>
      <c r="J15" s="9">
        <f>SUM(SUMIFS([1]Feuil1!$E$2:$E$1000,[1]Feuil1!$A$2:$A$1000,Legende!$C$12,[1]Feuil1!$A$2:$A$1000,Legende!$D$12,[1]Feuil1!$G$2:$G$1000,Legende!A13))-SUM(SUMIFS([1]Feuil1!$F$2:$F$1000,[1]Feuil1!$A$2:$A$1000,Legende!$C$12,[1]Feuil1!$A$2:$A$1000,Legende!$D$12,[1]Feuil1!$G$2:$G$1000,Legende!A13))</f>
        <v>19680.48</v>
      </c>
      <c r="K15" s="9">
        <f>SUM(SUMIFS([1]Feuil1!$F$2:$F$1000,[1]Feuil1!$A$2:$A$1000,Legende!$C$18,[1]Feuil1!$A$2:$A$1000,Legende!$D$18,[1]Feuil1!$G$2:$G$1000,Legende!A13))-SUM(SUMIFS([1]Feuil1!$E$2:$E$1000,[1]Feuil1!$A$2:$A$1000,Legende!$C$18,[1]Feuil1!$A$2:$A$1000,Legende!$D$18,[1]Feuil1!$G$2:$G$1000,Legende!A13))</f>
        <v>260</v>
      </c>
      <c r="L15" s="9">
        <f>SUM(SUMIFS([1]Feuil1!$F$2:$F$1000,[1]Feuil1!$A$2:$A$1000,Legende!$C$14,[1]Feuil1!$A$2:$A$1000,Legende!$D$14,[1]Feuil1!$G$2:$G$1000,Legende!A13))-SUM(SUMIFS([1]Feuil1!$E$2:$E$1000,[1]Feuil1!$A$2:$A$1000,Legende!$C$14,[1]Feuil1!$A$2:$A$1000,Legende!$D$14,[1]Feuil1!$G$2:$G$1000,Legende!A13))</f>
        <v>-39636.74</v>
      </c>
      <c r="M15" s="9">
        <f>SUM(SUMIFS([1]Feuil1!$E$2:$E$1000,[1]Feuil1!$A$2:$A$1000,Legende!$C$15,[1]Feuil1!$A$2:$A$1000,Legende!$D$15,[1]Feuil1!$G$2:$G$1000,Legende!A13))-SUM(SUMIFS([1]Feuil1!$F$2:$F$1000,[1]Feuil1!$A$2:$A$1000,Legende!$C$15,[1]Feuil1!$A$2:$A$1000,Legende!$D$15,[1]Feuil1!$G$2:$G$1000,Legende!A13))</f>
        <v>0</v>
      </c>
      <c r="N15" s="9">
        <f>(SUM(SUMIFS([1]Feuil1!$F$2:$F$1000,[1]Feuil1!$A$2:$A$1000,Legende!$C$16,[1]Feuil1!$A$2:$A$1000,Legende!$D$16,[1]Feuil1!$G$2:$G$1000,Legende!A13))+SUM(SUMIFS([1]Feuil1!$F$2:$F$1000,[1]Feuil1!$A$2:$A$1000,Legende!$C$19,[1]Feuil1!$A$2:$A$1000,Legende!$D$19,[1]Feuil1!$G$2:$G$1000,Legende!A13)))-(SUM(SUMIFS([1]Feuil1!$E$2:$E$1000,[1]Feuil1!$A$2:$A$1000,Legende!$C$16,[1]Feuil1!$A$2:$A$1000,Legende!$D$16,[1]Feuil1!$G$2:$G$1000,Legende!A13))+SUM(SUMIFS([1]Feuil1!$E$2:$E$1000,[1]Feuil1!$A$2:$A$1000,Legende!$C$19,[1]Feuil1!$A$2:$A$1000,Legende!$D$19,[1]Feuil1!$G$2:$G$1000,Legende!A13)))</f>
        <v>-1287928.99</v>
      </c>
      <c r="O15" s="9">
        <f>SUM(SUMIFS([1]Feuil1!$F$2:$F$1000,[1]Feuil1!$A$2:$A$1000,Legende!$C$17,[1]Feuil1!$A$2:$A$1000,Legende!$D$17,[1]Feuil1!$G$2:$G$1000,Legende!A13))-SUM(SUMIFS([1]Feuil1!$E$2:$E$1000,[1]Feuil1!$A$2:$A$1000,Legende!$C$17,[1]Feuil1!$A$2:$A$1000,Legende!$D$17,[1]Feuil1!$G$2:$G$1000,Legende!A13))</f>
        <v>94238.73</v>
      </c>
      <c r="P15" s="9">
        <f>SUM(SUMIFS([1]Feuil1!$F$2:$F$1000,[1]Feuil1!$A$2:$A$1000,Legende!$C$23,[1]Feuil1!$A$2:$A$1000,Legende!$D$23,[1]Feuil1!$G$2:$G$1000,Legende!A13))-SUM(SUMIFS([1]Feuil1!$E$2:$E$1000,[1]Feuil1!$A$2:$A$1000,Legende!$C$23,[1]Feuil1!$A$2:$A$1000,Legende!$D$23,[1]Feuil1!$G$2:$G$1000,Legende!A13))</f>
        <v>407134.19</v>
      </c>
      <c r="Q15" s="9">
        <f>SUM(SUMIFS([1]Feuil1!$F$2:$F$1000,[1]Feuil1!$A$2:$A$1000,Legende!$C$20,[1]Feuil1!$A$2:$A$1000,Legende!$D$20,[1]Feuil1!$G$2:$G$1000,Legende!A13))-SUM(SUMIFS([1]Feuil1!$E$2:$E$1000,[1]Feuil1!$A$2:$A$1000,Legende!$C$20,[1]Feuil1!$A$2:$A$1000,Legende!$D$20,[1]Feuil1!$G$2:$G$1000,Legende!A13))</f>
        <v>-8861</v>
      </c>
      <c r="R15" s="9">
        <f>SUM(SUMIFS([1]Feuil1!$F$2:$F$1000,[1]Feuil1!$A$2:$A$1000,Legende!$C$21,[1]Feuil1!$A$2:$A$1000,Legende!$D$21,[1]Feuil1!$G$2:$G$1000,Legende!A13))-SUM(SUMIFS([1]Feuil1!$E$2:$E$1000,[1]Feuil1!$A$2:$A$1000,Legende!$C$21,[1]Feuil1!$A$2:$A$1000,Legende!$D$21,[1]Feuil1!$G$2:$G$1000,Legende!A13))</f>
        <v>0</v>
      </c>
      <c r="S15" s="9">
        <f>SUM(SUMIFS([1]Feuil1!$F$2:$F$1000,[1]Feuil1!$A$2:$A$1000,Legende!$C$22,[1]Feuil1!$A$2:$A$1000,Legende!$D$22,[1]Feuil1!$G$2:$G$1000,Legende!A13))-SUM(SUMIFS([1]Feuil1!$E$2:$E$1000,[1]Feuil1!$A$2:$A$1000,Legende!$C$22,[1]Feuil1!$A$2:$A$1000,Legende!$D$22,[1]Feuil1!$G$2:$G$1000,Legende!A13))</f>
        <v>0</v>
      </c>
      <c r="T15" s="9">
        <f>SUM(SUMIFS([1]Feuil1!$F$2:$F$1000,[1]Feuil1!$A$2:$A$1000,Legende!$C$24,[1]Feuil1!$A$2:$A$1000,Legende!$D$24,[1]Feuil1!$G$2:$G$1000,Legende!A13))-SUM(SUMIFS([1]Feuil1!$E$2:$E$1000,[1]Feuil1!$A$2:$A$1000,Legende!$C$24,[1]Feuil1!$A$2:$A$1000,Legende!$D$24,[1]Feuil1!$G$2:$G$1000,Legende!A13))</f>
        <v>0</v>
      </c>
      <c r="U15" s="9">
        <f>(SUM(SUMIFS([1]Feuil1!$F$2:$F$1000,[1]Feuil1!$A$2:$A$1000,Legende!$C$25,[1]Feuil1!$A$2:$A$1000,Legende!$D$25,[1]Feuil1!$G$2:$G$1000,Legende!A13))+SUM(SUMIFS([1]Feuil1!$F$2:$F$1000,[1]Feuil1!$A$2:$A$1000,Legende!$C$26,[1]Feuil1!$A$2:$A$1000,Legende!$D$26,[1]Feuil1!$G$2:$G$1000,Legende!A13)))-(SUM(SUMIFS([1]Feuil1!$E$2:$E$1000,[1]Feuil1!$A$2:$A$1000,Legende!$C$25,[1]Feuil1!$A$2:$A$1000,Legende!$D$25,[1]Feuil1!$G$2:$G$1000,Legende!A13))+SUM(SUMIFS([1]Feuil1!$E$2:$E$1000,[1]Feuil1!$A$2:$A$1000,Legende!$C$26,[1]Feuil1!$A$2:$A$1000,Legende!$D$26,[1]Feuil1!$G$2:$G$1000,Legende!A13)))</f>
        <v>-8861</v>
      </c>
    </row>
    <row r="16" spans="1:21" ht="15.75" thickBot="1" x14ac:dyDescent="0.3">
      <c r="A16" s="7" t="str">
        <f>Legende!A14</f>
        <v>Lundi</v>
      </c>
      <c r="B16" s="9">
        <f>SUM(SUMIFS([1]Feuil1!$F$2:$F$1000,[1]Feuil1!$A$2:$A$1000,Legende!$C$2,[1]Feuil1!$A$2:$A$1000,Legende!$D$2,[1]Feuil1!$G$2:$G$1000,Legende!A14))-SUM(SUMIFS([1]Feuil1!$E$2:$E$1000,[1]Feuil1!$A$2:$A$1000,Legende!$C$2,[1]Feuil1!$A$2:$A$1000,Legende!$D$2,[1]Feuil1!$G$2:$G$1000,Legende!A14))</f>
        <v>-60347.529999999912</v>
      </c>
      <c r="C16" s="9">
        <f>SUM(SUMIFS([1]Feuil1!$F$2:$F$1000,[1]Feuil1!$A$2:$A$1000,Legende!$C$3,[1]Feuil1!$A$2:$A$1000,Legende!$D$3,[1]Feuil1!$G$2:$G$1000,Legende!A14))-SUM(SUMIFS([1]Feuil1!$E$2:$E$1000,[1]Feuil1!$A$2:$A$1000,Legende!$C$3,[1]Feuil1!$A$2:$A$1000,Legende!$D$3,[1]Feuil1!$G$2:$G$1000,Legende!A14))</f>
        <v>221729.33000000002</v>
      </c>
      <c r="D16" s="9">
        <f>(SUM(SUMIFS([1]Feuil1!$E$2:$E$1000,[1]Feuil1!$A$2:$A$1000,Legende!$C$4,[1]Feuil1!$A$2:$A$1000,Legende!$D$4,[1]Feuil1!$G$2:$G$1000,Legende!A14))+SUM(SUMIFS([1]Feuil1!$E$2:$E$1000,[1]Feuil1!$A$2:$A$1000,Legende!$C$5,[1]Feuil1!$A$2:$A$1000,Legende!$D$5,[1]Feuil1!$G$2:$G$1000,Legende!A14)))-(SUM(SUMIFS([1]Feuil1!$F$2:$F$1000,[1]Feuil1!$A$2:$A$1000,Legende!$C$4,[1]Feuil1!$A$2:$A$1000,Legende!$D$4,[1]Feuil1!$G$2:$G$1000,Legende!A14))+SUM(SUMIFS([1]Feuil1!$F$2:$F$1000,[1]Feuil1!$A$2:$A$1000,Legende!$C$5,[1]Feuil1!$A$2:$A$1000,Legende!$D$5,[1]Feuil1!$G$2:$G$1000,Legende!A14)))</f>
        <v>-34973.379999999997</v>
      </c>
      <c r="E16" s="9">
        <f>SUM(SUMIFS([1]Feuil1!$E$2:$E$1000,[1]Feuil1!$A$2:$A$1000,Legende!$C$6,[1]Feuil1!$A$2:$A$1000,Legende!$D$6,[1]Feuil1!$G$2:$G$1000,Legende!A14))-SUMPRODUCT(SUMIFS([1]Feuil1!$F$2:$F$1000,[1]Feuil1!$A$2:$A$1000,Legende!$C$6,[1]Feuil1!$A$2:$A$1000,Legende!$D$6,[1]Feuil1!$G$2:$G$1000,Legende!A14))</f>
        <v>406683.22</v>
      </c>
      <c r="F16" s="9">
        <f>SUM(SUMIFS([1]Feuil1!$F$2:$F$1000,[1]Feuil1!$A$2:$A$1000,Legende!$C$7,[1]Feuil1!$A$2:$A$1000,Legende!$D$7,[1]Feuil1!$G$2:$G$1000,Legende!A14))-SUM(SUMIFS([1]Feuil1!$E$2:$E$1000,[1]Feuil1!$A$2:$A$1000,Legende!$C$7,[1]Feuil1!$A$2:$A$1000,Legende!$D$7,[1]Feuil1!$G$2:$G$1000,Legende!A14))</f>
        <v>89632.979999999981</v>
      </c>
      <c r="G16" s="9">
        <f>(SUM(SUMIFS([1]Feuil1!$F$2:$F$1000,[1]Feuil1!$A$2:$A$1000,Legende!$C$8,[1]Feuil1!$A$2:$A$1000,Legende!$D$8,[1]Feuil1!$G$2:$G$1000,Legende!A14))+SUM(SUMIFS([1]Feuil1!$F$2:$F$1000,[1]Feuil1!$A$2:$A$1000,Legende!$C$9,[1]Feuil1!$A$2:$A$1000,Legende!$D$9,[1]Feuil1!$G$2:$G$1000,Legende!A14)))-(SUM(SUMIFS([1]Feuil1!$E$2:$E$1000,[1]Feuil1!$A$2:$A$1000,Legende!$C$8,[1]Feuil1!$A$2:$A$1000,Legende!$D$8,[1]Feuil1!$G$2:$G$1000,Legende!A14))+SUM(SUMIFS([1]Feuil1!$E$2:$E$1000,[1]Feuil1!$A$2:$A$1000,Legende!$C$9,[1]Feuil1!$A$2:$A$1000,Legende!$D$9,[1]Feuil1!$G$2:$G$1000,Legende!A14)))</f>
        <v>89623.079999999987</v>
      </c>
      <c r="H16" s="9">
        <f>SUM(SUMIFS([1]Feuil1!$F$2:$F$1000,[1]Feuil1!$A$2:$A$1000,Legende!$C$10,[1]Feuil1!$A$2:$A$1000,Legende!$D$10,[1]Feuil1!$G$2:$G$1000,Legende!A14))-SUM(SUMIFS([1]Feuil1!$E$2:$E$1000,[1]Feuil1!$A$2:$A$1000,Legende!$C$10,[1]Feuil1!$A$2:$A$1000,Legende!$D$10,[1]Feuil1!$G$2:$G$1000,Legende!A14))</f>
        <v>9.9</v>
      </c>
      <c r="I16" s="9">
        <f>(SUM(SUMIFS([1]Feuil1!$F$2:$F$1000,[1]Feuil1!$A$2:$A$1000,Legende!$C$11,[1]Feuil1!$A$2:$A$1000,Legende!$D$11,[1]Feuil1!$G$2:$G$1000,Legende!A14))+SUM(SUMIFS([1]Feuil1!$F$2:$F$1000,[1]Feuil1!$A$2:$A$1000,Legende!$C$13,[1]Feuil1!$A$2:$A$1000,Legende!$D$13,[1]Feuil1!$G$2:$G$1000,Legende!A14)))-(SUM(SUMIFS([1]Feuil1!$E$2:$E$1000,[1]Feuil1!$A$2:$A$1000,Legende!$C$11,[1]Feuil1!$A$2:$A$1000,Legende!$D$11,[1]Feuil1!$G$2:$G$1000,Legende!A14))+SUM(SUMIFS([1]Feuil1!$E$2:$E$1000,[1]Feuil1!$A$2:$A$1000,Legende!$C$13,[1]Feuil1!$A$2:$A$1000,Legende!$D$13,[1]Feuil1!$G$2:$G$1000,Legende!A14)))</f>
        <v>0</v>
      </c>
      <c r="J16" s="9">
        <f>SUM(SUMIFS([1]Feuil1!$E$2:$E$1000,[1]Feuil1!$A$2:$A$1000,Legende!$C$12,[1]Feuil1!$A$2:$A$1000,Legende!$D$12,[1]Feuil1!$G$2:$G$1000,Legende!A14))-SUM(SUMIFS([1]Feuil1!$F$2:$F$1000,[1]Feuil1!$A$2:$A$1000,Legende!$C$12,[1]Feuil1!$A$2:$A$1000,Legende!$D$12,[1]Feuil1!$G$2:$G$1000,Legende!A14))</f>
        <v>1438.87</v>
      </c>
      <c r="K16" s="9">
        <f>SUM(SUMIFS([1]Feuil1!$F$2:$F$1000,[1]Feuil1!$A$2:$A$1000,Legende!$C$18,[1]Feuil1!$A$2:$A$1000,Legende!$D$18,[1]Feuil1!$G$2:$G$1000,Legende!A14))-SUM(SUMIFS([1]Feuil1!$E$2:$E$1000,[1]Feuil1!$A$2:$A$1000,Legende!$C$18,[1]Feuil1!$A$2:$A$1000,Legende!$D$18,[1]Feuil1!$G$2:$G$1000,Legende!A14))</f>
        <v>1524.5</v>
      </c>
      <c r="L16" s="9">
        <f>SUM(SUMIFS([1]Feuil1!$F$2:$F$1000,[1]Feuil1!$A$2:$A$1000,Legende!$C$14,[1]Feuil1!$A$2:$A$1000,Legende!$D$14,[1]Feuil1!$G$2:$G$1000,Legende!A14))-SUM(SUMIFS([1]Feuil1!$E$2:$E$1000,[1]Feuil1!$A$2:$A$1000,Legende!$C$14,[1]Feuil1!$A$2:$A$1000,Legende!$D$14,[1]Feuil1!$G$2:$G$1000,Legende!A14))</f>
        <v>0</v>
      </c>
      <c r="M16" s="9">
        <f>SUM(SUMIFS([1]Feuil1!$E$2:$E$1000,[1]Feuil1!$A$2:$A$1000,Legende!$C$15,[1]Feuil1!$A$2:$A$1000,Legende!$D$15,[1]Feuil1!$G$2:$G$1000,Legende!A14))-SUM(SUMIFS([1]Feuil1!$F$2:$F$1000,[1]Feuil1!$A$2:$A$1000,Legende!$C$15,[1]Feuil1!$A$2:$A$1000,Legende!$D$15,[1]Feuil1!$G$2:$G$1000,Legende!A14))</f>
        <v>0</v>
      </c>
      <c r="N16" s="9">
        <f>(SUM(SUMIFS([1]Feuil1!$F$2:$F$1000,[1]Feuil1!$A$2:$A$1000,Legende!$C$16,[1]Feuil1!$A$2:$A$1000,Legende!$D$16,[1]Feuil1!$G$2:$G$1000,Legende!A14))+SUM(SUMIFS([1]Feuil1!$F$2:$F$1000,[1]Feuil1!$A$2:$A$1000,Legende!$C$19,[1]Feuil1!$A$2:$A$1000,Legende!$D$19,[1]Feuil1!$G$2:$G$1000,Legende!A14)))-(SUM(SUMIFS([1]Feuil1!$E$2:$E$1000,[1]Feuil1!$A$2:$A$1000,Legende!$C$16,[1]Feuil1!$A$2:$A$1000,Legende!$D$16,[1]Feuil1!$G$2:$G$1000,Legende!A14))+SUM(SUMIFS([1]Feuil1!$E$2:$E$1000,[1]Feuil1!$A$2:$A$1000,Legende!$C$19,[1]Feuil1!$A$2:$A$1000,Legende!$D$19,[1]Feuil1!$G$2:$G$1000,Legende!A14)))</f>
        <v>-43765.5</v>
      </c>
      <c r="O16" s="9">
        <f>SUM(SUMIFS([1]Feuil1!$F$2:$F$1000,[1]Feuil1!$A$2:$A$1000,Legende!$C$17,[1]Feuil1!$A$2:$A$1000,Legende!$D$17,[1]Feuil1!$G$2:$G$1000,Legende!A14))-SUM(SUMIFS([1]Feuil1!$E$2:$E$1000,[1]Feuil1!$A$2:$A$1000,Legende!$C$17,[1]Feuil1!$A$2:$A$1000,Legende!$D$17,[1]Feuil1!$G$2:$G$1000,Legende!A14))</f>
        <v>91504.4</v>
      </c>
      <c r="P16" s="9">
        <f>SUM(SUMIFS([1]Feuil1!$F$2:$F$1000,[1]Feuil1!$A$2:$A$1000,Legende!$C$23,[1]Feuil1!$A$2:$A$1000,Legende!$D$23,[1]Feuil1!$G$2:$G$1000,Legende!A14))-SUM(SUMIFS([1]Feuil1!$E$2:$E$1000,[1]Feuil1!$A$2:$A$1000,Legende!$C$23,[1]Feuil1!$A$2:$A$1000,Legende!$D$23,[1]Feuil1!$G$2:$G$1000,Legende!A14))</f>
        <v>8598.49</v>
      </c>
      <c r="Q16" s="9">
        <f>SUM(SUMIFS([1]Feuil1!$F$2:$F$1000,[1]Feuil1!$A$2:$A$1000,Legende!$C$20,[1]Feuil1!$A$2:$A$1000,Legende!$D$20,[1]Feuil1!$G$2:$G$1000,Legende!A14))-SUM(SUMIFS([1]Feuil1!$E$2:$E$1000,[1]Feuil1!$A$2:$A$1000,Legende!$C$20,[1]Feuil1!$A$2:$A$1000,Legende!$D$20,[1]Feuil1!$G$2:$G$1000,Legende!A14))</f>
        <v>0</v>
      </c>
      <c r="R16" s="9">
        <f>SUM(SUMIFS([1]Feuil1!$F$2:$F$1000,[1]Feuil1!$A$2:$A$1000,Legende!$C$21,[1]Feuil1!$A$2:$A$1000,Legende!$D$21,[1]Feuil1!$G$2:$G$1000,Legende!A14))-SUM(SUMIFS([1]Feuil1!$E$2:$E$1000,[1]Feuil1!$A$2:$A$1000,Legende!$C$21,[1]Feuil1!$A$2:$A$1000,Legende!$D$21,[1]Feuil1!$G$2:$G$1000,Legende!A14))</f>
        <v>0</v>
      </c>
      <c r="S16" s="9">
        <f>SUM(SUMIFS([1]Feuil1!$F$2:$F$1000,[1]Feuil1!$A$2:$A$1000,Legende!$C$22,[1]Feuil1!$A$2:$A$1000,Legende!$D$22,[1]Feuil1!$G$2:$G$1000,Legende!A14))-SUM(SUMIFS([1]Feuil1!$E$2:$E$1000,[1]Feuil1!$A$2:$A$1000,Legende!$C$22,[1]Feuil1!$A$2:$A$1000,Legende!$D$22,[1]Feuil1!$G$2:$G$1000,Legende!A14))</f>
        <v>0</v>
      </c>
      <c r="T16" s="9">
        <f>SUM(SUMIFS([1]Feuil1!$F$2:$F$1000,[1]Feuil1!$A$2:$A$1000,Legende!$C$24,[1]Feuil1!$A$2:$A$1000,Legende!$D$24,[1]Feuil1!$G$2:$G$1000,Legende!A14))-SUM(SUMIFS([1]Feuil1!$E$2:$E$1000,[1]Feuil1!$A$2:$A$1000,Legende!$C$24,[1]Feuil1!$A$2:$A$1000,Legende!$D$24,[1]Feuil1!$G$2:$G$1000,Legende!A14))</f>
        <v>0</v>
      </c>
      <c r="U16" s="9">
        <f>(SUM(SUMIFS([1]Feuil1!$F$2:$F$1000,[1]Feuil1!$A$2:$A$1000,Legende!$C$25,[1]Feuil1!$A$2:$A$1000,Legende!$D$25,[1]Feuil1!$G$2:$G$1000,Legende!A14))+SUM(SUMIFS([1]Feuil1!$F$2:$F$1000,[1]Feuil1!$A$2:$A$1000,Legende!$C$26,[1]Feuil1!$A$2:$A$1000,Legende!$D$26,[1]Feuil1!$G$2:$G$1000,Legende!A14)))-(SUM(SUMIFS([1]Feuil1!$E$2:$E$1000,[1]Feuil1!$A$2:$A$1000,Legende!$C$25,[1]Feuil1!$A$2:$A$1000,Legende!$D$25,[1]Feuil1!$G$2:$G$1000,Legende!A14))+SUM(SUMIFS([1]Feuil1!$E$2:$E$1000,[1]Feuil1!$A$2:$A$1000,Legende!$C$26,[1]Feuil1!$A$2:$A$1000,Legende!$D$26,[1]Feuil1!$G$2:$G$1000,Legende!A14)))</f>
        <v>0</v>
      </c>
    </row>
    <row r="17" spans="1:21" ht="15.75" thickBot="1" x14ac:dyDescent="0.3">
      <c r="A17" s="7" t="str">
        <f>Legende!A15</f>
        <v>Mardi</v>
      </c>
      <c r="B17" s="9">
        <f>SUM(SUMIFS([1]Feuil1!$F$2:$F$1000,[1]Feuil1!$A$2:$A$1000,Legende!$C$2,[1]Feuil1!$A$2:$A$1000,Legende!$D$2,[1]Feuil1!$G$2:$G$1000,Legende!A15))-SUM(SUMIFS([1]Feuil1!$E$2:$E$1000,[1]Feuil1!$A$2:$A$1000,Legende!$C$2,[1]Feuil1!$A$2:$A$1000,Legende!$D$2,[1]Feuil1!$G$2:$G$1000,Legende!A15))</f>
        <v>-249098.57000002265</v>
      </c>
      <c r="C17" s="9">
        <f>SUM(SUMIFS([1]Feuil1!$F$2:$F$1000,[1]Feuil1!$A$2:$A$1000,Legende!$C$3,[1]Feuil1!$A$2:$A$1000,Legende!$D$3,[1]Feuil1!$G$2:$G$1000,Legende!A15))-SUM(SUMIFS([1]Feuil1!$E$2:$E$1000,[1]Feuil1!$A$2:$A$1000,Legende!$C$3,[1]Feuil1!$A$2:$A$1000,Legende!$D$3,[1]Feuil1!$G$2:$G$1000,Legende!A15))</f>
        <v>-14319697.540000014</v>
      </c>
      <c r="D17" s="9">
        <f>(SUM(SUMIFS([1]Feuil1!$E$2:$E$1000,[1]Feuil1!$A$2:$A$1000,Legende!$C$4,[1]Feuil1!$A$2:$A$1000,Legende!$D$4,[1]Feuil1!$G$2:$G$1000,Legende!A15))+SUM(SUMIFS([1]Feuil1!$E$2:$E$1000,[1]Feuil1!$A$2:$A$1000,Legende!$C$5,[1]Feuil1!$A$2:$A$1000,Legende!$D$5,[1]Feuil1!$G$2:$G$1000,Legende!A15)))-(SUM(SUMIFS([1]Feuil1!$F$2:$F$1000,[1]Feuil1!$A$2:$A$1000,Legende!$C$4,[1]Feuil1!$A$2:$A$1000,Legende!$D$4,[1]Feuil1!$G$2:$G$1000,Legende!A15))+SUM(SUMIFS([1]Feuil1!$F$2:$F$1000,[1]Feuil1!$A$2:$A$1000,Legende!$C$5,[1]Feuil1!$A$2:$A$1000,Legende!$D$5,[1]Feuil1!$G$2:$G$1000,Legende!A15)))</f>
        <v>-673955.8899999999</v>
      </c>
      <c r="E17" s="9">
        <f>SUM(SUMIFS([1]Feuil1!$E$2:$E$1000,[1]Feuil1!$A$2:$A$1000,Legende!$C$6,[1]Feuil1!$A$2:$A$1000,Legende!$D$6,[1]Feuil1!$G$2:$G$1000,Legende!A15))-SUMPRODUCT(SUMIFS([1]Feuil1!$F$2:$F$1000,[1]Feuil1!$A$2:$A$1000,Legende!$C$6,[1]Feuil1!$A$2:$A$1000,Legende!$D$6,[1]Feuil1!$G$2:$G$1000,Legende!A15))</f>
        <v>-12927464.029999999</v>
      </c>
      <c r="F17" s="9">
        <f>SUM(SUMIFS([1]Feuil1!$F$2:$F$1000,[1]Feuil1!$A$2:$A$1000,Legende!$C$7,[1]Feuil1!$A$2:$A$1000,Legende!$D$7,[1]Feuil1!$G$2:$G$1000,Legende!A15))-SUM(SUMIFS([1]Feuil1!$E$2:$E$1000,[1]Feuil1!$A$2:$A$1000,Legende!$C$7,[1]Feuil1!$A$2:$A$1000,Legende!$D$7,[1]Feuil1!$G$2:$G$1000,Legende!A15))</f>
        <v>469148.9</v>
      </c>
      <c r="G17" s="9">
        <f>(SUM(SUMIFS([1]Feuil1!$F$2:$F$1000,[1]Feuil1!$A$2:$A$1000,Legende!$C$8,[1]Feuil1!$A$2:$A$1000,Legende!$D$8,[1]Feuil1!$G$2:$G$1000,Legende!A15))+SUM(SUMIFS([1]Feuil1!$F$2:$F$1000,[1]Feuil1!$A$2:$A$1000,Legende!$C$9,[1]Feuil1!$A$2:$A$1000,Legende!$D$9,[1]Feuil1!$G$2:$G$1000,Legende!A15)))-(SUM(SUMIFS([1]Feuil1!$E$2:$E$1000,[1]Feuil1!$A$2:$A$1000,Legende!$C$8,[1]Feuil1!$A$2:$A$1000,Legende!$D$8,[1]Feuil1!$G$2:$G$1000,Legende!A15))+SUM(SUMIFS([1]Feuil1!$E$2:$E$1000,[1]Feuil1!$A$2:$A$1000,Legende!$C$9,[1]Feuil1!$A$2:$A$1000,Legende!$D$9,[1]Feuil1!$G$2:$G$1000,Legende!A15)))</f>
        <v>500279.63</v>
      </c>
      <c r="H17" s="9">
        <f>SUM(SUMIFS([1]Feuil1!$F$2:$F$1000,[1]Feuil1!$A$2:$A$1000,Legende!$C$10,[1]Feuil1!$A$2:$A$1000,Legende!$D$10,[1]Feuil1!$G$2:$G$1000,Legende!A15))-SUM(SUMIFS([1]Feuil1!$E$2:$E$1000,[1]Feuil1!$A$2:$A$1000,Legende!$C$10,[1]Feuil1!$A$2:$A$1000,Legende!$D$10,[1]Feuil1!$G$2:$G$1000,Legende!A15))</f>
        <v>0</v>
      </c>
      <c r="I17" s="9">
        <f>(SUM(SUMIFS([1]Feuil1!$F$2:$F$1000,[1]Feuil1!$A$2:$A$1000,Legende!$C$11,[1]Feuil1!$A$2:$A$1000,Legende!$D$11,[1]Feuil1!$G$2:$G$1000,Legende!A15))+SUM(SUMIFS([1]Feuil1!$F$2:$F$1000,[1]Feuil1!$A$2:$A$1000,Legende!$C$13,[1]Feuil1!$A$2:$A$1000,Legende!$D$13,[1]Feuil1!$G$2:$G$1000,Legende!A15)))-(SUM(SUMIFS([1]Feuil1!$E$2:$E$1000,[1]Feuil1!$A$2:$A$1000,Legende!$C$11,[1]Feuil1!$A$2:$A$1000,Legende!$D$11,[1]Feuil1!$G$2:$G$1000,Legende!A15))+SUM(SUMIFS([1]Feuil1!$E$2:$E$1000,[1]Feuil1!$A$2:$A$1000,Legende!$C$13,[1]Feuil1!$A$2:$A$1000,Legende!$D$13,[1]Feuil1!$G$2:$G$1000,Legende!A15)))</f>
        <v>-31130.73</v>
      </c>
      <c r="J17" s="9">
        <f>SUM(SUMIFS([1]Feuil1!$E$2:$E$1000,[1]Feuil1!$A$2:$A$1000,Legende!$C$12,[1]Feuil1!$A$2:$A$1000,Legende!$D$12,[1]Feuil1!$G$2:$G$1000,Legende!A15))-SUM(SUMIFS([1]Feuil1!$F$2:$F$1000,[1]Feuil1!$A$2:$A$1000,Legende!$C$12,[1]Feuil1!$A$2:$A$1000,Legende!$D$12,[1]Feuil1!$G$2:$G$1000,Legende!A15))</f>
        <v>590843.17000000004</v>
      </c>
      <c r="K17" s="9">
        <f>SUM(SUMIFS([1]Feuil1!$F$2:$F$1000,[1]Feuil1!$A$2:$A$1000,Legende!$C$18,[1]Feuil1!$A$2:$A$1000,Legende!$D$18,[1]Feuil1!$G$2:$G$1000,Legende!A15))-SUM(SUMIFS([1]Feuil1!$E$2:$E$1000,[1]Feuil1!$A$2:$A$1000,Legende!$C$18,[1]Feuil1!$A$2:$A$1000,Legende!$D$18,[1]Feuil1!$G$2:$G$1000,Legende!A15))</f>
        <v>26037011</v>
      </c>
      <c r="L17" s="9">
        <f>SUM(SUMIFS([1]Feuil1!$F$2:$F$1000,[1]Feuil1!$A$2:$A$1000,Legende!$C$14,[1]Feuil1!$A$2:$A$1000,Legende!$D$14,[1]Feuil1!$G$2:$G$1000,Legende!A15))-SUM(SUMIFS([1]Feuil1!$E$2:$E$1000,[1]Feuil1!$A$2:$A$1000,Legende!$C$14,[1]Feuil1!$A$2:$A$1000,Legende!$D$14,[1]Feuil1!$G$2:$G$1000,Legende!A15))</f>
        <v>-7757945.6699999999</v>
      </c>
      <c r="M17" s="9">
        <f>SUM(SUMIFS([1]Feuil1!$E$2:$E$1000,[1]Feuil1!$A$2:$A$1000,Legende!$C$15,[1]Feuil1!$A$2:$A$1000,Legende!$D$15,[1]Feuil1!$G$2:$G$1000,Legende!A15))-SUM(SUMIFS([1]Feuil1!$F$2:$F$1000,[1]Feuil1!$A$2:$A$1000,Legende!$C$15,[1]Feuil1!$A$2:$A$1000,Legende!$D$15,[1]Feuil1!$G$2:$G$1000,Legende!A15))</f>
        <v>0</v>
      </c>
      <c r="N17" s="9">
        <f>(SUM(SUMIFS([1]Feuil1!$F$2:$F$1000,[1]Feuil1!$A$2:$A$1000,Legende!$C$16,[1]Feuil1!$A$2:$A$1000,Legende!$D$16,[1]Feuil1!$G$2:$G$1000,Legende!A15))+SUM(SUMIFS([1]Feuil1!$F$2:$F$1000,[1]Feuil1!$A$2:$A$1000,Legende!$C$19,[1]Feuil1!$A$2:$A$1000,Legende!$D$19,[1]Feuil1!$G$2:$G$1000,Legende!A15)))-(SUM(SUMIFS([1]Feuil1!$E$2:$E$1000,[1]Feuil1!$A$2:$A$1000,Legende!$C$16,[1]Feuil1!$A$2:$A$1000,Legende!$D$16,[1]Feuil1!$G$2:$G$1000,Legende!A15))+SUM(SUMIFS([1]Feuil1!$E$2:$E$1000,[1]Feuil1!$A$2:$A$1000,Legende!$C$19,[1]Feuil1!$A$2:$A$1000,Legende!$D$19,[1]Feuil1!$G$2:$G$1000,Legende!A15)))</f>
        <v>-27313681.290000003</v>
      </c>
      <c r="O17" s="9">
        <f>SUM(SUMIFS([1]Feuil1!$F$2:$F$1000,[1]Feuil1!$A$2:$A$1000,Legende!$C$17,[1]Feuil1!$A$2:$A$1000,Legende!$D$17,[1]Feuil1!$G$2:$G$1000,Legende!A15))-SUM(SUMIFS([1]Feuil1!$E$2:$E$1000,[1]Feuil1!$A$2:$A$1000,Legende!$C$17,[1]Feuil1!$A$2:$A$1000,Legende!$D$17,[1]Feuil1!$G$2:$G$1000,Legende!A15))</f>
        <v>1363924.47</v>
      </c>
      <c r="P17" s="9">
        <f>SUM(SUMIFS([1]Feuil1!$F$2:$F$1000,[1]Feuil1!$A$2:$A$1000,Legende!$C$23,[1]Feuil1!$A$2:$A$1000,Legende!$D$23,[1]Feuil1!$G$2:$G$1000,Legende!A15))-SUM(SUMIFS([1]Feuil1!$E$2:$E$1000,[1]Feuil1!$A$2:$A$1000,Legende!$C$23,[1]Feuil1!$A$2:$A$1000,Legende!$D$23,[1]Feuil1!$G$2:$G$1000,Legende!A15))</f>
        <v>6758719.8100000005</v>
      </c>
      <c r="Q17" s="9">
        <f>SUM(SUMIFS([1]Feuil1!$F$2:$F$1000,[1]Feuil1!$A$2:$A$1000,Legende!$C$20,[1]Feuil1!$A$2:$A$1000,Legende!$D$20,[1]Feuil1!$G$2:$G$1000,Legende!A15))-SUM(SUMIFS([1]Feuil1!$E$2:$E$1000,[1]Feuil1!$A$2:$A$1000,Legende!$C$20,[1]Feuil1!$A$2:$A$1000,Legende!$D$20,[1]Feuil1!$G$2:$G$1000,Legende!A15))</f>
        <v>0</v>
      </c>
      <c r="R17" s="9">
        <f>SUM(SUMIFS([1]Feuil1!$F$2:$F$1000,[1]Feuil1!$A$2:$A$1000,Legende!$C$21,[1]Feuil1!$A$2:$A$1000,Legende!$D$21,[1]Feuil1!$G$2:$G$1000,Legende!A15))-SUM(SUMIFS([1]Feuil1!$E$2:$E$1000,[1]Feuil1!$A$2:$A$1000,Legende!$C$21,[1]Feuil1!$A$2:$A$1000,Legende!$D$21,[1]Feuil1!$G$2:$G$1000,Legende!A15))</f>
        <v>0</v>
      </c>
      <c r="S17" s="9">
        <f>SUM(SUMIFS([1]Feuil1!$F$2:$F$1000,[1]Feuil1!$A$2:$A$1000,Legende!$C$22,[1]Feuil1!$A$2:$A$1000,Legende!$D$22,[1]Feuil1!$G$2:$G$1000,Legende!A15))-SUM(SUMIFS([1]Feuil1!$E$2:$E$1000,[1]Feuil1!$A$2:$A$1000,Legende!$C$22,[1]Feuil1!$A$2:$A$1000,Legende!$D$22,[1]Feuil1!$G$2:$G$1000,Legende!A15))</f>
        <v>0</v>
      </c>
      <c r="T17" s="9">
        <f>SUM(SUMIFS([1]Feuil1!$F$2:$F$1000,[1]Feuil1!$A$2:$A$1000,Legende!$C$24,[1]Feuil1!$A$2:$A$1000,Legende!$D$24,[1]Feuil1!$G$2:$G$1000,Legende!A15))-SUM(SUMIFS([1]Feuil1!$E$2:$E$1000,[1]Feuil1!$A$2:$A$1000,Legende!$C$24,[1]Feuil1!$A$2:$A$1000,Legende!$D$24,[1]Feuil1!$G$2:$G$1000,Legende!A15))</f>
        <v>-4531309.1500000004</v>
      </c>
      <c r="U17" s="9">
        <f>(SUM(SUMIFS([1]Feuil1!$F$2:$F$1000,[1]Feuil1!$A$2:$A$1000,Legende!$C$25,[1]Feuil1!$A$2:$A$1000,Legende!$D$25,[1]Feuil1!$G$2:$G$1000,Legende!A15))+SUM(SUMIFS([1]Feuil1!$F$2:$F$1000,[1]Feuil1!$A$2:$A$1000,Legende!$C$26,[1]Feuil1!$A$2:$A$1000,Legende!$D$26,[1]Feuil1!$G$2:$G$1000,Legende!A15)))-(SUM(SUMIFS([1]Feuil1!$E$2:$E$1000,[1]Feuil1!$A$2:$A$1000,Legende!$C$25,[1]Feuil1!$A$2:$A$1000,Legende!$D$25,[1]Feuil1!$G$2:$G$1000,Legende!A15))+SUM(SUMIFS([1]Feuil1!$E$2:$E$1000,[1]Feuil1!$A$2:$A$1000,Legende!$C$26,[1]Feuil1!$A$2:$A$1000,Legende!$D$26,[1]Feuil1!$G$2:$G$1000,Legende!A15)))</f>
        <v>0</v>
      </c>
    </row>
    <row r="18" spans="1:21" ht="15.75" thickBot="1" x14ac:dyDescent="0.3">
      <c r="A18" s="7" t="str">
        <f>Legende!J2</f>
        <v>Totaux</v>
      </c>
      <c r="B18" s="9" cm="1">
        <f t="array" ref="B18">SUM(SUMIFS([1]Feuil1!$F$2:$F$1000,[1]Feuil1!$A$2:$A$1000,Legende!$C$2,[1]Feuil1!$A$2:$A$1000,Legende!$D$2,[1]Feuil1!$G$2:$G$1000,Legende!$A$2:$A$15))-SUM(SUMIFS([1]Feuil1!$E$2:$E$1000,[1]Feuil1!$A$2:$A$1000,Legende!$C$2,[1]Feuil1!$A$2:$A$1000,Legende!$D$2,[1]Feuil1!$G$2:$G$1000,Legende!$A$2:$A$15))</f>
        <v>-2733088.5600000173</v>
      </c>
      <c r="C18" s="9" cm="1">
        <f t="array" ref="C18">SUM(SUMIFS([1]Feuil1!$F$2:$F$1000,[1]Feuil1!$A$2:$A$1000,Legende!$C$3,[1]Feuil1!$A$2:$A$1000,Legende!$D$3,[1]Feuil1!$G$2:$G$1000,Legende!$A$2:$A$15))-SUM(SUMIFS([1]Feuil1!$E$2:$E$1000,[1]Feuil1!$A$2:$A$1000,Legende!$C$3,[1]Feuil1!$A$2:$A$1000,Legende!$D$3,[1]Feuil1!$G$2:$G$1000,Legende!$A$2:$A$15))</f>
        <v>-18647083.770000011</v>
      </c>
      <c r="D18" s="9" cm="1">
        <f t="array" ref="D18">(SUM(SUMIFS([1]Feuil1!$E$2:$E$1000,[1]Feuil1!$A$2:$A$1000,Legende!$C$4,[1]Feuil1!$A$2:$A$1000,Legende!$D$4,[1]Feuil1!$G$2:$G$1000,Legende!$A$2:$A$15))+SUM(SUMIFS([1]Feuil1!$E$2:$E$1000,[1]Feuil1!$A$2:$A$1000,Legende!$C$5,[1]Feuil1!$A$2:$A$1000,Legende!$D$5,[1]Feuil1!$G$2:$G$1000,Legende!$A$2:$A$15)))-(SUM(SUMIFS([1]Feuil1!$F$2:$F$1000,[1]Feuil1!$A$2:$A$1000,Legende!$C$4,[1]Feuil1!$A$2:$A$1000,Legende!$D$4,[1]Feuil1!$G$2:$G$1000,Legende!$A$2:$A$15))+SUM(SUMIFS([1]Feuil1!$F$2:$F$1000,[1]Feuil1!$A$2:$A$1000,Legende!$C$5,[1]Feuil1!$A$2:$A$1000,Legende!$D$5,[1]Feuil1!$G$2:$G$1000,Legende!$A$2:$A$15)))</f>
        <v>-1071801.6399999999</v>
      </c>
      <c r="E18" s="9">
        <f t="array" ref="E18">SUMPRODUCT(SUMIFS([1]Feuil1!$E$2:$E$1000,[1]Feuil1!$A$2:$A$1000,Legende!$C$6,[1]Feuil1!$A$2:$A$1000,Legende!$D$6,[1]Feuil1!$G$2:$G$1000,Legende!$A$2:$A$15))-SUMPRODUCT(SUMIFS([1]Feuil1!$F$2:$F$1000,[1]Feuil1!$A$2:$A$1000,Legende!$C$6,[1]Feuil1!$A$2:$A$1000,Legende!$D$6,[1]Feuil1!$G$2:$G$1000,Legende!$A$2:$A$15))</f>
        <v>-13914964.239999998</v>
      </c>
      <c r="F18" s="9" cm="1">
        <f t="array" ref="F18">SUM(SUMIFS([1]Feuil1!$F$2:$F$1000,[1]Feuil1!$A$2:$A$1000,Legende!$C$7,[1]Feuil1!$A$2:$A$1000,Legende!$D$7,[1]Feuil1!$G$2:$G$1000,Legende!$A$2:$A$15))-SUM(SUMIFS([1]Feuil1!$E$2:$E$1000,[1]Feuil1!$A$2:$A$1000,Legende!$C$7,[1]Feuil1!$A$2:$A$1000,Legende!$D$7,[1]Feuil1!$G$2:$G$1000,Legende!$A$2:$A$15))</f>
        <v>1579327.21</v>
      </c>
      <c r="G18" s="9" cm="1">
        <f t="array" ref="G18">(SUM(SUMIFS([1]Feuil1!$F$2:$F$1000,[1]Feuil1!$A$2:$A$1000,Legende!$C$8,[1]Feuil1!$A$2:$A$1000,Legende!$D$8,[1]Feuil1!$G$2:$G$1000,Legende!$A$2:$A$15))+SUM(SUMIFS([1]Feuil1!$F$2:$F$1000,[1]Feuil1!$A$2:$A$1000,Legende!$C$9,[1]Feuil1!$A$2:$A$1000,Legende!$D$9,[1]Feuil1!$G$2:$G$1000,Legende!$A$2:$A$15)))-(SUM(SUMIFS([1]Feuil1!$E$2:$E$1000,[1]Feuil1!$A$2:$A$1000,Legende!$C$8,[1]Feuil1!$A$2:$A$1000,Legende!$D$8,[1]Feuil1!$G$2:$G$1000,Legende!$A$2:$A$15))+SUM(SUMIFS([1]Feuil1!$E$2:$E$1000,[1]Feuil1!$A$2:$A$1000,Legende!$C$9,[1]Feuil1!$A$2:$A$1000,Legende!$D$9,[1]Feuil1!$G$2:$G$1000,Legende!$A$2:$A$15)))</f>
        <v>1624294.21</v>
      </c>
      <c r="H18" s="9" cm="1">
        <f t="array" ref="H18">SUM(SUMIFS([1]Feuil1!$F$2:$F$1000,[1]Feuil1!$A$2:$A$1000,Legende!$C$10,[1]Feuil1!$A$2:$A$1000,Legende!$D$10,[1]Feuil1!$G$2:$G$1000,Legende!$A$2:$A$15))-SUM(SUMIFS([1]Feuil1!$E$2:$E$1000,[1]Feuil1!$A$2:$A$1000,Legende!$C$10,[1]Feuil1!$A$2:$A$1000,Legende!$D$10,[1]Feuil1!$G$2:$G$1000,Legende!$A$2:$A$15))</f>
        <v>113.66</v>
      </c>
      <c r="I18" s="9" cm="1">
        <f t="array" ref="I18">(SUM(SUMIFS([1]Feuil1!$F$2:$F$1000,[1]Feuil1!$A$2:$A$1000,Legende!$C$11,[1]Feuil1!$A$2:$A$1000,Legende!$D$11,[1]Feuil1!$G$2:$G$1000,Legende!$A$2:$A$15))+SUM(SUMIFS([1]Feuil1!$F$2:$F$1000,[1]Feuil1!$A$2:$A$1000,Legende!$C$13,[1]Feuil1!$A$2:$A$1000,Legende!$D$13,[1]Feuil1!$G$2:$G$1000,Legende!$A$2:$A$15)))-(SUM(SUMIFS([1]Feuil1!$E$2:$E$1000,[1]Feuil1!$A$2:$A$1000,Legende!$C$11,[1]Feuil1!$A$2:$A$1000,Legende!$D$11,[1]Feuil1!$G$2:$G$1000,Legende!$A$2:$A$15))+SUM(SUMIFS([1]Feuil1!$E$2:$E$1000,[1]Feuil1!$A$2:$A$1000,Legende!$C$13,[1]Feuil1!$A$2:$A$1000,Legende!$D$13,[1]Feuil1!$G$2:$G$1000,Legende!$A$2:$A$15)))</f>
        <v>-45080.66</v>
      </c>
      <c r="J18" s="9" cm="1">
        <f t="array" ref="J18">SUM(SUMIFS([1]Feuil1!$E$2:$E$1000,[1]Feuil1!$A$2:$A$1000,Legende!$C$12,[1]Feuil1!$A$2:$A$1000,Legende!$D$12,[1]Feuil1!$G$2:$G$1000,Legende!$A$2:$A$15))-SUM(SUMIFS([1]Feuil1!$F$2:$F$1000,[1]Feuil1!$A$2:$A$1000,Legende!$C$12,[1]Feuil1!$A$2:$A$1000,Legende!$D$12,[1]Feuil1!$G$2:$G$1000,Legende!$A$2:$A$15))</f>
        <v>908552.65999999992</v>
      </c>
      <c r="K18" s="9" cm="1">
        <f t="array" ref="K18">SUM(SUMIFS([1]Feuil1!$F$2:$F$1000,[1]Feuil1!$A$2:$A$1000,Legende!$C$18,[1]Feuil1!$A$2:$A$1000,Legende!$D$18,[1]Feuil1!$G$2:$G$1000,Legende!$A$2:$A$15))-SUM(SUMIFS([1]Feuil1!$E$2:$E$1000,[1]Feuil1!$A$2:$A$1000,Legende!$C$18,[1]Feuil1!$A$2:$A$1000,Legende!$D$18,[1]Feuil1!$G$2:$G$1000,Legende!$A$2:$A$15))</f>
        <v>27096918.59</v>
      </c>
      <c r="L18" s="9" cm="1">
        <f t="array" ref="L18">SUM(SUMIFS([1]Feuil1!$F$2:$F$1000,[1]Feuil1!$A$2:$A$1000,Legende!$C$14,[1]Feuil1!$A$2:$A$1000,Legende!$D$14,[1]Feuil1!$G$2:$G$1000,Legende!$A$2:$A$15))-SUM(SUMIFS([1]Feuil1!$E$2:$E$1000,[1]Feuil1!$A$2:$A$1000,Legende!$C$14,[1]Feuil1!$A$2:$A$1000,Legende!$D$14,[1]Feuil1!$G$2:$G$1000,Legende!$A$2:$A$15))</f>
        <v>-12128290.75</v>
      </c>
      <c r="M18" s="9" cm="1">
        <f t="array" ref="M18">SUM(SUMIFS([1]Feuil1!$E$2:$E$1000,[1]Feuil1!$A$2:$A$1000,Legende!$C$15,[1]Feuil1!$A$2:$A$1000,Legende!$D$15,[1]Feuil1!$G$2:$G$1000,Legende!$A$2:$A$15))-SUM(SUMIFS([1]Feuil1!$F$2:$F$1000,[1]Feuil1!$A$2:$A$1000,Legende!$C$15,[1]Feuil1!$A$2:$A$1000,Legende!$D$15,[1]Feuil1!$G$2:$G$1000,Legende!$A$2:$A$15))</f>
        <v>430250.70999999996</v>
      </c>
      <c r="N18" s="9" cm="1">
        <f t="array" ref="N18">(SUM(SUMIFS([1]Feuil1!$F$2:$F$1000,[1]Feuil1!$A$2:$A$1000,Legende!$C$16,[1]Feuil1!$A$2:$A$1000,Legende!$D$16,[1]Feuil1!$G$2:$G$1000,Legende!$A$2:$A$15))+SUM(SUMIFS([1]Feuil1!$F$2:$F$1000,[1]Feuil1!$A$2:$A$1000,Legende!$C$19,[1]Feuil1!$A$2:$A$1000,Legende!$D$19,[1]Feuil1!$G$2:$G$1000,Legende!$A$2:$A$15)))-(SUM(SUMIFS([1]Feuil1!$E$2:$E$1000,[1]Feuil1!$A$2:$A$1000,Legende!$C$16,[1]Feuil1!$A$2:$A$1000,Legende!$D$16,[1]Feuil1!$G$2:$G$1000,Legende!$A$2:$A$15))+SUM(SUMIFS([1]Feuil1!$E$2:$E$1000,[1]Feuil1!$A$2:$A$1000,Legende!$C$19,[1]Feuil1!$A$2:$A$1000,Legende!$D$19,[1]Feuil1!$G$2:$G$1000,Legende!$A$2:$A$15)))</f>
        <v>-51110984.5</v>
      </c>
      <c r="O18" s="9" cm="1">
        <f t="array" ref="O18">SUM(SUMIFS([1]Feuil1!$F$2:$F$1000,[1]Feuil1!$A$2:$A$1000,Legende!$C$17,[1]Feuil1!$A$2:$A$1000,Legende!$D$17,[1]Feuil1!$G$2:$G$1000,Legende!$A$2:$A$15))-SUM(SUMIFS([1]Feuil1!$E$2:$E$1000,[1]Feuil1!$A$2:$A$1000,Legende!$C$17,[1]Feuil1!$A$2:$A$1000,Legende!$D$17,[1]Feuil1!$G$2:$G$1000,Legende!$A$2:$A$15))</f>
        <v>2962586.6799999997</v>
      </c>
      <c r="P18" s="9" cm="1">
        <f t="array" ref="P18">SUM(SUMIFS([1]Feuil1!$F$2:$F$1000,[1]Feuil1!$A$2:$A$1000,Legende!$C$23,[1]Feuil1!$A$2:$A$1000,Legende!$D$23,[1]Feuil1!$G$2:$G$1000,Legende!$A$2:$A$15))-SUM(SUMIFS([1]Feuil1!$E$2:$E$1000,[1]Feuil1!$A$2:$A$1000,Legende!$C$23,[1]Feuil1!$A$2:$A$1000,Legende!$D$23,[1]Feuil1!$G$2:$G$1000,Legende!$A$2:$A$15))</f>
        <v>21901582.119999997</v>
      </c>
      <c r="Q18" s="9" cm="1">
        <f t="array" ref="Q18">SUM(SUMIFS([1]Feuil1!$F$2:$F$1000,[1]Feuil1!$A$2:$A$1000,Legende!$C$20,[1]Feuil1!$A$2:$A$1000,Legende!$D$20,[1]Feuil1!$G$2:$G$1000,Legende!$A$2:$A$15))-SUM(SUMIFS([1]Feuil1!$E$2:$E$1000,[1]Feuil1!$A$2:$A$1000,Legende!$C$20,[1]Feuil1!$A$2:$A$1000,Legende!$D$20,[1]Feuil1!$G$2:$G$1000,Legende!$A$2:$A$15))</f>
        <v>-171716.68</v>
      </c>
      <c r="R18" s="9" cm="1">
        <f t="array" ref="R18">SUM(SUMIFS([1]Feuil1!$F$2:$F$1000,[1]Feuil1!$A$2:$A$1000,Legende!$C$21,[1]Feuil1!$A$2:$A$1000,Legende!$D$21,[1]Feuil1!$G$2:$G$1000,Legende!$A$2:$A$15))-SUM(SUMIFS([1]Feuil1!$E$2:$E$1000,[1]Feuil1!$A$2:$A$1000,Legende!$C$21,[1]Feuil1!$A$2:$A$1000,Legende!$D$21,[1]Feuil1!$G$2:$G$1000,Legende!$A$2:$A$15))</f>
        <v>423645.68000000005</v>
      </c>
      <c r="S18" s="9" cm="1">
        <f t="array" ref="S18">SUM(SUMIFS([1]Feuil1!$F$2:$F$1000,[1]Feuil1!$A$2:$A$1000,Legende!$C$22,[1]Feuil1!$A$2:$A$1000,Legende!$D$22,[1]Feuil1!$G$2:$G$1000,Legende!$A$2:$A$15))-SUM(SUMIFS([1]Feuil1!$E$2:$E$1000,[1]Feuil1!$A$2:$A$1000,Legende!$C$22,[1]Feuil1!$A$2:$A$1000,Legende!$D$22,[1]Feuil1!$G$2:$G$1000,Legende!$A$2:$A$15))</f>
        <v>65304.66</v>
      </c>
      <c r="T18" s="9" cm="1">
        <f t="array" ref="T18">SUM(SUMIFS([1]Feuil1!$F$2:$F$1000,[1]Feuil1!$A$2:$A$1000,Legende!$C$24,[1]Feuil1!$A$2:$A$1000,Legende!$D$24,[1]Feuil1!$G$2:$G$1000,Legende!$A$2:$A$15))-SUM(SUMIFS([1]Feuil1!$E$2:$E$1000,[1]Feuil1!$A$2:$A$1000,Legende!$C$24,[1]Feuil1!$A$2:$A$1000,Legende!$D$24,[1]Feuil1!$G$2:$G$1000,Legende!$A$2:$A$15))</f>
        <v>-4583818.2600000007</v>
      </c>
      <c r="U18" s="9" cm="1">
        <f t="array" ref="U18">(SUM(SUMIFS([1]Feuil1!$F$2:$F$1000,[1]Feuil1!$A$2:$A$1000,Legende!$C$25,[1]Feuil1!$A$2:$A$1000,Legende!$D$25,[1]Feuil1!$G$2:$G$1000,Legende!$A$2:$A$15))+SUM(SUMIFS([1]Feuil1!$F$2:$F$1000,[1]Feuil1!$A$2:$A$1000,Legende!$C$26,[1]Feuil1!$A$2:$A$1000,Legende!$D$26,[1]Feuil1!$G$2:$G$1000,Legende!$A$2:$A$15)))-(SUM(SUMIFS([1]Feuil1!$E$2:$E$1000,[1]Feuil1!$A$2:$A$1000,Legende!$C$25,[1]Feuil1!$A$2:$A$1000,Legende!$D$25,[1]Feuil1!$G$2:$G$1000,Legende!$A$2:$A$15))+SUM(SUMIFS([1]Feuil1!$E$2:$E$1000,[1]Feuil1!$A$2:$A$1000,Legende!$C$26,[1]Feuil1!$A$2:$A$1000,Legende!$D$26,[1]Feuil1!$G$2:$G$1000,Legende!$A$2:$A$15)))</f>
        <v>-181260.58</v>
      </c>
    </row>
    <row r="19" spans="1:21" ht="15.75" thickBot="1" x14ac:dyDescent="0.3">
      <c r="A19" s="8" t="s">
        <v>31</v>
      </c>
      <c r="B19" s="9">
        <f>SUBTOTAL(9,B3:B17)</f>
        <v>-2733088.560000021</v>
      </c>
      <c r="C19" s="9">
        <f t="shared" ref="C19:S19" si="0">SUBTOTAL(9,C3:C17)</f>
        <v>-18647083.770000014</v>
      </c>
      <c r="D19" s="9">
        <f t="shared" si="0"/>
        <v>-1071801.6399999999</v>
      </c>
      <c r="E19" s="9">
        <f t="shared" si="0"/>
        <v>-13914964.24</v>
      </c>
      <c r="F19" s="9">
        <f t="shared" si="0"/>
        <v>1579327.21</v>
      </c>
      <c r="G19" s="9">
        <f t="shared" si="0"/>
        <v>1624294.21</v>
      </c>
      <c r="H19" s="9">
        <f t="shared" si="0"/>
        <v>113.66</v>
      </c>
      <c r="I19" s="9">
        <f t="shared" si="0"/>
        <v>-45080.66</v>
      </c>
      <c r="J19" s="9">
        <f t="shared" si="0"/>
        <v>908552.65999999992</v>
      </c>
      <c r="K19" s="9">
        <f t="shared" si="0"/>
        <v>27096918.59</v>
      </c>
      <c r="L19" s="9">
        <f>SUBTOTAL(9,L4:L17)</f>
        <v>-12128290.75</v>
      </c>
      <c r="M19" s="9">
        <f t="shared" si="0"/>
        <v>430250.70999999996</v>
      </c>
      <c r="N19" s="9">
        <f t="shared" si="0"/>
        <v>-51110984.5</v>
      </c>
      <c r="O19" s="9">
        <f t="shared" si="0"/>
        <v>2962586.6799999997</v>
      </c>
      <c r="P19" s="9">
        <f t="shared" si="0"/>
        <v>21901582.119999997</v>
      </c>
      <c r="Q19" s="9">
        <f t="shared" si="0"/>
        <v>-171716.68</v>
      </c>
      <c r="R19" s="9">
        <f t="shared" si="0"/>
        <v>423645.68000000005</v>
      </c>
      <c r="S19" s="9">
        <f t="shared" si="0"/>
        <v>65304.66</v>
      </c>
      <c r="T19" s="9">
        <f>SUBTOTAL(9,T3:T17)</f>
        <v>-4583818.2600000007</v>
      </c>
      <c r="U19" s="9">
        <f>SUBTOTAL(9,U3:U17)</f>
        <v>-181260.58000000002</v>
      </c>
    </row>
    <row r="20" spans="1:21" ht="15.75" thickBot="1" x14ac:dyDescent="0.3">
      <c r="A20" s="2"/>
    </row>
    <row r="21" spans="1:21" ht="15.75" thickBot="1" x14ac:dyDescent="0.3">
      <c r="A21" s="21" t="str">
        <f ca="1">HYPERLINK(Legende!L2&amp;Legende!L3&amp;Legende!L8&amp;TEXT(Legende!L4,"00")&amp;Legende!L5&amp;Legende!L6&amp;Legende!L7&amp;Legende!L3&amp;Legende!L8&amp;TEXT(Legende!L4,"00")&amp;Legende!L9)</f>
        <v>../balance-2021_03/analyse-balance-2021_03.xlsm</v>
      </c>
      <c r="D21" s="10" t="s">
        <v>91</v>
      </c>
      <c r="E21" s="10" t="s">
        <v>92</v>
      </c>
      <c r="G21" s="75"/>
    </row>
    <row r="22" spans="1:21" ht="15.75" thickBot="1" x14ac:dyDescent="0.3">
      <c r="A22" s="24" t="str">
        <f>Legende!A2</f>
        <v>Janvier</v>
      </c>
      <c r="D22" s="22">
        <v>-1540.3600000000006</v>
      </c>
      <c r="E22" s="23">
        <v>-7863</v>
      </c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</row>
    <row r="23" spans="1:21" ht="15.75" thickBot="1" x14ac:dyDescent="0.3">
      <c r="A23" s="24" t="str">
        <f>Legende!A3</f>
        <v>Février</v>
      </c>
      <c r="D23" s="22">
        <v>39258.380000000005</v>
      </c>
      <c r="E23" s="23">
        <v>140311</v>
      </c>
      <c r="F23" s="4"/>
      <c r="J23" s="4"/>
    </row>
    <row r="24" spans="1:21" ht="15.75" thickBot="1" x14ac:dyDescent="0.3">
      <c r="A24" s="24" t="str">
        <f>Legende!A4</f>
        <v>Mars</v>
      </c>
      <c r="D24" s="22">
        <v>-6529.52</v>
      </c>
      <c r="E24" s="23">
        <v>-10078</v>
      </c>
      <c r="F24" s="4"/>
    </row>
    <row r="25" spans="1:21" ht="15.75" thickBot="1" x14ac:dyDescent="0.3">
      <c r="A25" s="24" t="str">
        <f>Legende!A5</f>
        <v>Avril</v>
      </c>
      <c r="D25" s="22">
        <v>5344.1</v>
      </c>
      <c r="E25" s="23">
        <v>-8119</v>
      </c>
      <c r="F25" s="4"/>
    </row>
    <row r="26" spans="1:21" ht="15.75" thickBot="1" x14ac:dyDescent="0.3">
      <c r="A26" s="24" t="str">
        <f>Legende!A6</f>
        <v>Mai</v>
      </c>
      <c r="D26" s="22">
        <v>16147.300000000003</v>
      </c>
      <c r="E26" s="23">
        <v>-4107</v>
      </c>
      <c r="F26" s="4"/>
    </row>
    <row r="27" spans="1:21" ht="15.75" thickBot="1" x14ac:dyDescent="0.3">
      <c r="A27" s="24" t="str">
        <f>Legende!A7</f>
        <v>Juin</v>
      </c>
      <c r="D27" s="22">
        <v>1058.1000000000004</v>
      </c>
      <c r="E27" s="23">
        <v>11999</v>
      </c>
      <c r="F27" s="4"/>
    </row>
    <row r="28" spans="1:21" ht="15.75" thickBot="1" x14ac:dyDescent="0.3">
      <c r="A28" s="24" t="str">
        <f>Legende!A8</f>
        <v>Juillet</v>
      </c>
      <c r="D28" s="22">
        <v>-3176.7299999999959</v>
      </c>
      <c r="E28" s="23">
        <v>-5675</v>
      </c>
      <c r="F28" s="4"/>
    </row>
    <row r="29" spans="1:21" ht="15.75" thickBot="1" x14ac:dyDescent="0.3">
      <c r="A29" s="24" t="str">
        <f>Legende!A9</f>
        <v>Août</v>
      </c>
      <c r="D29" s="22">
        <v>219.44000000000233</v>
      </c>
      <c r="E29" s="23">
        <v>-6157</v>
      </c>
      <c r="F29" s="4"/>
    </row>
    <row r="30" spans="1:21" ht="15.75" thickBot="1" x14ac:dyDescent="0.3">
      <c r="A30" s="24" t="str">
        <f>Legende!A10</f>
        <v>Septembre</v>
      </c>
      <c r="D30" s="22">
        <v>-8161.48</v>
      </c>
      <c r="E30" s="23">
        <v>-3442</v>
      </c>
      <c r="F30" s="4"/>
    </row>
    <row r="31" spans="1:21" ht="15.75" thickBot="1" x14ac:dyDescent="0.3">
      <c r="A31" s="24" t="str">
        <f>Legende!A11</f>
        <v>Octobre</v>
      </c>
      <c r="D31" s="22">
        <v>-1245.8000000000002</v>
      </c>
      <c r="E31" s="23">
        <v>-3028</v>
      </c>
      <c r="F31" s="4"/>
    </row>
    <row r="32" spans="1:21" ht="15.75" thickBot="1" x14ac:dyDescent="0.3">
      <c r="A32" s="24" t="str">
        <f>Legende!A12</f>
        <v>Novembre</v>
      </c>
      <c r="D32" s="22">
        <v>-7070.48</v>
      </c>
      <c r="E32" s="23">
        <v>-13441</v>
      </c>
      <c r="F32" s="4"/>
    </row>
    <row r="33" spans="1:6" ht="15.75" thickBot="1" x14ac:dyDescent="0.3">
      <c r="A33" s="24" t="str">
        <f>Legende!A13</f>
        <v>Décembre</v>
      </c>
      <c r="D33" s="22">
        <v>103553.31</v>
      </c>
      <c r="E33" s="23">
        <v>84568</v>
      </c>
      <c r="F33" s="4"/>
    </row>
    <row r="34" spans="1:6" ht="15.75" thickBot="1" x14ac:dyDescent="0.3">
      <c r="A34" s="24" t="str">
        <f>Legende!A14</f>
        <v>Lundi</v>
      </c>
      <c r="D34" s="22">
        <v>1608.23</v>
      </c>
      <c r="E34" s="23">
        <v>-2353</v>
      </c>
      <c r="F34" s="4"/>
    </row>
    <row r="35" spans="1:6" ht="15.75" thickBot="1" x14ac:dyDescent="0.3">
      <c r="A35" s="24" t="str">
        <f>Legende!A15</f>
        <v>Mardi</v>
      </c>
      <c r="D35" s="22">
        <v>-11056.690000000177</v>
      </c>
      <c r="E35" s="23">
        <v>-855206</v>
      </c>
      <c r="F35" s="4"/>
    </row>
  </sheetData>
  <autoFilter ref="A3:U3" xr:uid="{B5747764-40AA-4FE6-B1D5-C0E1D9F5D965}"/>
  <mergeCells count="2">
    <mergeCell ref="L1:U2"/>
    <mergeCell ref="B1:K1"/>
  </mergeCells>
  <conditionalFormatting sqref="A3:U19">
    <cfRule type="expression" dxfId="51" priority="17">
      <formula>OR((CELL("ligne")=ROW()),CELL("colonne")=COLUMN())</formula>
    </cfRule>
  </conditionalFormatting>
  <conditionalFormatting sqref="B4:U19">
    <cfRule type="cellIs" dxfId="50" priority="8" operator="lessThan">
      <formula>0</formula>
    </cfRule>
    <cfRule type="cellIs" dxfId="49" priority="9" operator="greaterThan">
      <formula>0</formula>
    </cfRule>
    <cfRule type="cellIs" dxfId="48" priority="11" operator="equal">
      <formula>0</formula>
    </cfRule>
  </conditionalFormatting>
  <conditionalFormatting sqref="D22:E35">
    <cfRule type="cellIs" dxfId="47" priority="1" operator="lessThan">
      <formula>0</formula>
    </cfRule>
    <cfRule type="cellIs" dxfId="46" priority="2" operator="greaterThan">
      <formula>0</formula>
    </cfRule>
    <cfRule type="cellIs" dxfId="45" priority="3" operator="equal">
      <formula>0</formula>
    </cfRule>
  </conditionalFormatting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Bouton_Actualiser_donnee">
                <anchor moveWithCells="1">
                  <from>
                    <xdr:col>0</xdr:col>
                    <xdr:colOff>0</xdr:colOff>
                    <xdr:row>2</xdr:row>
                    <xdr:rowOff>0</xdr:rowOff>
                  </from>
                  <to>
                    <xdr:col>0</xdr:col>
                    <xdr:colOff>400050</xdr:colOff>
                    <xdr:row>18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51269E-74DA-4992-A5A3-EA84062C706D}">
  <sheetPr codeName="Feuil4"/>
  <dimension ref="A1:Q32"/>
  <sheetViews>
    <sheetView workbookViewId="0">
      <selection activeCell="H35" sqref="H35"/>
    </sheetView>
  </sheetViews>
  <sheetFormatPr baseColWidth="10" defaultRowHeight="15" x14ac:dyDescent="0.25"/>
  <cols>
    <col min="2" max="2" width="37.5703125" bestFit="1" customWidth="1"/>
    <col min="3" max="3" width="12.85546875" bestFit="1" customWidth="1"/>
    <col min="4" max="4" width="30.5703125" bestFit="1" customWidth="1"/>
    <col min="5" max="5" width="12.85546875" bestFit="1" customWidth="1"/>
    <col min="6" max="6" width="23.7109375" customWidth="1"/>
    <col min="7" max="7" width="16.85546875" bestFit="1" customWidth="1"/>
    <col min="8" max="8" width="29.7109375" bestFit="1" customWidth="1"/>
    <col min="9" max="9" width="14.42578125" bestFit="1" customWidth="1"/>
    <col min="10" max="10" width="12.85546875" bestFit="1" customWidth="1"/>
    <col min="11" max="11" width="14.7109375" bestFit="1" customWidth="1"/>
    <col min="12" max="12" width="8.5703125" bestFit="1" customWidth="1"/>
    <col min="13" max="13" width="12.28515625" bestFit="1" customWidth="1"/>
    <col min="14" max="15" width="12" bestFit="1" customWidth="1"/>
    <col min="18" max="16384" width="11.42578125" style="38"/>
  </cols>
  <sheetData>
    <row r="1" spans="1:17" x14ac:dyDescent="0.25">
      <c r="A1" s="38"/>
      <c r="B1" s="74"/>
      <c r="C1" s="61" t="str" cm="1">
        <f t="array" ref="C1">INDEX(SCI[SCI],COLUMN(A1))</f>
        <v>Janvier</v>
      </c>
      <c r="D1" s="61" t="str" cm="1">
        <f t="array" ref="D1">INDEX(SCI[SCI],COLUMN(B1))</f>
        <v>Février</v>
      </c>
      <c r="E1" s="61" t="str" cm="1">
        <f t="array" ref="E1">INDEX(SCI[SCI],COLUMN(C1))</f>
        <v>Mars</v>
      </c>
      <c r="F1" s="61" t="str" cm="1">
        <f t="array" ref="F1">INDEX(SCI[SCI],COLUMN(D1))</f>
        <v>Avril</v>
      </c>
      <c r="G1" s="61" t="str" cm="1">
        <f t="array" ref="G1">INDEX(SCI[SCI],COLUMN(E1))</f>
        <v>Mai</v>
      </c>
      <c r="H1" s="61" t="str" cm="1">
        <f t="array" ref="H1">INDEX(SCI[SCI],COLUMN(F1))</f>
        <v>Juin</v>
      </c>
      <c r="I1" s="61" t="str" cm="1">
        <f t="array" ref="I1">INDEX(SCI[SCI],COLUMN(G1))</f>
        <v>Juillet</v>
      </c>
      <c r="J1" s="61" t="str" cm="1">
        <f t="array" ref="J1">INDEX(SCI[SCI],COLUMN(H1))</f>
        <v>Août</v>
      </c>
      <c r="K1" s="61" t="str" cm="1">
        <f t="array" ref="K1">INDEX(SCI[SCI],COLUMN(I1))</f>
        <v>Septembre</v>
      </c>
      <c r="L1" s="61" t="str" cm="1">
        <f t="array" ref="L1">INDEX(SCI[SCI],COLUMN(J1))</f>
        <v>Octobre</v>
      </c>
      <c r="M1" s="61" t="str" cm="1">
        <f t="array" ref="M1">INDEX(SCI[SCI],COLUMN(K1))</f>
        <v>Novembre</v>
      </c>
      <c r="N1" s="61" t="str" cm="1">
        <f t="array" ref="N1">INDEX(SCI[SCI],COLUMN(L1))</f>
        <v>Décembre</v>
      </c>
      <c r="O1" s="61" t="str" cm="1">
        <f t="array" ref="O1">INDEX(SCI[SCI],COLUMN(M1))</f>
        <v>Lundi</v>
      </c>
      <c r="P1" s="61" t="str" cm="1">
        <f t="array" ref="P1">INDEX(SCI[SCI],COLUMN(N1))</f>
        <v>Mardi</v>
      </c>
      <c r="Q1" s="61" t="s">
        <v>40</v>
      </c>
    </row>
    <row r="2" spans="1:17" x14ac:dyDescent="0.25">
      <c r="A2" s="60"/>
      <c r="B2" s="62" t="s">
        <v>41</v>
      </c>
      <c r="C2" s="63"/>
      <c r="D2" s="63"/>
      <c r="E2" s="63"/>
      <c r="F2" s="63"/>
      <c r="G2" s="63"/>
      <c r="H2" s="63"/>
      <c r="I2" s="63"/>
      <c r="J2" s="63"/>
      <c r="K2" s="63"/>
      <c r="L2" s="63"/>
      <c r="M2" s="63"/>
      <c r="N2" s="63"/>
      <c r="O2" s="63"/>
      <c r="P2" s="63"/>
      <c r="Q2" s="63"/>
    </row>
    <row r="3" spans="1:17" x14ac:dyDescent="0.25">
      <c r="A3" s="60" t="s">
        <v>4</v>
      </c>
      <c r="B3" s="64" t="s">
        <v>42</v>
      </c>
      <c r="C3" s="63">
        <f>INDEX(Final[],MATCH(C$1,Final[[Société]:[Société]],0),MATCH($A3,Final[#Headers],0))</f>
        <v>149993.69</v>
      </c>
      <c r="D3" s="63">
        <f>INDEX(Final[],MATCH(D$1,Final[[Société]:[Société]],0),MATCH($A3,Final[#Headers],0))</f>
        <v>84999.560000000027</v>
      </c>
      <c r="E3" s="63">
        <f>INDEX(Final[],MATCH(E$1,Final[[Société]:[Société]],0),MATCH($A3,Final[#Headers],0))</f>
        <v>75353.850000000006</v>
      </c>
      <c r="F3" s="63">
        <f>INDEX(Final[],MATCH(F$1,Final[[Société]:[Société]],0),MATCH($A3,Final[#Headers],0))</f>
        <v>53061.79</v>
      </c>
      <c r="G3" s="63">
        <f>INDEX(Final[],MATCH(G$1,Final[[Société]:[Société]],0),MATCH($A3,Final[#Headers],0))</f>
        <v>102409.76</v>
      </c>
      <c r="H3" s="63">
        <f>INDEX(Final[],MATCH(H$1,Final[[Société]:[Société]],0),MATCH($A3,Final[#Headers],0))</f>
        <v>37451.61</v>
      </c>
      <c r="I3" s="63">
        <f>INDEX(Final[],MATCH(I$1,Final[[Société]:[Société]],0),MATCH($A3,Final[#Headers],0))</f>
        <v>126698.51</v>
      </c>
      <c r="J3" s="63">
        <f>INDEX(Final[],MATCH(J$1,Final[[Société]:[Société]],0),MATCH($A3,Final[#Headers],0))</f>
        <v>86991.79</v>
      </c>
      <c r="K3" s="63">
        <f>INDEX(Final[],MATCH(K$1,Final[[Société]:[Société]],0),MATCH($A3,Final[#Headers],0))</f>
        <v>24186.55</v>
      </c>
      <c r="L3" s="63">
        <f>INDEX(Final[],MATCH(L$1,Final[[Société]:[Société]],0),MATCH($A3,Final[#Headers],0))</f>
        <v>115962.74</v>
      </c>
      <c r="M3" s="63">
        <f>INDEX(Final[],MATCH(M$1,Final[[Société]:[Société]],0),MATCH($A3,Final[#Headers],0))</f>
        <v>118405.34999999999</v>
      </c>
      <c r="N3" s="63">
        <f>INDEX(Final[],MATCH(N$1,Final[[Société]:[Société]],0),MATCH($A3,Final[#Headers],0))</f>
        <v>45030.12999999999</v>
      </c>
      <c r="O3" s="63">
        <f>INDEX(Final[],MATCH(O$1,Final[[Société]:[Société]],0),MATCH($A3,Final[#Headers],0))</f>
        <v>89632.979999999981</v>
      </c>
      <c r="P3" s="63">
        <f>INDEX(Final[],MATCH(P$1,Final[[Société]:[Société]],0),MATCH($A3,Final[#Headers],0))</f>
        <v>469148.9</v>
      </c>
      <c r="Q3" s="63">
        <f t="shared" ref="Q3:Q8" si="0">SUM(C3:P3)</f>
        <v>1579327.21</v>
      </c>
    </row>
    <row r="4" spans="1:17" x14ac:dyDescent="0.25">
      <c r="A4" s="60" t="s">
        <v>7</v>
      </c>
      <c r="B4" s="64" t="s">
        <v>43</v>
      </c>
      <c r="C4" s="63">
        <f>INDEX(Final[],MATCH(C$1,Final[[Société]:[Société]],0),MATCH($A4,Final[#Headers],0))</f>
        <v>44306.09</v>
      </c>
      <c r="D4" s="63">
        <f>INDEX(Final[],MATCH(D$1,Final[[Société]:[Société]],0),MATCH($A4,Final[#Headers],0))</f>
        <v>721.32</v>
      </c>
      <c r="E4" s="63">
        <f>INDEX(Final[],MATCH(E$1,Final[[Société]:[Société]],0),MATCH($A4,Final[#Headers],0))</f>
        <v>17872.12</v>
      </c>
      <c r="F4" s="63">
        <f>INDEX(Final[],MATCH(F$1,Final[[Société]:[Société]],0),MATCH($A4,Final[#Headers],0))</f>
        <v>2476.7199999999998</v>
      </c>
      <c r="G4" s="63">
        <f>INDEX(Final[],MATCH(G$1,Final[[Société]:[Société]],0),MATCH($A4,Final[#Headers],0))</f>
        <v>89624.08</v>
      </c>
      <c r="H4" s="63">
        <f>INDEX(Final[],MATCH(H$1,Final[[Société]:[Société]],0),MATCH($A4,Final[#Headers],0))</f>
        <v>10524.51</v>
      </c>
      <c r="I4" s="63">
        <f>INDEX(Final[],MATCH(I$1,Final[[Société]:[Société]],0),MATCH($A4,Final[#Headers],0))</f>
        <v>55779.21</v>
      </c>
      <c r="J4" s="63">
        <f>INDEX(Final[],MATCH(J$1,Final[[Société]:[Société]],0),MATCH($A4,Final[#Headers],0))</f>
        <v>28229.68</v>
      </c>
      <c r="K4" s="63">
        <f>INDEX(Final[],MATCH(K$1,Final[[Société]:[Société]],0),MATCH($A4,Final[#Headers],0))</f>
        <v>25406.51</v>
      </c>
      <c r="L4" s="63">
        <f>INDEX(Final[],MATCH(L$1,Final[[Société]:[Société]],0),MATCH($A4,Final[#Headers],0))</f>
        <v>20509.349999999999</v>
      </c>
      <c r="M4" s="63">
        <f>INDEX(Final[],MATCH(M$1,Final[[Société]:[Société]],0),MATCH($A4,Final[#Headers],0))</f>
        <v>1140.55</v>
      </c>
      <c r="N4" s="63">
        <f>INDEX(Final[],MATCH(N$1,Final[[Société]:[Société]],0),MATCH($A4,Final[#Headers],0))</f>
        <v>19680.48</v>
      </c>
      <c r="O4" s="63">
        <f>INDEX(Final[],MATCH(O$1,Final[[Société]:[Société]],0),MATCH($A4,Final[#Headers],0))</f>
        <v>1438.87</v>
      </c>
      <c r="P4" s="63">
        <f>INDEX(Final[],MATCH(P$1,Final[[Société]:[Société]],0),MATCH($A4,Final[#Headers],0))</f>
        <v>590843.17000000004</v>
      </c>
      <c r="Q4" s="63">
        <f t="shared" si="0"/>
        <v>908552.65999999992</v>
      </c>
    </row>
    <row r="5" spans="1:17" x14ac:dyDescent="0.25">
      <c r="B5" s="13" t="s">
        <v>44</v>
      </c>
      <c r="C5" s="14">
        <f>K18</f>
        <v>96216.25</v>
      </c>
      <c r="D5" s="14">
        <f>K19</f>
        <v>39213.76999999999</v>
      </c>
      <c r="E5" s="14">
        <f>K20</f>
        <v>-3548.24</v>
      </c>
      <c r="F5" s="14">
        <f>K21</f>
        <v>-13463.55</v>
      </c>
      <c r="G5" s="14">
        <f>K22</f>
        <v>106734.12999999999</v>
      </c>
      <c r="H5" s="14">
        <f>K23</f>
        <v>42889.8</v>
      </c>
      <c r="I5" s="14">
        <f>K24</f>
        <v>124384.14</v>
      </c>
      <c r="J5" s="14">
        <f>K25</f>
        <v>69902.010000000009</v>
      </c>
      <c r="K5" s="14">
        <f>K26</f>
        <v>-372.84000000000015</v>
      </c>
      <c r="L5" s="14">
        <f>K27</f>
        <v>88451.7</v>
      </c>
      <c r="M5" s="14">
        <f>K28</f>
        <v>-6370.34</v>
      </c>
      <c r="N5" s="14">
        <f>K29</f>
        <v>-6196.4599999999919</v>
      </c>
      <c r="O5" s="14">
        <f>K30</f>
        <v>32620.379999999997</v>
      </c>
      <c r="P5" s="14">
        <f>K31</f>
        <v>-181250.1100000001</v>
      </c>
      <c r="Q5" s="12">
        <f t="shared" si="0"/>
        <v>389210.6399999999</v>
      </c>
    </row>
    <row r="6" spans="1:17" x14ac:dyDescent="0.25">
      <c r="B6" s="13" t="s">
        <v>45</v>
      </c>
      <c r="C6" s="12">
        <v>0</v>
      </c>
      <c r="D6" s="12">
        <v>0</v>
      </c>
      <c r="E6" s="12">
        <v>0</v>
      </c>
      <c r="F6" s="12">
        <v>0</v>
      </c>
      <c r="G6" s="12">
        <v>0</v>
      </c>
      <c r="H6" s="65">
        <f>5938586-5929199</f>
        <v>9387</v>
      </c>
      <c r="I6" s="12">
        <v>0</v>
      </c>
      <c r="J6" s="12">
        <v>0</v>
      </c>
      <c r="K6" s="12">
        <v>0</v>
      </c>
      <c r="L6" s="12">
        <v>0</v>
      </c>
      <c r="M6" s="65">
        <f>1336427-1327278</f>
        <v>9149</v>
      </c>
      <c r="N6" s="65" t="e">
        <f>'Analyse extrac'!#REF!-'Analyse extrac'!D15</f>
        <v>#REF!</v>
      </c>
      <c r="O6" s="65" t="e">
        <f>'Analyse extrac'!#REF!-'Analyse extrac'!D16</f>
        <v>#REF!</v>
      </c>
      <c r="P6" s="65" t="e">
        <f>'Analyse extrac'!#REF!-'Analyse extrac'!D17</f>
        <v>#REF!</v>
      </c>
      <c r="Q6" s="65" t="e">
        <f t="shared" si="0"/>
        <v>#REF!</v>
      </c>
    </row>
    <row r="7" spans="1:17" x14ac:dyDescent="0.25">
      <c r="B7" s="13" t="s">
        <v>46</v>
      </c>
      <c r="C7" s="12">
        <v>0</v>
      </c>
      <c r="D7" s="12">
        <v>0</v>
      </c>
      <c r="E7" s="12">
        <v>0</v>
      </c>
      <c r="F7" s="12">
        <v>0</v>
      </c>
      <c r="G7" s="12">
        <v>0</v>
      </c>
      <c r="H7" s="12">
        <v>0</v>
      </c>
      <c r="I7" s="12">
        <v>0</v>
      </c>
      <c r="J7" s="12">
        <v>0</v>
      </c>
      <c r="K7" s="12">
        <v>0</v>
      </c>
      <c r="L7" s="12">
        <v>0</v>
      </c>
      <c r="M7" s="12">
        <v>0</v>
      </c>
      <c r="N7" s="12">
        <v>0</v>
      </c>
      <c r="O7" s="12">
        <v>0</v>
      </c>
      <c r="P7" s="12">
        <v>0</v>
      </c>
      <c r="Q7" s="12">
        <f t="shared" si="0"/>
        <v>0</v>
      </c>
    </row>
    <row r="8" spans="1:17" x14ac:dyDescent="0.25">
      <c r="B8" s="13" t="s">
        <v>47</v>
      </c>
      <c r="C8" s="12">
        <v>0</v>
      </c>
      <c r="D8" s="12">
        <v>0</v>
      </c>
      <c r="E8" s="12">
        <v>0</v>
      </c>
      <c r="F8" s="12">
        <v>0</v>
      </c>
      <c r="G8" s="12">
        <v>0</v>
      </c>
      <c r="H8" s="12">
        <v>0</v>
      </c>
      <c r="I8" s="12">
        <v>0</v>
      </c>
      <c r="J8" s="12">
        <v>0</v>
      </c>
      <c r="K8" s="12">
        <v>0</v>
      </c>
      <c r="L8" s="12">
        <v>0</v>
      </c>
      <c r="M8" s="12">
        <v>0</v>
      </c>
      <c r="N8" s="12">
        <v>0</v>
      </c>
      <c r="O8" s="65">
        <f>280483-30.15</f>
        <v>280452.84999999998</v>
      </c>
      <c r="P8" s="12">
        <f>591964-591964</f>
        <v>0</v>
      </c>
      <c r="Q8" s="12">
        <f t="shared" si="0"/>
        <v>280452.84999999998</v>
      </c>
    </row>
    <row r="9" spans="1:17" x14ac:dyDescent="0.25">
      <c r="B9" s="15"/>
      <c r="C9" s="12"/>
      <c r="D9" s="12"/>
      <c r="E9" s="12"/>
      <c r="F9" s="12"/>
      <c r="G9" s="12"/>
      <c r="H9" s="12"/>
      <c r="I9" s="12"/>
      <c r="J9" s="12"/>
      <c r="K9" s="12"/>
      <c r="L9" s="12"/>
      <c r="M9" s="12"/>
      <c r="N9" s="12"/>
      <c r="O9" s="12"/>
      <c r="P9" s="12"/>
      <c r="Q9" s="12"/>
    </row>
    <row r="10" spans="1:17" x14ac:dyDescent="0.25">
      <c r="B10" s="66"/>
      <c r="C10" s="67">
        <f>SUM(C3:C5,C8)-SUM(C6:C7)</f>
        <v>290516.03000000003</v>
      </c>
      <c r="D10" s="67">
        <f t="shared" ref="D10:G10" si="1">SUM(D3:D5,D8)-SUM(D6:D7)</f>
        <v>124934.65000000002</v>
      </c>
      <c r="E10" s="67">
        <f t="shared" si="1"/>
        <v>89677.73</v>
      </c>
      <c r="F10" s="67">
        <f>SUM(F3:F5,F8)-SUM(F6:F7)</f>
        <v>42074.960000000006</v>
      </c>
      <c r="G10" s="67">
        <f t="shared" si="1"/>
        <v>298767.96999999997</v>
      </c>
      <c r="H10" s="67">
        <f t="shared" ref="H10:O10" si="2">SUM(H3:H5,H8)-SUM(H6:H7)</f>
        <v>81478.920000000013</v>
      </c>
      <c r="I10" s="67">
        <f t="shared" si="2"/>
        <v>306861.86</v>
      </c>
      <c r="J10" s="67">
        <f t="shared" si="2"/>
        <v>185123.48</v>
      </c>
      <c r="K10" s="67">
        <f t="shared" si="2"/>
        <v>49220.22</v>
      </c>
      <c r="L10" s="67">
        <f t="shared" si="2"/>
        <v>224923.78999999998</v>
      </c>
      <c r="M10" s="67">
        <f t="shared" si="2"/>
        <v>104026.56</v>
      </c>
      <c r="N10" s="67" t="e">
        <f t="shared" si="2"/>
        <v>#REF!</v>
      </c>
      <c r="O10" s="67" t="e">
        <f t="shared" si="2"/>
        <v>#REF!</v>
      </c>
      <c r="P10" s="67" t="e">
        <f t="shared" ref="P10:Q10" si="3">SUM(P3:P5,P8)-SUM(P6:P7)</f>
        <v>#REF!</v>
      </c>
      <c r="Q10" s="67" t="e">
        <f t="shared" si="3"/>
        <v>#REF!</v>
      </c>
    </row>
    <row r="11" spans="1:17" x14ac:dyDescent="0.25">
      <c r="B11" s="15"/>
      <c r="C11" s="12"/>
      <c r="D11" s="12"/>
      <c r="E11" s="12"/>
      <c r="F11" s="12"/>
      <c r="G11" s="12"/>
      <c r="H11" s="12"/>
      <c r="I11" s="12"/>
      <c r="J11" s="12"/>
      <c r="K11" s="12"/>
      <c r="L11" s="12"/>
      <c r="M11" s="12"/>
      <c r="N11" s="12"/>
      <c r="O11" s="12"/>
      <c r="P11" s="12"/>
      <c r="Q11" s="12"/>
    </row>
    <row r="12" spans="1:17" x14ac:dyDescent="0.25">
      <c r="B12" s="11" t="s">
        <v>48</v>
      </c>
      <c r="C12" s="68">
        <v>-247382</v>
      </c>
      <c r="D12" s="16">
        <v>0</v>
      </c>
      <c r="E12" s="16">
        <v>0</v>
      </c>
      <c r="F12" s="68">
        <v>-1433218.81</v>
      </c>
      <c r="G12" s="68">
        <v>-180381.96</v>
      </c>
      <c r="H12" s="68">
        <v>-1619760.9</v>
      </c>
      <c r="I12" s="68">
        <v>-281268.17</v>
      </c>
      <c r="J12" s="68">
        <v>-443281.09</v>
      </c>
      <c r="K12" s="68">
        <v>-504179.02</v>
      </c>
      <c r="L12" s="16">
        <v>0</v>
      </c>
      <c r="M12" s="16">
        <v>0</v>
      </c>
      <c r="N12" s="16">
        <v>0</v>
      </c>
      <c r="O12" s="68">
        <v>-13728386.189999999</v>
      </c>
      <c r="P12" s="68">
        <v>-1139126.6299999999</v>
      </c>
      <c r="Q12" s="68">
        <f>SUM(C12:P12)</f>
        <v>-19576984.77</v>
      </c>
    </row>
    <row r="13" spans="1:17" x14ac:dyDescent="0.25">
      <c r="B13" s="15"/>
      <c r="C13" s="12"/>
      <c r="D13" s="12"/>
      <c r="E13" s="12"/>
      <c r="F13" s="12"/>
      <c r="G13" s="12"/>
      <c r="H13" s="12"/>
      <c r="I13" s="12"/>
      <c r="J13" s="12"/>
      <c r="K13" s="12"/>
      <c r="L13" s="12"/>
      <c r="M13" s="12"/>
      <c r="N13" s="12"/>
      <c r="O13" s="12"/>
      <c r="P13" s="12"/>
      <c r="Q13" s="12"/>
    </row>
    <row r="14" spans="1:17" x14ac:dyDescent="0.25">
      <c r="B14" s="69" t="s">
        <v>49</v>
      </c>
      <c r="C14" s="70">
        <f>IF(C12&lt;&gt;0,C10/(-C12),0)</f>
        <v>1.1743620392752909</v>
      </c>
      <c r="D14" s="70">
        <f t="shared" ref="D14:Q14" si="4">IF(D12&lt;&gt;0,D10/(-D12),0)</f>
        <v>0</v>
      </c>
      <c r="E14" s="70">
        <f t="shared" si="4"/>
        <v>0</v>
      </c>
      <c r="F14" s="70">
        <f t="shared" si="4"/>
        <v>2.9356968877627281E-2</v>
      </c>
      <c r="G14" s="70">
        <f>IF(G12&lt;&gt;0,G10/(-G12),0)</f>
        <v>1.656307371313628</v>
      </c>
      <c r="H14" s="70">
        <f t="shared" si="4"/>
        <v>5.0303053987783022E-2</v>
      </c>
      <c r="I14" s="70">
        <f>IF(I12&lt;&gt;0,I10/(-I12),0)</f>
        <v>1.0909939080557889</v>
      </c>
      <c r="J14" s="70">
        <f t="shared" si="4"/>
        <v>0.41762097273312515</v>
      </c>
      <c r="K14" s="70">
        <f t="shared" si="4"/>
        <v>9.7624490602564146E-2</v>
      </c>
      <c r="L14" s="70">
        <f t="shared" si="4"/>
        <v>0</v>
      </c>
      <c r="M14" s="70">
        <f t="shared" si="4"/>
        <v>0</v>
      </c>
      <c r="N14" s="70">
        <f t="shared" si="4"/>
        <v>0</v>
      </c>
      <c r="O14" s="70" t="e">
        <f t="shared" si="4"/>
        <v>#REF!</v>
      </c>
      <c r="P14" s="70" t="e">
        <f t="shared" si="4"/>
        <v>#REF!</v>
      </c>
      <c r="Q14" s="70" t="e">
        <f t="shared" si="4"/>
        <v>#REF!</v>
      </c>
    </row>
    <row r="15" spans="1:17" x14ac:dyDescent="0.25">
      <c r="K15" s="71" t="s">
        <v>105</v>
      </c>
    </row>
    <row r="16" spans="1:17" ht="15.75" thickBot="1" x14ac:dyDescent="0.3"/>
    <row r="17" spans="2:11" ht="15.75" thickBot="1" x14ac:dyDescent="0.3">
      <c r="B17" s="27" t="str">
        <f>Legende!J3</f>
        <v>Sociétés</v>
      </c>
      <c r="C17" s="27" t="s">
        <v>90</v>
      </c>
      <c r="D17" s="27" t="str">
        <f>Legende!J5</f>
        <v>BFR 12/20</v>
      </c>
      <c r="E17" s="27"/>
      <c r="H17" s="27" t="str">
        <f>Legende!J3</f>
        <v>Sociétés</v>
      </c>
      <c r="I17" s="27" t="s">
        <v>83</v>
      </c>
      <c r="J17" s="27" t="str">
        <f>Legende!J5</f>
        <v>BFR 12/20</v>
      </c>
      <c r="K17" s="27" t="s">
        <v>82</v>
      </c>
    </row>
    <row r="18" spans="2:11" x14ac:dyDescent="0.25">
      <c r="B18" t="str">
        <f>Legende!A2</f>
        <v>Janvier</v>
      </c>
      <c r="C18" s="26">
        <f>'Analyse extrac'!D22</f>
        <v>-1540.3600000000006</v>
      </c>
      <c r="D18" s="26">
        <f>'Analyse extrac'!E22</f>
        <v>-7863</v>
      </c>
      <c r="E18" s="26">
        <f>+C18-D18</f>
        <v>6322.6399999999994</v>
      </c>
      <c r="F18" t="str">
        <f>IF(E18="","",IF(E18&lt;0,"Amélioration trésorerie",IF(E18="",E18&gt;0,"Dégradation trésorerie")))</f>
        <v>Dégradation trésorerie</v>
      </c>
      <c r="H18" t="str">
        <f>Legende!A2</f>
        <v>Janvier</v>
      </c>
      <c r="I18" s="72">
        <f>INDEX(Final[BFR],MATCH(H18,Final[Société],0))</f>
        <v>-104079.25</v>
      </c>
      <c r="J18" s="29">
        <f>'Analyse extrac'!E22</f>
        <v>-7863</v>
      </c>
      <c r="K18" s="29">
        <f>(+I18-J18)*-1</f>
        <v>96216.25</v>
      </c>
    </row>
    <row r="19" spans="2:11" x14ac:dyDescent="0.25">
      <c r="B19" t="str">
        <f>Legende!A3</f>
        <v>Février</v>
      </c>
      <c r="C19" s="26">
        <f>'Analyse extrac'!D23</f>
        <v>39258.380000000005</v>
      </c>
      <c r="D19" s="26">
        <f>'Analyse extrac'!E23</f>
        <v>140311</v>
      </c>
      <c r="E19" s="26">
        <f t="shared" ref="E19:E31" si="5">+C19-D19</f>
        <v>-101052.62</v>
      </c>
      <c r="F19" t="str">
        <f t="shared" ref="F19:F31" si="6">IF(E19="","",IF(E19&lt;0,"Amélioration trésorerie",IF(E19="",E19&gt;0,"Dégradation trésorerie")))</f>
        <v>Amélioration trésorerie</v>
      </c>
      <c r="H19" t="str">
        <f>Legende!A3</f>
        <v>Février</v>
      </c>
      <c r="I19" s="72">
        <f>INDEX(Final[BFR],MATCH(H19,Final[Société],0))</f>
        <v>101097.23000000001</v>
      </c>
      <c r="J19" s="30">
        <f>'Analyse extrac'!E23</f>
        <v>140311</v>
      </c>
      <c r="K19" s="30">
        <f t="shared" ref="K19:K32" si="7">(+I19-J19)*-1</f>
        <v>39213.76999999999</v>
      </c>
    </row>
    <row r="20" spans="2:11" x14ac:dyDescent="0.25">
      <c r="B20" t="str">
        <f>Legende!A4</f>
        <v>Mars</v>
      </c>
      <c r="C20" s="26">
        <f>'Analyse extrac'!D24</f>
        <v>-6529.52</v>
      </c>
      <c r="D20" s="26">
        <f>'Analyse extrac'!E24</f>
        <v>-10078</v>
      </c>
      <c r="E20" s="26">
        <f t="shared" si="5"/>
        <v>3548.4799999999996</v>
      </c>
      <c r="F20" t="str">
        <f t="shared" si="6"/>
        <v>Dégradation trésorerie</v>
      </c>
      <c r="H20" t="str">
        <f>Legende!A4</f>
        <v>Mars</v>
      </c>
      <c r="I20" s="72">
        <f>INDEX(Final[BFR],MATCH(H20,Final[Société],0))</f>
        <v>-6529.76</v>
      </c>
      <c r="J20" s="30">
        <f>'Analyse extrac'!E24</f>
        <v>-10078</v>
      </c>
      <c r="K20" s="30">
        <f t="shared" si="7"/>
        <v>-3548.24</v>
      </c>
    </row>
    <row r="21" spans="2:11" x14ac:dyDescent="0.25">
      <c r="B21" t="str">
        <f>Legende!A5</f>
        <v>Avril</v>
      </c>
      <c r="C21" s="26">
        <f>'Analyse extrac'!D25</f>
        <v>5344.1</v>
      </c>
      <c r="D21" s="26">
        <f>'Analyse extrac'!E25</f>
        <v>-8119</v>
      </c>
      <c r="E21" s="26">
        <f t="shared" si="5"/>
        <v>13463.1</v>
      </c>
      <c r="F21" t="str">
        <f t="shared" si="6"/>
        <v>Dégradation trésorerie</v>
      </c>
      <c r="H21" t="str">
        <f>Legende!A5</f>
        <v>Avril</v>
      </c>
      <c r="I21" s="72">
        <f>INDEX(Final[BFR],MATCH(H21,Final[Société],0))</f>
        <v>5344.5499999999993</v>
      </c>
      <c r="J21" s="30">
        <f>'Analyse extrac'!E25</f>
        <v>-8119</v>
      </c>
      <c r="K21" s="30">
        <f t="shared" si="7"/>
        <v>-13463.55</v>
      </c>
    </row>
    <row r="22" spans="2:11" x14ac:dyDescent="0.25">
      <c r="B22" t="str">
        <f>Legende!A6</f>
        <v>Mai</v>
      </c>
      <c r="C22" s="26">
        <f>'Analyse extrac'!D26</f>
        <v>16147.300000000003</v>
      </c>
      <c r="D22" s="26">
        <f>'Analyse extrac'!E26</f>
        <v>-4107</v>
      </c>
      <c r="E22" s="26">
        <f t="shared" si="5"/>
        <v>20254.300000000003</v>
      </c>
      <c r="F22" t="str">
        <f t="shared" si="6"/>
        <v>Dégradation trésorerie</v>
      </c>
      <c r="H22" t="str">
        <f>Legende!A6</f>
        <v>Mai</v>
      </c>
      <c r="I22" s="72">
        <f>INDEX(Final[BFR],MATCH(H22,Final[Société],0))</f>
        <v>-110841.12999999999</v>
      </c>
      <c r="J22" s="30">
        <f>'Analyse extrac'!E26</f>
        <v>-4107</v>
      </c>
      <c r="K22" s="30">
        <f t="shared" si="7"/>
        <v>106734.12999999999</v>
      </c>
    </row>
    <row r="23" spans="2:11" x14ac:dyDescent="0.25">
      <c r="B23" t="str">
        <f>Legende!A7</f>
        <v>Juin</v>
      </c>
      <c r="C23" s="26">
        <f>'Analyse extrac'!D27</f>
        <v>1058.1000000000004</v>
      </c>
      <c r="D23" s="26">
        <f>'Analyse extrac'!E27</f>
        <v>11999</v>
      </c>
      <c r="E23" s="26">
        <f t="shared" si="5"/>
        <v>-10940.9</v>
      </c>
      <c r="F23" t="str">
        <f t="shared" si="6"/>
        <v>Amélioration trésorerie</v>
      </c>
      <c r="H23" t="str">
        <f>Legende!A7</f>
        <v>Juin</v>
      </c>
      <c r="I23" s="72">
        <f>INDEX(Final[BFR],MATCH(H23,Final[Société],0))</f>
        <v>-30890.800000000003</v>
      </c>
      <c r="J23" s="30">
        <f>'Analyse extrac'!E27</f>
        <v>11999</v>
      </c>
      <c r="K23" s="30">
        <f t="shared" si="7"/>
        <v>42889.8</v>
      </c>
    </row>
    <row r="24" spans="2:11" x14ac:dyDescent="0.25">
      <c r="B24" t="str">
        <f>Legende!A8</f>
        <v>Juillet</v>
      </c>
      <c r="C24" s="26">
        <f>'Analyse extrac'!D28</f>
        <v>-3176.7299999999959</v>
      </c>
      <c r="D24" s="26">
        <f>'Analyse extrac'!E28</f>
        <v>-5675</v>
      </c>
      <c r="E24" s="26">
        <f t="shared" si="5"/>
        <v>2498.2700000000041</v>
      </c>
      <c r="F24" t="str">
        <f t="shared" si="6"/>
        <v>Dégradation trésorerie</v>
      </c>
      <c r="H24" t="str">
        <f>Legende!A8</f>
        <v>Juillet</v>
      </c>
      <c r="I24" s="72">
        <f>INDEX(Final[BFR],MATCH(H24,Final[Société],0))</f>
        <v>-130059.14</v>
      </c>
      <c r="J24" s="30">
        <f>'Analyse extrac'!E28</f>
        <v>-5675</v>
      </c>
      <c r="K24" s="30">
        <f t="shared" si="7"/>
        <v>124384.14</v>
      </c>
    </row>
    <row r="25" spans="2:11" x14ac:dyDescent="0.25">
      <c r="B25" t="str">
        <f>Legende!A9</f>
        <v>Août</v>
      </c>
      <c r="C25" s="26">
        <f>'Analyse extrac'!D29</f>
        <v>219.44000000000233</v>
      </c>
      <c r="D25" s="26">
        <f>'Analyse extrac'!E29</f>
        <v>-6157</v>
      </c>
      <c r="E25" s="26">
        <f t="shared" si="5"/>
        <v>6376.4400000000023</v>
      </c>
      <c r="F25" t="str">
        <f t="shared" si="6"/>
        <v>Dégradation trésorerie</v>
      </c>
      <c r="H25" t="str">
        <f>Legende!A9</f>
        <v>Août</v>
      </c>
      <c r="I25" s="72">
        <f>INDEX(Final[BFR],MATCH(H25,Final[Société],0))</f>
        <v>-76059.010000000009</v>
      </c>
      <c r="J25" s="30">
        <f>'Analyse extrac'!E29</f>
        <v>-6157</v>
      </c>
      <c r="K25" s="30">
        <f t="shared" si="7"/>
        <v>69902.010000000009</v>
      </c>
    </row>
    <row r="26" spans="2:11" x14ac:dyDescent="0.25">
      <c r="B26" t="str">
        <f>Legende!A10</f>
        <v>Septembre</v>
      </c>
      <c r="C26" s="26">
        <f>'Analyse extrac'!D30</f>
        <v>-8161.48</v>
      </c>
      <c r="D26" s="26">
        <f>'Analyse extrac'!E30</f>
        <v>-3442</v>
      </c>
      <c r="E26" s="26">
        <f t="shared" si="5"/>
        <v>-4719.4799999999996</v>
      </c>
      <c r="F26" t="str">
        <f t="shared" si="6"/>
        <v>Amélioration trésorerie</v>
      </c>
      <c r="H26" t="str">
        <f>Legende!A10</f>
        <v>Septembre</v>
      </c>
      <c r="I26" s="72">
        <f>INDEX(Final[BFR],MATCH(H26,Final[Société],0))</f>
        <v>-3069.16</v>
      </c>
      <c r="J26" s="30">
        <f>'Analyse extrac'!E30</f>
        <v>-3442</v>
      </c>
      <c r="K26" s="30">
        <f t="shared" si="7"/>
        <v>-372.84000000000015</v>
      </c>
    </row>
    <row r="27" spans="2:11" x14ac:dyDescent="0.25">
      <c r="B27" t="str">
        <f>Legende!A11</f>
        <v>Octobre</v>
      </c>
      <c r="C27" s="26">
        <f>'Analyse extrac'!D31</f>
        <v>-1245.8000000000002</v>
      </c>
      <c r="D27" s="26">
        <f>'Analyse extrac'!E31</f>
        <v>-3028</v>
      </c>
      <c r="E27" s="26">
        <f t="shared" si="5"/>
        <v>1782.1999999999998</v>
      </c>
      <c r="F27" t="str">
        <f t="shared" si="6"/>
        <v>Dégradation trésorerie</v>
      </c>
      <c r="H27" t="str">
        <f>Legende!A11</f>
        <v>Octobre</v>
      </c>
      <c r="I27" s="72">
        <f>INDEX(Final[BFR],MATCH(H27,Final[Société],0))</f>
        <v>-91479.7</v>
      </c>
      <c r="J27" s="30">
        <f>'Analyse extrac'!E31</f>
        <v>-3028</v>
      </c>
      <c r="K27" s="30">
        <f t="shared" si="7"/>
        <v>88451.7</v>
      </c>
    </row>
    <row r="28" spans="2:11" x14ac:dyDescent="0.25">
      <c r="B28" t="str">
        <f>Legende!A12</f>
        <v>Novembre</v>
      </c>
      <c r="C28" s="26">
        <f>'Analyse extrac'!D32</f>
        <v>-7070.48</v>
      </c>
      <c r="D28" s="26">
        <f>'Analyse extrac'!E32</f>
        <v>-13441</v>
      </c>
      <c r="E28" s="26">
        <f t="shared" si="5"/>
        <v>6370.52</v>
      </c>
      <c r="F28" t="str">
        <f t="shared" si="6"/>
        <v>Dégradation trésorerie</v>
      </c>
      <c r="H28" t="str">
        <f>Legende!A12</f>
        <v>Novembre</v>
      </c>
      <c r="I28" s="72">
        <f>INDEX(Final[BFR],MATCH(H28,Final[Société],0))</f>
        <v>-7070.66</v>
      </c>
      <c r="J28" s="30">
        <f>'Analyse extrac'!E32</f>
        <v>-13441</v>
      </c>
      <c r="K28" s="30">
        <f t="shared" si="7"/>
        <v>-6370.34</v>
      </c>
    </row>
    <row r="29" spans="2:11" x14ac:dyDescent="0.25">
      <c r="B29" t="str">
        <f>Legende!A13</f>
        <v>Décembre</v>
      </c>
      <c r="C29" s="26">
        <f>'Analyse extrac'!D33</f>
        <v>103553.31</v>
      </c>
      <c r="D29" s="26">
        <f>'Analyse extrac'!E33</f>
        <v>84568</v>
      </c>
      <c r="E29" s="26">
        <f t="shared" si="5"/>
        <v>18985.309999999998</v>
      </c>
      <c r="F29" t="str">
        <f t="shared" si="6"/>
        <v>Dégradation trésorerie</v>
      </c>
      <c r="H29" t="str">
        <f>Legende!A13</f>
        <v>Décembre</v>
      </c>
      <c r="I29" s="72">
        <f>INDEX(Final[BFR],MATCH(H29,Final[Société],0))</f>
        <v>90764.459999999992</v>
      </c>
      <c r="J29" s="30">
        <f>'Analyse extrac'!E33</f>
        <v>84568</v>
      </c>
      <c r="K29" s="30">
        <f t="shared" si="7"/>
        <v>-6196.4599999999919</v>
      </c>
    </row>
    <row r="30" spans="2:11" x14ac:dyDescent="0.25">
      <c r="B30" t="str">
        <f>Legende!A14</f>
        <v>Lundi</v>
      </c>
      <c r="C30" s="26">
        <f>'Analyse extrac'!D34</f>
        <v>1608.23</v>
      </c>
      <c r="D30" s="26">
        <f>'Analyse extrac'!E34</f>
        <v>-2353</v>
      </c>
      <c r="E30" s="26">
        <f t="shared" si="5"/>
        <v>3961.23</v>
      </c>
      <c r="F30" t="str">
        <f t="shared" si="6"/>
        <v>Dégradation trésorerie</v>
      </c>
      <c r="H30" t="str">
        <f>Legende!A14</f>
        <v>Lundi</v>
      </c>
      <c r="I30" s="72">
        <f>INDEX(Final[BFR],MATCH(H30,Final[Société],0))</f>
        <v>-34973.379999999997</v>
      </c>
      <c r="J30" s="30">
        <f>'Analyse extrac'!E34</f>
        <v>-2353</v>
      </c>
      <c r="K30" s="30">
        <f t="shared" si="7"/>
        <v>32620.379999999997</v>
      </c>
    </row>
    <row r="31" spans="2:11" ht="15.75" thickBot="1" x14ac:dyDescent="0.3">
      <c r="B31" t="str">
        <f>Legende!A15</f>
        <v>Mardi</v>
      </c>
      <c r="C31" s="26">
        <f>'Analyse extrac'!D35</f>
        <v>-11056.690000000177</v>
      </c>
      <c r="D31" s="26">
        <f>'Analyse extrac'!E35</f>
        <v>-855206</v>
      </c>
      <c r="E31" s="26">
        <f t="shared" si="5"/>
        <v>844149.30999999982</v>
      </c>
      <c r="F31" t="str">
        <f t="shared" si="6"/>
        <v>Dégradation trésorerie</v>
      </c>
      <c r="H31" t="str">
        <f>Legende!A15</f>
        <v>Mardi</v>
      </c>
      <c r="I31" s="72">
        <f>INDEX(Final[BFR],MATCH(H31,Final[Société],0))</f>
        <v>-673955.8899999999</v>
      </c>
      <c r="J31" s="31">
        <f>'Analyse extrac'!E35</f>
        <v>-855206</v>
      </c>
      <c r="K31" s="31">
        <f t="shared" si="7"/>
        <v>-181250.1100000001</v>
      </c>
    </row>
    <row r="32" spans="2:11" ht="15.75" thickBot="1" x14ac:dyDescent="0.3">
      <c r="B32" s="27" t="str">
        <f>Legende!J4</f>
        <v>Totaux générale</v>
      </c>
      <c r="C32" s="28">
        <f>SUM(C18:C31)</f>
        <v>128407.79999999984</v>
      </c>
      <c r="D32" s="28">
        <f>SUM(D18:D31)</f>
        <v>-682591</v>
      </c>
      <c r="E32" s="28">
        <f>SUM(E18:E31)</f>
        <v>810998.79999999981</v>
      </c>
      <c r="H32" s="27" t="str">
        <f>Legende!J4</f>
        <v>Totaux générale</v>
      </c>
      <c r="I32" s="73">
        <f>SUM(I18:I31)</f>
        <v>-1071801.6399999999</v>
      </c>
      <c r="J32" s="28">
        <f>SUM(J18:J31)</f>
        <v>-682591</v>
      </c>
      <c r="K32" s="28">
        <f t="shared" si="7"/>
        <v>389210.6399999999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C2C354-A7DE-4975-96B7-D488A0E833A2}">
  <sheetPr codeName="Feuil5"/>
  <dimension ref="A1:Z37"/>
  <sheetViews>
    <sheetView tabSelected="1" zoomScaleNormal="100" workbookViewId="0">
      <selection activeCell="G11" sqref="G11"/>
    </sheetView>
  </sheetViews>
  <sheetFormatPr baseColWidth="10" defaultRowHeight="15" x14ac:dyDescent="0.25"/>
  <cols>
    <col min="1" max="1" width="26" style="56" bestFit="1" customWidth="1"/>
    <col min="2" max="2" width="4.5703125" style="56" customWidth="1"/>
    <col min="3" max="3" width="31.28515625" style="56" bestFit="1" customWidth="1"/>
    <col min="4" max="4" width="14.5703125" style="56" bestFit="1" customWidth="1"/>
    <col min="5" max="5" width="15.5703125" style="56" bestFit="1" customWidth="1"/>
    <col min="6" max="6" width="14.5703125" style="56" bestFit="1" customWidth="1"/>
    <col min="7" max="7" width="15.5703125" style="56" bestFit="1" customWidth="1"/>
    <col min="8" max="8" width="15.28515625" style="56" bestFit="1" customWidth="1"/>
    <col min="9" max="9" width="14.5703125" style="56" bestFit="1" customWidth="1"/>
    <col min="10" max="11" width="17.7109375" style="56" bestFit="1" customWidth="1"/>
    <col min="12" max="12" width="16.7109375" style="56" bestFit="1" customWidth="1"/>
    <col min="13" max="14" width="15.5703125" style="56" bestFit="1" customWidth="1"/>
    <col min="15" max="15" width="17" style="56" customWidth="1"/>
    <col min="16" max="16" width="21.140625" style="56" bestFit="1" customWidth="1"/>
    <col min="17" max="17" width="14.5703125" style="56" bestFit="1" customWidth="1"/>
    <col min="18" max="18" width="21.5703125" style="56" bestFit="1" customWidth="1"/>
    <col min="19" max="19" width="22.85546875" style="56" bestFit="1" customWidth="1"/>
    <col min="20" max="20" width="18.7109375" style="56" customWidth="1"/>
    <col min="21" max="21" width="22.85546875" style="56" bestFit="1" customWidth="1"/>
    <col min="22" max="22" width="20.140625" style="56" bestFit="1" customWidth="1"/>
    <col min="23" max="23" width="19.7109375" style="56" bestFit="1" customWidth="1"/>
    <col min="24" max="24" width="20.28515625" style="56" customWidth="1"/>
    <col min="25" max="25" width="30.140625" style="56" bestFit="1" customWidth="1"/>
    <col min="26" max="26" width="22.5703125" style="56" customWidth="1"/>
    <col min="27" max="27" width="42.5703125" style="56" bestFit="1" customWidth="1"/>
    <col min="28" max="28" width="15.5703125" style="56" bestFit="1" customWidth="1"/>
    <col min="29" max="29" width="16.140625" style="56" bestFit="1" customWidth="1"/>
    <col min="30" max="30" width="15.140625" style="56" bestFit="1" customWidth="1"/>
    <col min="31" max="31" width="16" style="56" bestFit="1" customWidth="1"/>
    <col min="32" max="32" width="11.7109375" style="56" bestFit="1" customWidth="1"/>
    <col min="33" max="33" width="12.7109375" style="56" bestFit="1" customWidth="1"/>
    <col min="34" max="34" width="8.7109375" style="56" bestFit="1" customWidth="1"/>
    <col min="35" max="16384" width="11.42578125" style="56"/>
  </cols>
  <sheetData>
    <row r="1" spans="1:26" s="55" customFormat="1" ht="27" customHeight="1" x14ac:dyDescent="0.25">
      <c r="A1" s="54" t="s">
        <v>106</v>
      </c>
      <c r="C1" s="79" t="s">
        <v>32</v>
      </c>
      <c r="D1" s="82"/>
      <c r="E1" s="82"/>
      <c r="F1" s="82"/>
      <c r="G1" s="82"/>
      <c r="H1" s="82"/>
      <c r="I1" s="82"/>
      <c r="J1" s="82"/>
      <c r="K1" s="82"/>
      <c r="L1" s="83"/>
      <c r="M1" s="79" t="s">
        <v>27</v>
      </c>
      <c r="N1" s="80"/>
      <c r="O1" s="80"/>
      <c r="P1" s="80"/>
      <c r="Q1" s="80"/>
      <c r="R1" s="80"/>
      <c r="S1" s="80"/>
      <c r="T1" s="80"/>
      <c r="U1" s="80"/>
      <c r="V1" s="81"/>
      <c r="W1" s="81"/>
    </row>
    <row r="2" spans="1:26" ht="60.75" thickBot="1" x14ac:dyDescent="0.3">
      <c r="C2" s="55" t="s">
        <v>95</v>
      </c>
      <c r="D2" s="55" t="s">
        <v>40</v>
      </c>
      <c r="E2" s="55" t="s">
        <v>1</v>
      </c>
      <c r="F2" s="55" t="s">
        <v>2</v>
      </c>
      <c r="G2" s="55" t="s">
        <v>3</v>
      </c>
      <c r="H2" s="55" t="s">
        <v>4</v>
      </c>
      <c r="I2" s="55" t="s">
        <v>5</v>
      </c>
      <c r="J2" s="55" t="s">
        <v>6</v>
      </c>
      <c r="K2" s="55" t="s">
        <v>98</v>
      </c>
      <c r="L2" s="55" t="s">
        <v>7</v>
      </c>
      <c r="M2" s="55" t="s">
        <v>30</v>
      </c>
      <c r="N2" s="55" t="s">
        <v>25</v>
      </c>
      <c r="O2" s="55" t="s">
        <v>97</v>
      </c>
      <c r="P2" s="55" t="s">
        <v>26</v>
      </c>
      <c r="Q2" s="55" t="s">
        <v>29</v>
      </c>
      <c r="R2" s="55" t="s">
        <v>36</v>
      </c>
      <c r="S2" s="55" t="s">
        <v>96</v>
      </c>
      <c r="T2" s="55" t="s">
        <v>56</v>
      </c>
      <c r="U2" s="55" t="s">
        <v>104</v>
      </c>
      <c r="V2" s="55" t="s">
        <v>72</v>
      </c>
      <c r="W2" s="55" t="s">
        <v>76</v>
      </c>
      <c r="X2" s="39"/>
      <c r="Y2" s="39"/>
      <c r="Z2" s="39"/>
    </row>
    <row r="3" spans="1:26" ht="15.75" thickBot="1" x14ac:dyDescent="0.3">
      <c r="C3" s="39" t="s">
        <v>108</v>
      </c>
      <c r="D3" s="52">
        <v>-180643.75999999931</v>
      </c>
      <c r="E3" s="53">
        <v>-382466.95000000019</v>
      </c>
      <c r="F3" s="53">
        <v>-104079.25</v>
      </c>
      <c r="G3" s="53">
        <v>52249.75</v>
      </c>
      <c r="H3" s="53">
        <v>149993.69</v>
      </c>
      <c r="I3" s="53">
        <v>150469.68000000002</v>
      </c>
      <c r="J3" s="53"/>
      <c r="K3" s="53">
        <v>-475.99</v>
      </c>
      <c r="L3" s="53">
        <v>44306.09</v>
      </c>
      <c r="M3" s="53">
        <v>7622.45</v>
      </c>
      <c r="N3" s="53">
        <v>-96042.880000000005</v>
      </c>
      <c r="O3" s="53">
        <v>4850.68</v>
      </c>
      <c r="P3" s="53">
        <v>-2597797.67</v>
      </c>
      <c r="Q3" s="53">
        <v>196564.72</v>
      </c>
      <c r="R3" s="53">
        <v>1543199.34</v>
      </c>
      <c r="S3" s="53">
        <v>-4036</v>
      </c>
      <c r="T3" s="53"/>
      <c r="U3" s="53">
        <v>234.14</v>
      </c>
      <c r="V3" s="53">
        <v>-19048.91</v>
      </c>
      <c r="W3" s="53">
        <v>-4036</v>
      </c>
      <c r="X3" s="39"/>
      <c r="Y3" s="39"/>
      <c r="Z3" s="39"/>
    </row>
    <row r="4" spans="1:26" x14ac:dyDescent="0.25">
      <c r="C4" s="39" t="s">
        <v>109</v>
      </c>
      <c r="D4" s="53">
        <v>-183502.04999999935</v>
      </c>
      <c r="E4" s="53">
        <v>-499185.46999999974</v>
      </c>
      <c r="F4" s="53">
        <v>101097.23000000001</v>
      </c>
      <c r="G4" s="53">
        <v>-983909.12</v>
      </c>
      <c r="H4" s="53">
        <v>84999.560000000027</v>
      </c>
      <c r="I4" s="53">
        <v>87592.830000000016</v>
      </c>
      <c r="J4" s="53"/>
      <c r="K4" s="53">
        <v>-2593.27</v>
      </c>
      <c r="L4" s="53">
        <v>721.32</v>
      </c>
      <c r="M4" s="53">
        <v>840000</v>
      </c>
      <c r="N4" s="53"/>
      <c r="O4" s="53"/>
      <c r="P4" s="53"/>
      <c r="Q4" s="53">
        <v>201251.92</v>
      </c>
      <c r="R4" s="53"/>
      <c r="S4" s="53">
        <v>-60331.86</v>
      </c>
      <c r="T4" s="53"/>
      <c r="U4" s="53">
        <v>60330.12</v>
      </c>
      <c r="V4" s="53"/>
      <c r="W4" s="53">
        <v>-69875.759999999995</v>
      </c>
      <c r="X4" s="39"/>
      <c r="Y4" s="39"/>
      <c r="Z4" s="39"/>
    </row>
    <row r="5" spans="1:26" x14ac:dyDescent="0.25">
      <c r="C5" s="39" t="s">
        <v>110</v>
      </c>
      <c r="D5" s="53">
        <v>-183616.49000000022</v>
      </c>
      <c r="E5" s="53">
        <v>280724.43000000017</v>
      </c>
      <c r="F5" s="53">
        <v>-6529.76</v>
      </c>
      <c r="G5" s="53">
        <v>546224.53</v>
      </c>
      <c r="H5" s="53">
        <v>75353.850000000006</v>
      </c>
      <c r="I5" s="53">
        <v>75337.64</v>
      </c>
      <c r="J5" s="53">
        <v>16.21</v>
      </c>
      <c r="K5" s="53"/>
      <c r="L5" s="53">
        <v>17872.12</v>
      </c>
      <c r="M5" s="53">
        <v>15244.9</v>
      </c>
      <c r="N5" s="53">
        <v>-185384.1</v>
      </c>
      <c r="O5" s="53"/>
      <c r="P5" s="53">
        <v>-1851092.67</v>
      </c>
      <c r="Q5" s="53">
        <v>93875.199999999997</v>
      </c>
      <c r="R5" s="53">
        <v>1322132.17</v>
      </c>
      <c r="S5" s="53"/>
      <c r="T5" s="53"/>
      <c r="U5" s="53"/>
      <c r="V5" s="53"/>
      <c r="W5" s="53"/>
      <c r="X5" s="39"/>
      <c r="Y5" s="39"/>
      <c r="Z5" s="39"/>
    </row>
    <row r="6" spans="1:26" x14ac:dyDescent="0.25">
      <c r="C6" s="39" t="s">
        <v>111</v>
      </c>
      <c r="D6" s="53">
        <v>-113170.10999999964</v>
      </c>
      <c r="E6" s="53">
        <v>514371.3600000001</v>
      </c>
      <c r="F6" s="53">
        <v>5344.5499999999993</v>
      </c>
      <c r="G6" s="53">
        <v>675258.71</v>
      </c>
      <c r="H6" s="53">
        <v>53061.79</v>
      </c>
      <c r="I6" s="53">
        <v>53040.25</v>
      </c>
      <c r="J6" s="53">
        <v>21.54</v>
      </c>
      <c r="K6" s="53"/>
      <c r="L6" s="53">
        <v>2476.7199999999998</v>
      </c>
      <c r="M6" s="53">
        <v>110000</v>
      </c>
      <c r="N6" s="53">
        <v>-121959.21</v>
      </c>
      <c r="O6" s="53"/>
      <c r="P6" s="53">
        <v>-631177.53</v>
      </c>
      <c r="Q6" s="53">
        <v>56108.92</v>
      </c>
      <c r="R6" s="53">
        <v>610477.49</v>
      </c>
      <c r="S6" s="53"/>
      <c r="T6" s="53"/>
      <c r="U6" s="53"/>
      <c r="V6" s="53"/>
      <c r="W6" s="53"/>
      <c r="X6" s="39"/>
      <c r="Y6" s="39"/>
      <c r="Z6" s="39"/>
    </row>
    <row r="7" spans="1:26" x14ac:dyDescent="0.25">
      <c r="C7" s="39" t="s">
        <v>112</v>
      </c>
      <c r="D7" s="53">
        <v>-290787.84999999963</v>
      </c>
      <c r="E7" s="53">
        <v>-1766747.75</v>
      </c>
      <c r="F7" s="53">
        <v>-110841.12999999999</v>
      </c>
      <c r="G7" s="53">
        <v>-1262709.01</v>
      </c>
      <c r="H7" s="53">
        <v>102409.76</v>
      </c>
      <c r="I7" s="53">
        <v>106022.09</v>
      </c>
      <c r="J7" s="53"/>
      <c r="K7" s="53">
        <v>-3612.33</v>
      </c>
      <c r="L7" s="53">
        <v>89624.08</v>
      </c>
      <c r="M7" s="53">
        <v>1524.49</v>
      </c>
      <c r="N7" s="53">
        <v>-1119796.07</v>
      </c>
      <c r="O7" s="53">
        <v>257983.27</v>
      </c>
      <c r="P7" s="53">
        <v>-4326822.2700000005</v>
      </c>
      <c r="Q7" s="53">
        <v>197920.4</v>
      </c>
      <c r="R7" s="53">
        <v>2527489.54</v>
      </c>
      <c r="S7" s="53"/>
      <c r="T7" s="53">
        <v>257983.27</v>
      </c>
      <c r="U7" s="53"/>
      <c r="V7" s="53"/>
      <c r="W7" s="53"/>
      <c r="X7" s="39"/>
      <c r="Y7" s="39"/>
      <c r="Z7" s="39"/>
    </row>
    <row r="8" spans="1:26" x14ac:dyDescent="0.25">
      <c r="C8" s="39" t="s">
        <v>113</v>
      </c>
      <c r="D8" s="53">
        <v>-109631.89000000036</v>
      </c>
      <c r="E8" s="53">
        <v>-316540.67000000016</v>
      </c>
      <c r="F8" s="53">
        <v>-30890.800000000003</v>
      </c>
      <c r="G8" s="53">
        <v>-138566.37</v>
      </c>
      <c r="H8" s="53">
        <v>37451.61</v>
      </c>
      <c r="I8" s="53">
        <v>37918.399999999994</v>
      </c>
      <c r="J8" s="53"/>
      <c r="K8" s="53">
        <v>-466.79</v>
      </c>
      <c r="L8" s="53">
        <v>10524.51</v>
      </c>
      <c r="M8" s="53">
        <v>21594</v>
      </c>
      <c r="N8" s="53">
        <v>-417814.73</v>
      </c>
      <c r="O8" s="53">
        <v>40783</v>
      </c>
      <c r="P8" s="53">
        <v>-1400916.23</v>
      </c>
      <c r="Q8" s="53">
        <v>49152.959999999999</v>
      </c>
      <c r="R8" s="53">
        <v>1128464.3999999999</v>
      </c>
      <c r="S8" s="53"/>
      <c r="T8" s="53">
        <v>40783</v>
      </c>
      <c r="U8" s="53"/>
      <c r="V8" s="53"/>
      <c r="W8" s="53"/>
      <c r="X8" s="39"/>
      <c r="Y8" s="39"/>
      <c r="Z8" s="39"/>
    </row>
    <row r="9" spans="1:26" x14ac:dyDescent="0.25">
      <c r="C9" s="39" t="s">
        <v>114</v>
      </c>
      <c r="D9" s="53">
        <v>-300928.16999999993</v>
      </c>
      <c r="E9" s="53">
        <v>-2007859.3700000015</v>
      </c>
      <c r="F9" s="53">
        <v>-130059.14</v>
      </c>
      <c r="G9" s="53">
        <v>-1450173.55</v>
      </c>
      <c r="H9" s="53">
        <v>126698.51</v>
      </c>
      <c r="I9" s="53">
        <v>130553.78</v>
      </c>
      <c r="J9" s="53"/>
      <c r="K9" s="53">
        <v>-3855.27</v>
      </c>
      <c r="L9" s="53">
        <v>55779.21</v>
      </c>
      <c r="M9" s="53">
        <v>7500</v>
      </c>
      <c r="N9" s="53">
        <v>-1368590.58</v>
      </c>
      <c r="O9" s="53">
        <v>3756.98</v>
      </c>
      <c r="P9" s="53">
        <v>-4436790.67</v>
      </c>
      <c r="Q9" s="53">
        <v>191017.78</v>
      </c>
      <c r="R9" s="53">
        <v>2203927.8199999998</v>
      </c>
      <c r="S9" s="53">
        <v>-98487.82</v>
      </c>
      <c r="T9" s="53">
        <v>2002.63</v>
      </c>
      <c r="U9" s="53">
        <v>4740.3999999999996</v>
      </c>
      <c r="V9" s="53">
        <v>-33460.199999999997</v>
      </c>
      <c r="W9" s="53">
        <v>-98487.82</v>
      </c>
      <c r="X9" s="39"/>
      <c r="Y9" s="39"/>
      <c r="Z9" s="39"/>
    </row>
    <row r="10" spans="1:26" x14ac:dyDescent="0.25">
      <c r="C10" s="39" t="s">
        <v>115</v>
      </c>
      <c r="D10" s="53">
        <v>-219690.80000000028</v>
      </c>
      <c r="E10" s="53">
        <v>-560901.39999999991</v>
      </c>
      <c r="F10" s="53">
        <v>-76059.010000000009</v>
      </c>
      <c r="G10" s="53">
        <v>-178159.8</v>
      </c>
      <c r="H10" s="53">
        <v>86991.79</v>
      </c>
      <c r="I10" s="53">
        <v>87723.549999999988</v>
      </c>
      <c r="J10" s="53"/>
      <c r="K10" s="53">
        <v>-731.76</v>
      </c>
      <c r="L10" s="53">
        <v>28229.68</v>
      </c>
      <c r="M10" s="53">
        <v>1525</v>
      </c>
      <c r="N10" s="53">
        <v>-640285.87</v>
      </c>
      <c r="O10" s="53"/>
      <c r="P10" s="53">
        <v>-2626577.0099999998</v>
      </c>
      <c r="Q10" s="53">
        <v>117042.48</v>
      </c>
      <c r="R10" s="53">
        <v>1904470.51</v>
      </c>
      <c r="S10" s="53"/>
      <c r="T10" s="53"/>
      <c r="U10" s="53"/>
      <c r="V10" s="53"/>
      <c r="W10" s="53"/>
      <c r="X10" s="39"/>
      <c r="Y10" s="39"/>
      <c r="Z10" s="39"/>
    </row>
    <row r="11" spans="1:26" x14ac:dyDescent="0.25">
      <c r="C11" s="39" t="s">
        <v>116</v>
      </c>
      <c r="D11" s="53">
        <v>-50165.310000000056</v>
      </c>
      <c r="E11" s="53">
        <v>-503143.99</v>
      </c>
      <c r="F11" s="53">
        <v>-3069.16</v>
      </c>
      <c r="G11" s="53">
        <v>-425722.97</v>
      </c>
      <c r="H11" s="53">
        <v>24186.55</v>
      </c>
      <c r="I11" s="53">
        <v>25232.3</v>
      </c>
      <c r="J11" s="53"/>
      <c r="K11" s="53">
        <v>-1045.75</v>
      </c>
      <c r="L11" s="53">
        <v>25406.51</v>
      </c>
      <c r="M11" s="53">
        <v>15000</v>
      </c>
      <c r="N11" s="53">
        <v>-46000</v>
      </c>
      <c r="O11" s="53"/>
      <c r="P11" s="53">
        <v>-1666441.11</v>
      </c>
      <c r="Q11" s="53">
        <v>50923.28</v>
      </c>
      <c r="R11" s="53">
        <v>1007402.53</v>
      </c>
      <c r="S11" s="53"/>
      <c r="T11" s="53"/>
      <c r="U11" s="53"/>
      <c r="V11" s="53"/>
      <c r="W11" s="53"/>
      <c r="X11" s="39"/>
      <c r="Y11" s="39"/>
      <c r="Z11" s="39"/>
    </row>
    <row r="12" spans="1:26" x14ac:dyDescent="0.25">
      <c r="C12" s="39" t="s">
        <v>117</v>
      </c>
      <c r="D12" s="53">
        <v>-338469.7799999998</v>
      </c>
      <c r="E12" s="53">
        <v>576312.16999999993</v>
      </c>
      <c r="F12" s="53">
        <v>-91479.7</v>
      </c>
      <c r="G12" s="53">
        <v>1122224.3899999999</v>
      </c>
      <c r="H12" s="53">
        <v>115962.74</v>
      </c>
      <c r="I12" s="53">
        <v>115930.92</v>
      </c>
      <c r="J12" s="53">
        <v>31.82</v>
      </c>
      <c r="K12" s="53"/>
      <c r="L12" s="53">
        <v>20509.349999999999</v>
      </c>
      <c r="M12" s="53">
        <v>22867.35</v>
      </c>
      <c r="N12" s="53">
        <v>-156503.09</v>
      </c>
      <c r="O12" s="53">
        <v>122876.78</v>
      </c>
      <c r="P12" s="53">
        <v>-2142983.21</v>
      </c>
      <c r="Q12" s="53">
        <v>138305.01999999999</v>
      </c>
      <c r="R12" s="53">
        <v>1729541.88</v>
      </c>
      <c r="S12" s="53"/>
      <c r="T12" s="53">
        <v>122876.78</v>
      </c>
      <c r="U12" s="53"/>
      <c r="V12" s="53"/>
      <c r="W12" s="53"/>
      <c r="X12" s="39"/>
      <c r="Y12" s="39"/>
      <c r="Z12" s="39"/>
    </row>
    <row r="13" spans="1:26" x14ac:dyDescent="0.25">
      <c r="B13" s="57"/>
      <c r="C13" s="39" t="s">
        <v>118</v>
      </c>
      <c r="D13" s="53">
        <v>-350524.83000000007</v>
      </c>
      <c r="E13" s="53">
        <v>627113.44000000018</v>
      </c>
      <c r="F13" s="53">
        <v>-7070.66</v>
      </c>
      <c r="G13" s="53">
        <v>1103114.28</v>
      </c>
      <c r="H13" s="53">
        <v>118405.34999999999</v>
      </c>
      <c r="I13" s="53">
        <v>118371.15999999999</v>
      </c>
      <c r="J13" s="53">
        <v>34.19</v>
      </c>
      <c r="K13" s="53"/>
      <c r="L13" s="53">
        <v>1140.55</v>
      </c>
      <c r="M13" s="53">
        <v>15244.9</v>
      </c>
      <c r="N13" s="53">
        <v>-178331.81</v>
      </c>
      <c r="O13" s="53"/>
      <c r="P13" s="53">
        <v>-785010.35</v>
      </c>
      <c r="Q13" s="53">
        <v>120756.4</v>
      </c>
      <c r="R13" s="53">
        <v>750023.95</v>
      </c>
      <c r="S13" s="53"/>
      <c r="T13" s="53"/>
      <c r="U13" s="53"/>
      <c r="V13" s="53"/>
      <c r="W13" s="53"/>
      <c r="X13" s="39"/>
      <c r="Y13" s="39"/>
      <c r="Z13" s="39"/>
    </row>
    <row r="14" spans="1:26" x14ac:dyDescent="0.25">
      <c r="C14" s="41" t="s">
        <v>119</v>
      </c>
      <c r="D14" s="53">
        <v>-102511.41999999993</v>
      </c>
      <c r="E14" s="53">
        <v>-510791.36</v>
      </c>
      <c r="F14" s="53">
        <v>90764.459999999992</v>
      </c>
      <c r="G14" s="53">
        <v>-454014.27</v>
      </c>
      <c r="H14" s="53">
        <v>45030.12999999999</v>
      </c>
      <c r="I14" s="53">
        <v>46198.899999999994</v>
      </c>
      <c r="J14" s="53"/>
      <c r="K14" s="53">
        <v>-1168.77</v>
      </c>
      <c r="L14" s="53">
        <v>19680.48</v>
      </c>
      <c r="M14" s="53">
        <v>260</v>
      </c>
      <c r="N14" s="53">
        <v>-39636.74</v>
      </c>
      <c r="O14" s="53"/>
      <c r="P14" s="53">
        <v>-1287928.99</v>
      </c>
      <c r="Q14" s="53">
        <v>94238.73</v>
      </c>
      <c r="R14" s="53">
        <v>407134.19</v>
      </c>
      <c r="S14" s="53">
        <v>-8861</v>
      </c>
      <c r="T14" s="53"/>
      <c r="U14" s="53"/>
      <c r="V14" s="53">
        <v>0</v>
      </c>
      <c r="W14" s="53">
        <v>-8861</v>
      </c>
      <c r="X14" s="39"/>
      <c r="Y14" s="39"/>
      <c r="Z14" s="39"/>
    </row>
    <row r="15" spans="1:26" x14ac:dyDescent="0.25">
      <c r="C15" s="39" t="s">
        <v>120</v>
      </c>
      <c r="D15" s="53">
        <v>-60347.529999999912</v>
      </c>
      <c r="E15" s="53">
        <v>221729.33000000002</v>
      </c>
      <c r="F15" s="53">
        <v>-34973.379999999997</v>
      </c>
      <c r="G15" s="53">
        <v>406683.22</v>
      </c>
      <c r="H15" s="53">
        <v>89632.979999999981</v>
      </c>
      <c r="I15" s="53">
        <v>89623.079999999987</v>
      </c>
      <c r="J15" s="53">
        <v>9.9</v>
      </c>
      <c r="K15" s="53"/>
      <c r="L15" s="53">
        <v>1438.87</v>
      </c>
      <c r="M15" s="53">
        <v>1524.5</v>
      </c>
      <c r="N15" s="53"/>
      <c r="O15" s="53"/>
      <c r="P15" s="53">
        <v>-43765.5</v>
      </c>
      <c r="Q15" s="53">
        <v>91504.4</v>
      </c>
      <c r="R15" s="53">
        <v>8598.49</v>
      </c>
      <c r="S15" s="53"/>
      <c r="T15" s="53"/>
      <c r="U15" s="53"/>
      <c r="V15" s="53"/>
      <c r="W15" s="53"/>
      <c r="X15" s="39"/>
      <c r="Y15" s="39"/>
      <c r="Z15" s="39"/>
    </row>
    <row r="16" spans="1:26" x14ac:dyDescent="0.25">
      <c r="C16" s="39" t="s">
        <v>121</v>
      </c>
      <c r="D16" s="53">
        <v>-249098.57000002265</v>
      </c>
      <c r="E16" s="53">
        <v>-14319697.540000014</v>
      </c>
      <c r="F16" s="53">
        <v>-673955.8899999999</v>
      </c>
      <c r="G16" s="53">
        <v>-12927464.029999999</v>
      </c>
      <c r="H16" s="53">
        <v>469148.9</v>
      </c>
      <c r="I16" s="53">
        <v>500279.63</v>
      </c>
      <c r="J16" s="53"/>
      <c r="K16" s="53">
        <v>-31130.73</v>
      </c>
      <c r="L16" s="53">
        <v>590843.17000000004</v>
      </c>
      <c r="M16" s="53">
        <v>26037011</v>
      </c>
      <c r="N16" s="53">
        <v>-7757945.6699999999</v>
      </c>
      <c r="O16" s="53"/>
      <c r="P16" s="53">
        <v>-27313681.290000003</v>
      </c>
      <c r="Q16" s="53">
        <v>1363924.47</v>
      </c>
      <c r="R16" s="53">
        <v>6758719.8100000005</v>
      </c>
      <c r="S16" s="53"/>
      <c r="T16" s="53"/>
      <c r="U16" s="53"/>
      <c r="V16" s="53">
        <v>-4531309.1500000004</v>
      </c>
      <c r="W16" s="53"/>
      <c r="X16" s="58"/>
      <c r="Y16" s="59"/>
      <c r="Z16" s="59"/>
    </row>
    <row r="17" spans="3:25" x14ac:dyDescent="0.25">
      <c r="Y17" s="58"/>
    </row>
    <row r="18" spans="3:25" x14ac:dyDescent="0.25">
      <c r="C18" s="56" t="s">
        <v>28</v>
      </c>
      <c r="D18" s="53">
        <f>SUM(Final[TOTAL])</f>
        <v>-2733088.560000021</v>
      </c>
      <c r="E18" s="53">
        <f>SUM(Final[FDR])</f>
        <v>-18647083.770000014</v>
      </c>
      <c r="F18" s="53">
        <f>SUM(Final[BFR])</f>
        <v>-1071801.6399999999</v>
      </c>
      <c r="G18" s="53">
        <f>SUM(Final[C/C])</f>
        <v>-13914964.24</v>
      </c>
      <c r="H18" s="53">
        <f>SUM(Final[RESULTAT])</f>
        <v>1579327.21</v>
      </c>
      <c r="I18" s="53">
        <f>SUM(Final[EBIT])</f>
        <v>1624294.21</v>
      </c>
      <c r="J18" s="53">
        <f>SUM(Final[PRODUITS FINANCIERES])</f>
        <v>113.66</v>
      </c>
      <c r="K18" s="53">
        <f>SUM(Final[CHARGES FINANCIERES])</f>
        <v>-45080.66</v>
      </c>
      <c r="L18" s="53">
        <f>SUM(Final[DOTATIONS])</f>
        <v>908552.65999999992</v>
      </c>
      <c r="M18" s="53">
        <f>SUM(Final[CAPITAL])</f>
        <v>27096918.59</v>
      </c>
      <c r="N18" s="53">
        <f>SUM(Final[TERRAINS])</f>
        <v>-12128290.75</v>
      </c>
      <c r="O18" s="53">
        <f>SUM(Final[AMÉNAGEMENT DE TERRAINS])</f>
        <v>430250.70999999996</v>
      </c>
      <c r="P18" s="53">
        <f>SUM(Final[CONSTRUCTIONS])</f>
        <v>-51110984.5</v>
      </c>
      <c r="Q18" s="53">
        <f>SUM(Final[LOYERS])</f>
        <v>2962586.6799999997</v>
      </c>
      <c r="R18" s="53">
        <f>SUM(Final[AMORTISSEMENT CONSTRUCTIONS])</f>
        <v>21901582.119999997</v>
      </c>
      <c r="S18" s="53">
        <f>SUM(Final[AMORTISSEMENTS INSTALLATIONS GÉNÉRALES ET AGENCEMENTS])</f>
        <v>-171716.68</v>
      </c>
      <c r="T18" s="53">
        <f>SUM(Final[AMORTISSEMENT AGENCEMENTS DE TERRAINS])</f>
        <v>423645.68000000005</v>
      </c>
      <c r="U18" s="53">
        <f>SUM(Final[AMORTISSEMENTS INSTALLATIONS GÉNÉRALES ET AGENCEMENTS 2])</f>
        <v>65304.66</v>
      </c>
      <c r="V18" s="53">
        <f>SUM(Final[CONSTRUCTIONS IMMO EN COURS])</f>
        <v>-4583818.2600000007</v>
      </c>
      <c r="W18" s="53">
        <f>SUM(Final[INSTALLATIONS TECHNIQUES])</f>
        <v>-181260.58000000002</v>
      </c>
    </row>
    <row r="19" spans="3:25" x14ac:dyDescent="0.25">
      <c r="C19" s="56" t="s">
        <v>31</v>
      </c>
      <c r="D19" s="53">
        <f>SUBTOTAL(9,Final[TOTAL])</f>
        <v>-2733088.560000021</v>
      </c>
      <c r="E19" s="53">
        <f>SUBTOTAL(9,Final[FDR])</f>
        <v>-18647083.770000014</v>
      </c>
      <c r="F19" s="53">
        <f>SUBTOTAL(9,Final[BFR])</f>
        <v>-1071801.6399999999</v>
      </c>
      <c r="G19" s="53">
        <f>SUBTOTAL(9,Final[C/C])</f>
        <v>-13914964.24</v>
      </c>
      <c r="H19" s="53">
        <f>SUBTOTAL(9,Final[RESULTAT])</f>
        <v>1579327.21</v>
      </c>
      <c r="I19" s="53">
        <f>SUBTOTAL(9,Final[EBIT])</f>
        <v>1624294.21</v>
      </c>
      <c r="J19" s="53">
        <f>SUBTOTAL(9,Final[PRODUITS FINANCIERES])</f>
        <v>113.66</v>
      </c>
      <c r="K19" s="53">
        <f>SUBTOTAL(9,Final[CHARGES FINANCIERES])</f>
        <v>-45080.66</v>
      </c>
      <c r="L19" s="53">
        <f>SUBTOTAL(9,Final[DOTATIONS])</f>
        <v>908552.65999999992</v>
      </c>
      <c r="M19" s="53">
        <f>SUBTOTAL(9,Final[CAPITAL])</f>
        <v>27096918.59</v>
      </c>
      <c r="N19" s="53">
        <f>SUBTOTAL(9,Final[TERRAINS])</f>
        <v>-12128290.75</v>
      </c>
      <c r="O19" s="53">
        <f>SUBTOTAL(9,Final[AMÉNAGEMENT DE TERRAINS])</f>
        <v>430250.70999999996</v>
      </c>
      <c r="P19" s="53">
        <f>SUBTOTAL(9,Final[CONSTRUCTIONS])</f>
        <v>-51110984.5</v>
      </c>
      <c r="Q19" s="53">
        <f>SUBTOTAL(9,Final[LOYERS])</f>
        <v>2962586.6799999997</v>
      </c>
      <c r="R19" s="53">
        <f>SUBTOTAL(9,Final[AMORTISSEMENT CONSTRUCTIONS])</f>
        <v>21901582.119999997</v>
      </c>
      <c r="S19" s="53">
        <f>SUBTOTAL(9,Final[AMORTISSEMENTS INSTALLATIONS GÉNÉRALES ET AGENCEMENTS])</f>
        <v>-171716.68</v>
      </c>
      <c r="T19" s="53">
        <f>SUBTOTAL(9,Final[AMORTISSEMENT AGENCEMENTS DE TERRAINS])</f>
        <v>423645.68000000005</v>
      </c>
      <c r="U19" s="53">
        <f>SUBTOTAL(9,Final[AMORTISSEMENTS INSTALLATIONS GÉNÉRALES ET AGENCEMENTS 2])</f>
        <v>65304.66</v>
      </c>
      <c r="V19" s="53">
        <f>SUBTOTAL(9,Final[CONSTRUCTIONS IMMO EN COURS])</f>
        <v>-4583818.2600000007</v>
      </c>
      <c r="W19" s="53">
        <f>SUBTOTAL(9,Final[INSTALLATIONS TECHNIQUES])</f>
        <v>-181260.58000000002</v>
      </c>
    </row>
    <row r="33" s="56" customFormat="1" x14ac:dyDescent="0.25"/>
    <row r="34" s="56" customFormat="1" x14ac:dyDescent="0.25"/>
    <row r="35" s="56" customFormat="1" x14ac:dyDescent="0.25"/>
    <row r="36" s="56" customFormat="1" x14ac:dyDescent="0.25"/>
    <row r="37" s="56" customFormat="1" x14ac:dyDescent="0.25"/>
  </sheetData>
  <phoneticPr fontId="7" type="noConversion"/>
  <conditionalFormatting sqref="D3:W16">
    <cfRule type="cellIs" dxfId="44" priority="1" operator="lessThan">
      <formula>0</formula>
    </cfRule>
    <cfRule type="cellIs" dxfId="43" priority="2" operator="greaterThan">
      <formula>0</formula>
    </cfRule>
    <cfRule type="cellIs" dxfId="42" priority="3" operator="equal">
      <formula>0</formula>
    </cfRule>
  </conditionalFormatting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D724BC-6EEF-4A4A-83CA-D8BC094E563B}">
  <sheetPr codeName="Feuil2">
    <tabColor rgb="FF0070C0"/>
  </sheetPr>
  <dimension ref="A1:F30"/>
  <sheetViews>
    <sheetView workbookViewId="0">
      <selection activeCell="I30" sqref="I30"/>
    </sheetView>
  </sheetViews>
  <sheetFormatPr baseColWidth="10" defaultRowHeight="15" x14ac:dyDescent="0.25"/>
  <sheetData>
    <row r="1" spans="1:3" x14ac:dyDescent="0.25">
      <c r="A1" t="s">
        <v>34</v>
      </c>
      <c r="C1" t="s">
        <v>33</v>
      </c>
    </row>
    <row r="30" spans="1:6" x14ac:dyDescent="0.25">
      <c r="A30" s="60"/>
      <c r="B30" s="60"/>
      <c r="C30" s="60"/>
      <c r="D30" s="60"/>
      <c r="E30" s="60"/>
      <c r="F30" s="60"/>
    </row>
  </sheetData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AADAD36-0F77-4B17-9CA0-E69F681B11D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Legende</vt:lpstr>
      <vt:lpstr>Analyse extrac</vt:lpstr>
      <vt:lpstr>Cash flow sur endettement</vt:lpstr>
      <vt:lpstr>Tech</vt:lpstr>
      <vt:lpstr>Graphique</vt:lpstr>
      <vt:lpstr>Dossier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Arnauld Dodard</dc:creator>
  <cp:lastModifiedBy>Chris_W10</cp:lastModifiedBy>
  <dcterms:created xsi:type="dcterms:W3CDTF">2021-04-14T04:48:49Z</dcterms:created>
  <dcterms:modified xsi:type="dcterms:W3CDTF">2021-05-10T19:09:26Z</dcterms:modified>
</cp:coreProperties>
</file>