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3F2A0D5-2591-4B46-BDCD-E90EABEED08E}" xr6:coauthVersionLast="46" xr6:coauthVersionMax="46" xr10:uidLastSave="{00000000-0000-0000-0000-000000000000}"/>
  <bookViews>
    <workbookView xWindow="-120" yWindow="-120" windowWidth="29040" windowHeight="15990" xr2:uid="{71A8ECE2-FE53-45D8-9621-90B88637BDD1}"/>
  </bookViews>
  <sheets>
    <sheet name="COMMANDES2021" sheetId="6" r:id="rId1"/>
    <sheet name="REF" sheetId="7" r:id="rId2"/>
    <sheet name="CA + ALERTE" sheetId="4" r:id="rId3"/>
  </sheets>
  <definedNames>
    <definedName name="_xlnm._FilterDatabase" localSheetId="2" hidden="1">'CA + ALERTE'!$B$3:$G$55</definedName>
    <definedName name="L_MP">M_P[LISTE DES MAGASINS PRIORITAIRES]</definedName>
    <definedName name="MAG_L">OFFSET('CA + ALERTE'!#REF!,,,COUNTA('CA + ALERTE'!#REF!)-1)</definedName>
    <definedName name="STATUTCDE">'CA + ALERTE'!$J$4:$J$6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" i="6" l="1" a="1"/>
  <c r="U3" i="6" s="1"/>
  <c r="U4" i="6" a="1"/>
  <c r="U4" i="6" s="1"/>
  <c r="U5" i="6" a="1"/>
  <c r="U5" i="6" s="1"/>
  <c r="U6" i="6" a="1"/>
  <c r="U6" i="6" s="1"/>
  <c r="U7" i="6" a="1"/>
  <c r="U7" i="6" s="1"/>
  <c r="U2" i="6" a="1"/>
  <c r="U2" i="6" s="1"/>
  <c r="G4" i="4"/>
  <c r="B8" i="4"/>
  <c r="B9" i="4"/>
  <c r="B10" i="4" s="1"/>
  <c r="B7" i="4"/>
  <c r="B5" i="4"/>
  <c r="B6" i="4" s="1"/>
  <c r="B4" i="4"/>
  <c r="B11" i="4" l="1"/>
  <c r="B12" i="4" l="1"/>
  <c r="B13" i="4" l="1"/>
  <c r="C12" i="4"/>
  <c r="K3" i="6"/>
  <c r="L3" i="6" s="1"/>
  <c r="K4" i="6"/>
  <c r="L4" i="6" s="1"/>
  <c r="K5" i="6"/>
  <c r="L5" i="6" s="1"/>
  <c r="K6" i="6"/>
  <c r="K7" i="6"/>
  <c r="L7" i="6" s="1"/>
  <c r="K8" i="6"/>
  <c r="K9" i="6"/>
  <c r="K10" i="6"/>
  <c r="L10" i="6" s="1"/>
  <c r="K11" i="6"/>
  <c r="K12" i="6"/>
  <c r="K13" i="6"/>
  <c r="K14" i="6"/>
  <c r="K15" i="6"/>
  <c r="L15" i="6" s="1"/>
  <c r="K16" i="6"/>
  <c r="K17" i="6"/>
  <c r="L17" i="6" s="1"/>
  <c r="K18" i="6"/>
  <c r="K19" i="6"/>
  <c r="L19" i="6" s="1"/>
  <c r="K20" i="6"/>
  <c r="K21" i="6"/>
  <c r="K22" i="6"/>
  <c r="L22" i="6" s="1"/>
  <c r="K23" i="6"/>
  <c r="K2" i="6"/>
  <c r="D21" i="6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L14" i="6" l="1"/>
  <c r="L12" i="6"/>
  <c r="L23" i="6"/>
  <c r="L11" i="6"/>
  <c r="D35" i="4"/>
  <c r="D47" i="4"/>
  <c r="D6" i="4"/>
  <c r="D18" i="4"/>
  <c r="C8" i="4"/>
  <c r="D8" i="4"/>
  <c r="D38" i="4"/>
  <c r="D22" i="4"/>
  <c r="D24" i="4"/>
  <c r="D36" i="4"/>
  <c r="D48" i="4"/>
  <c r="D7" i="4"/>
  <c r="D19" i="4"/>
  <c r="D49" i="4"/>
  <c r="L2" i="6"/>
  <c r="D50" i="4"/>
  <c r="D25" i="4"/>
  <c r="D10" i="4"/>
  <c r="D26" i="4"/>
  <c r="D9" i="4"/>
  <c r="D27" i="4"/>
  <c r="D39" i="4"/>
  <c r="D51" i="4"/>
  <c r="D28" i="4"/>
  <c r="D40" i="4"/>
  <c r="D52" i="4"/>
  <c r="D11" i="4"/>
  <c r="D45" i="4"/>
  <c r="D29" i="4"/>
  <c r="D41" i="4"/>
  <c r="D53" i="4"/>
  <c r="D12" i="4"/>
  <c r="D15" i="4"/>
  <c r="D23" i="4"/>
  <c r="D30" i="4"/>
  <c r="D42" i="4"/>
  <c r="D54" i="4"/>
  <c r="D13" i="4"/>
  <c r="D44" i="4"/>
  <c r="D16" i="4"/>
  <c r="D31" i="4"/>
  <c r="D43" i="4"/>
  <c r="D55" i="4"/>
  <c r="D14" i="4"/>
  <c r="D56" i="4"/>
  <c r="E56" i="4" s="1"/>
  <c r="F56" i="4" s="1"/>
  <c r="G56" i="4" s="1"/>
  <c r="D32" i="4"/>
  <c r="D33" i="4"/>
  <c r="D34" i="4"/>
  <c r="D46" i="4"/>
  <c r="D17" i="4"/>
  <c r="C7" i="4"/>
  <c r="D37" i="4"/>
  <c r="D20" i="4"/>
  <c r="D21" i="4"/>
  <c r="C6" i="4"/>
  <c r="C10" i="4"/>
  <c r="C9" i="4"/>
  <c r="C11" i="4"/>
  <c r="L21" i="6"/>
  <c r="L9" i="6"/>
  <c r="L20" i="6"/>
  <c r="L8" i="6"/>
  <c r="L18" i="6"/>
  <c r="L6" i="6"/>
  <c r="L13" i="6"/>
  <c r="L16" i="6"/>
  <c r="B14" i="4"/>
  <c r="C13" i="4"/>
  <c r="C4" i="4" l="1"/>
  <c r="D5" i="4"/>
  <c r="D4" i="4"/>
  <c r="C5" i="4"/>
  <c r="B15" i="4"/>
  <c r="C14" i="4"/>
  <c r="D8" i="6"/>
  <c r="D22" i="6"/>
  <c r="D18" i="6"/>
  <c r="D20" i="6"/>
  <c r="D17" i="6"/>
  <c r="D23" i="6"/>
  <c r="D13" i="6"/>
  <c r="D12" i="6"/>
  <c r="D3" i="6"/>
  <c r="D2" i="6"/>
  <c r="D16" i="6"/>
  <c r="D9" i="6"/>
  <c r="D11" i="6"/>
  <c r="D7" i="6"/>
  <c r="D4" i="6"/>
  <c r="D15" i="6"/>
  <c r="D10" i="6"/>
  <c r="D19" i="6"/>
  <c r="D5" i="6"/>
  <c r="D14" i="6"/>
  <c r="D6" i="6"/>
  <c r="C15" i="4" l="1"/>
  <c r="B16" i="4"/>
  <c r="C16" i="4" l="1"/>
  <c r="B17" i="4"/>
  <c r="C17" i="4" l="1"/>
  <c r="B18" i="4"/>
  <c r="C18" i="4" l="1"/>
  <c r="B19" i="4"/>
  <c r="B20" i="4" l="1"/>
  <c r="C19" i="4"/>
  <c r="B21" i="4" l="1"/>
  <c r="C20" i="4"/>
  <c r="B22" i="4" l="1"/>
  <c r="C21" i="4"/>
  <c r="B23" i="4" l="1"/>
  <c r="C22" i="4"/>
  <c r="B24" i="4" l="1"/>
  <c r="C23" i="4"/>
  <c r="B25" i="4" l="1"/>
  <c r="C24" i="4"/>
  <c r="B26" i="4" l="1"/>
  <c r="C25" i="4"/>
  <c r="B27" i="4" l="1"/>
  <c r="C26" i="4"/>
  <c r="C27" i="4" l="1"/>
  <c r="B28" i="4"/>
  <c r="C28" i="4" l="1"/>
  <c r="B29" i="4"/>
  <c r="C29" i="4" l="1"/>
  <c r="B30" i="4"/>
  <c r="C30" i="4" l="1"/>
  <c r="B31" i="4"/>
  <c r="B32" i="4" l="1"/>
  <c r="C31" i="4"/>
  <c r="B33" i="4" l="1"/>
  <c r="C32" i="4"/>
  <c r="B34" i="4" l="1"/>
  <c r="C33" i="4"/>
  <c r="B35" i="4" l="1"/>
  <c r="C34" i="4"/>
  <c r="B36" i="4" l="1"/>
  <c r="C35" i="4"/>
  <c r="C36" i="4" l="1"/>
  <c r="B37" i="4"/>
  <c r="B38" i="4" l="1"/>
  <c r="C37" i="4"/>
  <c r="B39" i="4" l="1"/>
  <c r="C38" i="4"/>
  <c r="C39" i="4" l="1"/>
  <c r="B40" i="4"/>
  <c r="C40" i="4" l="1"/>
  <c r="B41" i="4"/>
  <c r="C41" i="4" l="1"/>
  <c r="B42" i="4"/>
  <c r="C42" i="4" l="1"/>
  <c r="B43" i="4"/>
  <c r="B44" i="4" l="1"/>
  <c r="C43" i="4"/>
  <c r="B45" i="4" l="1"/>
  <c r="C44" i="4"/>
  <c r="B46" i="4" l="1"/>
  <c r="C45" i="4"/>
  <c r="B47" i="4" l="1"/>
  <c r="C46" i="4"/>
  <c r="B48" i="4" l="1"/>
  <c r="C47" i="4"/>
  <c r="B49" i="4" l="1"/>
  <c r="C48" i="4"/>
  <c r="B50" i="4" l="1"/>
  <c r="C49" i="4"/>
  <c r="B51" i="4" l="1"/>
  <c r="C50" i="4"/>
  <c r="C51" i="4" l="1"/>
  <c r="B52" i="4"/>
  <c r="C52" i="4" l="1"/>
  <c r="B53" i="4"/>
  <c r="B54" i="4" l="1"/>
  <c r="C53" i="4"/>
  <c r="C54" i="4" l="1"/>
  <c r="B55" i="4"/>
  <c r="B56" i="4" l="1"/>
  <c r="C56" i="4" s="1"/>
  <c r="C55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<sst xmlns="http://schemas.openxmlformats.org/spreadsheetml/2006/main" count="121" uniqueCount="80">
  <si>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</si>
  <si>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</si>
  <si>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</si>
  <si>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</si>
  <si>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</si>
  <si>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</si>
  <si>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</si>
  <si>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</si>
  <si>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</si>
  <si>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CA SEMAINE</t>
  </si>
  <si>
    <t>% ALERTE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</si>
  <si>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</si>
  <si>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</si>
  <si>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</si>
  <si>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</si>
  <si>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</si>
  <si>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</si>
  <si>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</si>
  <si>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LISTE DES MAGASINS PRIORITAIRES</t>
  </si>
  <si>
    <t>BRICOMARCHE</t>
  </si>
  <si>
    <t>JARDILAND</t>
  </si>
  <si>
    <t>JARDIVAL</t>
  </si>
  <si>
    <t>MA CAMPAGNE</t>
  </si>
  <si>
    <t>GAMM VERT</t>
  </si>
  <si>
    <t>BRICOMARCHE SAINTES</t>
  </si>
  <si>
    <t>JARDIPLAY</t>
  </si>
  <si>
    <t>LECLERC</t>
  </si>
  <si>
    <t>GAMMVERT</t>
  </si>
  <si>
    <t>DETAILLANT 1</t>
  </si>
  <si>
    <t>DETAILLANT 2</t>
  </si>
  <si>
    <t>DETAILLANT 3</t>
  </si>
  <si>
    <t>DETAILLANT 5</t>
  </si>
  <si>
    <t>DETAILLANT 6</t>
  </si>
  <si>
    <t>DETAILLANT 7</t>
  </si>
  <si>
    <t>DETAILLANT 8</t>
  </si>
  <si>
    <t>DETAILLANT 10</t>
  </si>
  <si>
    <t>DETAILLANT 11</t>
  </si>
  <si>
    <t>DETAILLANT 12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</si>
  <si>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</si>
  <si>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</si>
  <si>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</si>
  <si>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</si>
  <si>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</si>
  <si>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</si>
  <si>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</si>
  <si>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</si>
  <si>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</si>
  <si>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COM11</t>
  </si>
  <si>
    <t>COM12</t>
  </si>
  <si>
    <t>COM13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</si>
  <si>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</si>
  <si>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</si>
  <si>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</si>
  <si>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</si>
  <si>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</si>
  <si>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</si>
  <si>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</si>
  <si>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</si>
  <si>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</si>
  <si>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CLIENT11</t>
  </si>
  <si>
    <t>CLIENT12</t>
  </si>
  <si>
    <t>CLIENT13</t>
  </si>
  <si>
    <t>CLIENT15</t>
  </si>
  <si>
    <t>DETAILLANT 20</t>
  </si>
  <si>
    <t>CLIENTFF</t>
  </si>
  <si>
    <t>JARDILAND SAINTES</t>
  </si>
  <si>
    <t>DETAILLANT1</t>
  </si>
  <si>
    <t>DETAILLANT</t>
  </si>
  <si>
    <t>JEROM</t>
  </si>
  <si>
    <t>C4252</t>
  </si>
  <si>
    <t>DETAILLANT RIBERAC</t>
  </si>
  <si>
    <t>PLAQUE            (liv à Dépôt1)   PA CDE</t>
  </si>
  <si>
    <t>CLIENT10</t>
  </si>
  <si>
    <t>DETAILLANT SAINTES</t>
  </si>
  <si>
    <t>SEMAINE</t>
  </si>
  <si>
    <t>R1</t>
  </si>
  <si>
    <t>R2</t>
  </si>
  <si>
    <t>TOTAL SEMAINE</t>
  </si>
  <si>
    <t>TERMINE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</si>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</sst>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\ [$€-40C]_-;\-* #,##0\ [$€-40C]_-;_-* &quot;-&quot;\ [$€-40C]_-;_-@_-"/>
    <numFmt numFmtId="167" formatCode="_-* #,##0_-;\-* #,##0_-;_-* &quot;-&quot;??_-;_-@_-"/>
    <numFmt numFmtId="168" formatCode="_-* #,##0.00\ &quot;€&quot;_-;\-* #,##0.00\ &quot;€&quot;_-;;_-@_-"/>
    <numFmt numFmtId="170" formatCode="&quot;SEMAINE &quot;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b/>
      <sz val="9"/>
      <color rgb="FFC00000"/>
      <name val="Montserrat"/>
    </font>
    <font>
      <b/>
      <sz val="8"/>
      <color theme="1"/>
      <name val="Montserrat"/>
    </font>
    <font>
      <b/>
      <sz val="9"/>
      <color theme="0"/>
      <name val="Wingdings"/>
      <charset val="2"/>
    </font>
    <font>
      <b/>
      <sz val="22"/>
      <name val="Gears Icons"/>
    </font>
    <font>
      <sz val="9"/>
      <color theme="0"/>
      <name val="Wingdings"/>
      <charset val="2"/>
    </font>
    <font>
      <b/>
      <sz val="6"/>
      <color theme="0"/>
      <name val="Wingdings"/>
      <charset val="2"/>
    </font>
    <font>
      <b/>
      <sz val="4"/>
      <color theme="0"/>
      <name val="Montserrat"/>
    </font>
    <font>
      <sz val="12"/>
      <color theme="0"/>
      <name val="Gears Icons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2">
    <xf numFmtId="0" fontId="0" fillId="0" borderId="0" xfId="0"/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0" fillId="0" borderId="0" xfId="2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44" fontId="8" fillId="3" borderId="2" xfId="1" applyFont="1" applyFill="1" applyBorder="1" applyAlignment="1">
      <alignment horizontal="center" vertical="center"/>
    </xf>
    <xf numFmtId="44" fontId="5" fillId="0" borderId="0" xfId="1" applyFont="1" applyAlignment="1">
      <alignment vertical="center"/>
    </xf>
    <xf numFmtId="9" fontId="2" fillId="4" borderId="1" xfId="2" applyFont="1" applyFill="1" applyBorder="1" applyAlignment="1">
      <alignment horizontal="center" vertical="center"/>
    </xf>
    <xf numFmtId="44" fontId="5" fillId="5" borderId="1" xfId="1" applyFont="1" applyFill="1" applyBorder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9" fontId="9" fillId="2" borderId="0" xfId="0" applyNumberFormat="1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15" fillId="2" borderId="0" xfId="0" applyFont="1" applyFill="1" applyAlignment="1">
      <alignment horizontal="center" vertical="center" wrapText="1"/>
    </xf>
    <xf numFmtId="1" fontId="16" fillId="2" borderId="0" xfId="0" applyNumberFormat="1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indent="1"/>
    </xf>
    <xf numFmtId="0" fontId="6" fillId="4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vertical="center"/>
    </xf>
    <xf numFmtId="14" fontId="6" fillId="4" borderId="5" xfId="0" applyNumberFormat="1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vertical="center"/>
    </xf>
    <xf numFmtId="164" fontId="6" fillId="4" borderId="5" xfId="0" applyNumberFormat="1" applyFont="1" applyFill="1" applyBorder="1" applyAlignment="1">
      <alignment horizontal="center" vertical="center"/>
    </xf>
    <xf numFmtId="1" fontId="6" fillId="4" borderId="5" xfId="0" applyNumberFormat="1" applyFont="1" applyFill="1" applyBorder="1" applyAlignment="1">
      <alignment vertical="center"/>
    </xf>
    <xf numFmtId="167" fontId="6" fillId="4" borderId="5" xfId="3" applyNumberFormat="1" applyFont="1" applyFill="1" applyBorder="1" applyAlignment="1">
      <alignment horizontal="center" vertical="center"/>
    </xf>
    <xf numFmtId="168" fontId="2" fillId="4" borderId="5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0" fontId="17" fillId="4" borderId="5" xfId="0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left" vertical="center" indent="1"/>
    </xf>
    <xf numFmtId="0" fontId="6" fillId="4" borderId="5" xfId="0" applyFont="1" applyFill="1" applyBorder="1" applyAlignment="1">
      <alignment horizontal="right" vertical="center"/>
    </xf>
    <xf numFmtId="0" fontId="6" fillId="4" borderId="6" xfId="0" applyFont="1" applyFill="1" applyBorder="1" applyAlignment="1">
      <alignment horizontal="left" vertical="center" indent="1"/>
    </xf>
    <xf numFmtId="0" fontId="6" fillId="4" borderId="6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vertical="center"/>
    </xf>
    <xf numFmtId="14" fontId="6" fillId="4" borderId="6" xfId="0" applyNumberFormat="1" applyFont="1" applyFill="1" applyBorder="1" applyAlignment="1">
      <alignment horizontal="center" vertical="center"/>
    </xf>
    <xf numFmtId="164" fontId="6" fillId="4" borderId="6" xfId="0" applyNumberFormat="1" applyFont="1" applyFill="1" applyBorder="1" applyAlignment="1">
      <alignment vertical="center"/>
    </xf>
    <xf numFmtId="1" fontId="6" fillId="4" borderId="6" xfId="0" applyNumberFormat="1" applyFont="1" applyFill="1" applyBorder="1" applyAlignment="1">
      <alignment vertical="center"/>
    </xf>
    <xf numFmtId="167" fontId="6" fillId="4" borderId="6" xfId="3" applyNumberFormat="1" applyFont="1" applyFill="1" applyBorder="1" applyAlignment="1">
      <alignment horizontal="center" vertical="center"/>
    </xf>
    <xf numFmtId="168" fontId="2" fillId="4" borderId="6" xfId="1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vertical="center"/>
    </xf>
    <xf numFmtId="170" fontId="9" fillId="3" borderId="4" xfId="0" applyNumberFormat="1" applyFont="1" applyFill="1" applyBorder="1" applyAlignment="1">
      <alignment horizontal="center" vertical="center"/>
    </xf>
    <xf numFmtId="170" fontId="9" fillId="3" borderId="1" xfId="0" applyNumberFormat="1" applyFont="1" applyFill="1" applyBorder="1" applyAlignment="1">
      <alignment horizontal="center" vertic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105">
    <dxf>
      <font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5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5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5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color theme="5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ont>
        <color theme="5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ont>
        <color theme="5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color theme="5"/>
      </font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ont>
        <b val="0"/>
        <strike val="0"/>
        <outline val="0"/>
        <shadow val="0"/>
        <u val="none"/>
        <vertAlign val="baseline"/>
        <color theme="0"/>
      </font>
      <fill>
        <patternFill patternType="solid">
          <fgColor indexed="64"/>
          <bgColor theme="1" tint="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9" formatCode="dd/mm/yyyy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9" formatCode="dd/mm/yyyy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68" formatCode="_-* #,##0.00\ &quot;€&quot;_-;\-* #,##0.00\ &quot;€&quot;_-;;_-@_-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67" formatCode="_-* #,##0_-;\-* #,##0_-;_-* &quot;-&quot;??_-;_-@_-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9" formatCode="dd/mm/yyyy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" formatCode="0"/>
      <fill>
        <patternFill patternType="solid">
          <fgColor indexed="64"/>
          <bgColor theme="1" tint="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64" formatCode="#,##0.00\ &quot;€&quot;"/>
      <fill>
        <patternFill patternType="solid">
          <fgColor indexed="64"/>
          <bgColor theme="1" tint="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64" formatCode="#,##0.00\ &quot;€&quot;"/>
      <fill>
        <patternFill patternType="solid">
          <fgColor indexed="64"/>
          <bgColor theme="1" tint="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numFmt numFmtId="19" formatCode="dd/mm/yyyy"/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Wingdings"/>
        <charset val="2"/>
        <scheme val="none"/>
      </font>
      <fill>
        <patternFill patternType="solid">
          <fgColor indexed="64"/>
          <bgColor theme="1" tint="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2" tint="-0.749961851863155"/>
        </top>
        <bottom style="thin">
          <color theme="2" tint="-0.749961851863155"/>
        </bottom>
      </border>
    </dxf>
    <dxf>
      <font>
        <color theme="0"/>
      </font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92D050"/>
      </font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</dxf>
    <dxf>
      <font>
        <b val="0"/>
        <i val="0"/>
        <color theme="0" tint="-0.14996795556505021"/>
      </font>
      <fill>
        <patternFill patternType="solid">
          <bgColor theme="1" tint="0.14996795556505021"/>
        </patternFill>
      </fill>
      <border>
        <top style="thin">
          <color theme="2" tint="-0.749961851863155"/>
        </top>
        <bottom style="thin">
          <color theme="2" tint="-0.749961851863155"/>
        </bottom>
      </border>
    </dxf>
    <dxf>
      <font>
        <b val="0"/>
        <i val="0"/>
        <color theme="5"/>
      </font>
      <fill>
        <patternFill patternType="solid">
          <bgColor theme="1" tint="0.14996795556505021"/>
        </patternFill>
      </fill>
    </dxf>
    <dxf>
      <font>
        <color rgb="FFFF0000"/>
      </font>
      <fill>
        <patternFill>
          <bgColor theme="1" tint="0.1499679555650502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2D050"/>
      </font>
      <fill>
        <patternFill>
          <bgColor theme="1" tint="0.14996795556505021"/>
        </patternFill>
      </fill>
    </dxf>
    <dxf>
      <font>
        <b val="0"/>
        <i val="0"/>
        <color theme="2" tint="-0.24994659260841701"/>
      </font>
      <fill>
        <patternFill patternType="solid">
          <bgColor theme="1" tint="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ontserrat"/>
        <scheme val="none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2" tint="-0.7499618518631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ontserrat"/>
        <scheme val="none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ontserrat"/>
        <scheme val="none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Montserrat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ABAE22"/>
      <color rgb="FFFF8001"/>
      <color rgb="FF859F31"/>
      <color rgb="FFB46CC8"/>
      <color rgb="FF602C08"/>
      <color rgb="FFAD4F0F"/>
      <color rgb="FFDF7721"/>
      <color rgb="FF9A0000"/>
      <color rgb="FFE36803"/>
      <color rgb="FFBD57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04DF1E-1065-4DCC-82AA-26C4353905F3}" name="Commandes" displayName="Commandes" ref="B1:S23" totalsRowShown="0" headerRowDxfId="99" dataDxfId="45" tableBorderDxfId="100">
  <autoFilter ref="B1:S23" xr:uid="{A1AFA632-5A9D-43A8-A678-A33238F92819}"/>
  <tableColumns count="18">
    <tableColumn id="1" xr3:uid="{788A442D-9D2E-46B0-B139-1AA1897FCFB4}" name="COMMERCIAL" dataDxfId="63"/>
    <tableColumn id="2" xr3:uid="{DF51DA5E-5F01-4DD2-ADCF-366B4E03405A}" name="CLIENT" dataDxfId="62"/>
    <tableColumn id="3" xr3:uid="{D273C276-B91D-48DD-9D46-67D29886DB46}" name="R1" dataDxfId="61"/>
    <tableColumn id="4" xr3:uid="{3E4AAC49-244F-4327-9B5A-7E58F2392113}" name="NOM DU CLIENT" dataDxfId="60"/>
    <tableColumn id="5" xr3:uid="{2EBEBE9A-B860-411C-B100-16242D8862BE}" name="DATE DE CONFIRMATION" dataDxfId="59"/>
    <tableColumn id="6" xr3:uid="{67D964FE-D406-4176-BB67-11BDDA211F79}" name="MONTANT" dataDxfId="58"/>
    <tableColumn id="7" xr3:uid="{5AE48DB0-4335-4AA0-9C03-80941899EE3F}" name="STATUT COMMANDE" dataDxfId="57"/>
    <tableColumn id="8" xr3:uid="{AD93128F-37D2-4030-B4A2-E1AD1BCCDB18}" name="R2" dataDxfId="56"/>
    <tableColumn id="9" xr3:uid="{BCC31948-76E2-4B43-91D1-D53F0CF79CE4}" name="DATE DE LIVRAISON" dataDxfId="55"/>
    <tableColumn id="10" xr3:uid="{470F6A34-481E-460C-8638-83572FF33AFB}" name="SEMAINE" dataDxfId="54" dataCellStyle="Milliers">
      <calculatedColumnFormula>_xlfn.ISOWEEKNUM(J2)</calculatedColumnFormula>
    </tableColumn>
    <tableColumn id="11" xr3:uid="{A30525EE-B583-4A46-BAA8-84E7BAF00777}" name="TOTAL SEMAINE" dataDxfId="53" dataCellStyle="Monétaire">
      <calculatedColumnFormula>IF(Commandes[[#This Row],[SEMAINE]]&lt;&gt;K3,SUMIFS(Commandes[MONTANT],Commandes[SEMAINE],Commandes[[#This Row],[SEMAINE]]),0)</calculatedColumnFormula>
    </tableColumn>
    <tableColumn id="12" xr3:uid="{E4EF55E2-C2B8-45FB-99DC-E45D1EE97CC6}" name="100% dépot1" dataDxfId="52"/>
    <tableColumn id="13" xr3:uid="{0229D0F7-2E3E-4A54-A085-1F18330C8E71}" name=" PARTIEL dépot1" dataDxfId="51"/>
    <tableColumn id="14" xr3:uid="{01CC8807-E4B0-44BB-8411-8C5A8D6F0787}" name="PLAQUE            (liv à Dépôt1)   PA CDE" dataDxfId="50"/>
    <tableColumn id="15" xr3:uid="{CC253640-F4C2-4B14-91DF-1FC99659148C}" name="N° DE PLS CDE 100% Dépot1" dataDxfId="49"/>
    <tableColumn id="16" xr3:uid="{4A1CAB9A-71C9-4D08-A765-E964A721A87E}" name="DATE PREV DEPART dépot1" dataDxfId="48"/>
    <tableColumn id="17" xr3:uid="{90290DF6-01A4-4108-88F9-A98CA7254DD2}" name="DATE DEPART PLAQUES dépot1" dataDxfId="47"/>
    <tableColumn id="18" xr3:uid="{CF293509-AE92-46AF-BA6F-D6445340552C}" name="COMMENTAIRES" dataDxfId="4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D58C6C-A122-48E5-AD35-BDCA8E0BA6D5}" name="M_P" displayName="M_P" ref="A1:A9" totalsRowShown="0" headerRowDxfId="101" dataDxfId="102" tableBorderDxfId="104">
  <autoFilter ref="A1:A9" xr:uid="{06ACA299-691D-481A-9BCC-B69150FBBB01}"/>
  <tableColumns count="1">
    <tableColumn id="1" xr3:uid="{FECA8BD4-F4C6-4AA8-9D2F-353394E2D62E}" name="LISTE DES MAGASINS PRIORITAIRES" dataDxfId="10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sheetPr codeName="Feuil1"/>
  <dimension ref="A1:U23"/>
  <sheetViews>
    <sheetView tabSelected="1" zoomScaleNormal="100" workbookViewId="0">
      <selection activeCell="E17" sqref="E17"/>
    </sheetView>
  </sheetViews>
  <sheetFormatPr baseColWidth="10" defaultRowHeight="23.25" customHeight="1"/>
  <cols>
    <col min="1" max="1" width="3.5703125" style="5" customWidth="1"/>
    <col min="2" max="2" width="11.85546875" style="5" customWidth="1"/>
    <col min="3" max="3" width="12.42578125" style="18" customWidth="1"/>
    <col min="4" max="4" width="0.42578125" style="19" customWidth="1"/>
    <col min="5" max="5" width="32.42578125" style="20" customWidth="1"/>
    <col min="6" max="6" width="14.42578125" style="21" customWidth="1"/>
    <col min="7" max="7" width="14.85546875" style="22" customWidth="1"/>
    <col min="8" max="8" width="18.85546875" style="22" customWidth="1"/>
    <col min="9" max="9" width="1.140625" style="23" customWidth="1"/>
    <col min="10" max="10" width="12.5703125" style="21" customWidth="1"/>
    <col min="11" max="11" width="9" style="21" customWidth="1"/>
    <col min="12" max="12" width="13.7109375" style="21" customWidth="1"/>
    <col min="13" max="13" width="8.28515625" style="18" customWidth="1"/>
    <col min="14" max="14" width="15.85546875" style="18" customWidth="1"/>
    <col min="15" max="15" width="19.85546875" style="24" customWidth="1"/>
    <col min="16" max="16" width="12.140625" style="24" customWidth="1"/>
    <col min="17" max="17" width="15.7109375" style="25" customWidth="1"/>
    <col min="18" max="18" width="18.5703125" style="25" customWidth="1"/>
    <col min="19" max="19" width="50.85546875" style="26" customWidth="1"/>
    <col min="20" max="20" width="15.140625" style="5" customWidth="1"/>
    <col min="21" max="16384" width="11.42578125" style="5"/>
  </cols>
  <sheetData>
    <row r="1" spans="1:21" s="27" customFormat="1" ht="45.75" customHeight="1">
      <c r="B1" s="28" t="s">
        <v>0</v>
      </c>
      <c r="C1" s="28" t="s">
        <v>1</v>
      </c>
      <c r="D1" s="36" t="s">
        <v>75</v>
      </c>
      <c r="E1" s="28" t="s">
        <v>2</v>
      </c>
      <c r="F1" s="29" t="s">
        <v>3</v>
      </c>
      <c r="G1" s="30" t="s">
        <v>4</v>
      </c>
      <c r="H1" s="30" t="s">
        <v>5</v>
      </c>
      <c r="I1" s="37" t="s">
        <v>76</v>
      </c>
      <c r="J1" s="29" t="s">
        <v>6</v>
      </c>
      <c r="K1" s="29" t="s">
        <v>74</v>
      </c>
      <c r="L1" s="29" t="s">
        <v>77</v>
      </c>
      <c r="M1" s="31" t="s">
        <v>14</v>
      </c>
      <c r="N1" s="28" t="s">
        <v>15</v>
      </c>
      <c r="O1" s="28" t="s">
        <v>71</v>
      </c>
      <c r="P1" s="28" t="s">
        <v>11</v>
      </c>
      <c r="Q1" s="29" t="s">
        <v>12</v>
      </c>
      <c r="R1" s="29" t="s">
        <v>13</v>
      </c>
      <c r="S1" s="28" t="s">
        <v>7</v>
      </c>
    </row>
    <row r="2" spans="1:21" ht="23.25" customHeight="1">
      <c r="B2" s="38" t="s">
        <v>38</v>
      </c>
      <c r="C2" s="39" t="s">
        <v>50</v>
      </c>
      <c r="D2" s="40" t="str">
        <f>IFERROR(INT(MEDIAN(IF($I$2:$I$17=$I2,#REF!))),"")</f>
        <v/>
      </c>
      <c r="E2" s="38" t="s">
        <v>24</v>
      </c>
      <c r="F2" s="41">
        <v>44140</v>
      </c>
      <c r="G2" s="42">
        <v>1000</v>
      </c>
      <c r="H2" s="43" t="s">
        <v>78</v>
      </c>
      <c r="I2" s="44"/>
      <c r="J2" s="41">
        <v>44198</v>
      </c>
      <c r="K2" s="45">
        <f>_xlfn.ISOWEEKNUM(J2)</f>
        <v>53</v>
      </c>
      <c r="L2" s="46">
        <f>IF(Commandes[[#This Row],[SEMAINE]]&lt;&gt;K3,SUMIFS(Commandes[MONTANT],Commandes[SEMAINE],Commandes[[#This Row],[SEMAINE]]),0)</f>
        <v>0</v>
      </c>
      <c r="M2" s="43" t="s">
        <v>8</v>
      </c>
      <c r="N2" s="39"/>
      <c r="O2" s="39"/>
      <c r="P2" s="39"/>
      <c r="Q2" s="41"/>
      <c r="R2" s="41"/>
      <c r="S2" s="47"/>
      <c r="U2" s="5" t="b" cm="1">
        <f t="array" ref="U2">AND(MAX(COUNTIF($E2,L_MP&amp;"*")),SUMIFS($G$2:$G$23,$E$2:$E$23,$E2,$M$2:$M$23,"x")&gt;VLOOKUP($K2,'CA + ALERTE'!$B:$E,4,0))</f>
        <v>0</v>
      </c>
    </row>
    <row r="3" spans="1:21" ht="23.25" customHeight="1">
      <c r="B3" s="38" t="s">
        <v>39</v>
      </c>
      <c r="C3" s="39" t="s">
        <v>51</v>
      </c>
      <c r="D3" s="40" t="str">
        <f>IFERROR(INT(MEDIAN(IF($I$2:$I$17=$I3,#REF!))),"")</f>
        <v/>
      </c>
      <c r="E3" s="38" t="s">
        <v>28</v>
      </c>
      <c r="F3" s="41">
        <v>44168</v>
      </c>
      <c r="G3" s="42">
        <v>1000</v>
      </c>
      <c r="H3" s="43" t="s">
        <v>79</v>
      </c>
      <c r="I3" s="44"/>
      <c r="J3" s="41">
        <v>44199</v>
      </c>
      <c r="K3" s="45">
        <f t="shared" ref="K3:K23" si="0">_xlfn.ISOWEEKNUM(J3)</f>
        <v>53</v>
      </c>
      <c r="L3" s="46">
        <f>IF(Commandes[[#This Row],[SEMAINE]]&lt;&gt;K4,SUMIFS(Commandes[MONTANT],Commandes[SEMAINE],Commandes[[#This Row],[SEMAINE]]),0)</f>
        <v>0</v>
      </c>
      <c r="M3" s="39" t="s">
        <v>8</v>
      </c>
      <c r="N3" s="39"/>
      <c r="O3" s="39"/>
      <c r="P3" s="39"/>
      <c r="Q3" s="41"/>
      <c r="R3" s="41"/>
      <c r="S3" s="47"/>
      <c r="U3" s="5" t="b" cm="1">
        <f t="array" ref="U3">AND(MAX(COUNTIF($E3,L_MP&amp;"*")),SUMIFS($G$2:$G$23,$E$2:$E$23,$E3,$M$2:$M$23,"x")&gt;VLOOKUP($K3,'CA + ALERTE'!$B:$E,4,0))</f>
        <v>0</v>
      </c>
    </row>
    <row r="4" spans="1:21" ht="23.25" customHeight="1">
      <c r="A4" s="32"/>
      <c r="B4" s="38" t="s">
        <v>40</v>
      </c>
      <c r="C4" s="39" t="s">
        <v>52</v>
      </c>
      <c r="D4" s="40" t="str">
        <f>IFERROR(INT(MEDIAN(IF($I$2:$I$17=$I4,#REF!))),"")</f>
        <v/>
      </c>
      <c r="E4" s="38" t="s">
        <v>29</v>
      </c>
      <c r="F4" s="41">
        <v>44177</v>
      </c>
      <c r="G4" s="42">
        <v>1000</v>
      </c>
      <c r="H4" s="43"/>
      <c r="I4" s="44"/>
      <c r="J4" s="41">
        <v>44198</v>
      </c>
      <c r="K4" s="45">
        <f t="shared" si="0"/>
        <v>53</v>
      </c>
      <c r="L4" s="46">
        <f>IF(Commandes[[#This Row],[SEMAINE]]&lt;&gt;K5,SUMIFS(Commandes[MONTANT],Commandes[SEMAINE],Commandes[[#This Row],[SEMAINE]]),0)</f>
        <v>0</v>
      </c>
      <c r="M4" s="39" t="s">
        <v>8</v>
      </c>
      <c r="N4" s="39"/>
      <c r="O4" s="39"/>
      <c r="P4" s="39"/>
      <c r="Q4" s="41"/>
      <c r="R4" s="41"/>
      <c r="S4" s="47"/>
      <c r="U4" s="5" t="b" cm="1">
        <f t="array" ref="U4">AND(MAX(COUNTIF($E4,L_MP&amp;"*")),SUMIFS($G$2:$G$23,$E$2:$E$23,$E4,$M$2:$M$23,"x")&gt;VLOOKUP($K4,'CA + ALERTE'!$B:$E,4,0))</f>
        <v>0</v>
      </c>
    </row>
    <row r="5" spans="1:21" ht="23.25" customHeight="1">
      <c r="B5" s="38" t="s">
        <v>41</v>
      </c>
      <c r="C5" s="39" t="s">
        <v>53</v>
      </c>
      <c r="D5" s="40" t="str">
        <f>IFERROR(INT(MEDIAN(IF($I$2:$I$17=$I5,#REF!))),"")</f>
        <v/>
      </c>
      <c r="E5" s="38" t="s">
        <v>30</v>
      </c>
      <c r="F5" s="41">
        <v>44112</v>
      </c>
      <c r="G5" s="42">
        <v>1000</v>
      </c>
      <c r="H5" s="43"/>
      <c r="I5" s="44"/>
      <c r="J5" s="41">
        <v>44198</v>
      </c>
      <c r="K5" s="45">
        <f t="shared" si="0"/>
        <v>53</v>
      </c>
      <c r="L5" s="46">
        <f>IF(Commandes[[#This Row],[SEMAINE]]&lt;&gt;K6,SUMIFS(Commandes[MONTANT],Commandes[SEMAINE],Commandes[[#This Row],[SEMAINE]]),0)</f>
        <v>0</v>
      </c>
      <c r="M5" s="39" t="s">
        <v>8</v>
      </c>
      <c r="N5" s="39"/>
      <c r="O5" s="48"/>
      <c r="P5" s="39"/>
      <c r="Q5" s="41"/>
      <c r="R5" s="41"/>
      <c r="S5" s="47"/>
      <c r="U5" s="5" t="b" cm="1">
        <f t="array" ref="U5">AND(MAX(COUNTIF($E5,L_MP&amp;"*")),SUMIFS($G$2:$G$23,$E$2:$E$23,$E5,$M$2:$M$23,"x")&gt;VLOOKUP($K5,'CA + ALERTE'!$B:$E,4,0))</f>
        <v>0</v>
      </c>
    </row>
    <row r="6" spans="1:21" ht="23.25" customHeight="1">
      <c r="B6" s="38" t="s">
        <v>42</v>
      </c>
      <c r="C6" s="39" t="s">
        <v>54</v>
      </c>
      <c r="D6" s="40" t="str">
        <f>IFERROR(INT(MEDIAN(IF($I$2:$I$17=$I6,#REF!))),"")</f>
        <v/>
      </c>
      <c r="E6" s="38" t="s">
        <v>19</v>
      </c>
      <c r="F6" s="41">
        <v>44146</v>
      </c>
      <c r="G6" s="42">
        <v>1000</v>
      </c>
      <c r="H6" s="43"/>
      <c r="I6" s="44"/>
      <c r="J6" s="41">
        <v>44198</v>
      </c>
      <c r="K6" s="45">
        <f t="shared" si="0"/>
        <v>53</v>
      </c>
      <c r="L6" s="46">
        <f>IF(Commandes[[#This Row],[SEMAINE]]&lt;&gt;K7,SUMIFS(Commandes[MONTANT],Commandes[SEMAINE],Commandes[[#This Row],[SEMAINE]]),0)</f>
        <v>0</v>
      </c>
      <c r="M6" s="39" t="s">
        <v>8</v>
      </c>
      <c r="N6" s="39"/>
      <c r="O6" s="39"/>
      <c r="P6" s="39"/>
      <c r="Q6" s="41"/>
      <c r="R6" s="41"/>
      <c r="S6" s="47"/>
      <c r="U6" s="5" t="b" cm="1">
        <f t="array" ref="U6">AND(MAX(COUNTIF($E6,L_MP&amp;"*")),SUMIFS($G$2:$G$23,$E$2:$E$23,$E6,$M$2:$M$23,"x")&gt;VLOOKUP($K6,'CA + ALERTE'!$B:$E,4,0))</f>
        <v>0</v>
      </c>
    </row>
    <row r="7" spans="1:21" ht="23.25" customHeight="1">
      <c r="B7" s="38" t="s">
        <v>43</v>
      </c>
      <c r="C7" s="39" t="s">
        <v>55</v>
      </c>
      <c r="D7" s="40" t="str">
        <f>IFERROR(INT(MEDIAN(IF($I$2:$I$17=$I7,#REF!))),"")</f>
        <v/>
      </c>
      <c r="E7" s="38" t="s">
        <v>31</v>
      </c>
      <c r="F7" s="41">
        <v>44126</v>
      </c>
      <c r="G7" s="42">
        <v>1000</v>
      </c>
      <c r="H7" s="43"/>
      <c r="I7" s="44"/>
      <c r="J7" s="41">
        <v>44198</v>
      </c>
      <c r="K7" s="45">
        <f t="shared" si="0"/>
        <v>53</v>
      </c>
      <c r="L7" s="46">
        <f>IF(Commandes[[#This Row],[SEMAINE]]&lt;&gt;K8,SUMIFS(Commandes[MONTANT],Commandes[SEMAINE],Commandes[[#This Row],[SEMAINE]]),0)</f>
        <v>0</v>
      </c>
      <c r="M7" s="39" t="s">
        <v>8</v>
      </c>
      <c r="N7" s="39"/>
      <c r="O7" s="39"/>
      <c r="P7" s="39"/>
      <c r="Q7" s="41"/>
      <c r="R7" s="41"/>
      <c r="S7" s="47"/>
      <c r="U7" s="5" t="b" cm="1">
        <f t="array" ref="U7">AND(MAX(COUNTIF($E7,L_MP&amp;"*")),SUMIFS($G$2:$G$23,$E$2:$E$23,$E7,$M$2:$M$23,"x")&gt;VLOOKUP($K7,'CA + ALERTE'!$B:$E,4,0))</f>
        <v>0</v>
      </c>
    </row>
    <row r="8" spans="1:21" ht="23.25" customHeight="1">
      <c r="B8" s="38" t="s">
        <v>45</v>
      </c>
      <c r="C8" s="43" t="s">
        <v>72</v>
      </c>
      <c r="D8" s="40" t="str">
        <f>IFERROR(INT(MEDIAN(IF($I$2:$I$17=$I8,#REF!))),"")</f>
        <v/>
      </c>
      <c r="E8" s="49" t="s">
        <v>73</v>
      </c>
      <c r="F8" s="41">
        <v>44177</v>
      </c>
      <c r="G8" s="42">
        <v>500</v>
      </c>
      <c r="H8" s="43"/>
      <c r="I8" s="44"/>
      <c r="J8" s="41">
        <v>44198</v>
      </c>
      <c r="K8" s="45">
        <f t="shared" si="0"/>
        <v>53</v>
      </c>
      <c r="L8" s="46">
        <f>IF(Commandes[[#This Row],[SEMAINE]]&lt;&gt;K9,SUMIFS(Commandes[MONTANT],Commandes[SEMAINE],Commandes[[#This Row],[SEMAINE]]),0)</f>
        <v>0</v>
      </c>
      <c r="M8" s="39" t="s">
        <v>8</v>
      </c>
      <c r="N8" s="39"/>
      <c r="O8" s="39"/>
      <c r="P8" s="39"/>
      <c r="Q8" s="41"/>
      <c r="R8" s="41"/>
      <c r="S8" s="47"/>
    </row>
    <row r="9" spans="1:21" ht="23.25" customHeight="1">
      <c r="B9" s="38" t="s">
        <v>68</v>
      </c>
      <c r="C9" s="39" t="s">
        <v>69</v>
      </c>
      <c r="D9" s="40" t="str">
        <f>IFERROR(INT(MEDIAN(IF($I$2:$I$17=$I9,#REF!))),"")</f>
        <v/>
      </c>
      <c r="E9" s="38" t="s">
        <v>70</v>
      </c>
      <c r="F9" s="41">
        <v>44197</v>
      </c>
      <c r="G9" s="42">
        <v>45000</v>
      </c>
      <c r="H9" s="43"/>
      <c r="I9" s="44"/>
      <c r="J9" s="41">
        <v>44198</v>
      </c>
      <c r="K9" s="45">
        <f t="shared" si="0"/>
        <v>53</v>
      </c>
      <c r="L9" s="46">
        <f>IF(Commandes[[#This Row],[SEMAINE]]&lt;&gt;K10,SUMIFS(Commandes[MONTANT],Commandes[SEMAINE],Commandes[[#This Row],[SEMAINE]]),0)</f>
        <v>0</v>
      </c>
      <c r="M9" s="43" t="s">
        <v>8</v>
      </c>
      <c r="N9" s="39"/>
      <c r="O9" s="50"/>
      <c r="P9" s="39"/>
      <c r="Q9" s="41"/>
      <c r="R9" s="41"/>
      <c r="S9" s="47"/>
    </row>
    <row r="10" spans="1:21" ht="23.25" customHeight="1">
      <c r="B10" s="38" t="s">
        <v>44</v>
      </c>
      <c r="C10" s="39" t="s">
        <v>56</v>
      </c>
      <c r="D10" s="40" t="str">
        <f>IFERROR(INT(MEDIAN(IF($I$2:$I$17=$I10,#REF!))),"")</f>
        <v/>
      </c>
      <c r="E10" s="38" t="s">
        <v>32</v>
      </c>
      <c r="F10" s="41">
        <v>44166</v>
      </c>
      <c r="G10" s="42">
        <v>1000</v>
      </c>
      <c r="H10" s="43"/>
      <c r="I10" s="44"/>
      <c r="J10" s="41">
        <v>44198</v>
      </c>
      <c r="K10" s="45">
        <f t="shared" si="0"/>
        <v>53</v>
      </c>
      <c r="L10" s="46">
        <f>IF(Commandes[[#This Row],[SEMAINE]]&lt;&gt;K11,SUMIFS(Commandes[MONTANT],Commandes[SEMAINE],Commandes[[#This Row],[SEMAINE]]),0)</f>
        <v>0</v>
      </c>
      <c r="M10" s="39" t="s">
        <v>8</v>
      </c>
      <c r="N10" s="39"/>
      <c r="O10" s="39"/>
      <c r="P10" s="39"/>
      <c r="Q10" s="41"/>
      <c r="R10" s="41"/>
      <c r="S10" s="47"/>
    </row>
    <row r="11" spans="1:21" ht="23.25" customHeight="1">
      <c r="B11" s="49" t="s">
        <v>39</v>
      </c>
      <c r="C11" s="39" t="s">
        <v>64</v>
      </c>
      <c r="D11" s="40" t="str">
        <f>IFERROR(INT(MEDIAN(IF($I$2:$I$17=$I11,#REF!))),"")</f>
        <v/>
      </c>
      <c r="E11" s="38" t="s">
        <v>65</v>
      </c>
      <c r="F11" s="41">
        <v>44177</v>
      </c>
      <c r="G11" s="42">
        <v>31000</v>
      </c>
      <c r="H11" s="43"/>
      <c r="I11" s="44"/>
      <c r="J11" s="41">
        <v>44198</v>
      </c>
      <c r="K11" s="45">
        <f t="shared" si="0"/>
        <v>53</v>
      </c>
      <c r="L11" s="46">
        <f>IF(Commandes[[#This Row],[SEMAINE]]&lt;&gt;K12,SUMIFS(Commandes[MONTANT],Commandes[SEMAINE],Commandes[[#This Row],[SEMAINE]]),0)</f>
        <v>0</v>
      </c>
      <c r="M11" s="39" t="s">
        <v>8</v>
      </c>
      <c r="N11" s="39"/>
      <c r="O11" s="39"/>
      <c r="P11" s="39"/>
      <c r="Q11" s="41"/>
      <c r="R11" s="41"/>
      <c r="S11" s="47"/>
    </row>
    <row r="12" spans="1:21" ht="23.25" customHeight="1">
      <c r="B12" s="49" t="s">
        <v>38</v>
      </c>
      <c r="C12" s="39" t="s">
        <v>62</v>
      </c>
      <c r="D12" s="40" t="str">
        <f>IFERROR(INT(MEDIAN(IF($I$2:$I$17=$I12,#REF!))),"")</f>
        <v/>
      </c>
      <c r="E12" s="38" t="s">
        <v>63</v>
      </c>
      <c r="F12" s="41">
        <v>44115</v>
      </c>
      <c r="G12" s="42">
        <v>2001</v>
      </c>
      <c r="H12" s="43"/>
      <c r="I12" s="44"/>
      <c r="J12" s="41">
        <v>44198</v>
      </c>
      <c r="K12" s="45">
        <f t="shared" si="0"/>
        <v>53</v>
      </c>
      <c r="L12" s="46">
        <f>IF(Commandes[[#This Row],[SEMAINE]]&lt;&gt;K13,SUMIFS(Commandes[MONTANT],Commandes[SEMAINE],Commandes[[#This Row],[SEMAINE]]),0)</f>
        <v>0</v>
      </c>
      <c r="M12" s="39" t="s">
        <v>8</v>
      </c>
      <c r="N12" s="39"/>
      <c r="O12" s="39"/>
      <c r="P12" s="39"/>
      <c r="Q12" s="41"/>
      <c r="R12" s="41"/>
      <c r="S12" s="47"/>
    </row>
    <row r="13" spans="1:21" ht="23.25" customHeight="1">
      <c r="B13" s="38" t="s">
        <v>45</v>
      </c>
      <c r="C13" s="39" t="s">
        <v>57</v>
      </c>
      <c r="D13" s="40" t="str">
        <f>IFERROR(INT(MEDIAN(IF($I$2:$I$17=$I13,#REF!))),"")</f>
        <v/>
      </c>
      <c r="E13" s="38" t="s">
        <v>33</v>
      </c>
      <c r="F13" s="41">
        <v>44129</v>
      </c>
      <c r="G13" s="42">
        <v>1000</v>
      </c>
      <c r="H13" s="43"/>
      <c r="I13" s="44"/>
      <c r="J13" s="41">
        <v>44198</v>
      </c>
      <c r="K13" s="45">
        <f t="shared" si="0"/>
        <v>53</v>
      </c>
      <c r="L13" s="46">
        <f>IF(Commandes[[#This Row],[SEMAINE]]&lt;&gt;K14,SUMIFS(Commandes[MONTANT],Commandes[SEMAINE],Commandes[[#This Row],[SEMAINE]]),0)</f>
        <v>0</v>
      </c>
      <c r="M13" s="39" t="s">
        <v>8</v>
      </c>
      <c r="N13" s="39"/>
      <c r="O13" s="39"/>
      <c r="P13" s="39"/>
      <c r="Q13" s="41"/>
      <c r="R13" s="41"/>
      <c r="S13" s="47"/>
    </row>
    <row r="14" spans="1:21" ht="23.25" customHeight="1">
      <c r="B14" s="38" t="s">
        <v>47</v>
      </c>
      <c r="C14" s="39" t="s">
        <v>59</v>
      </c>
      <c r="D14" s="40" t="str">
        <f>IFERROR(INT(MEDIAN(IF($I$2:$I$17=$I14,#REF!))),"")</f>
        <v/>
      </c>
      <c r="E14" s="38" t="s">
        <v>35</v>
      </c>
      <c r="F14" s="41">
        <v>44150</v>
      </c>
      <c r="G14" s="42">
        <v>1000</v>
      </c>
      <c r="H14" s="43"/>
      <c r="I14" s="44"/>
      <c r="J14" s="41">
        <v>44199</v>
      </c>
      <c r="K14" s="45">
        <f t="shared" si="0"/>
        <v>53</v>
      </c>
      <c r="L14" s="46">
        <f>IF(Commandes[[#This Row],[SEMAINE]]&lt;&gt;K15,SUMIFS(Commandes[MONTANT],Commandes[SEMAINE],Commandes[[#This Row],[SEMAINE]]),0)</f>
        <v>0</v>
      </c>
      <c r="M14" s="39" t="s">
        <v>8</v>
      </c>
      <c r="N14" s="39"/>
      <c r="O14" s="39"/>
      <c r="P14" s="39"/>
      <c r="Q14" s="41"/>
      <c r="R14" s="41"/>
      <c r="S14" s="47"/>
    </row>
    <row r="15" spans="1:21" ht="23.25" customHeight="1">
      <c r="B15" s="38" t="s">
        <v>48</v>
      </c>
      <c r="C15" s="39" t="s">
        <v>60</v>
      </c>
      <c r="D15" s="40" t="str">
        <f>IFERROR(INT(MEDIAN(IF($I$2:$I$17=$I15,#REF!))),"")</f>
        <v/>
      </c>
      <c r="E15" s="38" t="s">
        <v>36</v>
      </c>
      <c r="F15" s="41">
        <v>44129</v>
      </c>
      <c r="G15" s="42">
        <v>1000</v>
      </c>
      <c r="H15" s="43"/>
      <c r="I15" s="44"/>
      <c r="J15" s="41">
        <v>44198</v>
      </c>
      <c r="K15" s="45">
        <f t="shared" si="0"/>
        <v>53</v>
      </c>
      <c r="L15" s="46">
        <f>IF(Commandes[[#This Row],[SEMAINE]]&lt;&gt;K16,SUMIFS(Commandes[MONTANT],Commandes[SEMAINE],Commandes[[#This Row],[SEMAINE]]),0)</f>
        <v>0</v>
      </c>
      <c r="M15" s="39" t="s">
        <v>8</v>
      </c>
      <c r="N15" s="39"/>
      <c r="O15" s="39"/>
      <c r="P15" s="39"/>
      <c r="Q15" s="41"/>
      <c r="R15" s="41"/>
      <c r="S15" s="47"/>
    </row>
    <row r="16" spans="1:21" ht="23.25" customHeight="1">
      <c r="B16" s="38" t="s">
        <v>49</v>
      </c>
      <c r="C16" s="39" t="s">
        <v>61</v>
      </c>
      <c r="D16" s="40" t="str">
        <f>IFERROR(INT(MEDIAN(IF($I$2:$I$17=$I16,#REF!))),"")</f>
        <v/>
      </c>
      <c r="E16" s="38" t="s">
        <v>37</v>
      </c>
      <c r="F16" s="41">
        <v>44152</v>
      </c>
      <c r="G16" s="42">
        <v>500</v>
      </c>
      <c r="H16" s="43"/>
      <c r="I16" s="44"/>
      <c r="J16" s="41">
        <v>44198</v>
      </c>
      <c r="K16" s="45">
        <f t="shared" si="0"/>
        <v>53</v>
      </c>
      <c r="L16" s="46">
        <f>IF(Commandes[[#This Row],[SEMAINE]]&lt;&gt;K17,SUMIFS(Commandes[MONTANT],Commandes[SEMAINE],Commandes[[#This Row],[SEMAINE]]),0)</f>
        <v>89001</v>
      </c>
      <c r="M16" s="39" t="s">
        <v>8</v>
      </c>
      <c r="N16" s="39"/>
      <c r="O16" s="39"/>
      <c r="P16" s="39"/>
      <c r="Q16" s="41"/>
      <c r="R16" s="41"/>
      <c r="S16" s="47"/>
    </row>
    <row r="17" spans="2:19" ht="23.25" customHeight="1">
      <c r="B17" s="38" t="s">
        <v>45</v>
      </c>
      <c r="C17" s="39" t="s">
        <v>1</v>
      </c>
      <c r="D17" s="40" t="str">
        <f>IFERROR(INT(MEDIAN(IF($I$17:$I$23=$I17,#REF!))),"")</f>
        <v/>
      </c>
      <c r="E17" s="38" t="s">
        <v>67</v>
      </c>
      <c r="F17" s="41">
        <v>44114</v>
      </c>
      <c r="G17" s="42">
        <v>2000</v>
      </c>
      <c r="H17" s="42"/>
      <c r="I17" s="44"/>
      <c r="J17" s="41">
        <v>44201</v>
      </c>
      <c r="K17" s="45">
        <f t="shared" si="0"/>
        <v>1</v>
      </c>
      <c r="L17" s="46">
        <f>IF(Commandes[[#This Row],[SEMAINE]]&lt;&gt;K18,SUMIFS(Commandes[MONTANT],Commandes[SEMAINE],Commandes[[#This Row],[SEMAINE]]),0)</f>
        <v>0</v>
      </c>
      <c r="M17" s="39" t="s">
        <v>8</v>
      </c>
      <c r="N17" s="39"/>
      <c r="O17" s="39"/>
      <c r="P17" s="39"/>
      <c r="Q17" s="41"/>
      <c r="R17" s="41"/>
      <c r="S17" s="47"/>
    </row>
    <row r="18" spans="2:19" ht="23.25" customHeight="1">
      <c r="B18" s="38" t="s">
        <v>46</v>
      </c>
      <c r="C18" s="39" t="s">
        <v>58</v>
      </c>
      <c r="D18" s="40" t="str">
        <f>IFERROR(INT(MEDIAN(IF($I$17:$I$23=$I18,#REF!))),"")</f>
        <v/>
      </c>
      <c r="E18" s="38" t="s">
        <v>34</v>
      </c>
      <c r="F18" s="41">
        <v>44158</v>
      </c>
      <c r="G18" s="42">
        <v>1000</v>
      </c>
      <c r="H18" s="42"/>
      <c r="I18" s="44"/>
      <c r="J18" s="41">
        <v>44201</v>
      </c>
      <c r="K18" s="45">
        <f t="shared" si="0"/>
        <v>1</v>
      </c>
      <c r="L18" s="46">
        <f>IF(Commandes[[#This Row],[SEMAINE]]&lt;&gt;K19,SUMIFS(Commandes[MONTANT],Commandes[SEMAINE],Commandes[[#This Row],[SEMAINE]]),0)</f>
        <v>0</v>
      </c>
      <c r="M18" s="39" t="s">
        <v>8</v>
      </c>
      <c r="N18" s="39"/>
      <c r="O18" s="39"/>
      <c r="P18" s="39"/>
      <c r="Q18" s="41"/>
      <c r="R18" s="41"/>
      <c r="S18" s="47"/>
    </row>
    <row r="19" spans="2:19" ht="23.25" customHeight="1">
      <c r="B19" s="38" t="s">
        <v>46</v>
      </c>
      <c r="C19" s="39" t="s">
        <v>58</v>
      </c>
      <c r="D19" s="40" t="str">
        <f>IFERROR(INT(MEDIAN(IF($I$2:$I$17=$I19,#REF!))),"")</f>
        <v/>
      </c>
      <c r="E19" s="38" t="s">
        <v>34</v>
      </c>
      <c r="F19" s="41">
        <v>44158</v>
      </c>
      <c r="G19" s="42">
        <v>1000</v>
      </c>
      <c r="H19" s="43"/>
      <c r="I19" s="44"/>
      <c r="J19" s="41">
        <v>44202</v>
      </c>
      <c r="K19" s="45">
        <f t="shared" si="0"/>
        <v>1</v>
      </c>
      <c r="L19" s="46">
        <f>IF(Commandes[[#This Row],[SEMAINE]]&lt;&gt;K20,SUMIFS(Commandes[MONTANT],Commandes[SEMAINE],Commandes[[#This Row],[SEMAINE]]),0)</f>
        <v>0</v>
      </c>
      <c r="M19" s="39" t="s">
        <v>8</v>
      </c>
      <c r="N19" s="39"/>
      <c r="O19" s="39"/>
      <c r="P19" s="39"/>
      <c r="Q19" s="41"/>
      <c r="R19" s="41"/>
      <c r="S19" s="47"/>
    </row>
    <row r="20" spans="2:19" ht="23.25" customHeight="1">
      <c r="B20" s="38" t="s">
        <v>38</v>
      </c>
      <c r="C20" s="39" t="s">
        <v>50</v>
      </c>
      <c r="D20" s="40" t="str">
        <f>IFERROR(INT(MEDIAN(IF($I$17:$I$23=$I20,#REF!))),"")</f>
        <v/>
      </c>
      <c r="E20" s="38" t="s">
        <v>66</v>
      </c>
      <c r="F20" s="41">
        <v>44152</v>
      </c>
      <c r="G20" s="42">
        <v>2000</v>
      </c>
      <c r="H20" s="42"/>
      <c r="I20" s="44"/>
      <c r="J20" s="41">
        <v>44201</v>
      </c>
      <c r="K20" s="45">
        <f t="shared" si="0"/>
        <v>1</v>
      </c>
      <c r="L20" s="46">
        <f>IF(Commandes[[#This Row],[SEMAINE]]&lt;&gt;K21,SUMIFS(Commandes[MONTANT],Commandes[SEMAINE],Commandes[[#This Row],[SEMAINE]]),0)</f>
        <v>0</v>
      </c>
      <c r="M20" s="39" t="s">
        <v>8</v>
      </c>
      <c r="N20" s="39"/>
      <c r="O20" s="39"/>
      <c r="P20" s="39"/>
      <c r="Q20" s="41"/>
      <c r="R20" s="41"/>
      <c r="S20" s="47"/>
    </row>
    <row r="21" spans="2:19" ht="23.25" customHeight="1">
      <c r="B21" s="38" t="s">
        <v>39</v>
      </c>
      <c r="C21" s="39" t="s">
        <v>51</v>
      </c>
      <c r="D21" s="40" t="str">
        <f>IFERROR(INT(MEDIAN(IF($I$2:$I$17=$I21,#REF!))),"")</f>
        <v/>
      </c>
      <c r="E21" s="38" t="s">
        <v>28</v>
      </c>
      <c r="F21" s="41">
        <v>44168</v>
      </c>
      <c r="G21" s="42">
        <v>1000</v>
      </c>
      <c r="H21" s="43"/>
      <c r="I21" s="44"/>
      <c r="J21" s="41">
        <v>44202</v>
      </c>
      <c r="K21" s="45">
        <f t="shared" si="0"/>
        <v>1</v>
      </c>
      <c r="L21" s="46">
        <f>IF(Commandes[[#This Row],[SEMAINE]]&lt;&gt;K22,SUMIFS(Commandes[MONTANT],Commandes[SEMAINE],Commandes[[#This Row],[SEMAINE]]),0)</f>
        <v>0</v>
      </c>
      <c r="M21" s="39" t="s">
        <v>8</v>
      </c>
      <c r="N21" s="39"/>
      <c r="O21" s="39"/>
      <c r="P21" s="39"/>
      <c r="Q21" s="41"/>
      <c r="R21" s="41"/>
      <c r="S21" s="47"/>
    </row>
    <row r="22" spans="2:19" ht="23.25" customHeight="1">
      <c r="B22" s="38" t="s">
        <v>38</v>
      </c>
      <c r="C22" s="39" t="s">
        <v>52</v>
      </c>
      <c r="D22" s="40" t="str">
        <f>IFERROR(INT(MEDIAN(IF($I$17:$I$23=$I22,#REF!))),"")</f>
        <v/>
      </c>
      <c r="E22" s="38" t="s">
        <v>66</v>
      </c>
      <c r="F22" s="41">
        <v>44154</v>
      </c>
      <c r="G22" s="42">
        <v>1000</v>
      </c>
      <c r="H22" s="42"/>
      <c r="I22" s="44"/>
      <c r="J22" s="41">
        <v>44202</v>
      </c>
      <c r="K22" s="45">
        <f t="shared" si="0"/>
        <v>1</v>
      </c>
      <c r="L22" s="46">
        <f>IF(Commandes[[#This Row],[SEMAINE]]&lt;&gt;K23,SUMIFS(Commandes[MONTANT],Commandes[SEMAINE],Commandes[[#This Row],[SEMAINE]]),0)</f>
        <v>0</v>
      </c>
      <c r="M22" s="39" t="s">
        <v>8</v>
      </c>
      <c r="N22" s="39"/>
      <c r="O22" s="39"/>
      <c r="P22" s="39"/>
      <c r="Q22" s="41"/>
      <c r="R22" s="41"/>
      <c r="S22" s="47"/>
    </row>
    <row r="23" spans="2:19" ht="23.25" customHeight="1">
      <c r="B23" s="51" t="s">
        <v>38</v>
      </c>
      <c r="C23" s="52" t="s">
        <v>52</v>
      </c>
      <c r="D23" s="53" t="str">
        <f>IFERROR(INT(MEDIAN(IF($I$17:$I$23=$I23,#REF!))),"")</f>
        <v/>
      </c>
      <c r="E23" s="51" t="s">
        <v>19</v>
      </c>
      <c r="F23" s="54">
        <v>44153</v>
      </c>
      <c r="G23" s="55">
        <v>1000</v>
      </c>
      <c r="H23" s="55"/>
      <c r="I23" s="56"/>
      <c r="J23" s="54">
        <v>44201</v>
      </c>
      <c r="K23" s="57">
        <f t="shared" si="0"/>
        <v>1</v>
      </c>
      <c r="L23" s="58">
        <f>IF(Commandes[[#This Row],[SEMAINE]]&lt;&gt;K24,SUMIFS(Commandes[MONTANT],Commandes[SEMAINE],Commandes[[#This Row],[SEMAINE]]),0)</f>
        <v>9000</v>
      </c>
      <c r="M23" s="52" t="s">
        <v>8</v>
      </c>
      <c r="N23" s="52"/>
      <c r="O23" s="52"/>
      <c r="P23" s="52"/>
      <c r="Q23" s="54"/>
      <c r="R23" s="54"/>
      <c r="S23" s="59"/>
    </row>
  </sheetData>
  <phoneticPr fontId="3" type="noConversion"/>
  <conditionalFormatting sqref="H2:H23">
    <cfRule type="cellIs" dxfId="6" priority="3" operator="equal">
      <formula>"TERMINE"</formula>
    </cfRule>
    <cfRule type="cellIs" dxfId="5" priority="11" operator="equal">
      <formula>"EN COURS"</formula>
    </cfRule>
  </conditionalFormatting>
  <conditionalFormatting sqref="B2:S23">
    <cfRule type="expression" dxfId="4" priority="14">
      <formula>COUNTIF($E2,L_MP&amp;"*")</formula>
    </cfRule>
    <cfRule type="expression" dxfId="3" priority="65">
      <formula>COUNTIF($K$2:$K$23,$K2)</formula>
    </cfRule>
  </conditionalFormatting>
  <conditionalFormatting sqref="B2:N23">
    <cfRule type="expression" dxfId="2" priority="66">
      <formula>COUNTIF($K$2:$K$23,$K2)&gt;10</formula>
    </cfRule>
  </conditionalFormatting>
  <conditionalFormatting sqref="D2:D23">
    <cfRule type="expression" dxfId="1" priority="2">
      <formula>AND(COUNTIF($E2,L_MP&amp;"*")=0,$F2&gt;MEDIAN(OFFSET($J$1,MATCH($K2,$K$2:$K$23,0),,COUNTIF($K$2:$K$23,$K2),1)))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F91A508-4C8A-41C8-AB80-0FF101C758BC}">
            <xm:f>AND(MAX(COUNTIF($E2,L_MP&amp;"*")),SUMIFS($G$2:$G$23,$E$2:$E$23,$E2,$M$2:$M$23,"x")&gt;VLOOKUP($K2,'CA + ALERTE'!$B:$E,4,0))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G2:G23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16B23-55D8-4C70-A55E-7642F35FBF61}">
  <dimension ref="A1:A9"/>
  <sheetViews>
    <sheetView workbookViewId="0">
      <selection activeCell="A2" sqref="A2:A9"/>
    </sheetView>
  </sheetViews>
  <sheetFormatPr baseColWidth="10" defaultRowHeight="15"/>
  <cols>
    <col min="1" max="1" width="32.42578125" customWidth="1"/>
  </cols>
  <sheetData>
    <row r="1" spans="1:1">
      <c r="A1" s="33" t="s">
        <v>18</v>
      </c>
    </row>
    <row r="2" spans="1:1">
      <c r="A2" s="34" t="s">
        <v>19</v>
      </c>
    </row>
    <row r="3" spans="1:1">
      <c r="A3" s="34" t="s">
        <v>20</v>
      </c>
    </row>
    <row r="4" spans="1:1">
      <c r="A4" s="34" t="s">
        <v>21</v>
      </c>
    </row>
    <row r="5" spans="1:1">
      <c r="A5" s="34" t="s">
        <v>22</v>
      </c>
    </row>
    <row r="6" spans="1:1">
      <c r="A6" s="34" t="s">
        <v>23</v>
      </c>
    </row>
    <row r="7" spans="1:1">
      <c r="A7" s="34" t="s">
        <v>27</v>
      </c>
    </row>
    <row r="8" spans="1:1">
      <c r="A8" s="34" t="s">
        <v>26</v>
      </c>
    </row>
    <row r="9" spans="1:1">
      <c r="A9" s="35" t="s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sheetPr codeName="Feuil2"/>
  <dimension ref="B1:H56"/>
  <sheetViews>
    <sheetView workbookViewId="0">
      <selection activeCell="B4" sqref="B4:B56"/>
    </sheetView>
  </sheetViews>
  <sheetFormatPr baseColWidth="10" defaultRowHeight="18" customHeight="1"/>
  <cols>
    <col min="1" max="1" width="2.28515625" style="4" customWidth="1"/>
    <col min="2" max="2" width="13.42578125" style="2" customWidth="1"/>
    <col min="3" max="3" width="14.140625" style="13" customWidth="1"/>
    <col min="4" max="5" width="16.28515625" style="1" customWidth="1"/>
    <col min="6" max="6" width="13.5703125" style="10" customWidth="1"/>
    <col min="7" max="7" width="13.7109375" style="17" customWidth="1"/>
    <col min="8" max="8" width="10.28515625" style="4" customWidth="1"/>
    <col min="9" max="16384" width="11.42578125" style="4"/>
  </cols>
  <sheetData>
    <row r="1" spans="2:8" ht="18" customHeight="1">
      <c r="B1" s="27">
        <v>2021</v>
      </c>
    </row>
    <row r="3" spans="2:8" s="3" customFormat="1" ht="22.5" customHeight="1">
      <c r="B3" s="6"/>
      <c r="C3" s="12" t="s">
        <v>9</v>
      </c>
      <c r="D3" s="7" t="s">
        <v>16</v>
      </c>
      <c r="E3" s="7" t="s">
        <v>17</v>
      </c>
      <c r="F3" s="9" t="s">
        <v>10</v>
      </c>
      <c r="G3" s="16"/>
      <c r="H3" s="11"/>
    </row>
    <row r="4" spans="2:8" ht="24.75" customHeight="1">
      <c r="B4" s="60">
        <f>_xlfn.ISOWEEKNUM(DATE(B1,1,1))</f>
        <v>53</v>
      </c>
      <c r="C4" s="8">
        <f>_xlfn.MAXIFS(Commandes[[TOTAL SEMAINE]:[TOTAL SEMAINE]],Commandes[[SEMAINE]:[SEMAINE]],'CA + ALERTE'!$B4)</f>
        <v>89001</v>
      </c>
      <c r="D4" s="8">
        <f>_xlfn.MAXIFS(Commandes[[TOTAL SEMAINE]:[TOTAL SEMAINE]],Commandes[[SEMAINE]:[SEMAINE]],'CA + ALERTE'!$B4,Commandes[[100% dépot1]:[100% dépot1]],"X")</f>
        <v>89001</v>
      </c>
      <c r="E4" s="15">
        <v>90000</v>
      </c>
      <c r="F4" s="14">
        <v>0.3</v>
      </c>
      <c r="G4" s="17">
        <f>E4-E4*F4</f>
        <v>63000</v>
      </c>
      <c r="H4" s="5"/>
    </row>
    <row r="5" spans="2:8" ht="24.75" customHeight="1">
      <c r="B5" s="61">
        <f>IF(B4&gt;1,_xlfn.ISOWEEKNUM(DATE(B1,1,7)),B4+1)</f>
        <v>1</v>
      </c>
      <c r="C5" s="8">
        <f>_xlfn.MAXIFS(Commandes[TOTAL SEMAINE],Commandes[SEMAINE],'CA + ALERTE'!B5)</f>
        <v>9000</v>
      </c>
      <c r="D5" s="8">
        <f>_xlfn.MAXIFS(Commandes[[TOTAL SEMAINE]:[TOTAL SEMAINE]],Commandes[[SEMAINE]:[SEMAINE]],'CA + ALERTE'!$B5,Commandes[[100% dépot1]:[100% dépot1]],"X")</f>
        <v>9000</v>
      </c>
      <c r="E5" s="15">
        <v>12000</v>
      </c>
      <c r="F5" s="14">
        <v>0.2</v>
      </c>
      <c r="G5" s="17">
        <f t="shared" ref="G5:G55" si="0">E5-E5*F5</f>
        <v>9600</v>
      </c>
      <c r="H5" s="5"/>
    </row>
    <row r="6" spans="2:8" ht="24.75" customHeight="1">
      <c r="B6" s="61">
        <f>IF(B5&gt;1,_xlfn.ISOWEEKNUM(DATE(B2,1,14)),B5+1)</f>
        <v>2</v>
      </c>
      <c r="C6" s="8">
        <f>_xlfn.MAXIFS(Commandes[TOTAL SEMAINE],Commandes[SEMAINE],'CA + ALERTE'!B6)</f>
        <v>0</v>
      </c>
      <c r="D6" s="8">
        <f>_xlfn.MAXIFS(Commandes[[TOTAL SEMAINE]:[TOTAL SEMAINE]],Commandes[[SEMAINE]:[SEMAINE]],'CA + ALERTE'!$B6,Commandes[[100% dépot1]:[100% dépot1]],"X")</f>
        <v>0</v>
      </c>
      <c r="E6" s="15">
        <v>30000</v>
      </c>
      <c r="F6" s="14">
        <v>0.4</v>
      </c>
      <c r="G6" s="17">
        <f t="shared" si="0"/>
        <v>18000</v>
      </c>
      <c r="H6" s="5"/>
    </row>
    <row r="7" spans="2:8" ht="24" customHeight="1">
      <c r="B7" s="61">
        <f>B6+1</f>
        <v>3</v>
      </c>
      <c r="C7" s="8">
        <f>_xlfn.MAXIFS(Commandes[TOTAL SEMAINE],Commandes[SEMAINE],'CA + ALERTE'!B7)</f>
        <v>0</v>
      </c>
      <c r="D7" s="8">
        <f>_xlfn.MAXIFS(Commandes[[TOTAL SEMAINE]:[TOTAL SEMAINE]],Commandes[[SEMAINE]:[SEMAINE]],'CA + ALERTE'!$B7,Commandes[[100% dépot1]:[100% dépot1]],"X")</f>
        <v>0</v>
      </c>
      <c r="E7" s="15">
        <v>25000</v>
      </c>
      <c r="F7" s="14">
        <v>0.25</v>
      </c>
      <c r="G7" s="17">
        <f t="shared" si="0"/>
        <v>18750</v>
      </c>
    </row>
    <row r="8" spans="2:8" ht="24" customHeight="1">
      <c r="B8" s="61">
        <f t="shared" ref="B8:B56" si="1">B7+1</f>
        <v>4</v>
      </c>
      <c r="C8" s="8">
        <f>_xlfn.MAXIFS(Commandes[TOTAL SEMAINE],Commandes[SEMAINE],'CA + ALERTE'!B8)</f>
        <v>0</v>
      </c>
      <c r="D8" s="8">
        <f>_xlfn.MAXIFS(Commandes[[TOTAL SEMAINE]:[TOTAL SEMAINE]],Commandes[[SEMAINE]:[SEMAINE]],'CA + ALERTE'!$B8,Commandes[[100% dépot1]:[100% dépot1]],"X")</f>
        <v>0</v>
      </c>
      <c r="E8" s="15">
        <v>25000</v>
      </c>
      <c r="F8" s="14">
        <v>0.35</v>
      </c>
      <c r="G8" s="17">
        <f t="shared" si="0"/>
        <v>16250</v>
      </c>
    </row>
    <row r="9" spans="2:8" ht="24" customHeight="1">
      <c r="B9" s="61">
        <f t="shared" si="1"/>
        <v>5</v>
      </c>
      <c r="C9" s="8">
        <f>_xlfn.MAXIFS(Commandes[TOTAL SEMAINE],Commandes[SEMAINE],'CA + ALERTE'!B9)</f>
        <v>0</v>
      </c>
      <c r="D9" s="8">
        <f>_xlfn.MAXIFS(Commandes[[TOTAL SEMAINE]:[TOTAL SEMAINE]],Commandes[[SEMAINE]:[SEMAINE]],'CA + ALERTE'!$B9,Commandes[[100% dépot1]:[100% dépot1]],"X")</f>
        <v>0</v>
      </c>
      <c r="E9" s="15">
        <v>25000</v>
      </c>
      <c r="F9" s="14">
        <v>0.2</v>
      </c>
      <c r="G9" s="17">
        <f t="shared" si="0"/>
        <v>20000</v>
      </c>
    </row>
    <row r="10" spans="2:8" ht="24" customHeight="1">
      <c r="B10" s="61">
        <f t="shared" si="1"/>
        <v>6</v>
      </c>
      <c r="C10" s="8">
        <f>_xlfn.MAXIFS(Commandes[TOTAL SEMAINE],Commandes[SEMAINE],'CA + ALERTE'!B10)</f>
        <v>0</v>
      </c>
      <c r="D10" s="8">
        <f>_xlfn.MAXIFS(Commandes[[TOTAL SEMAINE]:[TOTAL SEMAINE]],Commandes[[SEMAINE]:[SEMAINE]],'CA + ALERTE'!$B10,Commandes[[100% dépot1]:[100% dépot1]],"X")</f>
        <v>0</v>
      </c>
      <c r="E10" s="15">
        <v>25000</v>
      </c>
      <c r="F10" s="14">
        <v>0.2</v>
      </c>
      <c r="G10" s="17">
        <f t="shared" si="0"/>
        <v>20000</v>
      </c>
    </row>
    <row r="11" spans="2:8" ht="24" customHeight="1">
      <c r="B11" s="61">
        <f t="shared" si="1"/>
        <v>7</v>
      </c>
      <c r="C11" s="8">
        <f>_xlfn.MAXIFS(Commandes[TOTAL SEMAINE],Commandes[SEMAINE],'CA + ALERTE'!B11)</f>
        <v>0</v>
      </c>
      <c r="D11" s="8">
        <f>_xlfn.MAXIFS(Commandes[[TOTAL SEMAINE]:[TOTAL SEMAINE]],Commandes[[SEMAINE]:[SEMAINE]],'CA + ALERTE'!$B11,Commandes[[100% dépot1]:[100% dépot1]],"X")</f>
        <v>0</v>
      </c>
      <c r="E11" s="15">
        <v>25000</v>
      </c>
      <c r="F11" s="14">
        <v>0.2</v>
      </c>
      <c r="G11" s="17">
        <f t="shared" si="0"/>
        <v>20000</v>
      </c>
    </row>
    <row r="12" spans="2:8" ht="24" customHeight="1">
      <c r="B12" s="61">
        <f t="shared" si="1"/>
        <v>8</v>
      </c>
      <c r="C12" s="8">
        <f>_xlfn.MAXIFS(Commandes[TOTAL SEMAINE],Commandes[SEMAINE],'CA + ALERTE'!B12)</f>
        <v>0</v>
      </c>
      <c r="D12" s="8">
        <f>_xlfn.MAXIFS(Commandes[[TOTAL SEMAINE]:[TOTAL SEMAINE]],Commandes[[SEMAINE]:[SEMAINE]],'CA + ALERTE'!$B12,Commandes[[100% dépot1]:[100% dépot1]],"X")</f>
        <v>0</v>
      </c>
      <c r="E12" s="15">
        <v>25000</v>
      </c>
      <c r="F12" s="14">
        <v>0.3</v>
      </c>
      <c r="G12" s="17">
        <f t="shared" si="0"/>
        <v>17500</v>
      </c>
    </row>
    <row r="13" spans="2:8" ht="24" customHeight="1">
      <c r="B13" s="61">
        <f t="shared" si="1"/>
        <v>9</v>
      </c>
      <c r="C13" s="8">
        <f>_xlfn.MAXIFS(Commandes[TOTAL SEMAINE],Commandes[SEMAINE],'CA + ALERTE'!B13)</f>
        <v>0</v>
      </c>
      <c r="D13" s="8">
        <f>_xlfn.MAXIFS(Commandes[[TOTAL SEMAINE]:[TOTAL SEMAINE]],Commandes[[SEMAINE]:[SEMAINE]],'CA + ALERTE'!$B13,Commandes[[100% dépot1]:[100% dépot1]],"X")</f>
        <v>0</v>
      </c>
      <c r="E13" s="15">
        <v>25000</v>
      </c>
      <c r="F13" s="14">
        <v>0.3</v>
      </c>
      <c r="G13" s="17">
        <f t="shared" si="0"/>
        <v>17500</v>
      </c>
    </row>
    <row r="14" spans="2:8" ht="24" customHeight="1">
      <c r="B14" s="61">
        <f t="shared" si="1"/>
        <v>10</v>
      </c>
      <c r="C14" s="8">
        <f>_xlfn.MAXIFS(Commandes[TOTAL SEMAINE],Commandes[SEMAINE],'CA + ALERTE'!B14)</f>
        <v>0</v>
      </c>
      <c r="D14" s="8">
        <f>_xlfn.MAXIFS(Commandes[[TOTAL SEMAINE]:[TOTAL SEMAINE]],Commandes[[SEMAINE]:[SEMAINE]],'CA + ALERTE'!$B14,Commandes[[100% dépot1]:[100% dépot1]],"X")</f>
        <v>0</v>
      </c>
      <c r="E14" s="15">
        <v>25000</v>
      </c>
      <c r="F14" s="14">
        <v>0.3</v>
      </c>
      <c r="G14" s="17">
        <f t="shared" si="0"/>
        <v>17500</v>
      </c>
    </row>
    <row r="15" spans="2:8" ht="24" customHeight="1">
      <c r="B15" s="61">
        <f t="shared" si="1"/>
        <v>11</v>
      </c>
      <c r="C15" s="8">
        <f>_xlfn.MAXIFS(Commandes[TOTAL SEMAINE],Commandes[SEMAINE],'CA + ALERTE'!B15)</f>
        <v>0</v>
      </c>
      <c r="D15" s="8">
        <f>_xlfn.MAXIFS(Commandes[[TOTAL SEMAINE]:[TOTAL SEMAINE]],Commandes[[SEMAINE]:[SEMAINE]],'CA + ALERTE'!$B15,Commandes[[100% dépot1]:[100% dépot1]],"X")</f>
        <v>0</v>
      </c>
      <c r="E15" s="15">
        <v>25000</v>
      </c>
      <c r="F15" s="14">
        <v>0.4</v>
      </c>
      <c r="G15" s="17">
        <f t="shared" si="0"/>
        <v>15000</v>
      </c>
    </row>
    <row r="16" spans="2:8" ht="24" customHeight="1">
      <c r="B16" s="61">
        <f t="shared" si="1"/>
        <v>12</v>
      </c>
      <c r="C16" s="8">
        <f>_xlfn.MAXIFS(Commandes[TOTAL SEMAINE],Commandes[SEMAINE],'CA + ALERTE'!B16)</f>
        <v>0</v>
      </c>
      <c r="D16" s="8">
        <f>_xlfn.MAXIFS(Commandes[[TOTAL SEMAINE]:[TOTAL SEMAINE]],Commandes[[SEMAINE]:[SEMAINE]],'CA + ALERTE'!$B16,Commandes[[100% dépot1]:[100% dépot1]],"X")</f>
        <v>0</v>
      </c>
      <c r="E16" s="15">
        <v>25000</v>
      </c>
      <c r="F16" s="14">
        <v>0.5</v>
      </c>
      <c r="G16" s="17">
        <f t="shared" si="0"/>
        <v>12500</v>
      </c>
    </row>
    <row r="17" spans="2:7" ht="24" customHeight="1">
      <c r="B17" s="61">
        <f t="shared" si="1"/>
        <v>13</v>
      </c>
      <c r="C17" s="8">
        <f>_xlfn.MAXIFS(Commandes[TOTAL SEMAINE],Commandes[SEMAINE],'CA + ALERTE'!B17)</f>
        <v>0</v>
      </c>
      <c r="D17" s="8">
        <f>_xlfn.MAXIFS(Commandes[[TOTAL SEMAINE]:[TOTAL SEMAINE]],Commandes[[SEMAINE]:[SEMAINE]],'CA + ALERTE'!$B17,Commandes[[100% dépot1]:[100% dépot1]],"X")</f>
        <v>0</v>
      </c>
      <c r="E17" s="15">
        <v>25000</v>
      </c>
      <c r="F17" s="14">
        <v>0.25</v>
      </c>
      <c r="G17" s="17">
        <f t="shared" si="0"/>
        <v>18750</v>
      </c>
    </row>
    <row r="18" spans="2:7" ht="24" customHeight="1">
      <c r="B18" s="61">
        <f t="shared" si="1"/>
        <v>14</v>
      </c>
      <c r="C18" s="8">
        <f>_xlfn.MAXIFS(Commandes[TOTAL SEMAINE],Commandes[SEMAINE],'CA + ALERTE'!B18)</f>
        <v>0</v>
      </c>
      <c r="D18" s="8">
        <f>_xlfn.MAXIFS(Commandes[[TOTAL SEMAINE]:[TOTAL SEMAINE]],Commandes[[SEMAINE]:[SEMAINE]],'CA + ALERTE'!$B18,Commandes[[100% dépot1]:[100% dépot1]],"X")</f>
        <v>0</v>
      </c>
      <c r="E18" s="15">
        <v>25000</v>
      </c>
      <c r="F18" s="14">
        <v>0.25</v>
      </c>
      <c r="G18" s="17">
        <f t="shared" si="0"/>
        <v>18750</v>
      </c>
    </row>
    <row r="19" spans="2:7" ht="24" customHeight="1">
      <c r="B19" s="61">
        <f t="shared" si="1"/>
        <v>15</v>
      </c>
      <c r="C19" s="8">
        <f>_xlfn.MAXIFS(Commandes[TOTAL SEMAINE],Commandes[SEMAINE],'CA + ALERTE'!B19)</f>
        <v>0</v>
      </c>
      <c r="D19" s="8">
        <f>_xlfn.MAXIFS(Commandes[[TOTAL SEMAINE]:[TOTAL SEMAINE]],Commandes[[SEMAINE]:[SEMAINE]],'CA + ALERTE'!$B19,Commandes[[100% dépot1]:[100% dépot1]],"X")</f>
        <v>0</v>
      </c>
      <c r="E19" s="15">
        <v>25000</v>
      </c>
      <c r="F19" s="14">
        <v>0.32761904761904798</v>
      </c>
      <c r="G19" s="17">
        <f t="shared" si="0"/>
        <v>16809.523809523802</v>
      </c>
    </row>
    <row r="20" spans="2:7" ht="24" customHeight="1">
      <c r="B20" s="61">
        <f t="shared" si="1"/>
        <v>16</v>
      </c>
      <c r="C20" s="8">
        <f>_xlfn.MAXIFS(Commandes[TOTAL SEMAINE],Commandes[SEMAINE],'CA + ALERTE'!B20)</f>
        <v>0</v>
      </c>
      <c r="D20" s="8">
        <f>_xlfn.MAXIFS(Commandes[[TOTAL SEMAINE]:[TOTAL SEMAINE]],Commandes[[SEMAINE]:[SEMAINE]],'CA + ALERTE'!$B20,Commandes[[100% dépot1]:[100% dépot1]],"X")</f>
        <v>0</v>
      </c>
      <c r="E20" s="15">
        <v>25000</v>
      </c>
      <c r="F20" s="14">
        <v>0.33190476190476198</v>
      </c>
      <c r="G20" s="17">
        <f t="shared" si="0"/>
        <v>16702.38095238095</v>
      </c>
    </row>
    <row r="21" spans="2:7" ht="24" customHeight="1">
      <c r="B21" s="61">
        <f t="shared" si="1"/>
        <v>17</v>
      </c>
      <c r="C21" s="8">
        <f>_xlfn.MAXIFS(Commandes[TOTAL SEMAINE],Commandes[SEMAINE],'CA + ALERTE'!B21)</f>
        <v>0</v>
      </c>
      <c r="D21" s="8">
        <f>_xlfn.MAXIFS(Commandes[[TOTAL SEMAINE]:[TOTAL SEMAINE]],Commandes[[SEMAINE]:[SEMAINE]],'CA + ALERTE'!$B21,Commandes[[100% dépot1]:[100% dépot1]],"X")</f>
        <v>0</v>
      </c>
      <c r="E21" s="15">
        <v>25000</v>
      </c>
      <c r="F21" s="14">
        <v>0.33619047619047598</v>
      </c>
      <c r="G21" s="17">
        <f t="shared" si="0"/>
        <v>16595.238095238099</v>
      </c>
    </row>
    <row r="22" spans="2:7" ht="24" customHeight="1">
      <c r="B22" s="61">
        <f t="shared" si="1"/>
        <v>18</v>
      </c>
      <c r="C22" s="8">
        <f>_xlfn.MAXIFS(Commandes[TOTAL SEMAINE],Commandes[SEMAINE],'CA + ALERTE'!B22)</f>
        <v>0</v>
      </c>
      <c r="D22" s="8">
        <f>_xlfn.MAXIFS(Commandes[[TOTAL SEMAINE]:[TOTAL SEMAINE]],Commandes[[SEMAINE]:[SEMAINE]],'CA + ALERTE'!$B22,Commandes[[100% dépot1]:[100% dépot1]],"X")</f>
        <v>0</v>
      </c>
      <c r="E22" s="15">
        <v>25000</v>
      </c>
      <c r="F22" s="14">
        <v>0.34047619047618999</v>
      </c>
      <c r="G22" s="17">
        <f t="shared" si="0"/>
        <v>16488.095238095251</v>
      </c>
    </row>
    <row r="23" spans="2:7" ht="24" customHeight="1">
      <c r="B23" s="61">
        <f t="shared" si="1"/>
        <v>19</v>
      </c>
      <c r="C23" s="8">
        <f>_xlfn.MAXIFS(Commandes[TOTAL SEMAINE],Commandes[SEMAINE],'CA + ALERTE'!B23)</f>
        <v>0</v>
      </c>
      <c r="D23" s="8">
        <f>_xlfn.MAXIFS(Commandes[[TOTAL SEMAINE]:[TOTAL SEMAINE]],Commandes[[SEMAINE]:[SEMAINE]],'CA + ALERTE'!$B23,Commandes[[100% dépot1]:[100% dépot1]],"X")</f>
        <v>0</v>
      </c>
      <c r="E23" s="15">
        <v>25000</v>
      </c>
      <c r="F23" s="14">
        <v>0.34476190476190499</v>
      </c>
      <c r="G23" s="17">
        <f t="shared" si="0"/>
        <v>16380.952380952374</v>
      </c>
    </row>
    <row r="24" spans="2:7" ht="24" customHeight="1">
      <c r="B24" s="61">
        <f t="shared" si="1"/>
        <v>20</v>
      </c>
      <c r="C24" s="8">
        <f>_xlfn.MAXIFS(Commandes[TOTAL SEMAINE],Commandes[SEMAINE],'CA + ALERTE'!B24)</f>
        <v>0</v>
      </c>
      <c r="D24" s="8">
        <f>_xlfn.MAXIFS(Commandes[[TOTAL SEMAINE]:[TOTAL SEMAINE]],Commandes[[SEMAINE]:[SEMAINE]],'CA + ALERTE'!$B24,Commandes[[100% dépot1]:[100% dépot1]],"X")</f>
        <v>0</v>
      </c>
      <c r="E24" s="15">
        <v>25000</v>
      </c>
      <c r="F24" s="14">
        <v>0.349047619047619</v>
      </c>
      <c r="G24" s="17">
        <f t="shared" si="0"/>
        <v>16273.809523809525</v>
      </c>
    </row>
    <row r="25" spans="2:7" ht="24" customHeight="1">
      <c r="B25" s="61">
        <f t="shared" si="1"/>
        <v>21</v>
      </c>
      <c r="C25" s="8">
        <f>_xlfn.MAXIFS(Commandes[TOTAL SEMAINE],Commandes[SEMAINE],'CA + ALERTE'!B25)</f>
        <v>0</v>
      </c>
      <c r="D25" s="8">
        <f>_xlfn.MAXIFS(Commandes[[TOTAL SEMAINE]:[TOTAL SEMAINE]],Commandes[[SEMAINE]:[SEMAINE]],'CA + ALERTE'!$B25,Commandes[[100% dépot1]:[100% dépot1]],"X")</f>
        <v>0</v>
      </c>
      <c r="E25" s="15">
        <v>25000</v>
      </c>
      <c r="F25" s="14">
        <v>0.353333333333333</v>
      </c>
      <c r="G25" s="17">
        <f t="shared" si="0"/>
        <v>16166.666666666675</v>
      </c>
    </row>
    <row r="26" spans="2:7" ht="24" customHeight="1">
      <c r="B26" s="61">
        <f t="shared" si="1"/>
        <v>22</v>
      </c>
      <c r="C26" s="8">
        <f>_xlfn.MAXIFS(Commandes[TOTAL SEMAINE],Commandes[SEMAINE],'CA + ALERTE'!B26)</f>
        <v>0</v>
      </c>
      <c r="D26" s="8">
        <f>_xlfn.MAXIFS(Commandes[[TOTAL SEMAINE]:[TOTAL SEMAINE]],Commandes[[SEMAINE]:[SEMAINE]],'CA + ALERTE'!$B26,Commandes[[100% dépot1]:[100% dépot1]],"X")</f>
        <v>0</v>
      </c>
      <c r="E26" s="15">
        <v>25000</v>
      </c>
      <c r="F26" s="14">
        <v>0.357619047619048</v>
      </c>
      <c r="G26" s="17">
        <f t="shared" si="0"/>
        <v>16059.5238095238</v>
      </c>
    </row>
    <row r="27" spans="2:7" ht="24" customHeight="1">
      <c r="B27" s="61">
        <f t="shared" si="1"/>
        <v>23</v>
      </c>
      <c r="C27" s="8">
        <f>_xlfn.MAXIFS(Commandes[TOTAL SEMAINE],Commandes[SEMAINE],'CA + ALERTE'!B27)</f>
        <v>0</v>
      </c>
      <c r="D27" s="8">
        <f>_xlfn.MAXIFS(Commandes[[TOTAL SEMAINE]:[TOTAL SEMAINE]],Commandes[[SEMAINE]:[SEMAINE]],'CA + ALERTE'!$B27,Commandes[[100% dépot1]:[100% dépot1]],"X")</f>
        <v>0</v>
      </c>
      <c r="E27" s="15">
        <v>25000</v>
      </c>
      <c r="F27" s="14">
        <v>0.36190476190476201</v>
      </c>
      <c r="G27" s="17">
        <f t="shared" si="0"/>
        <v>15952.38095238095</v>
      </c>
    </row>
    <row r="28" spans="2:7" ht="24" customHeight="1">
      <c r="B28" s="61">
        <f t="shared" si="1"/>
        <v>24</v>
      </c>
      <c r="C28" s="8">
        <f>_xlfn.MAXIFS(Commandes[TOTAL SEMAINE],Commandes[SEMAINE],'CA + ALERTE'!B28)</f>
        <v>0</v>
      </c>
      <c r="D28" s="8">
        <f>_xlfn.MAXIFS(Commandes[[TOTAL SEMAINE]:[TOTAL SEMAINE]],Commandes[[SEMAINE]:[SEMAINE]],'CA + ALERTE'!$B28,Commandes[[100% dépot1]:[100% dépot1]],"X")</f>
        <v>0</v>
      </c>
      <c r="E28" s="15">
        <v>25000</v>
      </c>
      <c r="F28" s="14">
        <v>0.36619047619047601</v>
      </c>
      <c r="G28" s="17">
        <f t="shared" si="0"/>
        <v>15845.238095238099</v>
      </c>
    </row>
    <row r="29" spans="2:7" ht="24" customHeight="1">
      <c r="B29" s="61">
        <f t="shared" si="1"/>
        <v>25</v>
      </c>
      <c r="C29" s="8">
        <f>_xlfn.MAXIFS(Commandes[TOTAL SEMAINE],Commandes[SEMAINE],'CA + ALERTE'!B29)</f>
        <v>0</v>
      </c>
      <c r="D29" s="8">
        <f>_xlfn.MAXIFS(Commandes[[TOTAL SEMAINE]:[TOTAL SEMAINE]],Commandes[[SEMAINE]:[SEMAINE]],'CA + ALERTE'!$B29,Commandes[[100% dépot1]:[100% dépot1]],"X")</f>
        <v>0</v>
      </c>
      <c r="E29" s="15">
        <v>25000</v>
      </c>
      <c r="F29" s="14">
        <v>0.37047619047619001</v>
      </c>
      <c r="G29" s="17">
        <f t="shared" si="0"/>
        <v>15738.095238095249</v>
      </c>
    </row>
    <row r="30" spans="2:7" ht="24" customHeight="1">
      <c r="B30" s="61">
        <f t="shared" si="1"/>
        <v>26</v>
      </c>
      <c r="C30" s="8">
        <f>_xlfn.MAXIFS(Commandes[TOTAL SEMAINE],Commandes[SEMAINE],'CA + ALERTE'!B30)</f>
        <v>0</v>
      </c>
      <c r="D30" s="8">
        <f>_xlfn.MAXIFS(Commandes[[TOTAL SEMAINE]:[TOTAL SEMAINE]],Commandes[[SEMAINE]:[SEMAINE]],'CA + ALERTE'!$B30,Commandes[[100% dépot1]:[100% dépot1]],"X")</f>
        <v>0</v>
      </c>
      <c r="E30" s="15">
        <v>25000</v>
      </c>
      <c r="F30" s="14">
        <v>0.37476190476190402</v>
      </c>
      <c r="G30" s="17">
        <f t="shared" si="0"/>
        <v>15630.9523809524</v>
      </c>
    </row>
    <row r="31" spans="2:7" ht="24" customHeight="1">
      <c r="B31" s="61">
        <f t="shared" si="1"/>
        <v>27</v>
      </c>
      <c r="C31" s="8">
        <f>_xlfn.MAXIFS(Commandes[TOTAL SEMAINE],Commandes[SEMAINE],'CA + ALERTE'!B31)</f>
        <v>0</v>
      </c>
      <c r="D31" s="8">
        <f>_xlfn.MAXIFS(Commandes[[TOTAL SEMAINE]:[TOTAL SEMAINE]],Commandes[[SEMAINE]:[SEMAINE]],'CA + ALERTE'!$B31,Commandes[[100% dépot1]:[100% dépot1]],"X")</f>
        <v>0</v>
      </c>
      <c r="E31" s="15">
        <v>25000</v>
      </c>
      <c r="F31" s="14">
        <v>0.37904761904761902</v>
      </c>
      <c r="G31" s="17">
        <f t="shared" si="0"/>
        <v>15523.809523809525</v>
      </c>
    </row>
    <row r="32" spans="2:7" ht="24" customHeight="1">
      <c r="B32" s="61">
        <f t="shared" si="1"/>
        <v>28</v>
      </c>
      <c r="C32" s="8">
        <f>_xlfn.MAXIFS(Commandes[TOTAL SEMAINE],Commandes[SEMAINE],'CA + ALERTE'!B32)</f>
        <v>0</v>
      </c>
      <c r="D32" s="8">
        <f>_xlfn.MAXIFS(Commandes[[TOTAL SEMAINE]:[TOTAL SEMAINE]],Commandes[[SEMAINE]:[SEMAINE]],'CA + ALERTE'!$B32,Commandes[[100% dépot1]:[100% dépot1]],"X")</f>
        <v>0</v>
      </c>
      <c r="E32" s="15">
        <v>25000</v>
      </c>
      <c r="F32" s="14">
        <v>0.38333333333333303</v>
      </c>
      <c r="G32" s="17">
        <f t="shared" si="0"/>
        <v>15416.666666666675</v>
      </c>
    </row>
    <row r="33" spans="2:7" ht="24" customHeight="1">
      <c r="B33" s="61">
        <f t="shared" si="1"/>
        <v>29</v>
      </c>
      <c r="C33" s="8">
        <f>_xlfn.MAXIFS(Commandes[TOTAL SEMAINE],Commandes[SEMAINE],'CA + ALERTE'!B33)</f>
        <v>0</v>
      </c>
      <c r="D33" s="8">
        <f>_xlfn.MAXIFS(Commandes[[TOTAL SEMAINE]:[TOTAL SEMAINE]],Commandes[[SEMAINE]:[SEMAINE]],'CA + ALERTE'!$B33,Commandes[[100% dépot1]:[100% dépot1]],"X")</f>
        <v>0</v>
      </c>
      <c r="E33" s="15">
        <v>25000</v>
      </c>
      <c r="F33" s="14">
        <v>0.38761904761904697</v>
      </c>
      <c r="G33" s="17">
        <f t="shared" si="0"/>
        <v>15309.523809523826</v>
      </c>
    </row>
    <row r="34" spans="2:7" ht="24" customHeight="1">
      <c r="B34" s="61">
        <f t="shared" si="1"/>
        <v>30</v>
      </c>
      <c r="C34" s="8">
        <f>_xlfn.MAXIFS(Commandes[TOTAL SEMAINE],Commandes[SEMAINE],'CA + ALERTE'!B34)</f>
        <v>0</v>
      </c>
      <c r="D34" s="8">
        <f>_xlfn.MAXIFS(Commandes[[TOTAL SEMAINE]:[TOTAL SEMAINE]],Commandes[[SEMAINE]:[SEMAINE]],'CA + ALERTE'!$B34,Commandes[[100% dépot1]:[100% dépot1]],"X")</f>
        <v>0</v>
      </c>
      <c r="E34" s="15">
        <v>25000</v>
      </c>
      <c r="F34" s="14">
        <v>0.39190476190476198</v>
      </c>
      <c r="G34" s="17">
        <f t="shared" si="0"/>
        <v>15202.38095238095</v>
      </c>
    </row>
    <row r="35" spans="2:7" ht="24" customHeight="1">
      <c r="B35" s="61">
        <f t="shared" si="1"/>
        <v>31</v>
      </c>
      <c r="C35" s="8">
        <f>_xlfn.MAXIFS(Commandes[TOTAL SEMAINE],Commandes[SEMAINE],'CA + ALERTE'!B35)</f>
        <v>0</v>
      </c>
      <c r="D35" s="8">
        <f>_xlfn.MAXIFS(Commandes[[TOTAL SEMAINE]:[TOTAL SEMAINE]],Commandes[[SEMAINE]:[SEMAINE]],'CA + ALERTE'!$B35,Commandes[[100% dépot1]:[100% dépot1]],"X")</f>
        <v>0</v>
      </c>
      <c r="E35" s="15">
        <v>25000</v>
      </c>
      <c r="F35" s="14">
        <v>0.39619047619047598</v>
      </c>
      <c r="G35" s="17">
        <f t="shared" si="0"/>
        <v>15095.238095238101</v>
      </c>
    </row>
    <row r="36" spans="2:7" ht="24" customHeight="1">
      <c r="B36" s="61">
        <f t="shared" si="1"/>
        <v>32</v>
      </c>
      <c r="C36" s="8">
        <f>_xlfn.MAXIFS(Commandes[TOTAL SEMAINE],Commandes[SEMAINE],'CA + ALERTE'!B36)</f>
        <v>0</v>
      </c>
      <c r="D36" s="8">
        <f>_xlfn.MAXIFS(Commandes[[TOTAL SEMAINE]:[TOTAL SEMAINE]],Commandes[[SEMAINE]:[SEMAINE]],'CA + ALERTE'!$B36,Commandes[[100% dépot1]:[100% dépot1]],"X")</f>
        <v>0</v>
      </c>
      <c r="E36" s="15">
        <v>25000</v>
      </c>
      <c r="F36" s="14">
        <v>0.40047619047618999</v>
      </c>
      <c r="G36" s="17">
        <f t="shared" si="0"/>
        <v>14988.095238095249</v>
      </c>
    </row>
    <row r="37" spans="2:7" ht="24" customHeight="1">
      <c r="B37" s="61">
        <f t="shared" si="1"/>
        <v>33</v>
      </c>
      <c r="C37" s="8">
        <f>_xlfn.MAXIFS(Commandes[TOTAL SEMAINE],Commandes[SEMAINE],'CA + ALERTE'!B37)</f>
        <v>0</v>
      </c>
      <c r="D37" s="8">
        <f>_xlfn.MAXIFS(Commandes[[TOTAL SEMAINE]:[TOTAL SEMAINE]],Commandes[[SEMAINE]:[SEMAINE]],'CA + ALERTE'!$B37,Commandes[[100% dépot1]:[100% dépot1]],"X")</f>
        <v>0</v>
      </c>
      <c r="E37" s="15">
        <v>25000</v>
      </c>
      <c r="F37" s="14">
        <v>0.40476190476190399</v>
      </c>
      <c r="G37" s="17">
        <f t="shared" si="0"/>
        <v>14880.9523809524</v>
      </c>
    </row>
    <row r="38" spans="2:7" ht="24" customHeight="1">
      <c r="B38" s="61">
        <f t="shared" si="1"/>
        <v>34</v>
      </c>
      <c r="C38" s="8">
        <f>_xlfn.MAXIFS(Commandes[TOTAL SEMAINE],Commandes[SEMAINE],'CA + ALERTE'!B38)</f>
        <v>0</v>
      </c>
      <c r="D38" s="8">
        <f>_xlfn.MAXIFS(Commandes[[TOTAL SEMAINE]:[TOTAL SEMAINE]],Commandes[[SEMAINE]:[SEMAINE]],'CA + ALERTE'!$B38,Commandes[[100% dépot1]:[100% dépot1]],"X")</f>
        <v>0</v>
      </c>
      <c r="E38" s="15">
        <v>25000</v>
      </c>
      <c r="F38" s="14">
        <v>0.40904761904761899</v>
      </c>
      <c r="G38" s="17">
        <f t="shared" si="0"/>
        <v>14773.809523809525</v>
      </c>
    </row>
    <row r="39" spans="2:7" ht="24" customHeight="1">
      <c r="B39" s="61">
        <f t="shared" si="1"/>
        <v>35</v>
      </c>
      <c r="C39" s="8">
        <f>_xlfn.MAXIFS(Commandes[TOTAL SEMAINE],Commandes[SEMAINE],'CA + ALERTE'!B39)</f>
        <v>0</v>
      </c>
      <c r="D39" s="8">
        <f>_xlfn.MAXIFS(Commandes[[TOTAL SEMAINE]:[TOTAL SEMAINE]],Commandes[[SEMAINE]:[SEMAINE]],'CA + ALERTE'!$B39,Commandes[[100% dépot1]:[100% dépot1]],"X")</f>
        <v>0</v>
      </c>
      <c r="E39" s="15">
        <v>25000</v>
      </c>
      <c r="F39" s="14">
        <v>0.413333333333333</v>
      </c>
      <c r="G39" s="17">
        <f t="shared" si="0"/>
        <v>14666.666666666675</v>
      </c>
    </row>
    <row r="40" spans="2:7" ht="24" customHeight="1">
      <c r="B40" s="61">
        <f t="shared" si="1"/>
        <v>36</v>
      </c>
      <c r="C40" s="8">
        <f>_xlfn.MAXIFS(Commandes[TOTAL SEMAINE],Commandes[SEMAINE],'CA + ALERTE'!B40)</f>
        <v>0</v>
      </c>
      <c r="D40" s="8">
        <f>_xlfn.MAXIFS(Commandes[[TOTAL SEMAINE]:[TOTAL SEMAINE]],Commandes[[SEMAINE]:[SEMAINE]],'CA + ALERTE'!$B40,Commandes[[100% dépot1]:[100% dépot1]],"X")</f>
        <v>0</v>
      </c>
      <c r="E40" s="15">
        <v>25000</v>
      </c>
      <c r="F40" s="14">
        <v>0.417619047619047</v>
      </c>
      <c r="G40" s="17">
        <f t="shared" si="0"/>
        <v>14559.523809523826</v>
      </c>
    </row>
    <row r="41" spans="2:7" ht="24" customHeight="1">
      <c r="B41" s="61">
        <f t="shared" si="1"/>
        <v>37</v>
      </c>
      <c r="C41" s="8">
        <f>_xlfn.MAXIFS(Commandes[TOTAL SEMAINE],Commandes[SEMAINE],'CA + ALERTE'!B41)</f>
        <v>0</v>
      </c>
      <c r="D41" s="8">
        <f>_xlfn.MAXIFS(Commandes[[TOTAL SEMAINE]:[TOTAL SEMAINE]],Commandes[[SEMAINE]:[SEMAINE]],'CA + ALERTE'!$B41,Commandes[[100% dépot1]:[100% dépot1]],"X")</f>
        <v>0</v>
      </c>
      <c r="E41" s="15">
        <v>25000</v>
      </c>
      <c r="F41" s="14">
        <v>0.421904761904762</v>
      </c>
      <c r="G41" s="17">
        <f t="shared" si="0"/>
        <v>14452.38095238095</v>
      </c>
    </row>
    <row r="42" spans="2:7" ht="24" customHeight="1">
      <c r="B42" s="61">
        <f t="shared" si="1"/>
        <v>38</v>
      </c>
      <c r="C42" s="8">
        <f>_xlfn.MAXIFS(Commandes[TOTAL SEMAINE],Commandes[SEMAINE],'CA + ALERTE'!B42)</f>
        <v>0</v>
      </c>
      <c r="D42" s="8">
        <f>_xlfn.MAXIFS(Commandes[[TOTAL SEMAINE]:[TOTAL SEMAINE]],Commandes[[SEMAINE]:[SEMAINE]],'CA + ALERTE'!$B42,Commandes[[100% dépot1]:[100% dépot1]],"X")</f>
        <v>0</v>
      </c>
      <c r="E42" s="15">
        <v>25000</v>
      </c>
      <c r="F42" s="14">
        <v>0.42619047619047601</v>
      </c>
      <c r="G42" s="17">
        <f t="shared" si="0"/>
        <v>14345.238095238099</v>
      </c>
    </row>
    <row r="43" spans="2:7" ht="24" customHeight="1">
      <c r="B43" s="61">
        <f t="shared" si="1"/>
        <v>39</v>
      </c>
      <c r="C43" s="8">
        <f>_xlfn.MAXIFS(Commandes[TOTAL SEMAINE],Commandes[SEMAINE],'CA + ALERTE'!B43)</f>
        <v>0</v>
      </c>
      <c r="D43" s="8">
        <f>_xlfn.MAXIFS(Commandes[[TOTAL SEMAINE]:[TOTAL SEMAINE]],Commandes[[SEMAINE]:[SEMAINE]],'CA + ALERTE'!$B43,Commandes[[100% dépot1]:[100% dépot1]],"X")</f>
        <v>0</v>
      </c>
      <c r="E43" s="15">
        <v>25000</v>
      </c>
      <c r="F43" s="14">
        <v>0.43047619047619001</v>
      </c>
      <c r="G43" s="17">
        <f t="shared" si="0"/>
        <v>14238.095238095249</v>
      </c>
    </row>
    <row r="44" spans="2:7" ht="24" customHeight="1">
      <c r="B44" s="61">
        <f t="shared" si="1"/>
        <v>40</v>
      </c>
      <c r="C44" s="8">
        <f>_xlfn.MAXIFS(Commandes[TOTAL SEMAINE],Commandes[SEMAINE],'CA + ALERTE'!B44)</f>
        <v>0</v>
      </c>
      <c r="D44" s="8">
        <f>_xlfn.MAXIFS(Commandes[[TOTAL SEMAINE]:[TOTAL SEMAINE]],Commandes[[SEMAINE]:[SEMAINE]],'CA + ALERTE'!$B44,Commandes[[100% dépot1]:[100% dépot1]],"X")</f>
        <v>0</v>
      </c>
      <c r="E44" s="15">
        <v>25000</v>
      </c>
      <c r="F44" s="14">
        <v>0.43476190476190402</v>
      </c>
      <c r="G44" s="17">
        <f t="shared" si="0"/>
        <v>14130.9523809524</v>
      </c>
    </row>
    <row r="45" spans="2:7" ht="24" customHeight="1">
      <c r="B45" s="61">
        <f t="shared" si="1"/>
        <v>41</v>
      </c>
      <c r="C45" s="8">
        <f>_xlfn.MAXIFS(Commandes[TOTAL SEMAINE],Commandes[SEMAINE],'CA + ALERTE'!B45)</f>
        <v>0</v>
      </c>
      <c r="D45" s="8">
        <f>_xlfn.MAXIFS(Commandes[[TOTAL SEMAINE]:[TOTAL SEMAINE]],Commandes[[SEMAINE]:[SEMAINE]],'CA + ALERTE'!$B45,Commandes[[100% dépot1]:[100% dépot1]],"X")</f>
        <v>0</v>
      </c>
      <c r="E45" s="15">
        <v>25000</v>
      </c>
      <c r="F45" s="14">
        <v>0.43904761904761902</v>
      </c>
      <c r="G45" s="17">
        <f t="shared" si="0"/>
        <v>14023.809523809525</v>
      </c>
    </row>
    <row r="46" spans="2:7" ht="24" customHeight="1">
      <c r="B46" s="61">
        <f t="shared" si="1"/>
        <v>42</v>
      </c>
      <c r="C46" s="8">
        <f>_xlfn.MAXIFS(Commandes[TOTAL SEMAINE],Commandes[SEMAINE],'CA + ALERTE'!B46)</f>
        <v>0</v>
      </c>
      <c r="D46" s="8">
        <f>_xlfn.MAXIFS(Commandes[[TOTAL SEMAINE]:[TOTAL SEMAINE]],Commandes[[SEMAINE]:[SEMAINE]],'CA + ALERTE'!$B46,Commandes[[100% dépot1]:[100% dépot1]],"X")</f>
        <v>0</v>
      </c>
      <c r="E46" s="15">
        <v>25000</v>
      </c>
      <c r="F46" s="14">
        <v>0.44333333333333302</v>
      </c>
      <c r="G46" s="17">
        <f t="shared" si="0"/>
        <v>13916.666666666675</v>
      </c>
    </row>
    <row r="47" spans="2:7" ht="24" customHeight="1">
      <c r="B47" s="61">
        <f t="shared" si="1"/>
        <v>43</v>
      </c>
      <c r="C47" s="8">
        <f>_xlfn.MAXIFS(Commandes[TOTAL SEMAINE],Commandes[SEMAINE],'CA + ALERTE'!B47)</f>
        <v>0</v>
      </c>
      <c r="D47" s="8">
        <f>_xlfn.MAXIFS(Commandes[[TOTAL SEMAINE]:[TOTAL SEMAINE]],Commandes[[SEMAINE]:[SEMAINE]],'CA + ALERTE'!$B47,Commandes[[100% dépot1]:[100% dépot1]],"X")</f>
        <v>0</v>
      </c>
      <c r="E47" s="15">
        <v>25000</v>
      </c>
      <c r="F47" s="14">
        <v>0.44761904761904697</v>
      </c>
      <c r="G47" s="17">
        <f t="shared" si="0"/>
        <v>13809.523809523826</v>
      </c>
    </row>
    <row r="48" spans="2:7" ht="24" customHeight="1">
      <c r="B48" s="61">
        <f t="shared" si="1"/>
        <v>44</v>
      </c>
      <c r="C48" s="8">
        <f>_xlfn.MAXIFS(Commandes[TOTAL SEMAINE],Commandes[SEMAINE],'CA + ALERTE'!B48)</f>
        <v>0</v>
      </c>
      <c r="D48" s="8">
        <f>_xlfn.MAXIFS(Commandes[[TOTAL SEMAINE]:[TOTAL SEMAINE]],Commandes[[SEMAINE]:[SEMAINE]],'CA + ALERTE'!$B48,Commandes[[100% dépot1]:[100% dépot1]],"X")</f>
        <v>0</v>
      </c>
      <c r="E48" s="15">
        <v>25000</v>
      </c>
      <c r="F48" s="14">
        <v>0.45190476190476198</v>
      </c>
      <c r="G48" s="17">
        <f t="shared" si="0"/>
        <v>13702.38095238095</v>
      </c>
    </row>
    <row r="49" spans="2:7" ht="24" customHeight="1">
      <c r="B49" s="61">
        <f t="shared" si="1"/>
        <v>45</v>
      </c>
      <c r="C49" s="8">
        <f>_xlfn.MAXIFS(Commandes[TOTAL SEMAINE],Commandes[SEMAINE],'CA + ALERTE'!B49)</f>
        <v>0</v>
      </c>
      <c r="D49" s="8">
        <f>_xlfn.MAXIFS(Commandes[[TOTAL SEMAINE]:[TOTAL SEMAINE]],Commandes[[SEMAINE]:[SEMAINE]],'CA + ALERTE'!$B49,Commandes[[100% dépot1]:[100% dépot1]],"X")</f>
        <v>0</v>
      </c>
      <c r="E49" s="15">
        <v>25000</v>
      </c>
      <c r="F49" s="14">
        <v>0.45619047619047598</v>
      </c>
      <c r="G49" s="17">
        <f t="shared" si="0"/>
        <v>13595.238095238101</v>
      </c>
    </row>
    <row r="50" spans="2:7" ht="24" customHeight="1">
      <c r="B50" s="61">
        <f t="shared" si="1"/>
        <v>46</v>
      </c>
      <c r="C50" s="8">
        <f>_xlfn.MAXIFS(Commandes[TOTAL SEMAINE],Commandes[SEMAINE],'CA + ALERTE'!B50)</f>
        <v>0</v>
      </c>
      <c r="D50" s="8">
        <f>_xlfn.MAXIFS(Commandes[[TOTAL SEMAINE]:[TOTAL SEMAINE]],Commandes[[SEMAINE]:[SEMAINE]],'CA + ALERTE'!$B50,Commandes[[100% dépot1]:[100% dépot1]],"X")</f>
        <v>0</v>
      </c>
      <c r="E50" s="15">
        <v>25000</v>
      </c>
      <c r="F50" s="14">
        <v>0.46047619047618998</v>
      </c>
      <c r="G50" s="17">
        <f t="shared" si="0"/>
        <v>13488.095238095251</v>
      </c>
    </row>
    <row r="51" spans="2:7" ht="24" customHeight="1">
      <c r="B51" s="61">
        <f t="shared" si="1"/>
        <v>47</v>
      </c>
      <c r="C51" s="8">
        <f>_xlfn.MAXIFS(Commandes[TOTAL SEMAINE],Commandes[SEMAINE],'CA + ALERTE'!B51)</f>
        <v>0</v>
      </c>
      <c r="D51" s="8">
        <f>_xlfn.MAXIFS(Commandes[[TOTAL SEMAINE]:[TOTAL SEMAINE]],Commandes[[SEMAINE]:[SEMAINE]],'CA + ALERTE'!$B51,Commandes[[100% dépot1]:[100% dépot1]],"X")</f>
        <v>0</v>
      </c>
      <c r="E51" s="15">
        <v>25000</v>
      </c>
      <c r="F51" s="14">
        <v>0.46476190476190399</v>
      </c>
      <c r="G51" s="17">
        <f t="shared" si="0"/>
        <v>13380.9523809524</v>
      </c>
    </row>
    <row r="52" spans="2:7" ht="24" customHeight="1">
      <c r="B52" s="61">
        <f t="shared" si="1"/>
        <v>48</v>
      </c>
      <c r="C52" s="8">
        <f>_xlfn.MAXIFS(Commandes[TOTAL SEMAINE],Commandes[SEMAINE],'CA + ALERTE'!B52)</f>
        <v>0</v>
      </c>
      <c r="D52" s="8">
        <f>_xlfn.MAXIFS(Commandes[[TOTAL SEMAINE]:[TOTAL SEMAINE]],Commandes[[SEMAINE]:[SEMAINE]],'CA + ALERTE'!$B52,Commandes[[100% dépot1]:[100% dépot1]],"X")</f>
        <v>0</v>
      </c>
      <c r="E52" s="15">
        <v>25000</v>
      </c>
      <c r="F52" s="14">
        <v>0.46904761904761899</v>
      </c>
      <c r="G52" s="17">
        <f t="shared" si="0"/>
        <v>13273.809523809525</v>
      </c>
    </row>
    <row r="53" spans="2:7" ht="24" customHeight="1">
      <c r="B53" s="61">
        <f t="shared" si="1"/>
        <v>49</v>
      </c>
      <c r="C53" s="8">
        <f>_xlfn.MAXIFS(Commandes[TOTAL SEMAINE],Commandes[SEMAINE],'CA + ALERTE'!B53)</f>
        <v>0</v>
      </c>
      <c r="D53" s="8">
        <f>_xlfn.MAXIFS(Commandes[[TOTAL SEMAINE]:[TOTAL SEMAINE]],Commandes[[SEMAINE]:[SEMAINE]],'CA + ALERTE'!$B53,Commandes[[100% dépot1]:[100% dépot1]],"X")</f>
        <v>0</v>
      </c>
      <c r="E53" s="15">
        <v>25000</v>
      </c>
      <c r="F53" s="14">
        <v>0.473333333333333</v>
      </c>
      <c r="G53" s="17">
        <f t="shared" si="0"/>
        <v>13166.666666666675</v>
      </c>
    </row>
    <row r="54" spans="2:7" ht="24" customHeight="1">
      <c r="B54" s="61">
        <f t="shared" si="1"/>
        <v>50</v>
      </c>
      <c r="C54" s="8">
        <f>_xlfn.MAXIFS(Commandes[TOTAL SEMAINE],Commandes[SEMAINE],'CA + ALERTE'!B54)</f>
        <v>0</v>
      </c>
      <c r="D54" s="8">
        <f>_xlfn.MAXIFS(Commandes[[TOTAL SEMAINE]:[TOTAL SEMAINE]],Commandes[[SEMAINE]:[SEMAINE]],'CA + ALERTE'!$B54,Commandes[[100% dépot1]:[100% dépot1]],"X")</f>
        <v>0</v>
      </c>
      <c r="E54" s="15">
        <v>25000</v>
      </c>
      <c r="F54" s="14">
        <v>0.477619047619047</v>
      </c>
      <c r="G54" s="17">
        <f t="shared" si="0"/>
        <v>13059.523809523826</v>
      </c>
    </row>
    <row r="55" spans="2:7" ht="24" customHeight="1">
      <c r="B55" s="61">
        <f t="shared" si="1"/>
        <v>51</v>
      </c>
      <c r="C55" s="8">
        <f>_xlfn.MAXIFS(Commandes[TOTAL SEMAINE],Commandes[SEMAINE],'CA + ALERTE'!B55)</f>
        <v>0</v>
      </c>
      <c r="D55" s="8">
        <f>_xlfn.MAXIFS(Commandes[[TOTAL SEMAINE]:[TOTAL SEMAINE]],Commandes[[SEMAINE]:[SEMAINE]],'CA + ALERTE'!$B55,Commandes[[100% dépot1]:[100% dépot1]],"X")</f>
        <v>0</v>
      </c>
      <c r="E55" s="15">
        <v>25000</v>
      </c>
      <c r="F55" s="14">
        <v>0.481904761904762</v>
      </c>
      <c r="G55" s="17">
        <f t="shared" si="0"/>
        <v>12952.38095238095</v>
      </c>
    </row>
    <row r="56" spans="2:7" ht="18" customHeight="1">
      <c r="B56" s="61">
        <f t="shared" si="1"/>
        <v>52</v>
      </c>
      <c r="C56" s="8">
        <f>_xlfn.MAXIFS(Commandes[TOTAL SEMAINE],Commandes[SEMAINE],'CA + ALERTE'!B56)</f>
        <v>0</v>
      </c>
      <c r="D56" s="8">
        <f>_xlfn.MAXIFS(Commandes[[TOTAL SEMAINE]:[TOTAL SEMAINE]],Commandes[[SEMAINE]:[SEMAINE]],'CA + ALERTE'!$B56,Commandes[[100% dépot1]:[100% dépot1]],"X")</f>
        <v>0</v>
      </c>
      <c r="E56" s="8">
        <f>_xlfn.MAXIFS(Commandes[[ PARTIEL dépot1]],Commandes[100% dépot1],'CA + ALERTE'!D56)</f>
        <v>0</v>
      </c>
      <c r="F56" s="8">
        <f>_xlfn.MAXIFS(Commandes[PLAQUE            (liv à Dépôt1)   PA CDE],Commandes[[ PARTIEL dépot1]],'CA + ALERTE'!E56)</f>
        <v>0</v>
      </c>
      <c r="G56" s="8">
        <f>_xlfn.MAXIFS(Commandes[N° DE PLS CDE 100% Dépot1],Commandes[PLAQUE            (liv à Dépôt1)   PA CDE],'CA + ALERTE'!F56)</f>
        <v>0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COMMANDES2021</vt:lpstr>
      <vt:lpstr>REF</vt:lpstr>
      <vt:lpstr>CA + ALERTE</vt:lpstr>
      <vt:lpstr>L_MP</vt:lpstr>
      <vt:lpstr>STATUTCDE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Chris_W10</cp:lastModifiedBy>
  <dcterms:created xsi:type="dcterms:W3CDTF">2021-02-17T17:38:11Z</dcterms:created>
  <dcterms:modified xsi:type="dcterms:W3CDTF">2021-03-07T13:53:58Z</dcterms:modified>
</cp:coreProperties>
</file>