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DD52002-3CD0-4554-8C52-91F194080488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Janvier" sheetId="6" r:id="rId1"/>
    <sheet name="Fé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7" i="14" l="1"/>
  <c r="F38" i="14"/>
  <c r="F39" i="14"/>
  <c r="F25" i="14"/>
  <c r="F18" i="14"/>
  <c r="F19" i="14"/>
  <c r="F20" i="14"/>
  <c r="F21" i="14"/>
  <c r="F22" i="14"/>
  <c r="F23" i="14"/>
  <c r="F24" i="14"/>
  <c r="F26" i="14"/>
  <c r="F27" i="14"/>
  <c r="F28" i="14"/>
  <c r="F29" i="14"/>
  <c r="F30" i="14"/>
  <c r="J7" i="14" s="1"/>
  <c r="F31" i="14"/>
  <c r="F32" i="14"/>
  <c r="F33" i="14"/>
  <c r="F34" i="14"/>
  <c r="F35" i="14"/>
  <c r="F36" i="14"/>
  <c r="F9" i="14"/>
  <c r="F10" i="14"/>
  <c r="F10" i="10"/>
  <c r="F17" i="10"/>
  <c r="F24" i="10"/>
  <c r="F34" i="10"/>
  <c r="F39" i="10"/>
  <c r="F28" i="10"/>
  <c r="J7" i="10" s="1"/>
  <c r="F11" i="8"/>
  <c r="F17" i="8"/>
  <c r="J5" i="8" s="1"/>
  <c r="F25" i="8"/>
  <c r="F30" i="8"/>
  <c r="F37" i="8"/>
  <c r="F39" i="8"/>
  <c r="F11" i="7"/>
  <c r="F17" i="7"/>
  <c r="F24" i="7"/>
  <c r="F31" i="7"/>
  <c r="F36" i="7"/>
  <c r="J7" i="7" s="1"/>
  <c r="J9" i="19"/>
  <c r="J8" i="19"/>
  <c r="J7" i="19"/>
  <c r="J6" i="19"/>
  <c r="J5" i="19"/>
  <c r="J4" i="19"/>
  <c r="J2" i="19"/>
  <c r="J9" i="16"/>
  <c r="J8" i="16"/>
  <c r="J7" i="16"/>
  <c r="J6" i="16"/>
  <c r="J5" i="16"/>
  <c r="J4" i="16"/>
  <c r="J2" i="16"/>
  <c r="J9" i="15"/>
  <c r="J8" i="15"/>
  <c r="J7" i="15"/>
  <c r="J6" i="15"/>
  <c r="J5" i="15"/>
  <c r="J4" i="15"/>
  <c r="J2" i="15"/>
  <c r="J9" i="13"/>
  <c r="J8" i="13"/>
  <c r="J7" i="13"/>
  <c r="J6" i="13"/>
  <c r="J5" i="13"/>
  <c r="J4" i="13"/>
  <c r="J2" i="13"/>
  <c r="J9" i="11"/>
  <c r="J8" i="11"/>
  <c r="J7" i="11"/>
  <c r="J6" i="11"/>
  <c r="J5" i="11"/>
  <c r="J4" i="11"/>
  <c r="J2" i="11"/>
  <c r="J9" i="10"/>
  <c r="J8" i="10"/>
  <c r="J6" i="10"/>
  <c r="J5" i="10"/>
  <c r="J4" i="10"/>
  <c r="J9" i="9"/>
  <c r="J8" i="9"/>
  <c r="J7" i="9"/>
  <c r="J6" i="9"/>
  <c r="J5" i="9"/>
  <c r="J4" i="9"/>
  <c r="J2" i="9"/>
  <c r="J9" i="17"/>
  <c r="J8" i="17"/>
  <c r="J7" i="17"/>
  <c r="J9" i="8"/>
  <c r="J8" i="8"/>
  <c r="J7" i="8"/>
  <c r="J9" i="7"/>
  <c r="J8" i="7"/>
  <c r="J9" i="6"/>
  <c r="J8" i="6"/>
  <c r="J7" i="6"/>
  <c r="J8" i="14"/>
  <c r="J9" i="14"/>
  <c r="J6" i="14"/>
  <c r="J5" i="14"/>
  <c r="J4" i="14"/>
  <c r="J6" i="17"/>
  <c r="J5" i="17"/>
  <c r="J4" i="17"/>
  <c r="J2" i="17"/>
  <c r="J6" i="8"/>
  <c r="J4" i="8"/>
  <c r="J6" i="7"/>
  <c r="J5" i="7"/>
  <c r="J4" i="7"/>
  <c r="J6" i="6"/>
  <c r="J5" i="6"/>
  <c r="J4" i="6"/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F40" i="16" s="1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A9" i="15"/>
  <c r="D3" i="15"/>
  <c r="A1" i="15" s="1"/>
  <c r="E40" i="14"/>
  <c r="D40" i="14"/>
  <c r="C40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A10" i="14"/>
  <c r="A9" i="14"/>
  <c r="D3" i="14"/>
  <c r="A1" i="14" s="1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F40" i="13" s="1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A9" i="11"/>
  <c r="D3" i="11"/>
  <c r="A1" i="11" s="1"/>
  <c r="A39" i="10"/>
  <c r="E40" i="10"/>
  <c r="D40" i="10"/>
  <c r="C40" i="10"/>
  <c r="F38" i="10"/>
  <c r="A38" i="10"/>
  <c r="F37" i="10"/>
  <c r="A37" i="10"/>
  <c r="F36" i="10"/>
  <c r="A36" i="10"/>
  <c r="F35" i="10"/>
  <c r="A35" i="10"/>
  <c r="A34" i="10"/>
  <c r="F33" i="10"/>
  <c r="A33" i="10"/>
  <c r="F32" i="10"/>
  <c r="A32" i="10"/>
  <c r="F31" i="10"/>
  <c r="A31" i="10"/>
  <c r="F30" i="10"/>
  <c r="A30" i="10"/>
  <c r="F29" i="10"/>
  <c r="A29" i="10"/>
  <c r="A28" i="10"/>
  <c r="F27" i="10"/>
  <c r="A27" i="10"/>
  <c r="F26" i="10"/>
  <c r="A26" i="10"/>
  <c r="F25" i="10"/>
  <c r="A25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8" i="8"/>
  <c r="F36" i="8"/>
  <c r="E40" i="8"/>
  <c r="D40" i="8"/>
  <c r="C40" i="8"/>
  <c r="F35" i="8"/>
  <c r="F34" i="8"/>
  <c r="F33" i="8"/>
  <c r="F32" i="8"/>
  <c r="F31" i="8"/>
  <c r="F29" i="8"/>
  <c r="F28" i="8"/>
  <c r="F27" i="8"/>
  <c r="F26" i="8"/>
  <c r="F24" i="8"/>
  <c r="F23" i="8"/>
  <c r="F22" i="8"/>
  <c r="F21" i="8"/>
  <c r="F20" i="8"/>
  <c r="F19" i="8"/>
  <c r="F18" i="8"/>
  <c r="F16" i="8"/>
  <c r="F15" i="8"/>
  <c r="F14" i="8"/>
  <c r="F13" i="8"/>
  <c r="F12" i="8"/>
  <c r="F10" i="8"/>
  <c r="F9" i="8"/>
  <c r="D3" i="8"/>
  <c r="A1" i="8" s="1"/>
  <c r="E37" i="7"/>
  <c r="D37" i="7"/>
  <c r="C37" i="7"/>
  <c r="A36" i="7"/>
  <c r="F35" i="7"/>
  <c r="A35" i="7"/>
  <c r="F34" i="7"/>
  <c r="A34" i="7"/>
  <c r="F33" i="7"/>
  <c r="A33" i="7"/>
  <c r="F32" i="7"/>
  <c r="A32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A17" i="7"/>
  <c r="F16" i="7"/>
  <c r="A16" i="7"/>
  <c r="F15" i="7"/>
  <c r="A15" i="7"/>
  <c r="F14" i="7"/>
  <c r="A14" i="7"/>
  <c r="F13" i="7"/>
  <c r="A13" i="7"/>
  <c r="F12" i="7"/>
  <c r="A12" i="7"/>
  <c r="A11" i="7"/>
  <c r="F10" i="7"/>
  <c r="A10" i="7"/>
  <c r="F9" i="7"/>
  <c r="F37" i="7" s="1"/>
  <c r="J2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F39" i="15" l="1"/>
  <c r="F39" i="9"/>
  <c r="F40" i="19"/>
  <c r="F40" i="10"/>
  <c r="J2" i="10" s="1"/>
  <c r="F40" i="14"/>
  <c r="J2" i="14" s="1"/>
  <c r="F39" i="17"/>
  <c r="F39" i="11"/>
  <c r="F40" i="6"/>
  <c r="F40" i="8"/>
  <c r="J2" i="8" s="1"/>
  <c r="J2" i="6" l="1"/>
</calcChain>
</file>

<file path=xl/sharedStrings.xml><?xml version="1.0" encoding="utf-8"?>
<sst xmlns="http://schemas.openxmlformats.org/spreadsheetml/2006/main" count="409" uniqueCount="38">
  <si>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</si>
  <si>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</si>
  <si>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</si>
  <si>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</si>
  <si>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</si>
  <si>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</si>
  <si>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</si>
  <si>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</si>
  <si>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</si>
  <si>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</si>
  <si>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</si>
  <si>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</si>
  <si>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</si>
  <si>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</si>
  <si>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</si>
  <si>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</si>
  <si>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</si>
  <si>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</si>
  <si>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</si>
  <si>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</si>
  <si>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</si>
  <si>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</si>
  <si>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</si>
  <si>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</si>
  <si>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</si>
  <si>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</si>
  <si>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</si>
  <si>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</si>
  <si>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</si>
  <si>
    <t>1ere semaine</t>
  </si>
  <si>
    <t>2eme semaine</t>
  </si>
  <si>
    <t>3eme semaine</t>
  </si>
  <si>
    <t>4eme semaine</t>
  </si>
  <si>
    <t>Heure / mois</t>
  </si>
  <si>
    <t>Heure / semaine</t>
  </si>
  <si>
    <t>=SI(J1-Tableau137[[#Totaux];[Temps travaillé]]&lt;0;CONCATENER("+ ";TEXTE(Tableau137[[#Totaux];[Temps travaillé]]-J1;"[h]:mm"));J1-Tableau137[[#Totaux];[Temps travaillé]])</t>
  </si>
  <si>
    <t>5ème semaine</t>
  </si>
  <si>
    <t>6ème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</si>
</sst>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\ mmm\.\ yyyy"/>
    <numFmt numFmtId="165" formatCode="h:mm;@"/>
    <numFmt numFmtId="166" formatCode="[h]: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>
      <alignment horizontal="left"/>
    </xf>
  </cellStyleXfs>
  <cellXfs count="51">
    <xf numFmtId="0" fontId="0" fillId="0" borderId="0" xfId="0"/>
    <xf numFmtId="165" fontId="0" fillId="0" borderId="0" xfId="0" applyNumberFormat="1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4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6" fontId="0" fillId="6" borderId="12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6" borderId="11" xfId="0" applyFill="1" applyBorder="1" applyAlignment="1">
      <alignment vertical="center"/>
    </xf>
    <xf numFmtId="0" fontId="0" fillId="0" borderId="0" xfId="0" quotePrefix="1" applyAlignment="1"/>
    <xf numFmtId="166" fontId="5" fillId="0" borderId="0" xfId="0" applyNumberFormat="1" applyFont="1" applyFill="1" applyBorder="1" applyAlignment="1" applyProtection="1">
      <alignment vertical="center"/>
    </xf>
  </cellXfs>
  <cellStyles count="2">
    <cellStyle name="Heure" xfId="1" xr:uid="{00000000-0005-0000-0000-000000000000}"/>
    <cellStyle name="Normal" xfId="0" builtinId="0"/>
  </cellStyles>
  <dxfs count="2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[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Janvier" displayName="Janvier" ref="A8:G40" totalsRowCount="1" headerRowDxfId="265" dataDxfId="264" dataCellStyle="Heure">
  <autoFilter ref="A8:G39" xr:uid="{00000000-0009-0000-0100-000006000000}"/>
  <tableColumns count="7">
    <tableColumn id="1" xr3:uid="{00000000-0010-0000-0000-000001000000}" name="Jours" dataDxfId="263">
      <calculatedColumnFormula>TEXT(B9,"jjjj")</calculatedColumnFormula>
    </tableColumn>
    <tableColumn id="2" xr3:uid="{00000000-0010-0000-0000-000002000000}" name="Date" totalsRowFunction="custom" dataDxfId="262" totalsRowDxfId="261">
      <totalsRowFormula>IFERROR(NETWORKDAYS(B9,B39,G1:G6),"Vérifiez les dates")</totalsRowFormula>
    </tableColumn>
    <tableColumn id="3" xr3:uid="{00000000-0010-0000-0000-000003000000}" name="Heure d'arrivé" totalsRowFunction="custom" dataDxfId="260" totalsRowDxfId="259" dataCellStyle="Heure">
      <totalsRowFormula>IFERROR(SUBTOTAL(101,Janvier[Heure d''arrivé]),"")</totalsRowFormula>
    </tableColumn>
    <tableColumn id="4" xr3:uid="{00000000-0010-0000-0000-000004000000}" name="Temps de pause" totalsRowFunction="average" dataDxfId="258" totalsRowDxfId="257" dataCellStyle="Heure"/>
    <tableColumn id="5" xr3:uid="{00000000-0010-0000-0000-000005000000}" name="Heure de départ" totalsRowFunction="custom" dataDxfId="256" totalsRowDxfId="255" dataCellStyle="Heure">
      <totalsRowFormula>IFERROR(SUBTOTAL(101,Janvier[Heure de départ]),"")</totalsRowFormula>
    </tableColumn>
    <tableColumn id="6" xr3:uid="{00000000-0010-0000-0000-000006000000}" name="Temps travaillé" totalsRowFunction="custom" dataDxfId="254" totalsRowDxfId="253">
      <calculatedColumnFormula>IF(AND(C9&lt;&gt;0,E9&lt;&gt;0),(E9-D9-C9),"Temps à saisir")</calculatedColumnFormula>
      <totalsRowFormula>IFERROR(SUBTOTAL(9,F9:F39),"")</totalsRowFormula>
    </tableColumn>
    <tableColumn id="7" xr3:uid="{00000000-0010-0000-0000-000007000000}" name="Commentaire" dataDxfId="252" totalsRowDxfId="251" dataCellStyle="Heu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Février" displayName="Février" ref="A8:G37" totalsRowCount="1" headerRowDxfId="250" dataDxfId="249" dataCellStyle="Heure">
  <autoFilter ref="A8:G36" xr:uid="{00000000-0009-0000-0100-000007000000}"/>
  <tableColumns count="7">
    <tableColumn id="1" xr3:uid="{00000000-0010-0000-0100-000001000000}" name="Jours" dataDxfId="54">
      <calculatedColumnFormula>TEXT(B9,"jjjj")</calculatedColumnFormula>
    </tableColumn>
    <tableColumn id="2" xr3:uid="{00000000-0010-0000-0100-000002000000}" name="Date" totalsRowFunction="custom" dataDxfId="53" totalsRowDxfId="52">
      <totalsRowFormula>IFERROR(NETWORKDAYS(B9,B36,G1:G6),"Vérifiez les dates")</totalsRowFormula>
    </tableColumn>
    <tableColumn id="3" xr3:uid="{00000000-0010-0000-0100-000003000000}" name="Heure d'arrivé" totalsRowFunction="custom" dataDxfId="51" totalsRowDxfId="50" dataCellStyle="Heure">
      <totalsRowFormula>IFERROR(SUBTOTAL(101,Février[Heure d''arrivé]),"")</totalsRowFormula>
    </tableColumn>
    <tableColumn id="4" xr3:uid="{00000000-0010-0000-0100-000004000000}" name="Temps de pause" totalsRowFunction="average" dataDxfId="49" totalsRowDxfId="48" dataCellStyle="Heure"/>
    <tableColumn id="5" xr3:uid="{00000000-0010-0000-0100-000005000000}" name="Heure de départ" totalsRowFunction="custom" dataDxfId="47" totalsRowDxfId="46" dataCellStyle="Heure">
      <totalsRowFormula>IFERROR(SUBTOTAL(101,Février[Heure de départ]),"")</totalsRowFormula>
    </tableColumn>
    <tableColumn id="6" xr3:uid="{00000000-0010-0000-0100-000006000000}" name="Temps travaillé" totalsRowFunction="custom" dataDxfId="45" totalsRowDxfId="44">
      <calculatedColumnFormula>IF(AND(C9&lt;&gt;0,E9&lt;&gt;0),(E9-D9-C9),"Temps à saisir")</calculatedColumnFormula>
      <totalsRowFormula>IFERROR(SUBTOTAL(9,F9:F36),"")</totalsRowFormula>
    </tableColumn>
    <tableColumn id="7" xr3:uid="{00000000-0010-0000-0100-000007000000}" name="Commentaire" dataDxfId="43" totalsRowDxfId="42" dataCellStyle="He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Mars" displayName="Mars" ref="A8:G40" totalsRowCount="1" headerRowDxfId="248" dataDxfId="247" dataCellStyle="Heure">
  <autoFilter ref="A8:G39" xr:uid="{00000000-0009-0000-0100-000008000000}"/>
  <tableColumns count="7">
    <tableColumn id="1" xr3:uid="{00000000-0010-0000-0200-000001000000}" name="Jours" dataDxfId="41">
      <calculatedColumnFormula>TEXT(B9,"jjjj")</calculatedColumnFormula>
    </tableColumn>
    <tableColumn id="2" xr3:uid="{00000000-0010-0000-0200-000002000000}" name="Date" totalsRowFunction="custom" dataDxfId="40" totalsRowDxfId="39">
      <totalsRowFormula>IFERROR(NETWORKDAYS(B9,B39,G1:G6),"Vérifiez les dates")</totalsRowFormula>
    </tableColumn>
    <tableColumn id="3" xr3:uid="{00000000-0010-0000-0200-000003000000}" name="Heure d'arrivé" totalsRowFunction="custom" dataDxfId="38" totalsRowDxfId="37" dataCellStyle="Heure">
      <totalsRowFormula>IFERROR(SUBTOTAL(101,Mars[Heure d''arrivé]),"")</totalsRowFormula>
    </tableColumn>
    <tableColumn id="4" xr3:uid="{00000000-0010-0000-0200-000004000000}" name="Temps de pause" totalsRowFunction="average" dataDxfId="36" totalsRowDxfId="35" dataCellStyle="Heure"/>
    <tableColumn id="5" xr3:uid="{00000000-0010-0000-0200-000005000000}" name="Heure de départ" totalsRowFunction="custom" dataDxfId="34" totalsRowDxfId="33" dataCellStyle="Heure">
      <totalsRowFormula>IFERROR(SUBTOTAL(101,Mars[Heure de départ]),"")</totalsRowFormula>
    </tableColumn>
    <tableColumn id="6" xr3:uid="{00000000-0010-0000-0200-000006000000}" name="Temps travaillé" totalsRowFunction="custom" dataDxfId="32" totalsRowDxfId="31">
      <calculatedColumnFormula>IF(AND(C9&lt;&gt;0,E9&lt;&gt;0),(E9-D9-C9),"Temps à saisir")</calculatedColumnFormula>
      <totalsRowFormula>IFERROR(SUBTOTAL(9,F9:F39),"")</totalsRowFormula>
    </tableColumn>
    <tableColumn id="7" xr3:uid="{00000000-0010-0000-0200-000007000000}" name="Commentaire" dataDxfId="30" totalsRowDxfId="29" dataCellStyle="He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Avril" displayName="Avril" ref="A8:G39" totalsRowCount="1" headerRowDxfId="246" dataDxfId="245" dataCellStyle="Heure">
  <autoFilter ref="A8:G38" xr:uid="{00000000-0009-0000-0100-000009000000}"/>
  <tableColumns count="7">
    <tableColumn id="1" xr3:uid="{00000000-0010-0000-0300-000001000000}" name="Jours" dataDxfId="244">
      <calculatedColumnFormula>TEXT(B9,"jjjj")</calculatedColumnFormula>
    </tableColumn>
    <tableColumn id="2" xr3:uid="{00000000-0010-0000-0300-000002000000}" name="Date" totalsRowFunction="custom" dataDxfId="243" totalsRowDxfId="242">
      <totalsRowFormula>IFERROR(NETWORKDAYS(B9,B38,G1:G6),"Vérifiez les dates")</totalsRowFormula>
    </tableColumn>
    <tableColumn id="3" xr3:uid="{00000000-0010-0000-0300-000003000000}" name="Heure d'arrivé" totalsRowFunction="custom" dataDxfId="241" totalsRowDxfId="240" dataCellStyle="Heure">
      <totalsRowFormula>IFERROR(SUBTOTAL(101,Avril[Heure d''arrivé]),"")</totalsRowFormula>
    </tableColumn>
    <tableColumn id="4" xr3:uid="{00000000-0010-0000-0300-000004000000}" name="Temps de pause" totalsRowFunction="average" dataDxfId="239" totalsRowDxfId="238" dataCellStyle="Heure"/>
    <tableColumn id="5" xr3:uid="{00000000-0010-0000-0300-000005000000}" name="Heure de départ" totalsRowFunction="custom" dataDxfId="237" totalsRowDxfId="236" dataCellStyle="Heure">
      <totalsRowFormula>IFERROR(SUBTOTAL(101,Avril[Heure de départ]),"")</totalsRowFormula>
    </tableColumn>
    <tableColumn id="6" xr3:uid="{00000000-0010-0000-0300-000006000000}" name="Temps travaillé" totalsRowFunction="custom" dataDxfId="235" totalsRowDxfId="234">
      <calculatedColumnFormula>IF(AND(C9&lt;&gt;0,E9&lt;&gt;0),(E9-D9-C9),"Temps à saisir")</calculatedColumnFormula>
      <totalsRowFormula>IFERROR(SUBTOTAL(9,F9:F38),"")</totalsRowFormula>
    </tableColumn>
    <tableColumn id="7" xr3:uid="{00000000-0010-0000-0300-000007000000}" name="Commentaire" dataDxfId="233" totalsRowDxfId="232" dataCellStyle="He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4000000}" name="Mai" displayName="Mai" ref="A8:G40" totalsRowCount="1" headerRowDxfId="231" dataDxfId="230" dataCellStyle="Heure">
  <autoFilter ref="A8:G39" xr:uid="{00000000-0009-0000-0100-00000A000000}"/>
  <tableColumns count="7">
    <tableColumn id="1" xr3:uid="{00000000-0010-0000-0400-000001000000}" name="Jours" dataDxfId="28">
      <calculatedColumnFormula>TEXT(B9,"jjjj")</calculatedColumnFormula>
    </tableColumn>
    <tableColumn id="2" xr3:uid="{00000000-0010-0000-0400-000002000000}" name="Date" totalsRowFunction="custom" dataDxfId="27" totalsRowDxfId="26">
      <totalsRowFormula>IFERROR(NETWORKDAYS(B9,B39,G1:G6),"Vérifiez les dates")</totalsRowFormula>
    </tableColumn>
    <tableColumn id="3" xr3:uid="{00000000-0010-0000-0400-000003000000}" name="Heure d'arrivé" totalsRowFunction="custom" dataDxfId="25" totalsRowDxfId="24" dataCellStyle="Heure">
      <totalsRowFormula>IFERROR(SUBTOTAL(101,Mai[Heure d''arrivé]),"")</totalsRowFormula>
    </tableColumn>
    <tableColumn id="4" xr3:uid="{00000000-0010-0000-0400-000004000000}" name="Temps de pause" totalsRowFunction="average" dataDxfId="23" totalsRowDxfId="22" dataCellStyle="Heure"/>
    <tableColumn id="5" xr3:uid="{00000000-0010-0000-0400-000005000000}" name="Heure de départ" totalsRowFunction="custom" dataDxfId="21" totalsRowDxfId="20" dataCellStyle="Heure">
      <totalsRowFormula>IFERROR(SUBTOTAL(101,Mai[Heure de départ]),"")</totalsRowFormula>
    </tableColumn>
    <tableColumn id="6" xr3:uid="{00000000-0010-0000-0400-000006000000}" name="Temps travaillé" totalsRowFunction="custom" dataDxfId="19" totalsRowDxfId="18">
      <calculatedColumnFormula>IF(AND(C9&lt;&gt;0,E9&lt;&gt;0),(E9-D9-C9),"Temps à saisir")</calculatedColumnFormula>
      <totalsRowFormula>IFERROR(SUBTOTAL(9,F9:F39),"")</totalsRowFormula>
    </tableColumn>
    <tableColumn id="7" xr3:uid="{00000000-0010-0000-0400-000007000000}" name="Commentaire" dataDxfId="17" totalsRowDxfId="16" dataCellStyle="He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5000000}" name="Juin" displayName="Juin" ref="A8:G39" totalsRowCount="1" headerRowDxfId="229" dataDxfId="228" dataCellStyle="Heure">
  <autoFilter ref="A8:G38" xr:uid="{00000000-0009-0000-0100-00000B000000}"/>
  <tableColumns count="7">
    <tableColumn id="1" xr3:uid="{00000000-0010-0000-0500-000001000000}" name="Jours" dataDxfId="227">
      <calculatedColumnFormula>TEXT(B9,"jjjj")</calculatedColumnFormula>
    </tableColumn>
    <tableColumn id="2" xr3:uid="{00000000-0010-0000-0500-000002000000}" name="Date" totalsRowFunction="custom" dataDxfId="226" totalsRowDxfId="225">
      <totalsRowFormula>IFERROR(NETWORKDAYS(B9,B38,G1:G6),"Vérifiez les dates")</totalsRowFormula>
    </tableColumn>
    <tableColumn id="3" xr3:uid="{00000000-0010-0000-0500-000003000000}" name="Heure d'arrivé" totalsRowFunction="custom" dataDxfId="224" totalsRowDxfId="223" dataCellStyle="Heure">
      <totalsRowFormula>IFERROR(SUBTOTAL(101,Juin[Heure d''arrivé]),"")</totalsRowFormula>
    </tableColumn>
    <tableColumn id="4" xr3:uid="{00000000-0010-0000-0500-000004000000}" name="Temps de pause" totalsRowFunction="average" dataDxfId="222" totalsRowDxfId="221" dataCellStyle="Heure"/>
    <tableColumn id="5" xr3:uid="{00000000-0010-0000-0500-000005000000}" name="Heure de départ" totalsRowFunction="custom" dataDxfId="220" totalsRowDxfId="219" dataCellStyle="Heure">
      <totalsRowFormula>IFERROR(SUBTOTAL(101,Juin[Heure de départ]),"")</totalsRowFormula>
    </tableColumn>
    <tableColumn id="6" xr3:uid="{00000000-0010-0000-0500-000006000000}" name="Temps travaillé" totalsRowFunction="custom" dataDxfId="218" totalsRowDxfId="217">
      <calculatedColumnFormula>IF(AND(C9&lt;&gt;0,E9&lt;&gt;0),(E9-D9-C9),"Temps à saisir")</calculatedColumnFormula>
      <totalsRowFormula>IFERROR(SUBTOTAL(9,F9:F38),"")</totalsRowFormula>
    </tableColumn>
    <tableColumn id="7" xr3:uid="{00000000-0010-0000-0500-000007000000}" name="Commentaire" dataDxfId="216" totalsRowDxfId="215" dataCellStyle="He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6000000}" name="JUillet" displayName="JUillet" ref="A8:G40" totalsRowCount="1" headerRowDxfId="214" dataDxfId="213" dataCellStyle="Heure">
  <autoFilter ref="A8:G39" xr:uid="{00000000-0009-0000-0100-00000C000000}"/>
  <tableColumns count="7">
    <tableColumn id="1" xr3:uid="{00000000-0010-0000-0600-000001000000}" name="Jours" dataDxfId="212">
      <calculatedColumnFormula>TEXT(B9,"jjjj")</calculatedColumnFormula>
    </tableColumn>
    <tableColumn id="2" xr3:uid="{00000000-0010-0000-0600-000002000000}" name="Date" totalsRowFunction="custom" dataDxfId="211" totalsRowDxfId="210">
      <totalsRowFormula>IFERROR(NETWORKDAYS(B9,B39,G1:G6),"Vérifiez les dates")</totalsRowFormula>
    </tableColumn>
    <tableColumn id="3" xr3:uid="{00000000-0010-0000-0600-000003000000}" name="Heure d'arrivé" totalsRowFunction="custom" dataDxfId="209" totalsRowDxfId="208" dataCellStyle="Heure">
      <totalsRowFormula>IFERROR(SUBTOTAL(101,JUillet[Heure d''arrivé]),"")</totalsRowFormula>
    </tableColumn>
    <tableColumn id="4" xr3:uid="{00000000-0010-0000-0600-000004000000}" name="Temps de pause" totalsRowFunction="average" dataDxfId="207" totalsRowDxfId="206" dataCellStyle="Heure"/>
    <tableColumn id="5" xr3:uid="{00000000-0010-0000-0600-000005000000}" name="Heure de départ" totalsRowFunction="custom" dataDxfId="205" totalsRowDxfId="204" dataCellStyle="Heure">
      <totalsRowFormula>IFERROR(SUBTOTAL(101,JUillet[Heure de départ]),"")</totalsRowFormula>
    </tableColumn>
    <tableColumn id="6" xr3:uid="{00000000-0010-0000-0600-000006000000}" name="Temps travaillé" totalsRowFunction="custom" dataDxfId="203" totalsRowDxfId="202">
      <calculatedColumnFormula>IF(AND(C9&lt;&gt;0,E9&lt;&gt;0),(E9-D9-C9),"Temps à saisir")</calculatedColumnFormula>
      <totalsRowFormula>IFERROR(SUBTOTAL(9,F9:F39),"")</totalsRowFormula>
    </tableColumn>
    <tableColumn id="7" xr3:uid="{00000000-0010-0000-0600-000007000000}" name="Commentaire" dataDxfId="201" totalsRowDxfId="200" dataCellStyle="He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7000000}" name="Août" displayName="Août" ref="A8:G40" totalsRowCount="1" headerRowDxfId="199" dataDxfId="198" dataCellStyle="Heure">
  <autoFilter ref="A8:G39" xr:uid="{00000000-0009-0000-0100-00000D000000}"/>
  <tableColumns count="7">
    <tableColumn id="1" xr3:uid="{00000000-0010-0000-0700-000001000000}" name="Jours" dataDxfId="12">
      <calculatedColumnFormula>TEXT(B9,"jjjj")</calculatedColumnFormula>
    </tableColumn>
    <tableColumn id="2" xr3:uid="{00000000-0010-0000-0700-000002000000}" name="Date" totalsRowFunction="custom" dataDxfId="11" totalsRowDxfId="5">
      <totalsRowFormula>IFERROR(NETWORKDAYS(B9,B39,G1:G6),"Vérifiez les dates")</totalsRowFormula>
    </tableColumn>
    <tableColumn id="3" xr3:uid="{00000000-0010-0000-0700-000003000000}" name="Heure d'arrivé" totalsRowFunction="custom" dataDxfId="10" totalsRowDxfId="4" dataCellStyle="Heure">
      <totalsRowFormula>IFERROR(SUBTOTAL(101,Août[Heure d''arrivé]),"")</totalsRowFormula>
    </tableColumn>
    <tableColumn id="4" xr3:uid="{00000000-0010-0000-0700-000004000000}" name="Temps de pause" totalsRowFunction="average" dataDxfId="9" totalsRowDxfId="3" dataCellStyle="Heure"/>
    <tableColumn id="5" xr3:uid="{00000000-0010-0000-0700-000005000000}" name="Heure de départ" totalsRowFunction="custom" dataDxfId="8" totalsRowDxfId="2" dataCellStyle="Heure">
      <totalsRowFormula>IFERROR(SUBTOTAL(101,Août[Heure de départ]),"")</totalsRowFormula>
    </tableColumn>
    <tableColumn id="6" xr3:uid="{00000000-0010-0000-0700-000006000000}" name="Temps travaillé" totalsRowFunction="custom" dataDxfId="7" totalsRowDxfId="1">
      <calculatedColumnFormula>IF(AND(C9&lt;&gt;0,E9&lt;&gt;0),(E9-D9-C9),"Temps à saisir")</calculatedColumnFormula>
      <totalsRowFormula>IFERROR(SUBTOTAL(9,F9:F39),"")</totalsRowFormula>
    </tableColumn>
    <tableColumn id="7" xr3:uid="{00000000-0010-0000-0700-000007000000}" name="Commentaire" dataDxfId="6" totalsRowDxfId="0" dataCellStyle="Heur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8000000}" name="Septembre" displayName="Septembre" ref="A8:G39" totalsRowCount="1" headerRowDxfId="197" dataDxfId="196" dataCellStyle="Heure">
  <autoFilter ref="A8:G38" xr:uid="{00000000-0009-0000-0100-00000E000000}"/>
  <tableColumns count="7">
    <tableColumn id="1" xr3:uid="{00000000-0010-0000-0800-000001000000}" name="Jours" dataDxfId="195">
      <calculatedColumnFormula>TEXT(B9,"jjjj")</calculatedColumnFormula>
    </tableColumn>
    <tableColumn id="2" xr3:uid="{00000000-0010-0000-0800-000002000000}" name="Date" totalsRowFunction="custom" dataDxfId="194" totalsRowDxfId="193">
      <totalsRowFormula>IFERROR(NETWORKDAYS(B9,B38,G1:G6),"Vérifiez les dates")</totalsRowFormula>
    </tableColumn>
    <tableColumn id="3" xr3:uid="{00000000-0010-0000-0800-000003000000}" name="Heure d'arrivé" totalsRowFunction="custom" dataDxfId="192" totalsRowDxfId="191" dataCellStyle="Heure">
      <totalsRowFormula>IFERROR(SUBTOTAL(101,Septembre[Heure d''arrivé]),"")</totalsRowFormula>
    </tableColumn>
    <tableColumn id="4" xr3:uid="{00000000-0010-0000-0800-000004000000}" name="Temps de pause" totalsRowFunction="average" dataDxfId="190" totalsRowDxfId="189" dataCellStyle="Heure"/>
    <tableColumn id="5" xr3:uid="{00000000-0010-0000-0800-000005000000}" name="Heure de départ" totalsRowFunction="custom" dataDxfId="188" totalsRowDxfId="187" dataCellStyle="Heure">
      <totalsRowFormula>IFERROR(SUBTOTAL(101,Septembre[Heure de départ]),"")</totalsRowFormula>
    </tableColumn>
    <tableColumn id="6" xr3:uid="{00000000-0010-0000-0800-000006000000}" name="Temps travaillé" totalsRowFunction="custom" dataDxfId="186" totalsRowDxfId="185">
      <calculatedColumnFormula>IF(AND(C9&lt;&gt;0,E9&lt;&gt;0),(E9-D9-C9),"Temps à saisir")</calculatedColumnFormula>
      <totalsRowFormula>IFERROR(SUBTOTAL(9,F9:F38),"")</totalsRowFormula>
    </tableColumn>
    <tableColumn id="7" xr3:uid="{00000000-0010-0000-0800-000007000000}" name="Commentaire" dataDxfId="184" totalsRowDxfId="183" dataCellStyle="Heure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Octobre" displayName="Octobre" ref="A8:G40" totalsRowCount="1" headerRowDxfId="182" dataDxfId="181" dataCellStyle="Heure">
  <autoFilter ref="A8:G39" xr:uid="{00000000-0009-0000-0100-00000F000000}"/>
  <tableColumns count="7">
    <tableColumn id="1" xr3:uid="{00000000-0010-0000-0900-000001000000}" name="Jours" dataDxfId="180">
      <calculatedColumnFormula>TEXT(B9,"jjjj")</calculatedColumnFormula>
    </tableColumn>
    <tableColumn id="2" xr3:uid="{00000000-0010-0000-0900-000002000000}" name="Date" totalsRowFunction="custom" dataDxfId="179" totalsRowDxfId="178">
      <totalsRowFormula>IFERROR(NETWORKDAYS(B9,B39,G1:G6),"Vérifiez les dates")</totalsRowFormula>
    </tableColumn>
    <tableColumn id="3" xr3:uid="{00000000-0010-0000-0900-000003000000}" name="Heure d'arrivé" totalsRowFunction="custom" dataDxfId="177" totalsRowDxfId="176" dataCellStyle="Heure">
      <totalsRowFormula>IFERROR(SUBTOTAL(101,Octobre[Heure d''arrivé]),"")</totalsRowFormula>
    </tableColumn>
    <tableColumn id="4" xr3:uid="{00000000-0010-0000-0900-000004000000}" name="Temps de pause" totalsRowFunction="average" dataDxfId="175" totalsRowDxfId="174" dataCellStyle="Heure"/>
    <tableColumn id="5" xr3:uid="{00000000-0010-0000-0900-000005000000}" name="Heure de départ" totalsRowFunction="custom" dataDxfId="173" totalsRowDxfId="172" dataCellStyle="Heure">
      <totalsRowFormula>IFERROR(SUBTOTAL(101,Octobre[Heure de départ]),"")</totalsRowFormula>
    </tableColumn>
    <tableColumn id="6" xr3:uid="{00000000-0010-0000-0900-000006000000}" name="Temps travaillé" totalsRowFunction="custom" dataDxfId="171" totalsRowDxfId="170">
      <calculatedColumnFormula>IF(AND(C9&lt;&gt;0,E9&lt;&gt;0),(E9-D9-C9),"Temps à saisir")</calculatedColumnFormula>
      <totalsRowFormula>IFERROR(SUBTOTAL(9,F9:F39),"")</totalsRowFormula>
    </tableColumn>
    <tableColumn id="7" xr3:uid="{00000000-0010-0000-0900-000007000000}" name="Commentaire" dataDxfId="169" totalsRowDxfId="168" dataCellStyle="Heure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A000000}" name="Novembre" displayName="Novembre" ref="A8:G39" totalsRowCount="1" headerRowDxfId="167" dataDxfId="166" dataCellStyle="Heure">
  <autoFilter ref="A8:G38" xr:uid="{00000000-0009-0000-0100-000010000000}"/>
  <tableColumns count="7">
    <tableColumn id="1" xr3:uid="{00000000-0010-0000-0A00-000001000000}" name="Jours" dataDxfId="165">
      <calculatedColumnFormula>TEXT(B9,"jjjj")</calculatedColumnFormula>
    </tableColumn>
    <tableColumn id="2" xr3:uid="{00000000-0010-0000-0A00-000002000000}" name="Date" totalsRowFunction="custom" dataDxfId="164" totalsRowDxfId="163">
      <totalsRowFormula>IFERROR(NETWORKDAYS(B9,B38,G1:G6),"Vérifiez les dates")</totalsRowFormula>
    </tableColumn>
    <tableColumn id="3" xr3:uid="{00000000-0010-0000-0A00-000003000000}" name="Heure d'arrivé" totalsRowFunction="custom" dataDxfId="162" totalsRowDxfId="161" dataCellStyle="Heure">
      <totalsRowFormula>IFERROR(SUBTOTAL(101,Novembre[Heure d''arrivé]),"")</totalsRowFormula>
    </tableColumn>
    <tableColumn id="4" xr3:uid="{00000000-0010-0000-0A00-000004000000}" name="Temps de pause" totalsRowFunction="average" dataDxfId="160" totalsRowDxfId="159" dataCellStyle="Heure"/>
    <tableColumn id="5" xr3:uid="{00000000-0010-0000-0A00-000005000000}" name="Heure de départ" totalsRowFunction="custom" dataDxfId="158" totalsRowDxfId="157" dataCellStyle="Heure">
      <totalsRowFormula>IFERROR(SUBTOTAL(101,Novembre[Heure de départ]),"")</totalsRowFormula>
    </tableColumn>
    <tableColumn id="6" xr3:uid="{00000000-0010-0000-0A00-000006000000}" name="Temps travaillé" totalsRowFunction="custom" dataDxfId="156" totalsRowDxfId="155">
      <calculatedColumnFormula>IF(AND(C9&lt;&gt;0,E9&lt;&gt;0),(E9-D9-C9),"Temps à saisir")</calculatedColumnFormula>
      <totalsRowFormula>IFERROR(SUBTOTAL(9,F9:F38),"")</totalsRowFormula>
    </tableColumn>
    <tableColumn id="7" xr3:uid="{00000000-0010-0000-0A00-000007000000}" name="Commentaire" dataDxfId="154" totalsRowDxfId="153" dataCellStyle="Heur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B000000}" name="Décembre" displayName="Décembre" ref="A8:G40" totalsRowCount="1" headerRowDxfId="152" dataDxfId="151" dataCellStyle="Heure">
  <autoFilter ref="A8:G39" xr:uid="{00000000-0009-0000-0100-000011000000}"/>
  <tableColumns count="7">
    <tableColumn id="1" xr3:uid="{00000000-0010-0000-0B00-000001000000}" name="Jours" dataDxfId="150">
      <calculatedColumnFormula>TEXT(B9,"jjjj")</calculatedColumnFormula>
    </tableColumn>
    <tableColumn id="2" xr3:uid="{00000000-0010-0000-0B00-000002000000}" name="Date" totalsRowFunction="custom" dataDxfId="149" totalsRowDxfId="148">
      <totalsRowFormula>IFERROR(NETWORKDAYS(B9,B39,G1:G6),"Vérifiez les dates")</totalsRowFormula>
    </tableColumn>
    <tableColumn id="3" xr3:uid="{00000000-0010-0000-0B00-000003000000}" name="Heure d'arrivé" totalsRowFunction="custom" dataDxfId="147" totalsRowDxfId="146" dataCellStyle="Heure">
      <totalsRowFormula>IFERROR(SUBTOTAL(101,Décembre[Heure d''arrivé]),"")</totalsRowFormula>
    </tableColumn>
    <tableColumn id="4" xr3:uid="{00000000-0010-0000-0B00-000004000000}" name="Temps de pause" totalsRowFunction="average" dataDxfId="145" totalsRowDxfId="144" dataCellStyle="Heure"/>
    <tableColumn id="5" xr3:uid="{00000000-0010-0000-0B00-000005000000}" name="Heure de départ" totalsRowFunction="custom" dataDxfId="143" totalsRowDxfId="142" dataCellStyle="Heure">
      <totalsRowFormula>IFERROR(SUBTOTAL(101,Décembre[Heure de départ]),"")</totalsRowFormula>
    </tableColumn>
    <tableColumn id="6" xr3:uid="{00000000-0010-0000-0B00-000006000000}" name="Temps travaillé" totalsRowFunction="custom" dataDxfId="141" totalsRowDxfId="140">
      <calculatedColumnFormula>IF(AND(C9&lt;&gt;0,E9&lt;&gt;0),(E9-D9-C9),"Temps à saisir")</calculatedColumnFormula>
      <totalsRowFormula>IFERROR(SUBTOTAL(9,F9:F39),"")</totalsRowFormula>
    </tableColumn>
    <tableColumn id="7" xr3:uid="{00000000-0010-0000-0B00-000007000000}" name="Commentaire" dataDxfId="139" totalsRowDxfId="138" dataCellStyle="He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workbookViewId="0">
      <pane ySplit="8" topLeftCell="A9" activePane="bottomLeft" state="frozen"/>
      <selection activeCell="B31" sqref="B31"/>
      <selection pane="bottomLeft" activeCell="K20" sqref="K20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  <col min="11" max="11" width="23.42578125" customWidth="1"/>
  </cols>
  <sheetData>
    <row r="1" spans="1:11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44197</v>
      </c>
      <c r="I1" s="25" t="s">
        <v>33</v>
      </c>
      <c r="J1" s="26">
        <v>6.3194444444444438</v>
      </c>
    </row>
    <row r="2" spans="1:11" x14ac:dyDescent="0.25">
      <c r="F2" s="46"/>
      <c r="G2" s="13"/>
      <c r="I2" s="48" t="s">
        <v>16</v>
      </c>
      <c r="J2" s="42">
        <f>IF(J1-Janvier[[#Totals],[Temps travaillé]]&lt;0,CONCATENATE("+ ",TEXT(Janvier[[#Totals],[Temps travaillé]]-J1,"[h]:mm")),J1-Janvier[[#Totals],[Temps travaillé]])</f>
        <v>3.3124999999999996</v>
      </c>
      <c r="K2" s="49" t="s">
        <v>35</v>
      </c>
    </row>
    <row r="3" spans="1:11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1" x14ac:dyDescent="0.25">
      <c r="F4" s="46"/>
      <c r="G4" s="14"/>
      <c r="I4" s="43" t="s">
        <v>29</v>
      </c>
      <c r="J4" s="40">
        <f ca="1">SUM(OFFSET(Janvier[[#Headers],[Temps travaillé]],1,,MATCH("dimanche",Janvier[Jours],0)))</f>
        <v>0</v>
      </c>
    </row>
    <row r="5" spans="1:11" x14ac:dyDescent="0.25">
      <c r="A5" s="16" t="s">
        <v>6</v>
      </c>
      <c r="B5" s="17"/>
      <c r="F5" s="46"/>
      <c r="G5" s="14"/>
      <c r="I5" s="43" t="s">
        <v>30</v>
      </c>
      <c r="J5" s="40">
        <f ca="1">SUM(OFFSET(Janvier[[#Headers],[Temps travaillé]],MATCH("Dimanche",Janvier[Jours],0)+1+(7*(ROW(A1)-1)),,7))</f>
        <v>1.5104166666666667</v>
      </c>
    </row>
    <row r="6" spans="1:11" ht="15.75" thickBot="1" x14ac:dyDescent="0.3">
      <c r="F6" s="47"/>
      <c r="G6" s="15"/>
      <c r="I6" s="43" t="s">
        <v>31</v>
      </c>
      <c r="J6" s="40">
        <f ca="1">SUM(OFFSET(Janvier[[#Headers],[Temps travaillé]],MATCH("Dimanche",Janvier[Jours],0)+1+(7*(ROW(A2)-1)),,7))</f>
        <v>1.4965277777777779</v>
      </c>
    </row>
    <row r="7" spans="1:11" x14ac:dyDescent="0.25">
      <c r="I7" s="44" t="s">
        <v>32</v>
      </c>
      <c r="J7" s="40">
        <f ca="1">SUM(OFFSET(Janvier[[#Headers],[Temps travaillé]],MATCH("Dimanche",Janvier[Jours],0)+1+(7*(ROW(A3)-1)),,7))</f>
        <v>0</v>
      </c>
    </row>
    <row r="8" spans="1:11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IF(COUNTA(Janvier[Jours])&gt;28,SUM(OFFSET(Janvier[[#Headers],[Temps travaillé]],MATCH("Dimanche",Janvier[Jours],0)+1+(7*(ROW(A4)-1)),,IF(WEEKDAY(B9,2)&lt;6,COUNTA(Janvier[Jours])-(MATCH("Dimanche",Janvier[Jours],0)+(7*(ROW(A4)-1))),7))),0)</f>
        <v>0</v>
      </c>
    </row>
    <row r="9" spans="1:11" x14ac:dyDescent="0.25">
      <c r="A9" s="34" t="str">
        <f>TEXT(B9,"jjjj")</f>
        <v>vendredi</v>
      </c>
      <c r="B9" s="35">
        <v>44197</v>
      </c>
      <c r="C9" s="36"/>
      <c r="D9" s="37">
        <v>3.125E-2</v>
      </c>
      <c r="E9" s="36"/>
      <c r="F9" s="38" t="str">
        <f t="shared" ref="F9:F38" si="0">IF(AND(C9&lt;&gt;0,E9&lt;&gt;0),(E9-D9-C9),"Temps à saisir")</f>
        <v>Temps à saisir</v>
      </c>
      <c r="G9" s="36"/>
      <c r="I9" s="44" t="s">
        <v>37</v>
      </c>
      <c r="J9" s="40">
        <f ca="1">IF(AND(COUNTA(Janvier[Jours])&gt;28,WEEKDAY(B9,2)&gt;5),SUM(OFFSET(Janvier[[#Headers],[Temps travaillé]],MATCH("Dimanche",Janvier[Jours],0)+1+(7*(ROW(A5)-1)),,COUNTA(Janvier[Jours])-(MATCH("Dimanche",Janvier[Jours],0)+(7*(ROW(A5)-1))))),0)</f>
        <v>0</v>
      </c>
    </row>
    <row r="10" spans="1:11" x14ac:dyDescent="0.25">
      <c r="A10" s="5" t="str">
        <f>TEXT(B10,"jjjj")</f>
        <v>samedi</v>
      </c>
      <c r="B10" s="22">
        <v>44198</v>
      </c>
      <c r="C10" s="24"/>
      <c r="D10" s="24"/>
      <c r="E10" s="24"/>
      <c r="F10" s="23" t="str">
        <f t="shared" si="0"/>
        <v>Temps à saisir</v>
      </c>
      <c r="G10" s="7" t="s">
        <v>8</v>
      </c>
      <c r="I10" s="6"/>
      <c r="J10"/>
    </row>
    <row r="11" spans="1:11" x14ac:dyDescent="0.25">
      <c r="A11" s="5" t="str">
        <f>TEXT(B11,"jjjj")</f>
        <v>dimanche</v>
      </c>
      <c r="B11" s="22">
        <v>44199</v>
      </c>
      <c r="C11" s="24"/>
      <c r="D11" s="24"/>
      <c r="E11" s="24"/>
      <c r="F11" s="23" t="str">
        <f t="shared" si="0"/>
        <v>Temps à saisir</v>
      </c>
      <c r="G11" s="7" t="s">
        <v>8</v>
      </c>
      <c r="I11" s="6"/>
      <c r="J11"/>
    </row>
    <row r="12" spans="1:11" x14ac:dyDescent="0.25">
      <c r="A12" s="5" t="str">
        <f t="shared" ref="A12:A38" si="1">TEXT(B12,"jjjj")</f>
        <v>lundi</v>
      </c>
      <c r="B12" s="22">
        <v>44200</v>
      </c>
      <c r="C12" s="24">
        <v>0.3125</v>
      </c>
      <c r="D12" s="24">
        <v>3.125E-2</v>
      </c>
      <c r="E12" s="24">
        <v>0.63541666666666663</v>
      </c>
      <c r="F12" s="23">
        <f t="shared" si="0"/>
        <v>0.29166666666666663</v>
      </c>
      <c r="G12" s="7"/>
      <c r="I12" s="6"/>
      <c r="J12"/>
    </row>
    <row r="13" spans="1:11" x14ac:dyDescent="0.25">
      <c r="A13" s="5" t="str">
        <f t="shared" si="1"/>
        <v>mardi</v>
      </c>
      <c r="B13" s="22">
        <v>44201</v>
      </c>
      <c r="C13" s="24">
        <v>0.3125</v>
      </c>
      <c r="D13" s="24">
        <v>3.125E-2</v>
      </c>
      <c r="E13" s="24">
        <v>0.64583333333333337</v>
      </c>
      <c r="F13" s="23">
        <f>IF(AND(C13&lt;&gt;0,E13&lt;&gt;0),(E13-D13-C13),"Temps à saisir")</f>
        <v>0.30208333333333337</v>
      </c>
      <c r="G13" s="7"/>
      <c r="I13" s="6"/>
      <c r="J13"/>
    </row>
    <row r="14" spans="1:11" x14ac:dyDescent="0.25">
      <c r="A14" s="5" t="str">
        <f t="shared" si="1"/>
        <v>mercredi</v>
      </c>
      <c r="B14" s="22">
        <v>44202</v>
      </c>
      <c r="C14" s="24">
        <v>0.34375</v>
      </c>
      <c r="D14" s="24">
        <v>3.125E-2</v>
      </c>
      <c r="E14" s="24">
        <v>0.65625</v>
      </c>
      <c r="F14" s="23">
        <f>IF(AND(C14&lt;&gt;0,E14&lt;&gt;0),(E14-D14-C14),"Temps à saisir")</f>
        <v>0.28125</v>
      </c>
      <c r="G14" s="7"/>
      <c r="I14" s="6"/>
      <c r="J14"/>
    </row>
    <row r="15" spans="1:11" x14ac:dyDescent="0.25">
      <c r="A15" s="5" t="str">
        <f t="shared" si="1"/>
        <v>jeudi</v>
      </c>
      <c r="B15" s="22">
        <v>44203</v>
      </c>
      <c r="C15" s="24">
        <v>0.32291666666666669</v>
      </c>
      <c r="D15" s="24">
        <v>3.125E-2</v>
      </c>
      <c r="E15" s="24">
        <v>0.70833333333333337</v>
      </c>
      <c r="F15" s="23">
        <f>IF(AND(C15&lt;&gt;0,E15&lt;&gt;0),(E15-D15-C15),"Temps à saisir")</f>
        <v>0.35416666666666669</v>
      </c>
      <c r="G15" s="7"/>
      <c r="I15" s="6"/>
      <c r="J15"/>
    </row>
    <row r="16" spans="1:11" x14ac:dyDescent="0.25">
      <c r="A16" s="5" t="str">
        <f t="shared" si="1"/>
        <v>vendredi</v>
      </c>
      <c r="B16" s="22">
        <v>44204</v>
      </c>
      <c r="C16" s="24">
        <v>0.3125</v>
      </c>
      <c r="D16" s="24">
        <v>3.125E-2</v>
      </c>
      <c r="E16" s="24">
        <v>0.625</v>
      </c>
      <c r="F16" s="23">
        <f>IF(AND(C16&lt;&gt;0,E16&lt;&gt;0),(E16-D16-C16),"Temps à saisir")</f>
        <v>0.28125</v>
      </c>
      <c r="G16" s="7"/>
      <c r="I16" s="6"/>
      <c r="J16"/>
    </row>
    <row r="17" spans="1:10" x14ac:dyDescent="0.25">
      <c r="A17" s="5" t="str">
        <f t="shared" si="1"/>
        <v>samedi</v>
      </c>
      <c r="B17" s="22">
        <v>44205</v>
      </c>
      <c r="C17" s="24"/>
      <c r="D17" s="24"/>
      <c r="E17" s="24"/>
      <c r="F17" s="23" t="str">
        <f t="shared" si="0"/>
        <v>Temps à saisir</v>
      </c>
      <c r="G17" s="7" t="s">
        <v>8</v>
      </c>
      <c r="I17" s="6"/>
      <c r="J17"/>
    </row>
    <row r="18" spans="1:10" x14ac:dyDescent="0.25">
      <c r="A18" s="5" t="str">
        <f t="shared" si="1"/>
        <v>dimanche</v>
      </c>
      <c r="B18" s="22">
        <v>44206</v>
      </c>
      <c r="C18" s="24"/>
      <c r="D18" s="24"/>
      <c r="E18" s="24"/>
      <c r="F18" s="23" t="str">
        <f t="shared" si="0"/>
        <v>Temps à saisir</v>
      </c>
      <c r="G18" s="7" t="s">
        <v>8</v>
      </c>
      <c r="I18" s="6"/>
      <c r="J18"/>
    </row>
    <row r="19" spans="1:10" x14ac:dyDescent="0.25">
      <c r="A19" s="31" t="str">
        <f t="shared" si="1"/>
        <v>lundi</v>
      </c>
      <c r="B19" s="22">
        <v>44207</v>
      </c>
      <c r="C19" s="24">
        <v>0.3263888888888889</v>
      </c>
      <c r="D19" s="24">
        <v>3.125E-2</v>
      </c>
      <c r="E19" s="24">
        <v>0.63541666666666663</v>
      </c>
      <c r="F19" s="32">
        <f t="shared" si="0"/>
        <v>0.27777777777777773</v>
      </c>
      <c r="G19" s="7"/>
      <c r="I19" s="6"/>
      <c r="J19"/>
    </row>
    <row r="20" spans="1:10" x14ac:dyDescent="0.25">
      <c r="A20" s="5" t="str">
        <f t="shared" si="1"/>
        <v>mardi</v>
      </c>
      <c r="B20" s="22">
        <v>44208</v>
      </c>
      <c r="C20" s="24">
        <v>0.3125</v>
      </c>
      <c r="D20" s="24">
        <v>3.125E-2</v>
      </c>
      <c r="E20" s="24">
        <v>0.64583333333333337</v>
      </c>
      <c r="F20" s="23">
        <f t="shared" si="0"/>
        <v>0.30208333333333337</v>
      </c>
      <c r="G20" s="7"/>
      <c r="I20" s="6"/>
      <c r="J20"/>
    </row>
    <row r="21" spans="1:10" x14ac:dyDescent="0.25">
      <c r="A21" s="5" t="str">
        <f t="shared" si="1"/>
        <v>mercredi</v>
      </c>
      <c r="B21" s="22">
        <v>44209</v>
      </c>
      <c r="C21" s="24">
        <v>0.34375</v>
      </c>
      <c r="D21" s="24">
        <v>3.125E-2</v>
      </c>
      <c r="E21" s="24">
        <v>0.65625</v>
      </c>
      <c r="F21" s="23">
        <f t="shared" si="0"/>
        <v>0.28125</v>
      </c>
      <c r="G21" s="7"/>
      <c r="I21" s="6"/>
      <c r="J21"/>
    </row>
    <row r="22" spans="1:10" x14ac:dyDescent="0.25">
      <c r="A22" s="5" t="str">
        <f t="shared" si="1"/>
        <v>jeudi</v>
      </c>
      <c r="B22" s="22">
        <v>44210</v>
      </c>
      <c r="C22" s="24">
        <v>0.32291666666666669</v>
      </c>
      <c r="D22" s="24">
        <v>3.125E-2</v>
      </c>
      <c r="E22" s="24">
        <v>0.70833333333333337</v>
      </c>
      <c r="F22" s="23">
        <f t="shared" si="0"/>
        <v>0.35416666666666669</v>
      </c>
      <c r="G22" s="7"/>
      <c r="I22" s="6"/>
      <c r="J22"/>
    </row>
    <row r="23" spans="1:10" x14ac:dyDescent="0.25">
      <c r="A23" s="5" t="str">
        <f t="shared" si="1"/>
        <v>vendredi</v>
      </c>
      <c r="B23" s="22">
        <v>44211</v>
      </c>
      <c r="C23" s="24">
        <v>0.3125</v>
      </c>
      <c r="D23" s="24">
        <v>3.125E-2</v>
      </c>
      <c r="E23" s="24">
        <v>0.625</v>
      </c>
      <c r="F23" s="23">
        <f t="shared" si="0"/>
        <v>0.28125</v>
      </c>
      <c r="G23" s="7"/>
      <c r="I23" s="6"/>
      <c r="J23"/>
    </row>
    <row r="24" spans="1:10" x14ac:dyDescent="0.25">
      <c r="A24" s="5" t="str">
        <f t="shared" si="1"/>
        <v>samedi</v>
      </c>
      <c r="B24" s="22">
        <v>44212</v>
      </c>
      <c r="C24" s="24"/>
      <c r="D24" s="24"/>
      <c r="E24" s="24"/>
      <c r="F24" s="23" t="str">
        <f t="shared" si="0"/>
        <v>Temps à saisir</v>
      </c>
      <c r="G24" s="7" t="s">
        <v>8</v>
      </c>
      <c r="I24" s="6"/>
      <c r="J24"/>
    </row>
    <row r="25" spans="1:10" x14ac:dyDescent="0.25">
      <c r="A25" s="5" t="str">
        <f t="shared" si="1"/>
        <v>dimanche</v>
      </c>
      <c r="B25" s="22">
        <v>44213</v>
      </c>
      <c r="C25" s="24"/>
      <c r="D25" s="24"/>
      <c r="E25" s="24"/>
      <c r="F25" s="23" t="str">
        <f t="shared" si="0"/>
        <v>Temps à saisir</v>
      </c>
      <c r="G25" s="7" t="s">
        <v>8</v>
      </c>
      <c r="I25" s="6"/>
      <c r="J25"/>
    </row>
    <row r="26" spans="1:10" x14ac:dyDescent="0.25">
      <c r="A26" s="5" t="str">
        <f t="shared" si="1"/>
        <v>lundi</v>
      </c>
      <c r="B26" s="22">
        <v>44214</v>
      </c>
      <c r="C26" s="24"/>
      <c r="D26" s="24">
        <v>3.125E-2</v>
      </c>
      <c r="E26" s="24"/>
      <c r="F26" s="23" t="str">
        <f t="shared" si="0"/>
        <v>Temps à saisir</v>
      </c>
      <c r="G26" s="7"/>
      <c r="I26" s="6"/>
      <c r="J26"/>
    </row>
    <row r="27" spans="1:10" x14ac:dyDescent="0.25">
      <c r="A27" s="5" t="str">
        <f t="shared" si="1"/>
        <v>mardi</v>
      </c>
      <c r="B27" s="22">
        <v>44215</v>
      </c>
      <c r="C27" s="24"/>
      <c r="D27" s="24">
        <v>3.125E-2</v>
      </c>
      <c r="E27" s="24"/>
      <c r="F27" s="23" t="str">
        <f t="shared" si="0"/>
        <v>Temps à saisir</v>
      </c>
      <c r="G27" s="7"/>
      <c r="I27" s="6"/>
      <c r="J27"/>
    </row>
    <row r="28" spans="1:10" x14ac:dyDescent="0.25">
      <c r="A28" s="5" t="str">
        <f t="shared" si="1"/>
        <v>mercredi</v>
      </c>
      <c r="B28" s="22">
        <v>44216</v>
      </c>
      <c r="C28" s="24"/>
      <c r="D28" s="24">
        <v>3.125E-2</v>
      </c>
      <c r="E28" s="24"/>
      <c r="F28" s="23" t="str">
        <f t="shared" si="0"/>
        <v>Temps à saisir</v>
      </c>
      <c r="G28" s="7"/>
      <c r="I28" s="6"/>
      <c r="J28"/>
    </row>
    <row r="29" spans="1:10" x14ac:dyDescent="0.25">
      <c r="A29" s="5" t="str">
        <f t="shared" si="1"/>
        <v>jeudi</v>
      </c>
      <c r="B29" s="22">
        <v>44217</v>
      </c>
      <c r="C29" s="24"/>
      <c r="D29" s="24">
        <v>3.125E-2</v>
      </c>
      <c r="E29" s="24"/>
      <c r="F29" s="23" t="str">
        <f t="shared" si="0"/>
        <v>Temps à saisir</v>
      </c>
      <c r="G29" s="7"/>
      <c r="I29" s="6"/>
      <c r="J29"/>
    </row>
    <row r="30" spans="1:10" x14ac:dyDescent="0.25">
      <c r="A30" s="5" t="str">
        <f t="shared" si="1"/>
        <v>vendredi</v>
      </c>
      <c r="B30" s="22">
        <v>44218</v>
      </c>
      <c r="C30" s="24"/>
      <c r="D30" s="24">
        <v>3.125E-2</v>
      </c>
      <c r="E30" s="24"/>
      <c r="F30" s="23" t="str">
        <f t="shared" si="0"/>
        <v>Temps à saisir</v>
      </c>
      <c r="G30" s="7"/>
      <c r="I30" s="6"/>
      <c r="J30"/>
    </row>
    <row r="31" spans="1:10" x14ac:dyDescent="0.25">
      <c r="A31" s="5" t="str">
        <f t="shared" si="1"/>
        <v>samedi</v>
      </c>
      <c r="B31" s="22">
        <v>44219</v>
      </c>
      <c r="C31" s="24"/>
      <c r="D31" s="24"/>
      <c r="E31" s="24"/>
      <c r="F31" s="23" t="str">
        <f t="shared" si="0"/>
        <v>Temps à saisir</v>
      </c>
      <c r="G31" s="7" t="s">
        <v>8</v>
      </c>
      <c r="I31" s="6"/>
      <c r="J31"/>
    </row>
    <row r="32" spans="1:10" x14ac:dyDescent="0.25">
      <c r="A32" s="5" t="str">
        <f t="shared" si="1"/>
        <v>dimanche</v>
      </c>
      <c r="B32" s="22">
        <v>44220</v>
      </c>
      <c r="C32" s="24"/>
      <c r="D32" s="24"/>
      <c r="E32" s="24"/>
      <c r="F32" s="23" t="str">
        <f t="shared" si="0"/>
        <v>Temps à saisir</v>
      </c>
      <c r="G32" s="7" t="s">
        <v>8</v>
      </c>
      <c r="I32" s="6"/>
      <c r="J32"/>
    </row>
    <row r="33" spans="1:10" x14ac:dyDescent="0.25">
      <c r="A33" s="5" t="str">
        <f t="shared" si="1"/>
        <v>lundi</v>
      </c>
      <c r="B33" s="22">
        <v>44221</v>
      </c>
      <c r="C33" s="24"/>
      <c r="D33" s="24">
        <v>3.125E-2</v>
      </c>
      <c r="E33" s="24"/>
      <c r="F33" s="23" t="str">
        <f t="shared" si="0"/>
        <v>Temps à saisir</v>
      </c>
      <c r="G33" s="7"/>
      <c r="I33" s="6"/>
      <c r="J33"/>
    </row>
    <row r="34" spans="1:10" x14ac:dyDescent="0.25">
      <c r="A34" s="5" t="str">
        <f t="shared" si="1"/>
        <v>mardi</v>
      </c>
      <c r="B34" s="22">
        <v>44222</v>
      </c>
      <c r="C34" s="24"/>
      <c r="D34" s="24">
        <v>3.125E-2</v>
      </c>
      <c r="E34" s="24"/>
      <c r="F34" s="23" t="str">
        <f t="shared" si="0"/>
        <v>Temps à saisir</v>
      </c>
      <c r="G34" s="7"/>
      <c r="I34" s="6"/>
      <c r="J34"/>
    </row>
    <row r="35" spans="1:10" x14ac:dyDescent="0.25">
      <c r="A35" s="5" t="str">
        <f>TEXT(B35,"jjjj")</f>
        <v>mercredi</v>
      </c>
      <c r="B35" s="22">
        <v>44223</v>
      </c>
      <c r="C35" s="24"/>
      <c r="D35" s="24">
        <v>3.125E-2</v>
      </c>
      <c r="E35" s="24"/>
      <c r="F35" s="23" t="str">
        <f t="shared" si="0"/>
        <v>Temps à saisir</v>
      </c>
      <c r="G35" s="7"/>
      <c r="I35" s="6"/>
      <c r="J35"/>
    </row>
    <row r="36" spans="1:10" x14ac:dyDescent="0.25">
      <c r="A36" s="5" t="str">
        <f t="shared" si="1"/>
        <v>jeudi</v>
      </c>
      <c r="B36" s="22">
        <v>44224</v>
      </c>
      <c r="C36" s="24"/>
      <c r="D36" s="24">
        <v>3.125E-2</v>
      </c>
      <c r="E36" s="24"/>
      <c r="F36" s="23" t="str">
        <f t="shared" si="0"/>
        <v>Temps à saisir</v>
      </c>
      <c r="G36" s="7"/>
      <c r="I36" s="6"/>
      <c r="J36"/>
    </row>
    <row r="37" spans="1:10" x14ac:dyDescent="0.25">
      <c r="A37" s="5" t="str">
        <f t="shared" si="1"/>
        <v>vendredi</v>
      </c>
      <c r="B37" s="22">
        <v>44225</v>
      </c>
      <c r="C37" s="24"/>
      <c r="D37" s="24">
        <v>3.125E-2</v>
      </c>
      <c r="E37" s="24"/>
      <c r="F37" s="23" t="str">
        <f t="shared" si="0"/>
        <v>Temps à saisir</v>
      </c>
      <c r="G37" s="7"/>
      <c r="I37" s="6"/>
      <c r="J37"/>
    </row>
    <row r="38" spans="1:10" x14ac:dyDescent="0.25">
      <c r="A38" s="5" t="str">
        <f t="shared" si="1"/>
        <v>samedi</v>
      </c>
      <c r="B38" s="22">
        <v>44226</v>
      </c>
      <c r="C38" s="24"/>
      <c r="D38" s="24"/>
      <c r="E38" s="24"/>
      <c r="F38" s="23" t="str">
        <f t="shared" si="0"/>
        <v>Temps à saisir</v>
      </c>
      <c r="G38" s="7"/>
      <c r="I38" s="6"/>
      <c r="J38"/>
    </row>
    <row r="39" spans="1:10" x14ac:dyDescent="0.25">
      <c r="A39" s="27" t="str">
        <f>TEXT(B39,"jjjj")</f>
        <v>dimanche</v>
      </c>
      <c r="B39" s="22">
        <v>44227</v>
      </c>
      <c r="C39" s="28"/>
      <c r="D39" s="24"/>
      <c r="E39" s="28"/>
      <c r="F39" s="29" t="str">
        <f>IF(AND(C39&lt;&gt;0,E39&lt;&gt;0),(E39-D39-C39),"Temps à saisir")</f>
        <v>Temps à saisir</v>
      </c>
      <c r="G39" s="30"/>
      <c r="I39" s="6"/>
      <c r="J39"/>
    </row>
    <row r="40" spans="1:10" x14ac:dyDescent="0.25">
      <c r="B40" s="19">
        <f>IFERROR(NETWORKDAYS(B9,B39,G1:G6),"Vérifiez les dates")</f>
        <v>20</v>
      </c>
      <c r="C40" s="20">
        <f>IFERROR(SUBTOTAL(101,Janvier[Heure d''arrivé]),"")</f>
        <v>0.32222222222222219</v>
      </c>
      <c r="D40" s="20">
        <f>SUBTOTAL(101,Janvier[Temps de pause])</f>
        <v>3.125E-2</v>
      </c>
      <c r="E40" s="20">
        <f>IFERROR(SUBTOTAL(101,Janvier[Heure de départ]),"")</f>
        <v>0.65416666666666656</v>
      </c>
      <c r="F40" s="12">
        <f>IFERROR(SUBTOTAL(9,F9:F39),"")</f>
        <v>3.0069444444444442</v>
      </c>
      <c r="G40" s="21"/>
      <c r="I40" s="6"/>
      <c r="J40"/>
    </row>
    <row r="41" spans="1:10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phoneticPr fontId="8" type="noConversion"/>
  <conditionalFormatting sqref="A44:F390 A42:E43 G9:G40 J1:J2 A9:F41">
    <cfRule type="expression" dxfId="137" priority="5">
      <formula>A1="samedi"</formula>
    </cfRule>
    <cfRule type="expression" dxfId="136" priority="7">
      <formula>A1="dimanche"</formula>
    </cfRule>
  </conditionalFormatting>
  <conditionalFormatting sqref="B9:G39">
    <cfRule type="expression" dxfId="135" priority="6">
      <formula>B9="samedi"</formula>
    </cfRule>
  </conditionalFormatting>
  <dataValidations count="2">
    <dataValidation allowBlank="1" showErrorMessage="1" sqref="B9:E39" xr:uid="{00000000-0002-0000-0000-000000000000}"/>
    <dataValidation allowBlank="1" showInputMessage="1" showErrorMessage="1" prompt="Saisir à droite les date exactes des jours fériés pendant la période" sqref="F1:F6" xr:uid="{00000000-0002-0000-00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8"/>
  <sheetViews>
    <sheetView workbookViewId="0">
      <pane ySplit="8" topLeftCell="A9" activePane="bottomLeft" state="frozen"/>
      <selection activeCell="J7" sqref="J7:J9"/>
      <selection pane="bottomLeft" activeCell="F11" sqref="F11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/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IF(J1-Février[[#Totals],[Temps travaillé]]&lt;0,CONCATENATE("+ ",TEXT(Février[[#Totals],[Temps travaillé]]-J1,"[h]:mm")),J1-Février[[#Totals],[Temps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SUM(OFFSET(Février[[#Headers],[Temps travaillé]],1,,MATCH("dimanche",Février[Jours],0)))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SUM(OFFSET(Février[[#Headers],[Temps travaillé]],MATCH("Dimanche",Février[Jours],0)+1+(7*(ROW(A1)-1)),,7))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SUM(OFFSET(Février[[#Headers],[Temps travaillé]],MATCH("Dimanche",Février[Jours],0)+1+(7*(ROW(A2)-1)),,7))</f>
        <v>0</v>
      </c>
    </row>
    <row r="7" spans="1:10" x14ac:dyDescent="0.25">
      <c r="I7" s="44" t="s">
        <v>32</v>
      </c>
      <c r="J7" s="40">
        <f ca="1">SUM(OFFSET(Février[[#Headers],[Temps travaillé]],MATCH("Dimanche",Février[Jours],0)+1+(7*(ROW(A3)-1)),,7))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IF(COUNTA(Février[Jours])&gt;28,SUM(OFFSET(Février[[#Headers],[Temps travaillé]],MATCH("Dimanche",Février[Jours],0)+1+(7*(ROW(A4)-1)),,IF(WEEKDAY(B9,2)&lt;6,COUNTA(Février[Jours])-(MATCH("Dimanche",Février[Jours],0)+(7*(ROW(A4)-1))),7))),0)</f>
        <v>0</v>
      </c>
    </row>
    <row r="9" spans="1:10" x14ac:dyDescent="0.25">
      <c r="A9" s="4" t="str">
        <f>TEXT(B9,"jjjj")</f>
        <v>lundi</v>
      </c>
      <c r="B9" s="22">
        <v>44228</v>
      </c>
      <c r="C9" s="7"/>
      <c r="D9" s="24">
        <v>3.125E-2</v>
      </c>
      <c r="E9" s="7"/>
      <c r="F9" s="23" t="str">
        <f t="shared" ref="F9:F36" si="0">IF(AND(C9&lt;&gt;0,E9&lt;&gt;0),(E9-D9-C9),"Temps à saisir")</f>
        <v>Temps à saisir</v>
      </c>
      <c r="G9" s="7"/>
      <c r="I9" s="44" t="s">
        <v>37</v>
      </c>
      <c r="J9" s="40">
        <f ca="1">IF(AND(COUNTA(Février[Jours])&gt;28,WEEKDAY(B9,2)&gt;5),SUM(OFFSET(Février[[#Headers],[Temps travaillé]],MATCH("Dimanche",Février[Jours],0)+1+(7*(ROW(A5)-1)),,COUNTA(Février[Jours])-(MATCH("Dimanche",Février[Jours],0)+(7*(ROW(A5)-1))))),0)</f>
        <v>0</v>
      </c>
    </row>
    <row r="10" spans="1:10" x14ac:dyDescent="0.25">
      <c r="A10" s="5" t="str">
        <f>TEXT(B10,"jjjj")</f>
        <v>mardi</v>
      </c>
      <c r="B10" s="22">
        <v>44229</v>
      </c>
      <c r="C10" s="24"/>
      <c r="D10" s="24">
        <v>3.125E-2</v>
      </c>
      <c r="E10" s="24"/>
      <c r="F10" s="23" t="str">
        <f t="shared" si="0"/>
        <v>Temps à saisir</v>
      </c>
      <c r="G10" s="7"/>
      <c r="H10" s="1"/>
    </row>
    <row r="11" spans="1:10" x14ac:dyDescent="0.25">
      <c r="A11" s="5" t="str">
        <f>TEXT(B11,"jjjj")</f>
        <v>mercredi</v>
      </c>
      <c r="B11" s="22">
        <v>44230</v>
      </c>
      <c r="C11" s="24"/>
      <c r="D11" s="24">
        <v>3.125E-2</v>
      </c>
      <c r="E11" s="24"/>
      <c r="F11" s="23" t="str">
        <f t="shared" si="0"/>
        <v>Temps à saisir</v>
      </c>
      <c r="G11" s="7"/>
    </row>
    <row r="12" spans="1:10" x14ac:dyDescent="0.25">
      <c r="A12" s="5" t="str">
        <f t="shared" ref="A12:A36" si="1">TEXT(B12,"jjjj")</f>
        <v>jeudi</v>
      </c>
      <c r="B12" s="22">
        <v>44231</v>
      </c>
      <c r="C12" s="24"/>
      <c r="D12" s="24">
        <v>3.125E-2</v>
      </c>
      <c r="E12" s="24"/>
      <c r="F12" s="23" t="str">
        <f t="shared" si="0"/>
        <v>Temps à saisir</v>
      </c>
      <c r="G12" s="7"/>
    </row>
    <row r="13" spans="1:10" x14ac:dyDescent="0.25">
      <c r="A13" s="5" t="str">
        <f t="shared" si="1"/>
        <v>vendredi</v>
      </c>
      <c r="B13" s="22">
        <v>44232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5" t="str">
        <f t="shared" si="1"/>
        <v>samedi</v>
      </c>
      <c r="B14" s="22">
        <v>44233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 x14ac:dyDescent="0.25">
      <c r="A15" s="5" t="str">
        <f t="shared" si="1"/>
        <v>dimanche</v>
      </c>
      <c r="B15" s="22">
        <v>44234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 x14ac:dyDescent="0.25">
      <c r="A16" s="5" t="str">
        <f t="shared" si="1"/>
        <v>lundi</v>
      </c>
      <c r="B16" s="22">
        <v>44235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5" t="str">
        <f t="shared" si="1"/>
        <v>mardi</v>
      </c>
      <c r="B17" s="22">
        <v>44236</v>
      </c>
      <c r="C17" s="24"/>
      <c r="D17" s="24">
        <v>3.125E-2</v>
      </c>
      <c r="E17" s="24"/>
      <c r="F17" s="23" t="str">
        <f t="shared" si="0"/>
        <v>Temps à saisir</v>
      </c>
      <c r="G17" s="7"/>
    </row>
    <row r="18" spans="1:7" x14ac:dyDescent="0.25">
      <c r="A18" s="5" t="str">
        <f t="shared" si="1"/>
        <v>mercredi</v>
      </c>
      <c r="B18" s="22">
        <v>44237</v>
      </c>
      <c r="C18" s="24"/>
      <c r="D18" s="24">
        <v>3.125E-2</v>
      </c>
      <c r="E18" s="24"/>
      <c r="F18" s="23" t="str">
        <f t="shared" si="0"/>
        <v>Temps à saisir</v>
      </c>
      <c r="G18" s="7"/>
    </row>
    <row r="19" spans="1:7" x14ac:dyDescent="0.25">
      <c r="A19" s="31" t="str">
        <f t="shared" si="1"/>
        <v>jeudi</v>
      </c>
      <c r="B19" s="22">
        <v>44238</v>
      </c>
      <c r="C19" s="24"/>
      <c r="D19" s="24">
        <v>3.125E-2</v>
      </c>
      <c r="E19" s="24"/>
      <c r="F19" s="32" t="str">
        <f t="shared" si="0"/>
        <v>Temps à saisir</v>
      </c>
      <c r="G19" s="7"/>
    </row>
    <row r="20" spans="1:7" x14ac:dyDescent="0.25">
      <c r="A20" s="5" t="str">
        <f t="shared" si="1"/>
        <v>vendredi</v>
      </c>
      <c r="B20" s="22">
        <v>44239</v>
      </c>
      <c r="C20" s="24"/>
      <c r="D20" s="24">
        <v>3.125E-2</v>
      </c>
      <c r="E20" s="24"/>
      <c r="F20" s="23" t="str">
        <f t="shared" si="0"/>
        <v>Temps à saisir</v>
      </c>
      <c r="G20" s="7"/>
    </row>
    <row r="21" spans="1:7" x14ac:dyDescent="0.25">
      <c r="A21" s="5" t="str">
        <f t="shared" si="1"/>
        <v>samedi</v>
      </c>
      <c r="B21" s="22">
        <v>44240</v>
      </c>
      <c r="C21" s="24"/>
      <c r="D21" s="24"/>
      <c r="E21" s="24"/>
      <c r="F21" s="23" t="str">
        <f t="shared" si="0"/>
        <v>Temps à saisir</v>
      </c>
      <c r="G21" s="7" t="s">
        <v>8</v>
      </c>
    </row>
    <row r="22" spans="1:7" x14ac:dyDescent="0.25">
      <c r="A22" s="5" t="str">
        <f t="shared" si="1"/>
        <v>dimanche</v>
      </c>
      <c r="B22" s="22">
        <v>44241</v>
      </c>
      <c r="C22" s="24"/>
      <c r="D22" s="24"/>
      <c r="E22" s="24"/>
      <c r="F22" s="23" t="str">
        <f t="shared" si="0"/>
        <v>Temps à saisir</v>
      </c>
      <c r="G22" s="7" t="s">
        <v>8</v>
      </c>
    </row>
    <row r="23" spans="1:7" x14ac:dyDescent="0.25">
      <c r="A23" s="5" t="str">
        <f t="shared" si="1"/>
        <v>lundi</v>
      </c>
      <c r="B23" s="22">
        <v>44242</v>
      </c>
      <c r="C23" s="24"/>
      <c r="D23" s="24">
        <v>3.125E-2</v>
      </c>
      <c r="E23" s="24"/>
      <c r="F23" s="23" t="str">
        <f t="shared" si="0"/>
        <v>Temps à saisir</v>
      </c>
      <c r="G23" s="7"/>
    </row>
    <row r="24" spans="1:7" x14ac:dyDescent="0.25">
      <c r="A24" s="5" t="str">
        <f t="shared" si="1"/>
        <v>mardi</v>
      </c>
      <c r="B24" s="22">
        <v>44243</v>
      </c>
      <c r="C24" s="24"/>
      <c r="D24" s="24">
        <v>3.125E-2</v>
      </c>
      <c r="E24" s="24"/>
      <c r="F24" s="23" t="str">
        <f t="shared" si="0"/>
        <v>Temps à saisir</v>
      </c>
      <c r="G24" s="7"/>
    </row>
    <row r="25" spans="1:7" x14ac:dyDescent="0.25">
      <c r="A25" s="5" t="str">
        <f t="shared" si="1"/>
        <v>mercredi</v>
      </c>
      <c r="B25" s="22">
        <v>44244</v>
      </c>
      <c r="C25" s="24"/>
      <c r="D25" s="24">
        <v>3.125E-2</v>
      </c>
      <c r="E25" s="24"/>
      <c r="F25" s="23" t="str">
        <f t="shared" si="0"/>
        <v>Temps à saisir</v>
      </c>
      <c r="G25" s="7"/>
    </row>
    <row r="26" spans="1:7" x14ac:dyDescent="0.25">
      <c r="A26" s="5" t="str">
        <f t="shared" si="1"/>
        <v>jeudi</v>
      </c>
      <c r="B26" s="22">
        <v>44245</v>
      </c>
      <c r="C26" s="24"/>
      <c r="D26" s="24">
        <v>3.125E-2</v>
      </c>
      <c r="E26" s="24"/>
      <c r="F26" s="23" t="str">
        <f t="shared" si="0"/>
        <v>Temps à saisir</v>
      </c>
      <c r="G26" s="7"/>
    </row>
    <row r="27" spans="1:7" x14ac:dyDescent="0.25">
      <c r="A27" s="5" t="str">
        <f t="shared" si="1"/>
        <v>vendredi</v>
      </c>
      <c r="B27" s="22">
        <v>44246</v>
      </c>
      <c r="C27" s="24"/>
      <c r="D27" s="24">
        <v>3.125E-2</v>
      </c>
      <c r="E27" s="24"/>
      <c r="F27" s="23" t="str">
        <f t="shared" si="0"/>
        <v>Temps à saisir</v>
      </c>
      <c r="G27" s="7"/>
    </row>
    <row r="28" spans="1:7" x14ac:dyDescent="0.25">
      <c r="A28" s="5" t="str">
        <f t="shared" si="1"/>
        <v>samedi</v>
      </c>
      <c r="B28" s="22">
        <v>44247</v>
      </c>
      <c r="C28" s="24"/>
      <c r="D28" s="24"/>
      <c r="E28" s="24"/>
      <c r="F28" s="23" t="str">
        <f t="shared" si="0"/>
        <v>Temps à saisir</v>
      </c>
      <c r="G28" s="7" t="s">
        <v>8</v>
      </c>
    </row>
    <row r="29" spans="1:7" x14ac:dyDescent="0.25">
      <c r="A29" s="5" t="str">
        <f t="shared" si="1"/>
        <v>dimanche</v>
      </c>
      <c r="B29" s="22">
        <v>44248</v>
      </c>
      <c r="C29" s="24"/>
      <c r="D29" s="24"/>
      <c r="E29" s="24"/>
      <c r="F29" s="23" t="str">
        <f t="shared" si="0"/>
        <v>Temps à saisir</v>
      </c>
      <c r="G29" s="7" t="s">
        <v>8</v>
      </c>
    </row>
    <row r="30" spans="1:7" x14ac:dyDescent="0.25">
      <c r="A30" s="5" t="str">
        <f t="shared" si="1"/>
        <v>lundi</v>
      </c>
      <c r="B30" s="22">
        <v>44249</v>
      </c>
      <c r="C30" s="24"/>
      <c r="D30" s="24">
        <v>3.125E-2</v>
      </c>
      <c r="E30" s="24"/>
      <c r="F30" s="23" t="str">
        <f t="shared" si="0"/>
        <v>Temps à saisir</v>
      </c>
      <c r="G30" s="7"/>
    </row>
    <row r="31" spans="1:7" x14ac:dyDescent="0.25">
      <c r="A31" s="5" t="str">
        <f t="shared" si="1"/>
        <v>mardi</v>
      </c>
      <c r="B31" s="22">
        <v>44250</v>
      </c>
      <c r="C31" s="24"/>
      <c r="D31" s="24">
        <v>3.125E-2</v>
      </c>
      <c r="E31" s="24"/>
      <c r="F31" s="23" t="str">
        <f t="shared" si="0"/>
        <v>Temps à saisir</v>
      </c>
      <c r="G31" s="7"/>
    </row>
    <row r="32" spans="1:7" x14ac:dyDescent="0.25">
      <c r="A32" s="5" t="str">
        <f t="shared" si="1"/>
        <v>mercredi</v>
      </c>
      <c r="B32" s="22">
        <v>44251</v>
      </c>
      <c r="C32" s="24"/>
      <c r="D32" s="24">
        <v>3.125E-2</v>
      </c>
      <c r="E32" s="24"/>
      <c r="F32" s="23" t="str">
        <f t="shared" si="0"/>
        <v>Temps à saisir</v>
      </c>
      <c r="G32" s="7"/>
    </row>
    <row r="33" spans="1:7" x14ac:dyDescent="0.25">
      <c r="A33" s="5" t="str">
        <f t="shared" si="1"/>
        <v>jeudi</v>
      </c>
      <c r="B33" s="22">
        <v>44252</v>
      </c>
      <c r="C33" s="24"/>
      <c r="D33" s="24">
        <v>3.125E-2</v>
      </c>
      <c r="E33" s="24"/>
      <c r="F33" s="23" t="str">
        <f t="shared" si="0"/>
        <v>Temps à saisir</v>
      </c>
      <c r="G33" s="7"/>
    </row>
    <row r="34" spans="1:7" x14ac:dyDescent="0.25">
      <c r="A34" s="5" t="str">
        <f t="shared" si="1"/>
        <v>vendredi</v>
      </c>
      <c r="B34" s="22">
        <v>44253</v>
      </c>
      <c r="C34" s="24"/>
      <c r="D34" s="24">
        <v>3.125E-2</v>
      </c>
      <c r="E34" s="24"/>
      <c r="F34" s="23" t="str">
        <f t="shared" si="0"/>
        <v>Temps à saisir</v>
      </c>
      <c r="G34" s="7"/>
    </row>
    <row r="35" spans="1:7" x14ac:dyDescent="0.25">
      <c r="A35" s="5" t="str">
        <f>TEXT(B35,"jjjj")</f>
        <v>samedi</v>
      </c>
      <c r="B35" s="22">
        <v>44254</v>
      </c>
      <c r="C35" s="24"/>
      <c r="D35" s="24"/>
      <c r="E35" s="24"/>
      <c r="F35" s="23" t="str">
        <f t="shared" si="0"/>
        <v>Temps à saisir</v>
      </c>
      <c r="G35" s="7" t="s">
        <v>8</v>
      </c>
    </row>
    <row r="36" spans="1:7" x14ac:dyDescent="0.25">
      <c r="A36" s="5" t="str">
        <f t="shared" si="1"/>
        <v>dimanche</v>
      </c>
      <c r="B36" s="22">
        <v>44255</v>
      </c>
      <c r="C36" s="24"/>
      <c r="D36" s="24"/>
      <c r="E36" s="24"/>
      <c r="F36" s="23" t="str">
        <f t="shared" si="0"/>
        <v>Temps à saisir</v>
      </c>
      <c r="G36" s="7" t="s">
        <v>8</v>
      </c>
    </row>
    <row r="37" spans="1:7" x14ac:dyDescent="0.25">
      <c r="B37" s="19">
        <f>IFERROR(NETWORKDAYS(B9,B36,G1:G6),"Vérifiez les dates")</f>
        <v>20</v>
      </c>
      <c r="C37" s="20" t="str">
        <f>IFERROR(SUBTOTAL(101,Février[Heure d''arrivé]),"")</f>
        <v/>
      </c>
      <c r="D37" s="20">
        <f>SUBTOTAL(101,Février[Temps de pause])</f>
        <v>3.125E-2</v>
      </c>
      <c r="E37" s="20" t="str">
        <f>IFERROR(SUBTOTAL(101,Février[Heure de départ]),"")</f>
        <v/>
      </c>
      <c r="F37" s="12">
        <f>IFERROR(SUBTOTAL(9,F9:F36),"")</f>
        <v>0</v>
      </c>
      <c r="G37" s="21"/>
    </row>
    <row r="38" spans="1:7" s="9" customFormat="1" ht="42.75" customHeight="1" x14ac:dyDescent="0.25">
      <c r="A38" s="10"/>
      <c r="B38" s="11" t="s">
        <v>10</v>
      </c>
      <c r="C38" s="11" t="s">
        <v>11</v>
      </c>
      <c r="D38" s="11" t="s">
        <v>14</v>
      </c>
      <c r="E38" s="11" t="s">
        <v>12</v>
      </c>
      <c r="F38" s="11" t="s">
        <v>13</v>
      </c>
      <c r="G38" s="10"/>
    </row>
  </sheetData>
  <mergeCells count="1">
    <mergeCell ref="F1:F6"/>
  </mergeCells>
  <conditionalFormatting sqref="A41:F387 A39:E40 A9:F38 G9:G37">
    <cfRule type="expression" dxfId="132" priority="3">
      <formula>A9="samedi"</formula>
    </cfRule>
    <cfRule type="expression" dxfId="131" priority="5">
      <formula>A9="dimanche"</formula>
    </cfRule>
  </conditionalFormatting>
  <conditionalFormatting sqref="B9:G36">
    <cfRule type="expression" dxfId="130" priority="4">
      <formula>B9="samedi"</formula>
    </cfRule>
  </conditionalFormatting>
  <conditionalFormatting sqref="J1:J2">
    <cfRule type="expression" dxfId="78" priority="1">
      <formula>J1="samedi"</formula>
    </cfRule>
    <cfRule type="expression" dxfId="77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100-000000000000}"/>
    <dataValidation allowBlank="1" showErrorMessage="1" sqref="B9:E36" xr:uid="{00000000-0002-0000-01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41"/>
  <sheetViews>
    <sheetView workbookViewId="0">
      <pane ySplit="8" topLeftCell="A11" activePane="bottomLeft" state="frozen"/>
      <selection activeCell="J7" sqref="J7:J9"/>
      <selection pane="bottomLeft" activeCell="F11" sqref="F11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/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IF(J1-Mars[[#Totals],[Temps travaillé]]&lt;0,CONCATENATE("+ ",TEXT(Mars[[#Totals],[Temps travaillé]]-J1,"[h]:mm")),J1-Mars[[#Totals],[Temps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SUM(OFFSET(Mars[[#Headers],[Temps travaillé]],1,,MATCH("dimanche",Mars[Jours],0)))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SUM(OFFSET(Mars[[#Headers],[Temps travaillé]],MATCH("Dimanche",Mars[Jours],0)+1+(7*(ROW(A1)-1)),,7))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SUM(OFFSET(Mars[[#Headers],[Temps travaillé]],MATCH("Dimanche",Mars[Jours],0)+1+(7*(ROW(A2)-1)),,7))</f>
        <v>0</v>
      </c>
    </row>
    <row r="7" spans="1:10" x14ac:dyDescent="0.25">
      <c r="I7" s="44" t="s">
        <v>32</v>
      </c>
      <c r="J7" s="40">
        <f ca="1">SUM(OFFSET(Mars[[#Headers],[Temps travaillé]],MATCH("Dimanche",Mars[Jours],0)+1+(7*(ROW(A3)-1)),,7))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IF(COUNTA(Mars[Jours])&gt;28,SUM(OFFSET(Mars[[#Headers],[Temps travaillé]],MATCH("Dimanche",Mars[Jours],0)+1+(7*(ROW(A4)-1)),,IF(WEEKDAY(B9,2)&lt;6,COUNTA(Mars[Jours])-(MATCH("Dimanche",Mars[Jours],0)+(7*(ROW(A4)-1))),7))),0)</f>
        <v>0</v>
      </c>
    </row>
    <row r="9" spans="1:10" x14ac:dyDescent="0.25">
      <c r="A9" s="4" t="str">
        <f t="shared" ref="A9:A39" si="0">TEXT(B9,"jjjj")</f>
        <v>lundi</v>
      </c>
      <c r="B9" s="22">
        <v>44256</v>
      </c>
      <c r="C9" s="7"/>
      <c r="D9" s="24">
        <v>3.125E-2</v>
      </c>
      <c r="E9" s="7"/>
      <c r="F9" s="23" t="str">
        <f t="shared" ref="F9:F35" si="1">IF(AND(C9&lt;&gt;0,E9&lt;&gt;0),(E9-D9-C9),"Temps à saisir")</f>
        <v>Temps à saisir</v>
      </c>
      <c r="G9" s="7"/>
      <c r="I9" s="44" t="s">
        <v>37</v>
      </c>
      <c r="J9" s="40">
        <f ca="1">IF(AND(COUNTA(Mars[Jours])&gt;28,WEEKDAY(B9,2)&gt;5),SUM(OFFSET(Mars[[#Headers],[Temps travaillé]],MATCH("Dimanche",Mars[Jours],0)+1+(7*(ROW(A5)-1)),,COUNTA(Mars[Jours])-(MATCH("Dimanche",Mars[Jours],0)+(7*(ROW(A5)-1))))),0)</f>
        <v>0</v>
      </c>
    </row>
    <row r="10" spans="1:10" x14ac:dyDescent="0.25">
      <c r="A10" s="4" t="str">
        <f t="shared" si="0"/>
        <v>mardi</v>
      </c>
      <c r="B10" s="22">
        <v>44257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mercredi</v>
      </c>
      <c r="B11" s="22">
        <v>44258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jeudi</v>
      </c>
      <c r="B12" s="22">
        <v>44259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vendredi</v>
      </c>
      <c r="B13" s="22">
        <v>44260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samedi</v>
      </c>
      <c r="B14" s="22">
        <v>44261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dimanche</v>
      </c>
      <c r="B15" s="22">
        <v>44262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lundi</v>
      </c>
      <c r="B16" s="22">
        <v>44263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mardi</v>
      </c>
      <c r="B17" s="22">
        <v>44264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mercredi</v>
      </c>
      <c r="B18" s="22">
        <v>44265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jeudi</v>
      </c>
      <c r="B19" s="22">
        <v>44266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vendredi</v>
      </c>
      <c r="B20" s="22">
        <v>44267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samedi</v>
      </c>
      <c r="B21" s="22">
        <v>44268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 x14ac:dyDescent="0.25">
      <c r="A22" s="4" t="str">
        <f t="shared" si="0"/>
        <v>dimanche</v>
      </c>
      <c r="B22" s="22">
        <v>44269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 x14ac:dyDescent="0.25">
      <c r="A23" s="4" t="str">
        <f t="shared" si="0"/>
        <v>lundi</v>
      </c>
      <c r="B23" s="22">
        <v>44270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mardi</v>
      </c>
      <c r="B24" s="22">
        <v>44271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mercredi</v>
      </c>
      <c r="B25" s="22">
        <v>44272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jeudi</v>
      </c>
      <c r="B26" s="22">
        <v>44273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vendredi</v>
      </c>
      <c r="B27" s="22">
        <v>44274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samedi</v>
      </c>
      <c r="B28" s="22">
        <v>44275</v>
      </c>
      <c r="C28" s="24"/>
      <c r="D28" s="24"/>
      <c r="E28" s="24"/>
      <c r="F28" s="23" t="str">
        <f t="shared" si="1"/>
        <v>Temps à saisir</v>
      </c>
      <c r="G28" s="7" t="s">
        <v>8</v>
      </c>
    </row>
    <row r="29" spans="1:7" x14ac:dyDescent="0.25">
      <c r="A29" s="4" t="str">
        <f t="shared" si="0"/>
        <v>dimanche</v>
      </c>
      <c r="B29" s="22">
        <v>44276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 x14ac:dyDescent="0.25">
      <c r="A30" s="4" t="str">
        <f t="shared" si="0"/>
        <v>lundi</v>
      </c>
      <c r="B30" s="22">
        <v>44277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mardi</v>
      </c>
      <c r="B31" s="22">
        <v>44278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mercredi</v>
      </c>
      <c r="B32" s="22">
        <v>44279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jeudi</v>
      </c>
      <c r="B33" s="22">
        <v>44280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vendredi</v>
      </c>
      <c r="B34" s="22">
        <v>44281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samedi</v>
      </c>
      <c r="B35" s="22">
        <v>44282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dimanche</v>
      </c>
      <c r="B36" s="22">
        <v>44283</v>
      </c>
      <c r="C36" s="28"/>
      <c r="D36" s="24"/>
      <c r="E36" s="28"/>
      <c r="F36" s="29" t="str">
        <f t="shared" ref="F36:F37" si="2">IF(AND(C36&lt;&gt;0,E36&lt;&gt;0),(E36-D36-C36),"Temps à saisir")</f>
        <v>Temps à saisir</v>
      </c>
      <c r="G36" s="7" t="s">
        <v>8</v>
      </c>
    </row>
    <row r="37" spans="1:7" x14ac:dyDescent="0.25">
      <c r="A37" s="4" t="str">
        <f t="shared" si="0"/>
        <v>lundi</v>
      </c>
      <c r="B37" s="22">
        <v>44284</v>
      </c>
      <c r="C37" s="28"/>
      <c r="D37" s="24">
        <v>3.125E-2</v>
      </c>
      <c r="E37" s="28"/>
      <c r="F37" s="29" t="str">
        <f t="shared" si="2"/>
        <v>Temps à saisir</v>
      </c>
      <c r="G37" s="30"/>
    </row>
    <row r="38" spans="1:7" x14ac:dyDescent="0.25">
      <c r="A38" s="4" t="str">
        <f t="shared" si="0"/>
        <v>mardi</v>
      </c>
      <c r="B38" s="22">
        <v>44285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A39" s="4" t="str">
        <f t="shared" si="0"/>
        <v>mercredi</v>
      </c>
      <c r="B39" s="22">
        <v>44286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 x14ac:dyDescent="0.25">
      <c r="B40" s="19">
        <f>IFERROR(NETWORKDAYS(B9,B39,G1:G6),"Vérifiez les dates")</f>
        <v>23</v>
      </c>
      <c r="C40" s="20" t="str">
        <f>IFERROR(SUBTOTAL(101,Mars[Heure d''arrivé]),"")</f>
        <v/>
      </c>
      <c r="D40" s="20">
        <f>SUBTOTAL(101,Mars[Temps de pause])</f>
        <v>3.125E-2</v>
      </c>
      <c r="E40" s="20" t="str">
        <f>IFERROR(SUBTOTAL(101,Mars[Heure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9:F41 G9:G40">
    <cfRule type="expression" dxfId="129" priority="3">
      <formula>A9="samedi"</formula>
    </cfRule>
    <cfRule type="expression" dxfId="128" priority="5">
      <formula>A9="dimanche"</formula>
    </cfRule>
  </conditionalFormatting>
  <conditionalFormatting sqref="B9:G39">
    <cfRule type="expression" dxfId="127" priority="4">
      <formula>B9="samedi"</formula>
    </cfRule>
  </conditionalFormatting>
  <conditionalFormatting sqref="J1:J2">
    <cfRule type="expression" dxfId="76" priority="1">
      <formula>J1="samedi"</formula>
    </cfRule>
    <cfRule type="expression" dxfId="75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200-000000000000}"/>
    <dataValidation allowBlank="1" showErrorMessage="1" sqref="B9:E39" xr:uid="{00000000-0002-0000-02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40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44290</v>
      </c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IF(J1-Avril[[#Totals],[Temps travaillé]]&lt;0,CONCATENATE("+ ",TEXT(Avril[[#Totals],[Temps travaillé]]-J1,"[h]:mm")),J1-Avril[[#Totals],[Temps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SUM(OFFSET(Avril[[#Headers],[Temps travaillé]],1,,MATCH("dimanche",Avril[Jours],0)))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SUM(OFFSET(Avril[[#Headers],[Temps travaillé]],MATCH("Dimanche",Avril[Jours],0)+1+(7*(ROW(A1)-1)),,7))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SUM(OFFSET(Avril[[#Headers],[Temps travaillé]],MATCH("Dimanche",Avril[Jours],0)+1+(7*(ROW(A2)-1)),,7))</f>
        <v>0</v>
      </c>
    </row>
    <row r="7" spans="1:10" x14ac:dyDescent="0.25">
      <c r="I7" s="44" t="s">
        <v>32</v>
      </c>
      <c r="J7" s="40">
        <f ca="1">SUM(OFFSET(Avril[[#Headers],[Temps travaillé]],MATCH("Dimanche",Avril[Jours],0)+1+(7*(ROW(A3)-1)),,7))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IF(COUNTA(Avril[Jours])&gt;28,SUM(OFFSET(Avril[[#Headers],[Temps travaillé]],MATCH("Dimanche",Avril[Jours],0)+1+(7*(ROW(A4)-1)),,IF(WEEKDAY(B9,2)&lt;6,COUNTA(Avril[Jours])-(MATCH("Dimanche",Avril[Jours],0)+(7*(ROW(A4)-1))),7))),0)</f>
        <v>0</v>
      </c>
    </row>
    <row r="9" spans="1:10" x14ac:dyDescent="0.25">
      <c r="A9" s="4" t="str">
        <f t="shared" ref="A9:A38" si="0">TEXT(B9,"jjjj")</f>
        <v>jeudi</v>
      </c>
      <c r="B9" s="22">
        <v>44287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37</v>
      </c>
      <c r="J9" s="40">
        <f ca="1">IF(AND(COUNTA(Avril[Jours])&gt;28,WEEKDAY(B9,2)&gt;5),SUM(OFFSET(Avril[[#Headers],[Temps travaillé]],MATCH("Dimanche",Avril[Jours],0)+1+(7*(ROW(A5)-1)),,COUNTA(Avril[Jours])-(MATCH("Dimanche",Avril[Jours],0)+(7*(ROW(A5)-1))))),0)</f>
        <v>0</v>
      </c>
    </row>
    <row r="10" spans="1:10" x14ac:dyDescent="0.25">
      <c r="A10" s="4" t="str">
        <f t="shared" si="0"/>
        <v>vendredi</v>
      </c>
      <c r="B10" s="22">
        <v>44288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samedi</v>
      </c>
      <c r="B11" s="22">
        <v>44289</v>
      </c>
      <c r="C11" s="24"/>
      <c r="D11" s="24"/>
      <c r="E11" s="24"/>
      <c r="F11" s="23" t="str">
        <f t="shared" si="1"/>
        <v>Temps à saisir</v>
      </c>
      <c r="G11" s="7" t="s">
        <v>8</v>
      </c>
    </row>
    <row r="12" spans="1:10" x14ac:dyDescent="0.25">
      <c r="A12" s="34" t="str">
        <f t="shared" si="0"/>
        <v>dimanche</v>
      </c>
      <c r="B12" s="35">
        <v>44290</v>
      </c>
      <c r="C12" s="37"/>
      <c r="D12" s="37"/>
      <c r="E12" s="37"/>
      <c r="F12" s="38" t="str">
        <f t="shared" si="1"/>
        <v>Temps à saisir</v>
      </c>
      <c r="G12" s="36" t="s">
        <v>8</v>
      </c>
    </row>
    <row r="13" spans="1:10" x14ac:dyDescent="0.25">
      <c r="A13" s="4" t="str">
        <f t="shared" si="0"/>
        <v>lundi</v>
      </c>
      <c r="B13" s="22">
        <v>44291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mardi</v>
      </c>
      <c r="B14" s="22">
        <v>44292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mercredi</v>
      </c>
      <c r="B15" s="22">
        <v>44293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jeudi</v>
      </c>
      <c r="B16" s="22">
        <v>44294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vendredi</v>
      </c>
      <c r="B17" s="22">
        <v>44295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samedi</v>
      </c>
      <c r="B18" s="22">
        <v>44296</v>
      </c>
      <c r="C18" s="24"/>
      <c r="D18" s="24"/>
      <c r="E18" s="24"/>
      <c r="F18" s="23" t="str">
        <f t="shared" si="1"/>
        <v>Temps à saisir</v>
      </c>
      <c r="G18" s="7" t="s">
        <v>8</v>
      </c>
    </row>
    <row r="19" spans="1:7" x14ac:dyDescent="0.25">
      <c r="A19" s="4" t="str">
        <f t="shared" si="0"/>
        <v>dimanche</v>
      </c>
      <c r="B19" s="22">
        <v>44297</v>
      </c>
      <c r="C19" s="24"/>
      <c r="D19" s="24"/>
      <c r="E19" s="24"/>
      <c r="F19" s="32" t="str">
        <f t="shared" si="1"/>
        <v>Temps à saisir</v>
      </c>
      <c r="G19" s="7" t="s">
        <v>8</v>
      </c>
    </row>
    <row r="20" spans="1:7" x14ac:dyDescent="0.25">
      <c r="A20" s="4" t="str">
        <f t="shared" si="0"/>
        <v>lundi</v>
      </c>
      <c r="B20" s="22">
        <v>44298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mardi</v>
      </c>
      <c r="B21" s="22">
        <v>44299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 x14ac:dyDescent="0.25">
      <c r="A22" s="4" t="str">
        <f t="shared" si="0"/>
        <v>mercredi</v>
      </c>
      <c r="B22" s="22">
        <v>44300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 x14ac:dyDescent="0.25">
      <c r="A23" s="4" t="str">
        <f t="shared" si="0"/>
        <v>jeudi</v>
      </c>
      <c r="B23" s="22">
        <v>44301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vendredi</v>
      </c>
      <c r="B24" s="22">
        <v>44302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samedi</v>
      </c>
      <c r="B25" s="22">
        <v>44303</v>
      </c>
      <c r="C25" s="24"/>
      <c r="D25" s="24"/>
      <c r="E25" s="24"/>
      <c r="F25" s="23" t="str">
        <f t="shared" si="1"/>
        <v>Temps à saisir</v>
      </c>
      <c r="G25" s="7" t="s">
        <v>8</v>
      </c>
    </row>
    <row r="26" spans="1:7" x14ac:dyDescent="0.25">
      <c r="A26" s="4" t="str">
        <f t="shared" si="0"/>
        <v>dimanche</v>
      </c>
      <c r="B26" s="22">
        <v>44304</v>
      </c>
      <c r="C26" s="24"/>
      <c r="D26" s="24"/>
      <c r="E26" s="24"/>
      <c r="F26" s="23" t="str">
        <f t="shared" si="1"/>
        <v>Temps à saisir</v>
      </c>
      <c r="G26" s="7" t="s">
        <v>8</v>
      </c>
    </row>
    <row r="27" spans="1:7" x14ac:dyDescent="0.25">
      <c r="A27" s="4" t="str">
        <f t="shared" si="0"/>
        <v>lundi</v>
      </c>
      <c r="B27" s="22">
        <v>44305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mardi</v>
      </c>
      <c r="B28" s="22">
        <v>44306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mercredi</v>
      </c>
      <c r="B29" s="22">
        <v>44307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jeudi</v>
      </c>
      <c r="B30" s="22">
        <v>44308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vendredi</v>
      </c>
      <c r="B31" s="22">
        <v>44309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samedi</v>
      </c>
      <c r="B32" s="22">
        <v>44310</v>
      </c>
      <c r="C32" s="24"/>
      <c r="D32" s="24"/>
      <c r="E32" s="24"/>
      <c r="F32" s="23" t="str">
        <f t="shared" si="1"/>
        <v>Temps à saisir</v>
      </c>
      <c r="G32" s="7" t="s">
        <v>8</v>
      </c>
    </row>
    <row r="33" spans="1:7" x14ac:dyDescent="0.25">
      <c r="A33" s="4" t="str">
        <f t="shared" si="0"/>
        <v>dimanche</v>
      </c>
      <c r="B33" s="22">
        <v>44311</v>
      </c>
      <c r="C33" s="24"/>
      <c r="D33" s="24"/>
      <c r="E33" s="24"/>
      <c r="F33" s="23" t="str">
        <f t="shared" si="1"/>
        <v>Temps à saisir</v>
      </c>
      <c r="G33" s="7" t="s">
        <v>8</v>
      </c>
    </row>
    <row r="34" spans="1:7" x14ac:dyDescent="0.25">
      <c r="A34" s="4" t="str">
        <f t="shared" si="0"/>
        <v>lundi</v>
      </c>
      <c r="B34" s="22">
        <v>44312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mardi</v>
      </c>
      <c r="B35" s="22">
        <v>44313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mercredi</v>
      </c>
      <c r="B36" s="22">
        <v>44314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jeudi</v>
      </c>
      <c r="B37" s="22">
        <v>44315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vendredi</v>
      </c>
      <c r="B38" s="22">
        <v>44316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B39" s="19">
        <f>IFERROR(NETWORKDAYS(B9,B38,G1:G6),"Vérifiez les dates")</f>
        <v>22</v>
      </c>
      <c r="C39" s="20" t="str">
        <f>IFERROR(SUBTOTAL(101,Avril[Heure d''arrivé]),"")</f>
        <v/>
      </c>
      <c r="D39" s="20">
        <f>SUBTOTAL(101,Avril[Temps de pause])</f>
        <v>3.125E-2</v>
      </c>
      <c r="E39" s="20" t="str">
        <f>IFERROR(SUBTOTAL(101,Avril[Heure de départ]),"")</f>
        <v/>
      </c>
      <c r="F39" s="12">
        <f>IFERROR(SUBTOTAL(9,F9:F38),"")</f>
        <v>0</v>
      </c>
      <c r="G39" s="21"/>
    </row>
    <row r="40" spans="1:7" s="9" customFormat="1" ht="42.75" customHeight="1" x14ac:dyDescent="0.25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9:F40 G9:G39">
    <cfRule type="expression" dxfId="126" priority="3">
      <formula>A9="samedi"</formula>
    </cfRule>
    <cfRule type="expression" dxfId="125" priority="5">
      <formula>A9="dimanche"</formula>
    </cfRule>
  </conditionalFormatting>
  <conditionalFormatting sqref="B9:G38">
    <cfRule type="expression" dxfId="124" priority="4">
      <formula>B9="samedi"</formula>
    </cfRule>
  </conditionalFormatting>
  <conditionalFormatting sqref="J1:J2">
    <cfRule type="expression" dxfId="68" priority="1">
      <formula>J1="samedi"</formula>
    </cfRule>
    <cfRule type="expression" dxfId="67" priority="2">
      <formula>J1="dimanche"</formula>
    </cfRule>
  </conditionalFormatting>
  <dataValidations count="2">
    <dataValidation allowBlank="1" showErrorMessage="1" sqref="B9:E38" xr:uid="{00000000-0002-0000-0300-000000000000}"/>
    <dataValidation allowBlank="1" showInputMessage="1" showErrorMessage="1" prompt="Saisir à droite les date exactes des jours fériés pendant la période" sqref="F1:F6" xr:uid="{00000000-0002-0000-03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41"/>
  <sheetViews>
    <sheetView workbookViewId="0">
      <pane ySplit="8" topLeftCell="A10" activePane="bottomLeft" state="frozen"/>
      <selection activeCell="I1" sqref="I1:J9"/>
      <selection pane="bottomLeft" activeCell="F10" sqref="F10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8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44317</v>
      </c>
      <c r="I1" s="25" t="s">
        <v>33</v>
      </c>
      <c r="J1" s="26">
        <v>6.3194444444444438</v>
      </c>
    </row>
    <row r="2" spans="1:10" x14ac:dyDescent="0.25">
      <c r="F2" s="46"/>
      <c r="G2" s="13">
        <v>44324</v>
      </c>
      <c r="I2" s="48" t="s">
        <v>16</v>
      </c>
      <c r="J2" s="42">
        <f>IF(J1-Mai[[#Totals],[Temps travaillé]]&lt;0,CONCATENATE("+ ",TEXT(Mai[[#Totals],[Temps travaillé]]-J1,"[h]:mm")),J1-Mai[[#Totals],[Temps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SUM(OFFSET(Mai[[#Headers],[Temps travaillé]],1,,MATCH("dimanche",Mai[Jours],0)))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SUM(OFFSET(Mai[[#Headers],[Temps travaillé]],MATCH("Dimanche",Mai[Jours],0)+1+(7*(ROW(A1)-1)),,7))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SUM(OFFSET(Mai[[#Headers],[Temps travaillé]],MATCH("Dimanche",Mai[Jours],0)+1+(7*(ROW(A2)-1)),,7))</f>
        <v>0</v>
      </c>
    </row>
    <row r="7" spans="1:10" x14ac:dyDescent="0.25">
      <c r="I7" s="44" t="s">
        <v>32</v>
      </c>
      <c r="J7" s="40">
        <f ca="1">SUM(OFFSET(Mai[[#Headers],[Temps travaillé]],MATCH("Dimanche",Mai[Jours],0)+1+(7*(ROW(A3)-1)),,7))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IF(COUNTA(Mai[Jours])&gt;28,SUM(OFFSET(Mai[[#Headers],[Temps travaillé]],MATCH("Dimanche",Mai[Jours],0)+1+(7*(ROW(A4)-1)),,IF(WEEKDAY(B9,2)&lt;6,COUNTA(Mai[Jours])-(MATCH("Dimanche",Mai[Jours],0)+(7*(ROW(A4)-1))),7))),0)</f>
        <v>0</v>
      </c>
    </row>
    <row r="9" spans="1:10" x14ac:dyDescent="0.25">
      <c r="A9" s="34" t="str">
        <f t="shared" ref="A9:A39" si="0">TEXT(B9,"jjjj")</f>
        <v>samedi</v>
      </c>
      <c r="B9" s="35">
        <v>44317</v>
      </c>
      <c r="C9" s="36"/>
      <c r="D9" s="37"/>
      <c r="E9" s="36"/>
      <c r="F9" s="38" t="str">
        <f t="shared" ref="F9:F37" si="1">IF(AND(C9&lt;&gt;0,E9&lt;&gt;0),(E9-D9-C9),"Temps à saisir")</f>
        <v>Temps à saisir</v>
      </c>
      <c r="G9" s="36" t="s">
        <v>17</v>
      </c>
      <c r="I9" s="44" t="s">
        <v>37</v>
      </c>
      <c r="J9" s="40">
        <f ca="1">IF(AND(COUNTA(Mai[Jours])&gt;28,WEEKDAY(B9,2)&gt;5),SUM(OFFSET(Mai[[#Headers],[Temps travaillé]],MATCH("Dimanche",Mai[Jours],0)+1+(7*(ROW(A5)-1)),,COUNTA(Mai[Jours])-(MATCH("Dimanche",Mai[Jours],0)+(7*(ROW(A5)-1))))),0)</f>
        <v>0</v>
      </c>
    </row>
    <row r="10" spans="1:10" x14ac:dyDescent="0.25">
      <c r="A10" s="4" t="str">
        <f t="shared" si="0"/>
        <v>dimanche</v>
      </c>
      <c r="B10" s="22">
        <v>44318</v>
      </c>
      <c r="C10" s="24"/>
      <c r="D10" s="24"/>
      <c r="E10" s="24"/>
      <c r="F10" s="23" t="str">
        <f t="shared" si="1"/>
        <v>Temps à saisir</v>
      </c>
      <c r="G10" s="7" t="s">
        <v>8</v>
      </c>
      <c r="H10" s="1"/>
    </row>
    <row r="11" spans="1:10" x14ac:dyDescent="0.25">
      <c r="A11" s="4" t="str">
        <f t="shared" si="0"/>
        <v>lundi</v>
      </c>
      <c r="B11" s="22">
        <v>44319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mardi</v>
      </c>
      <c r="B12" s="22">
        <v>44320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mercredi</v>
      </c>
      <c r="B13" s="22">
        <v>44321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jeudi</v>
      </c>
      <c r="B14" s="22">
        <v>44322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vendredi</v>
      </c>
      <c r="B15" s="22">
        <v>44323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34" t="str">
        <f t="shared" si="0"/>
        <v>samedi</v>
      </c>
      <c r="B16" s="35">
        <v>44324</v>
      </c>
      <c r="C16" s="37"/>
      <c r="D16" s="37"/>
      <c r="E16" s="37"/>
      <c r="F16" s="38" t="str">
        <f>IF(AND(C16&lt;&gt;0,E16&lt;&gt;0),(E16-D16-C16),"Temps à saisir")</f>
        <v>Temps à saisir</v>
      </c>
      <c r="G16" s="36" t="s">
        <v>18</v>
      </c>
    </row>
    <row r="17" spans="1:7" x14ac:dyDescent="0.25">
      <c r="A17" s="4" t="str">
        <f t="shared" si="0"/>
        <v>dimanche</v>
      </c>
      <c r="B17" s="22">
        <v>44325</v>
      </c>
      <c r="C17" s="24"/>
      <c r="D17" s="24"/>
      <c r="E17" s="24"/>
      <c r="F17" s="23" t="str">
        <f t="shared" si="1"/>
        <v>Temps à saisir</v>
      </c>
      <c r="G17" s="7" t="s">
        <v>8</v>
      </c>
    </row>
    <row r="18" spans="1:7" x14ac:dyDescent="0.25">
      <c r="A18" s="4" t="str">
        <f t="shared" si="0"/>
        <v>lundi</v>
      </c>
      <c r="B18" s="22">
        <v>44326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mardi</v>
      </c>
      <c r="B19" s="22">
        <v>44327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mercredi</v>
      </c>
      <c r="B20" s="22">
        <v>44328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34" t="str">
        <f t="shared" si="0"/>
        <v>jeudi</v>
      </c>
      <c r="B21" s="35">
        <v>44329</v>
      </c>
      <c r="C21" s="37"/>
      <c r="D21" s="37">
        <v>3.125E-2</v>
      </c>
      <c r="E21" s="37"/>
      <c r="F21" s="38" t="str">
        <f t="shared" si="1"/>
        <v>Temps à saisir</v>
      </c>
      <c r="G21" s="36" t="s">
        <v>19</v>
      </c>
    </row>
    <row r="22" spans="1:7" x14ac:dyDescent="0.25">
      <c r="A22" s="4" t="str">
        <f t="shared" si="0"/>
        <v>vendredi</v>
      </c>
      <c r="B22" s="22">
        <v>44330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 x14ac:dyDescent="0.25">
      <c r="A23" s="4" t="str">
        <f t="shared" si="0"/>
        <v>samedi</v>
      </c>
      <c r="B23" s="22">
        <v>44331</v>
      </c>
      <c r="C23" s="24"/>
      <c r="D23" s="24"/>
      <c r="E23" s="24"/>
      <c r="F23" s="23" t="str">
        <f t="shared" si="1"/>
        <v>Temps à saisir</v>
      </c>
      <c r="G23" s="7" t="s">
        <v>8</v>
      </c>
    </row>
    <row r="24" spans="1:7" x14ac:dyDescent="0.25">
      <c r="A24" s="4" t="str">
        <f t="shared" si="0"/>
        <v>dimanche</v>
      </c>
      <c r="B24" s="22">
        <v>44332</v>
      </c>
      <c r="C24" s="24"/>
      <c r="D24" s="24"/>
      <c r="E24" s="24"/>
      <c r="F24" s="23" t="str">
        <f t="shared" si="1"/>
        <v>Temps à saisir</v>
      </c>
      <c r="G24" s="7" t="s">
        <v>8</v>
      </c>
    </row>
    <row r="25" spans="1:7" x14ac:dyDescent="0.25">
      <c r="A25" s="4" t="str">
        <f t="shared" si="0"/>
        <v>lundi</v>
      </c>
      <c r="B25" s="22">
        <v>44333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mardi</v>
      </c>
      <c r="B26" s="22">
        <v>44334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mercredi</v>
      </c>
      <c r="B27" s="22">
        <v>44335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jeudi</v>
      </c>
      <c r="B28" s="22">
        <v>44336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vendredi</v>
      </c>
      <c r="B29" s="22">
        <v>44337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samedi</v>
      </c>
      <c r="B30" s="22">
        <v>44338</v>
      </c>
      <c r="C30" s="24"/>
      <c r="D30" s="24"/>
      <c r="E30" s="24"/>
      <c r="F30" s="23" t="str">
        <f t="shared" si="1"/>
        <v>Temps à saisir</v>
      </c>
      <c r="G30" s="7" t="s">
        <v>8</v>
      </c>
    </row>
    <row r="31" spans="1:7" x14ac:dyDescent="0.25">
      <c r="A31" s="34" t="str">
        <f t="shared" si="0"/>
        <v>dimanche</v>
      </c>
      <c r="B31" s="35">
        <v>44339</v>
      </c>
      <c r="C31" s="37"/>
      <c r="D31" s="37"/>
      <c r="E31" s="37"/>
      <c r="F31" s="38" t="str">
        <f t="shared" si="1"/>
        <v>Temps à saisir</v>
      </c>
      <c r="G31" s="36" t="s">
        <v>20</v>
      </c>
    </row>
    <row r="32" spans="1:7" x14ac:dyDescent="0.25">
      <c r="A32" s="34" t="str">
        <f t="shared" si="0"/>
        <v>lundi</v>
      </c>
      <c r="B32" s="35">
        <v>44340</v>
      </c>
      <c r="C32" s="37"/>
      <c r="D32" s="37">
        <v>3.125E-2</v>
      </c>
      <c r="E32" s="37"/>
      <c r="F32" s="38" t="str">
        <f t="shared" si="1"/>
        <v>Temps à saisir</v>
      </c>
      <c r="G32" s="36" t="s">
        <v>21</v>
      </c>
    </row>
    <row r="33" spans="1:7" x14ac:dyDescent="0.25">
      <c r="A33" s="4" t="str">
        <f t="shared" si="0"/>
        <v>mardi</v>
      </c>
      <c r="B33" s="22">
        <v>44341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mercredi</v>
      </c>
      <c r="B34" s="22">
        <v>44342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jeudi</v>
      </c>
      <c r="B35" s="22">
        <v>44343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vendredi</v>
      </c>
      <c r="B36" s="22">
        <v>44344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samedi</v>
      </c>
      <c r="B37" s="22">
        <v>44345</v>
      </c>
      <c r="C37" s="28"/>
      <c r="D37" s="24"/>
      <c r="E37" s="28"/>
      <c r="F37" s="29" t="str">
        <f t="shared" si="1"/>
        <v>Temps à saisir</v>
      </c>
      <c r="G37" s="7" t="s">
        <v>8</v>
      </c>
    </row>
    <row r="38" spans="1:7" x14ac:dyDescent="0.25">
      <c r="A38" s="4" t="str">
        <f t="shared" si="0"/>
        <v>dimanche</v>
      </c>
      <c r="B38" s="22">
        <v>44346</v>
      </c>
      <c r="C38" s="28"/>
      <c r="D38" s="24"/>
      <c r="E38" s="28"/>
      <c r="F38" s="29" t="str">
        <f>IF(AND(C38&lt;&gt;0,E38&lt;&gt;0),(E38-D38-C38),"Temps à saisir")</f>
        <v>Temps à saisir</v>
      </c>
      <c r="G38" s="7" t="s">
        <v>8</v>
      </c>
    </row>
    <row r="39" spans="1:7" x14ac:dyDescent="0.25">
      <c r="A39" s="4" t="str">
        <f t="shared" si="0"/>
        <v>lundi</v>
      </c>
      <c r="B39" s="22">
        <v>44347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 x14ac:dyDescent="0.25">
      <c r="B40" s="19">
        <f>IFERROR(NETWORKDAYS(B9,B39,G1:G6),"Vérifiez les dates")</f>
        <v>21</v>
      </c>
      <c r="C40" s="20" t="str">
        <f>IFERROR(SUBTOTAL(101,Mai[Heure d''arrivé]),"")</f>
        <v/>
      </c>
      <c r="D40" s="20">
        <f>SUBTOTAL(101,Mai[Temps de pause])</f>
        <v>3.125E-2</v>
      </c>
      <c r="E40" s="20" t="str">
        <f>IFERROR(SUBTOTAL(101,Mai[Heure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23" priority="3">
      <formula>A9="samedi"</formula>
    </cfRule>
    <cfRule type="expression" dxfId="122" priority="5">
      <formula>A9="dimanche"</formula>
    </cfRule>
  </conditionalFormatting>
  <conditionalFormatting sqref="B9:G39">
    <cfRule type="expression" dxfId="121" priority="4">
      <formula>B9="samedi"</formula>
    </cfRule>
  </conditionalFormatting>
  <conditionalFormatting sqref="J1:J2">
    <cfRule type="expression" dxfId="56" priority="1">
      <formula>J1="samedi"</formula>
    </cfRule>
    <cfRule type="expression" dxfId="55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400-000000000000}"/>
    <dataValidation allowBlank="1" showErrorMessage="1" sqref="B9:E39" xr:uid="{00000000-0002-0000-04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40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/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IF(J1-Juin[[#Totals],[Temps travaillé]]&lt;0,CONCATENATE("+ ",TEXT(Juin[[#Totals],[Temps travaillé]]-J1,"[h]:mm")),J1-Juin[[#Totals],[Temps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SUM(OFFSET(Juin[[#Headers],[Temps travaillé]],1,,MATCH("dimanche",Juin[Jours],0)))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SUM(OFFSET(Juin[[#Headers],[Temps travaillé]],MATCH("Dimanche",Juin[Jours],0)+1+(7*(ROW(A1)-1)),,7))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SUM(OFFSET(Juin[[#Headers],[Temps travaillé]],MATCH("Dimanche",Juin[Jours],0)+1+(7*(ROW(A2)-1)),,7))</f>
        <v>0</v>
      </c>
    </row>
    <row r="7" spans="1:10" x14ac:dyDescent="0.25">
      <c r="I7" s="44" t="s">
        <v>32</v>
      </c>
      <c r="J7" s="40">
        <f ca="1">SUM(OFFSET(Juin[[#Headers],[Temps travaillé]],MATCH("Dimanche",Juin[Jours],0)+1+(7*(ROW(A3)-1)),,7))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IF(COUNTA(Juin[Jours])&gt;28,SUM(OFFSET(Juin[[#Headers],[Temps travaillé]],MATCH("Dimanche",Juin[Jours],0)+1+(7*(ROW(A4)-1)),,IF(WEEKDAY(B9,2)&lt;6,COUNTA(Juin[Jours])-(MATCH("Dimanche",Juin[Jours],0)+(7*(ROW(A4)-1))),7))),0)</f>
        <v>0</v>
      </c>
    </row>
    <row r="9" spans="1:10" x14ac:dyDescent="0.25">
      <c r="A9" s="4" t="str">
        <f t="shared" ref="A9:A38" si="0">TEXT(B9,"jjjj")</f>
        <v>mardi</v>
      </c>
      <c r="B9" s="22">
        <v>44348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37</v>
      </c>
      <c r="J9" s="40">
        <f ca="1">IF(AND(COUNTA(Juin[Jours])&gt;28,WEEKDAY(B9,2)&gt;5),SUM(OFFSET(Juin[[#Headers],[Temps travaillé]],MATCH("Dimanche",Juin[Jours],0)+1+(7*(ROW(A5)-1)),,COUNTA(Juin[Jours])-(MATCH("Dimanche",Juin[Jours],0)+(7*(ROW(A5)-1))))),0)</f>
        <v>0</v>
      </c>
    </row>
    <row r="10" spans="1:10" x14ac:dyDescent="0.25">
      <c r="A10" s="4" t="str">
        <f t="shared" si="0"/>
        <v>mercredi</v>
      </c>
      <c r="B10" s="22">
        <v>44349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jeudi</v>
      </c>
      <c r="B11" s="22">
        <v>44350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vendredi</v>
      </c>
      <c r="B12" s="22">
        <v>44351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samedi</v>
      </c>
      <c r="B13" s="22">
        <v>44352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 x14ac:dyDescent="0.25">
      <c r="A14" s="4" t="str">
        <f t="shared" si="0"/>
        <v>dimanche</v>
      </c>
      <c r="B14" s="22">
        <v>44353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lundi</v>
      </c>
      <c r="B15" s="22">
        <v>44354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mardi</v>
      </c>
      <c r="B16" s="22">
        <v>44355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mercredi</v>
      </c>
      <c r="B17" s="22">
        <v>44356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jeudi</v>
      </c>
      <c r="B18" s="22">
        <v>44357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vendredi</v>
      </c>
      <c r="B19" s="22">
        <v>44358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samedi</v>
      </c>
      <c r="B20" s="22">
        <v>44359</v>
      </c>
      <c r="C20" s="24"/>
      <c r="D20" s="24"/>
      <c r="E20" s="24"/>
      <c r="F20" s="23" t="str">
        <f t="shared" si="1"/>
        <v>Temps à saisir</v>
      </c>
      <c r="G20" s="7" t="s">
        <v>8</v>
      </c>
    </row>
    <row r="21" spans="1:7" x14ac:dyDescent="0.25">
      <c r="A21" s="4" t="str">
        <f t="shared" si="0"/>
        <v>dimanche</v>
      </c>
      <c r="B21" s="22">
        <v>44360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 x14ac:dyDescent="0.25">
      <c r="A22" s="4" t="str">
        <f t="shared" si="0"/>
        <v>lundi</v>
      </c>
      <c r="B22" s="22">
        <v>44361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 x14ac:dyDescent="0.25">
      <c r="A23" s="4" t="str">
        <f t="shared" si="0"/>
        <v>mardi</v>
      </c>
      <c r="B23" s="22">
        <v>44362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mercredi</v>
      </c>
      <c r="B24" s="22">
        <v>44363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jeudi</v>
      </c>
      <c r="B25" s="22">
        <v>44364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vendredi</v>
      </c>
      <c r="B26" s="22">
        <v>44365</v>
      </c>
      <c r="C26" s="24"/>
      <c r="D26" s="24"/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samedi</v>
      </c>
      <c r="B27" s="22">
        <v>44366</v>
      </c>
      <c r="C27" s="24"/>
      <c r="D27" s="24"/>
      <c r="E27" s="24"/>
      <c r="F27" s="23" t="str">
        <f t="shared" si="1"/>
        <v>Temps à saisir</v>
      </c>
      <c r="G27" s="7" t="s">
        <v>8</v>
      </c>
    </row>
    <row r="28" spans="1:7" x14ac:dyDescent="0.25">
      <c r="A28" s="4" t="str">
        <f t="shared" si="0"/>
        <v>dimanche</v>
      </c>
      <c r="B28" s="22">
        <v>44367</v>
      </c>
      <c r="C28" s="24"/>
      <c r="D28" s="24">
        <v>3.125E-2</v>
      </c>
      <c r="E28" s="24"/>
      <c r="F28" s="23" t="str">
        <f t="shared" si="1"/>
        <v>Temps à saisir</v>
      </c>
      <c r="G28" s="7" t="s">
        <v>8</v>
      </c>
    </row>
    <row r="29" spans="1:7" x14ac:dyDescent="0.25">
      <c r="A29" s="4" t="str">
        <f t="shared" si="0"/>
        <v>lundi</v>
      </c>
      <c r="B29" s="22">
        <v>44368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mardi</v>
      </c>
      <c r="B30" s="22">
        <v>44369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mercredi</v>
      </c>
      <c r="B31" s="22">
        <v>44370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jeudi</v>
      </c>
      <c r="B32" s="22">
        <v>44371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vendredi</v>
      </c>
      <c r="B33" s="22">
        <v>44372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samedi</v>
      </c>
      <c r="B34" s="22">
        <v>44373</v>
      </c>
      <c r="C34" s="24"/>
      <c r="D34" s="24"/>
      <c r="E34" s="24"/>
      <c r="F34" s="23" t="str">
        <f t="shared" si="1"/>
        <v>Temps à saisir</v>
      </c>
      <c r="G34" s="7" t="s">
        <v>8</v>
      </c>
    </row>
    <row r="35" spans="1:7" x14ac:dyDescent="0.25">
      <c r="A35" s="4" t="str">
        <f t="shared" si="0"/>
        <v>dimanche</v>
      </c>
      <c r="B35" s="22">
        <v>44374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lundi</v>
      </c>
      <c r="B36" s="22">
        <v>44375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mardi</v>
      </c>
      <c r="B37" s="22">
        <v>44376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mercredi</v>
      </c>
      <c r="B38" s="22">
        <v>44377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B39" s="19">
        <f>IFERROR(NETWORKDAYS(B9,B38,G1:G6),"Vérifiez les dates")</f>
        <v>22</v>
      </c>
      <c r="C39" s="20" t="str">
        <f>IFERROR(SUBTOTAL(101,Juin[Heure d''arrivé]),"")</f>
        <v/>
      </c>
      <c r="D39" s="20">
        <f>SUBTOTAL(101,Juin[Temps de pause])</f>
        <v>3.125E-2</v>
      </c>
      <c r="E39" s="20" t="str">
        <f>IFERROR(SUBTOTAL(101,Juin[Heure de départ]),"")</f>
        <v/>
      </c>
      <c r="F39" s="12">
        <f>IFERROR(SUBTOTAL(9,F9:F38),"")</f>
        <v>0</v>
      </c>
      <c r="G39" s="21"/>
    </row>
    <row r="40" spans="1:7" s="9" customFormat="1" ht="42.75" customHeight="1" x14ac:dyDescent="0.25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12 A15:G19 A13:F14 A22:G26 A20:F21 A29:G33 A27:F28 A36:G38 A34:F35">
    <cfRule type="expression" dxfId="120" priority="15">
      <formula>A9="samedi"</formula>
    </cfRule>
    <cfRule type="expression" dxfId="119" priority="17">
      <formula>A9="dimanche"</formula>
    </cfRule>
  </conditionalFormatting>
  <conditionalFormatting sqref="B9:G12 B15:G19 B13:F14 B22:G26 B20:F21 B29:G33 B27:F28 B36:G38 B34:F35">
    <cfRule type="expression" dxfId="118" priority="16">
      <formula>B9="samedi"</formula>
    </cfRule>
  </conditionalFormatting>
  <conditionalFormatting sqref="G13:G14">
    <cfRule type="expression" dxfId="117" priority="12">
      <formula>G13="samedi"</formula>
    </cfRule>
    <cfRule type="expression" dxfId="116" priority="14">
      <formula>G13="dimanche"</formula>
    </cfRule>
  </conditionalFormatting>
  <conditionalFormatting sqref="G13:G14">
    <cfRule type="expression" dxfId="115" priority="13">
      <formula>G13="samedi"</formula>
    </cfRule>
  </conditionalFormatting>
  <conditionalFormatting sqref="G20:G21">
    <cfRule type="expression" dxfId="114" priority="9">
      <formula>G20="samedi"</formula>
    </cfRule>
    <cfRule type="expression" dxfId="113" priority="11">
      <formula>G20="dimanche"</formula>
    </cfRule>
  </conditionalFormatting>
  <conditionalFormatting sqref="G20:G21">
    <cfRule type="expression" dxfId="112" priority="10">
      <formula>G20="samedi"</formula>
    </cfRule>
  </conditionalFormatting>
  <conditionalFormatting sqref="G27:G28">
    <cfRule type="expression" dxfId="111" priority="6">
      <formula>G27="samedi"</formula>
    </cfRule>
    <cfRule type="expression" dxfId="110" priority="8">
      <formula>G27="dimanche"</formula>
    </cfRule>
  </conditionalFormatting>
  <conditionalFormatting sqref="G27:G28">
    <cfRule type="expression" dxfId="109" priority="7">
      <formula>G27="samedi"</formula>
    </cfRule>
  </conditionalFormatting>
  <conditionalFormatting sqref="G34:G35">
    <cfRule type="expression" dxfId="108" priority="3">
      <formula>G34="samedi"</formula>
    </cfRule>
    <cfRule type="expression" dxfId="107" priority="5">
      <formula>G34="dimanche"</formula>
    </cfRule>
  </conditionalFormatting>
  <conditionalFormatting sqref="G34:G35">
    <cfRule type="expression" dxfId="106" priority="4">
      <formula>G34="samedi"</formula>
    </cfRule>
  </conditionalFormatting>
  <conditionalFormatting sqref="J1:J2">
    <cfRule type="expression" dxfId="58" priority="1">
      <formula>J1="samedi"</formula>
    </cfRule>
    <cfRule type="expression" dxfId="57" priority="2">
      <formula>J1="dimanche"</formula>
    </cfRule>
  </conditionalFormatting>
  <dataValidations count="2">
    <dataValidation allowBlank="1" showErrorMessage="1" sqref="B9:E38" xr:uid="{00000000-0002-0000-0500-000000000000}"/>
    <dataValidation allowBlank="1" showInputMessage="1" showErrorMessage="1" prompt="Saisir à droite les date exactes des jours fériés pendant la période" sqref="F1:F6" xr:uid="{00000000-0002-0000-05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41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44391</v>
      </c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IF(J1-JUillet[[#Totals],[Temps travaillé]]&lt;0,CONCATENATE("+ ",TEXT(JUillet[[#Totals],[Temps travaillé]]-J1,"[h]:mm")),J1-JUillet[[#Totals],[Temps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SUM(OFFSET(JUillet[[#Headers],[Temps travaillé]],1,,MATCH("dimanche",JUillet[Jours],0)))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SUM(OFFSET(JUillet[[#Headers],[Temps travaillé]],MATCH("Dimanche",JUillet[Jours],0)+1+(7*(ROW(A1)-1)),,7))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SUM(OFFSET(JUillet[[#Headers],[Temps travaillé]],MATCH("Dimanche",JUillet[Jours],0)+1+(7*(ROW(A2)-1)),,7))</f>
        <v>0</v>
      </c>
    </row>
    <row r="7" spans="1:10" x14ac:dyDescent="0.25">
      <c r="I7" s="44" t="s">
        <v>32</v>
      </c>
      <c r="J7" s="40">
        <f ca="1">SUM(OFFSET(JUillet[[#Headers],[Temps travaillé]],MATCH("Dimanche",JUillet[Jours],0)+1+(7*(ROW(A3)-1)),,7))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IF(COUNTA(JUillet[Jours])&gt;28,SUM(OFFSET(JUillet[[#Headers],[Temps travaillé]],MATCH("Dimanche",JUillet[Jours],0)+1+(7*(ROW(A4)-1)),,IF(WEEKDAY(B9,2)&lt;6,COUNTA(JUillet[Jours])-(MATCH("Dimanche",JUillet[Jours],0)+(7*(ROW(A4)-1))),7))),0)</f>
        <v>0</v>
      </c>
    </row>
    <row r="9" spans="1:10" x14ac:dyDescent="0.25">
      <c r="A9" s="4" t="str">
        <f t="shared" ref="A9:A39" si="0">TEXT(B9,"jjjj")</f>
        <v>jeudi</v>
      </c>
      <c r="B9" s="22">
        <v>44378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37</v>
      </c>
      <c r="J9" s="40">
        <f ca="1">IF(AND(COUNTA(JUillet[Jours])&gt;28,WEEKDAY(B9,2)&gt;5),SUM(OFFSET(JUillet[[#Headers],[Temps travaillé]],MATCH("Dimanche",JUillet[Jours],0)+1+(7*(ROW(A5)-1)),,COUNTA(JUillet[Jours])-(MATCH("Dimanche",JUillet[Jours],0)+(7*(ROW(A5)-1))))),0)</f>
        <v>0</v>
      </c>
    </row>
    <row r="10" spans="1:10" x14ac:dyDescent="0.25">
      <c r="A10" s="4" t="str">
        <f t="shared" si="0"/>
        <v>vendredi</v>
      </c>
      <c r="B10" s="22">
        <v>44379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samedi</v>
      </c>
      <c r="B11" s="22">
        <v>44380</v>
      </c>
      <c r="C11" s="24"/>
      <c r="D11" s="24"/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dimanche</v>
      </c>
      <c r="B12" s="22">
        <v>44381</v>
      </c>
      <c r="C12" s="24"/>
      <c r="D12" s="24"/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lundi</v>
      </c>
      <c r="B13" s="22">
        <v>44382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mardi</v>
      </c>
      <c r="B14" s="22">
        <v>44383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mercredi</v>
      </c>
      <c r="B15" s="22">
        <v>44384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jeudi</v>
      </c>
      <c r="B16" s="22">
        <v>44385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vendredi</v>
      </c>
      <c r="B17" s="22">
        <v>44386</v>
      </c>
      <c r="C17" s="24"/>
      <c r="D17" s="24"/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samedi</v>
      </c>
      <c r="B18" s="22">
        <v>44387</v>
      </c>
      <c r="C18" s="24"/>
      <c r="D18" s="24"/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dimanche</v>
      </c>
      <c r="B19" s="22">
        <v>44388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lundi</v>
      </c>
      <c r="B20" s="22">
        <v>44389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mardi</v>
      </c>
      <c r="B21" s="22">
        <v>44390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 x14ac:dyDescent="0.25">
      <c r="A22" s="34" t="str">
        <f t="shared" si="0"/>
        <v>mercredi</v>
      </c>
      <c r="B22" s="35">
        <v>44391</v>
      </c>
      <c r="C22" s="37"/>
      <c r="D22" s="37">
        <v>3.125E-2</v>
      </c>
      <c r="E22" s="37"/>
      <c r="F22" s="38" t="str">
        <f t="shared" si="1"/>
        <v>Temps à saisir</v>
      </c>
      <c r="G22" s="36" t="s">
        <v>22</v>
      </c>
    </row>
    <row r="23" spans="1:7" x14ac:dyDescent="0.25">
      <c r="A23" s="4" t="str">
        <f t="shared" si="0"/>
        <v>jeudi</v>
      </c>
      <c r="B23" s="22">
        <v>44392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vendredi</v>
      </c>
      <c r="B24" s="22">
        <v>44393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samedi</v>
      </c>
      <c r="B25" s="22">
        <v>44394</v>
      </c>
      <c r="C25" s="24"/>
      <c r="D25" s="24"/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dimanche</v>
      </c>
      <c r="B26" s="22">
        <v>44395</v>
      </c>
      <c r="C26" s="24"/>
      <c r="D26" s="24"/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lundi</v>
      </c>
      <c r="B27" s="22">
        <v>44396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mardi</v>
      </c>
      <c r="B28" s="22">
        <v>44397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mercredi</v>
      </c>
      <c r="B29" s="22">
        <v>44398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jeudi</v>
      </c>
      <c r="B30" s="22">
        <v>44399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vendredi</v>
      </c>
      <c r="B31" s="22">
        <v>44400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samedi</v>
      </c>
      <c r="B32" s="22">
        <v>44401</v>
      </c>
      <c r="C32" s="24"/>
      <c r="D32" s="24"/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dimanche</v>
      </c>
      <c r="B33" s="22">
        <v>44402</v>
      </c>
      <c r="C33" s="24"/>
      <c r="D33" s="24"/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lundi</v>
      </c>
      <c r="B34" s="22">
        <v>44403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mardi</v>
      </c>
      <c r="B35" s="22">
        <v>44404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mercredi</v>
      </c>
      <c r="B36" s="22">
        <v>44405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jeudi</v>
      </c>
      <c r="B37" s="22">
        <v>44406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vendredi</v>
      </c>
      <c r="B38" s="22">
        <v>44407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A39" s="4" t="str">
        <f t="shared" si="0"/>
        <v>samedi</v>
      </c>
      <c r="B39" s="22">
        <v>44408</v>
      </c>
      <c r="C39" s="28"/>
      <c r="D39" s="24"/>
      <c r="E39" s="28"/>
      <c r="F39" s="29" t="str">
        <f t="shared" ref="F39" si="2">IF(AND(C39&lt;&gt;0,E39&lt;&gt;0),(E39-D39-C39),"Temps à saisir")</f>
        <v>Temps à saisir</v>
      </c>
      <c r="G39" s="30"/>
    </row>
    <row r="40" spans="1:7" x14ac:dyDescent="0.25">
      <c r="B40" s="19">
        <f>IFERROR(NETWORKDAYS(B9,B39,G1:G6),"Vérifiez les dates")</f>
        <v>21</v>
      </c>
      <c r="C40" s="20" t="str">
        <f>IFERROR(SUBTOTAL(101,JUillet[Heure d''arrivé]),"")</f>
        <v/>
      </c>
      <c r="D40" s="20">
        <f>SUBTOTAL(101,JUillet[Temps de pause])</f>
        <v>3.125E-2</v>
      </c>
      <c r="E40" s="20" t="str">
        <f>IFERROR(SUBTOTAL(101,JUillet[Heure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05" priority="3">
      <formula>A9="samedi"</formula>
    </cfRule>
    <cfRule type="expression" dxfId="104" priority="5">
      <formula>A9="dimanche"</formula>
    </cfRule>
  </conditionalFormatting>
  <conditionalFormatting sqref="B9:G39">
    <cfRule type="expression" dxfId="103" priority="4">
      <formula>B9="samedi"</formula>
    </cfRule>
  </conditionalFormatting>
  <conditionalFormatting sqref="J1:J2">
    <cfRule type="expression" dxfId="60" priority="1">
      <formula>J1="samedi"</formula>
    </cfRule>
    <cfRule type="expression" dxfId="59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600-000000000000}"/>
    <dataValidation allowBlank="1" showErrorMessage="1" sqref="B9:E39" xr:uid="{00000000-0002-0000-06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1"/>
  <sheetViews>
    <sheetView workbookViewId="0">
      <pane ySplit="8" topLeftCell="A9" activePane="bottomLeft" state="frozen"/>
      <selection activeCell="I1" sqref="I1:J9"/>
      <selection pane="bottomLeft" activeCell="I39" sqref="I3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44423</v>
      </c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IF(J1-Août[[#Totals],[Temps travaillé]]&lt;0,CONCATENATE("+ ",TEXT(Août[[#Totals],[Temps travaillé]]-J1,"[h]:mm")),J1-Août[[#Totals],[Temps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SUM(OFFSET(Août[[#Headers],[Temps travaillé]],1,,MATCH("dimanche",Août[Jours],0)))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SUM(OFFSET(Août[[#Headers],[Temps travaillé]],MATCH("Dimanche",Août[Jours],0)+1+(7*(ROW(A1)-1)),,7))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SUM(OFFSET(Août[[#Headers],[Temps travaillé]],MATCH("Dimanche",Août[Jours],0)+1+(7*(ROW(A2)-1)),,7))</f>
        <v>0</v>
      </c>
    </row>
    <row r="7" spans="1:10" x14ac:dyDescent="0.25">
      <c r="I7" s="44" t="s">
        <v>32</v>
      </c>
      <c r="J7" s="40">
        <f ca="1">SUM(OFFSET(Août[[#Headers],[Temps travaillé]],MATCH("Dimanche",Août[Jours],0)+1+(7*(ROW(A3)-1)),,7))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IF(COUNTA(Août[Jours])&gt;28,SUM(OFFSET(Août[[#Headers],[Temps travaillé]],MATCH("Dimanche",Août[Jours],0)+1+(7*(ROW(A4)-1)),,IF(WEEKDAY(B9,2)&lt;6,COUNTA(Août[Jours])-(MATCH("Dimanche",Août[Jours],0)+(7*(ROW(A4)-1))),7))),0)</f>
        <v>0</v>
      </c>
    </row>
    <row r="9" spans="1:10" x14ac:dyDescent="0.25">
      <c r="A9" s="4" t="str">
        <f t="shared" ref="A9:A38" si="0">TEXT(B9,"jjjj")</f>
        <v>dimanche</v>
      </c>
      <c r="B9" s="22">
        <v>44409</v>
      </c>
      <c r="C9" s="7"/>
      <c r="D9" s="24"/>
      <c r="E9" s="7"/>
      <c r="F9" s="23" t="str">
        <f t="shared" ref="F9:F39" si="1">IF(AND(C9&lt;&gt;0,E9&lt;&gt;0),(E9-D9-C9),"Temps à saisir")</f>
        <v>Temps à saisir</v>
      </c>
      <c r="G9" s="7" t="s">
        <v>8</v>
      </c>
      <c r="I9" s="44" t="s">
        <v>37</v>
      </c>
      <c r="J9" s="40">
        <f ca="1">IF(AND(COUNTA(Août[Jours])&gt;28,WEEKDAY(B9,2)&gt;5),SUM(OFFSET(Août[[#Headers],[Temps travaillé]],MATCH("Dimanche",Août[Jours],0)+1+(7*(ROW(A5)-1)),,COUNTA(Août[Jours])-(MATCH("Dimanche",Août[Jours],0)+(7*(ROW(A5)-1))))),0)</f>
        <v>0</v>
      </c>
    </row>
    <row r="10" spans="1:10" x14ac:dyDescent="0.25">
      <c r="A10" s="4" t="str">
        <f t="shared" si="0"/>
        <v>lundi</v>
      </c>
      <c r="B10" s="22">
        <v>44410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mardi</v>
      </c>
      <c r="B11" s="22">
        <v>44411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mercredi</v>
      </c>
      <c r="B12" s="22">
        <v>44412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jeudi</v>
      </c>
      <c r="B13" s="22">
        <v>44413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vendredi</v>
      </c>
      <c r="B14" s="22">
        <v>44414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samedi</v>
      </c>
      <c r="B15" s="22">
        <v>44415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dimanche</v>
      </c>
      <c r="B16" s="22">
        <v>44416</v>
      </c>
      <c r="C16" s="24"/>
      <c r="D16" s="24"/>
      <c r="E16" s="24"/>
      <c r="F16" s="23" t="str">
        <f>IF(AND(C16&lt;&gt;0,E16&lt;&gt;0),(E16-D16-C16),"Temps à saisir")</f>
        <v>Temps à saisir</v>
      </c>
      <c r="G16" s="7" t="s">
        <v>8</v>
      </c>
    </row>
    <row r="17" spans="1:7" x14ac:dyDescent="0.25">
      <c r="A17" s="4" t="str">
        <f t="shared" si="0"/>
        <v>lundi</v>
      </c>
      <c r="B17" s="22">
        <v>44417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mardi</v>
      </c>
      <c r="B18" s="22">
        <v>44418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mercredi</v>
      </c>
      <c r="B19" s="22">
        <v>44419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jeudi</v>
      </c>
      <c r="B20" s="22">
        <v>44420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vendredi</v>
      </c>
      <c r="B21" s="22">
        <v>44421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 x14ac:dyDescent="0.25">
      <c r="A22" s="4" t="str">
        <f t="shared" si="0"/>
        <v>samedi</v>
      </c>
      <c r="B22" s="22">
        <v>44422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 x14ac:dyDescent="0.25">
      <c r="A23" s="34" t="str">
        <f t="shared" si="0"/>
        <v>dimanche</v>
      </c>
      <c r="B23" s="35">
        <v>44423</v>
      </c>
      <c r="C23" s="37"/>
      <c r="D23" s="37"/>
      <c r="E23" s="37"/>
      <c r="F23" s="38" t="str">
        <f t="shared" si="1"/>
        <v>Temps à saisir</v>
      </c>
      <c r="G23" s="36" t="s">
        <v>23</v>
      </c>
    </row>
    <row r="24" spans="1:7" x14ac:dyDescent="0.25">
      <c r="A24" s="4" t="str">
        <f t="shared" si="0"/>
        <v>lundi</v>
      </c>
      <c r="B24" s="22">
        <v>44424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mardi</v>
      </c>
      <c r="B25" s="22">
        <v>44425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mercredi</v>
      </c>
      <c r="B26" s="22">
        <v>44426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jeudi</v>
      </c>
      <c r="B27" s="22">
        <v>44427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vendredi</v>
      </c>
      <c r="B28" s="22">
        <v>44428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samedi</v>
      </c>
      <c r="B29" s="22">
        <v>44429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 x14ac:dyDescent="0.25">
      <c r="A30" s="4" t="str">
        <f t="shared" si="0"/>
        <v>dimanche</v>
      </c>
      <c r="B30" s="22">
        <v>44430</v>
      </c>
      <c r="C30" s="24"/>
      <c r="D30" s="24"/>
      <c r="E30" s="24"/>
      <c r="F30" s="23" t="str">
        <f t="shared" si="1"/>
        <v>Temps à saisir</v>
      </c>
      <c r="G30" s="7" t="s">
        <v>8</v>
      </c>
    </row>
    <row r="31" spans="1:7" x14ac:dyDescent="0.25">
      <c r="A31" s="4" t="str">
        <f t="shared" si="0"/>
        <v>lundi</v>
      </c>
      <c r="B31" s="22">
        <v>44431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mardi</v>
      </c>
      <c r="B32" s="22">
        <v>44432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mercredi</v>
      </c>
      <c r="B33" s="22">
        <v>44433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jeudi</v>
      </c>
      <c r="B34" s="22">
        <v>44434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vendredi</v>
      </c>
      <c r="B35" s="22">
        <v>44435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samedi</v>
      </c>
      <c r="B36" s="22">
        <v>44436</v>
      </c>
      <c r="C36" s="28"/>
      <c r="D36" s="24"/>
      <c r="E36" s="28"/>
      <c r="F36" s="29" t="str">
        <f t="shared" si="1"/>
        <v>Temps à saisir</v>
      </c>
      <c r="G36" s="7" t="s">
        <v>8</v>
      </c>
    </row>
    <row r="37" spans="1:7" x14ac:dyDescent="0.25">
      <c r="A37" s="4" t="str">
        <f t="shared" si="0"/>
        <v>dimanche</v>
      </c>
      <c r="B37" s="22">
        <v>44437</v>
      </c>
      <c r="C37" s="28"/>
      <c r="D37" s="24"/>
      <c r="E37" s="28"/>
      <c r="F37" s="29" t="str">
        <f t="shared" si="1"/>
        <v>Temps à saisir</v>
      </c>
      <c r="G37" s="7" t="s">
        <v>8</v>
      </c>
    </row>
    <row r="38" spans="1:7" x14ac:dyDescent="0.25">
      <c r="A38" s="4" t="str">
        <f t="shared" si="0"/>
        <v>lundi</v>
      </c>
      <c r="B38" s="22">
        <v>44438</v>
      </c>
      <c r="C38" s="28"/>
      <c r="D38" s="24">
        <v>3.125E-2</v>
      </c>
      <c r="E38" s="28"/>
      <c r="F38" s="29" t="str">
        <f t="shared" si="1"/>
        <v>Temps à saisir</v>
      </c>
      <c r="G38" s="30"/>
    </row>
    <row r="39" spans="1:7" x14ac:dyDescent="0.25">
      <c r="A39" s="33" t="str">
        <f>TEXT(B39,"jjjj")</f>
        <v>mardi</v>
      </c>
      <c r="B39" s="22">
        <v>44439</v>
      </c>
      <c r="C39" s="28"/>
      <c r="D39" s="28"/>
      <c r="E39" s="28"/>
      <c r="F39" s="29" t="str">
        <f t="shared" si="1"/>
        <v>Temps à saisir</v>
      </c>
      <c r="G39" s="30"/>
    </row>
    <row r="40" spans="1:7" x14ac:dyDescent="0.25">
      <c r="B40" s="19">
        <f>IFERROR(NETWORKDAYS(B9,B39,G1:G6),"Vérifiez les dates")</f>
        <v>22</v>
      </c>
      <c r="C40" s="50" t="str">
        <f>IFERROR(SUBTOTAL(101,Août[Heure d''arrivé]),"")</f>
        <v/>
      </c>
      <c r="D40" s="50">
        <f>SUBTOTAL(101,Août[Temps de pause])</f>
        <v>3.125E-2</v>
      </c>
      <c r="E40" s="50" t="str">
        <f>IFERROR(SUBTOTAL(101,Août[Heure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5" priority="3">
      <formula>A9="samedi"</formula>
    </cfRule>
    <cfRule type="expression" dxfId="14" priority="5">
      <formula>A9="dimanche"</formula>
    </cfRule>
  </conditionalFormatting>
  <conditionalFormatting sqref="B9:G39">
    <cfRule type="expression" dxfId="13" priority="4">
      <formula>B9="samedi"</formula>
    </cfRule>
  </conditionalFormatting>
  <conditionalFormatting sqref="J1:J2">
    <cfRule type="expression" dxfId="70" priority="1">
      <formula>J1="samedi"</formula>
    </cfRule>
    <cfRule type="expression" dxfId="69" priority="2">
      <formula>J1="dimanche"</formula>
    </cfRule>
  </conditionalFormatting>
  <dataValidations count="2">
    <dataValidation allowBlank="1" showErrorMessage="1" sqref="B9:E39" xr:uid="{00000000-0002-0000-0700-000000000000}"/>
    <dataValidation allowBlank="1" showInputMessage="1" showErrorMessage="1" prompt="Saisir à droite les date exactes des jours fériés pendant la période" sqref="F1:F6" xr:uid="{00000000-0002-0000-07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0"/>
  <sheetViews>
    <sheetView workbookViewId="0">
      <pane ySplit="8" topLeftCell="A9" activePane="bottomLeft" state="frozen"/>
      <selection activeCell="I1" sqref="I1:J9"/>
      <selection pane="bottomLeft" activeCell="I1" sqref="I1:J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/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IF(J1-Septembre[[#Totals],[Temps travaillé]]&lt;0,CONCATENATE("+ ",TEXT(Septembre[[#Totals],[Temps travaillé]]-J1,"[h]:mm")),J1-Septembre[[#Totals],[Temps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SUM(OFFSET(Septembre[[#Headers],[Temps travaillé]],1,,MATCH("dimanche",Septembre[Jours],0)))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SUM(OFFSET(Septembre[[#Headers],[Temps travaillé]],MATCH("Dimanche",Septembre[Jours],0)+1+(7*(ROW(A1)-1)),,7))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SUM(OFFSET(Septembre[[#Headers],[Temps travaillé]],MATCH("Dimanche",Septembre[Jours],0)+1+(7*(ROW(A2)-1)),,7))</f>
        <v>0</v>
      </c>
    </row>
    <row r="7" spans="1:10" x14ac:dyDescent="0.25">
      <c r="I7" s="44" t="s">
        <v>32</v>
      </c>
      <c r="J7" s="40">
        <f ca="1">SUM(OFFSET(Septembre[[#Headers],[Temps travaillé]],MATCH("Dimanche",Septembre[Jours],0)+1+(7*(ROW(A3)-1)),,7))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IF(COUNTA(Septembre[Jours])&gt;28,SUM(OFFSET(Septembre[[#Headers],[Temps travaillé]],MATCH("Dimanche",Septembre[Jours],0)+1+(7*(ROW(A4)-1)),,IF(WEEKDAY(B9,2)&lt;6,COUNTA(Septembre[Jours])-(MATCH("Dimanche",Septembre[Jours],0)+(7*(ROW(A4)-1))),7))),0)</f>
        <v>0</v>
      </c>
    </row>
    <row r="9" spans="1:10" x14ac:dyDescent="0.25">
      <c r="A9" s="4" t="str">
        <f t="shared" ref="A9:A38" si="0">TEXT(B9,"jjjj")</f>
        <v>mercredi</v>
      </c>
      <c r="B9" s="22">
        <v>44440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37</v>
      </c>
      <c r="J9" s="40">
        <f ca="1">IF(AND(COUNTA(Septembre[Jours])&gt;28,WEEKDAY(B9,2)&gt;5),SUM(OFFSET(Septembre[[#Headers],[Temps travaillé]],MATCH("Dimanche",Septembre[Jours],0)+1+(7*(ROW(A5)-1)),,COUNTA(Septembre[Jours])-(MATCH("Dimanche",Septembre[Jours],0)+(7*(ROW(A5)-1))))),0)</f>
        <v>0</v>
      </c>
    </row>
    <row r="10" spans="1:10" x14ac:dyDescent="0.25">
      <c r="A10" s="4" t="str">
        <f t="shared" si="0"/>
        <v>jeudi</v>
      </c>
      <c r="B10" s="22">
        <v>44441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vendredi</v>
      </c>
      <c r="B11" s="22">
        <v>44442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samedi</v>
      </c>
      <c r="B12" s="22">
        <v>44443</v>
      </c>
      <c r="C12" s="24"/>
      <c r="D12" s="24"/>
      <c r="E12" s="24"/>
      <c r="F12" s="23" t="str">
        <f t="shared" si="1"/>
        <v>Temps à saisir</v>
      </c>
      <c r="G12" s="7" t="s">
        <v>8</v>
      </c>
    </row>
    <row r="13" spans="1:10" x14ac:dyDescent="0.25">
      <c r="A13" s="4" t="str">
        <f t="shared" si="0"/>
        <v>dimanche</v>
      </c>
      <c r="B13" s="22">
        <v>44444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 x14ac:dyDescent="0.25">
      <c r="A14" s="4" t="str">
        <f t="shared" si="0"/>
        <v>lundi</v>
      </c>
      <c r="B14" s="22">
        <v>44445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mardi</v>
      </c>
      <c r="B15" s="22">
        <v>44446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mercredi</v>
      </c>
      <c r="B16" s="22">
        <v>44447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jeudi</v>
      </c>
      <c r="B17" s="22">
        <v>44448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vendredi</v>
      </c>
      <c r="B18" s="22">
        <v>44449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4" t="str">
        <f t="shared" si="0"/>
        <v>samedi</v>
      </c>
      <c r="B19" s="22">
        <v>44450</v>
      </c>
      <c r="C19" s="24"/>
      <c r="D19" s="24"/>
      <c r="E19" s="24"/>
      <c r="F19" s="32" t="str">
        <f t="shared" si="1"/>
        <v>Temps à saisir</v>
      </c>
      <c r="G19" s="7" t="s">
        <v>8</v>
      </c>
    </row>
    <row r="20" spans="1:7" x14ac:dyDescent="0.25">
      <c r="A20" s="4" t="str">
        <f t="shared" si="0"/>
        <v>dimanche</v>
      </c>
      <c r="B20" s="22">
        <v>44451</v>
      </c>
      <c r="C20" s="24"/>
      <c r="D20" s="24"/>
      <c r="E20" s="24"/>
      <c r="F20" s="23" t="str">
        <f t="shared" si="1"/>
        <v>Temps à saisir</v>
      </c>
      <c r="G20" s="7" t="s">
        <v>8</v>
      </c>
    </row>
    <row r="21" spans="1:7" x14ac:dyDescent="0.25">
      <c r="A21" s="4" t="str">
        <f t="shared" si="0"/>
        <v>lundi</v>
      </c>
      <c r="B21" s="22">
        <v>44452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 x14ac:dyDescent="0.25">
      <c r="A22" s="4" t="str">
        <f t="shared" si="0"/>
        <v>mardi</v>
      </c>
      <c r="B22" s="22">
        <v>44453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 x14ac:dyDescent="0.25">
      <c r="A23" s="4" t="str">
        <f t="shared" si="0"/>
        <v>mercredi</v>
      </c>
      <c r="B23" s="22">
        <v>44454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jeudi</v>
      </c>
      <c r="B24" s="22">
        <v>44455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vendredi</v>
      </c>
      <c r="B25" s="22">
        <v>44456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samedi</v>
      </c>
      <c r="B26" s="22">
        <v>44457</v>
      </c>
      <c r="C26" s="24"/>
      <c r="D26" s="24"/>
      <c r="E26" s="24"/>
      <c r="F26" s="23" t="str">
        <f t="shared" si="1"/>
        <v>Temps à saisir</v>
      </c>
      <c r="G26" s="7" t="s">
        <v>8</v>
      </c>
    </row>
    <row r="27" spans="1:7" x14ac:dyDescent="0.25">
      <c r="A27" s="4" t="str">
        <f t="shared" si="0"/>
        <v>dimanche</v>
      </c>
      <c r="B27" s="22">
        <v>44458</v>
      </c>
      <c r="C27" s="24"/>
      <c r="D27" s="24"/>
      <c r="E27" s="24"/>
      <c r="F27" s="23" t="str">
        <f t="shared" si="1"/>
        <v>Temps à saisir</v>
      </c>
      <c r="G27" s="7" t="s">
        <v>8</v>
      </c>
    </row>
    <row r="28" spans="1:7" x14ac:dyDescent="0.25">
      <c r="A28" s="4" t="str">
        <f t="shared" si="0"/>
        <v>lundi</v>
      </c>
      <c r="B28" s="22">
        <v>44459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mardi</v>
      </c>
      <c r="B29" s="22">
        <v>44460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mercredi</v>
      </c>
      <c r="B30" s="22">
        <v>44461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jeudi</v>
      </c>
      <c r="B31" s="22">
        <v>44462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vendredi</v>
      </c>
      <c r="B32" s="22">
        <v>44463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samedi</v>
      </c>
      <c r="B33" s="22">
        <v>44464</v>
      </c>
      <c r="C33" s="24"/>
      <c r="D33" s="24"/>
      <c r="E33" s="24"/>
      <c r="F33" s="23" t="str">
        <f t="shared" si="1"/>
        <v>Temps à saisir</v>
      </c>
      <c r="G33" s="7" t="s">
        <v>8</v>
      </c>
    </row>
    <row r="34" spans="1:7" x14ac:dyDescent="0.25">
      <c r="A34" s="4" t="str">
        <f t="shared" si="0"/>
        <v>dimanche</v>
      </c>
      <c r="B34" s="22">
        <v>44465</v>
      </c>
      <c r="C34" s="24"/>
      <c r="D34" s="24"/>
      <c r="E34" s="24"/>
      <c r="F34" s="23" t="str">
        <f t="shared" si="1"/>
        <v>Temps à saisir</v>
      </c>
      <c r="G34" s="7" t="s">
        <v>8</v>
      </c>
    </row>
    <row r="35" spans="1:7" x14ac:dyDescent="0.25">
      <c r="A35" s="4" t="str">
        <f t="shared" si="0"/>
        <v>lundi</v>
      </c>
      <c r="B35" s="22">
        <v>44466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mardi</v>
      </c>
      <c r="B36" s="22">
        <v>44467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mercredi</v>
      </c>
      <c r="B37" s="22">
        <v>44468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jeudi</v>
      </c>
      <c r="B38" s="22">
        <v>44469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B39" s="19">
        <f>IFERROR(NETWORKDAYS(B9,B38,G1:G6),"Vérifiez les dates")</f>
        <v>22</v>
      </c>
      <c r="C39" s="20" t="str">
        <f>IFERROR(SUBTOTAL(101,Septembre[Heure d''arrivé]),"")</f>
        <v/>
      </c>
      <c r="D39" s="20">
        <f>SUBTOTAL(101,Septembre[Temps de pause])</f>
        <v>3.125E-2</v>
      </c>
      <c r="E39" s="20" t="str">
        <f>IFERROR(SUBTOTAL(101,Septembre[Heure de départ]),"")</f>
        <v/>
      </c>
      <c r="F39" s="12">
        <f>IFERROR(SUBTOTAL(9,F9:F38),"")</f>
        <v>0</v>
      </c>
      <c r="G39" s="21"/>
    </row>
    <row r="40" spans="1:7" s="9" customFormat="1" ht="42.75" customHeight="1" x14ac:dyDescent="0.25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38">
    <cfRule type="expression" dxfId="102" priority="3">
      <formula>A9="samedi"</formula>
    </cfRule>
    <cfRule type="expression" dxfId="101" priority="5">
      <formula>A9="dimanche"</formula>
    </cfRule>
  </conditionalFormatting>
  <conditionalFormatting sqref="B9:G38">
    <cfRule type="expression" dxfId="100" priority="4">
      <formula>B9="samedi"</formula>
    </cfRule>
  </conditionalFormatting>
  <conditionalFormatting sqref="J1:J2">
    <cfRule type="expression" dxfId="62" priority="1">
      <formula>J1="samedi"</formula>
    </cfRule>
    <cfRule type="expression" dxfId="61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800-000000000000}"/>
    <dataValidation allowBlank="1" showErrorMessage="1" sqref="B9:E38" xr:uid="{00000000-0002-0000-08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41"/>
  <sheetViews>
    <sheetView workbookViewId="0">
      <pane ySplit="8" topLeftCell="A9" activePane="bottomLeft" state="frozen"/>
      <selection activeCell="I1" sqref="I1:J9"/>
      <selection pane="bottomLeft" activeCell="I1" sqref="I1:J9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/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IF(J1-Octobre[[#Totals],[Temps travaillé]]&lt;0,CONCATENATE("+ ",TEXT(Octobre[[#Totals],[Temps travaillé]]-J1,"[h]:mm")),J1-Octobre[[#Totals],[Temps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SUM(OFFSET(Octobre[[#Headers],[Temps travaillé]],1,,MATCH("dimanche",Octobre[Jours],0)))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SUM(OFFSET(Octobre[[#Headers],[Temps travaillé]],MATCH("Dimanche",Octobre[Jours],0)+1+(7*(ROW(A1)-1)),,7))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SUM(OFFSET(Octobre[[#Headers],[Temps travaillé]],MATCH("Dimanche",Octobre[Jours],0)+1+(7*(ROW(A2)-1)),,7))</f>
        <v>0</v>
      </c>
    </row>
    <row r="7" spans="1:10" x14ac:dyDescent="0.25">
      <c r="I7" s="44" t="s">
        <v>32</v>
      </c>
      <c r="J7" s="40">
        <f ca="1">SUM(OFFSET(Octobre[[#Headers],[Temps travaillé]],MATCH("Dimanche",Octobre[Jours],0)+1+(7*(ROW(A3)-1)),,7))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IF(COUNTA(Octobre[Jours])&gt;28,SUM(OFFSET(Octobre[[#Headers],[Temps travaillé]],MATCH("Dimanche",Octobre[Jours],0)+1+(7*(ROW(A4)-1)),,IF(WEEKDAY(B9,2)&lt;6,COUNTA(Octobre[Jours])-(MATCH("Dimanche",Octobre[Jours],0)+(7*(ROW(A4)-1))),7))),0)</f>
        <v>0</v>
      </c>
    </row>
    <row r="9" spans="1:10" x14ac:dyDescent="0.25">
      <c r="A9" s="4" t="str">
        <f t="shared" ref="A9:A38" si="0">TEXT(B9,"jjjj")</f>
        <v>vendredi</v>
      </c>
      <c r="B9" s="22">
        <v>44470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37</v>
      </c>
      <c r="J9" s="40">
        <f ca="1">IF(AND(COUNTA(Octobre[Jours])&gt;28,WEEKDAY(B9,2)&gt;5),SUM(OFFSET(Octobre[[#Headers],[Temps travaillé]],MATCH("Dimanche",Octobre[Jours],0)+1+(7*(ROW(A5)-1)),,COUNTA(Octobre[Jours])-(MATCH("Dimanche",Octobre[Jours],0)+(7*(ROW(A5)-1))))),0)</f>
        <v>0</v>
      </c>
    </row>
    <row r="10" spans="1:10" x14ac:dyDescent="0.25">
      <c r="A10" s="4" t="str">
        <f t="shared" si="0"/>
        <v>samedi</v>
      </c>
      <c r="B10" s="22">
        <v>44471</v>
      </c>
      <c r="C10" s="24"/>
      <c r="D10" s="24"/>
      <c r="E10" s="24"/>
      <c r="F10" s="23" t="str">
        <f t="shared" si="1"/>
        <v>Temps à saisir</v>
      </c>
      <c r="G10" s="7" t="s">
        <v>8</v>
      </c>
      <c r="H10" s="1"/>
    </row>
    <row r="11" spans="1:10" x14ac:dyDescent="0.25">
      <c r="A11" s="4" t="str">
        <f t="shared" si="0"/>
        <v>dimanche</v>
      </c>
      <c r="B11" s="22">
        <v>44472</v>
      </c>
      <c r="C11" s="24"/>
      <c r="D11" s="24"/>
      <c r="E11" s="24"/>
      <c r="F11" s="23" t="str">
        <f t="shared" si="1"/>
        <v>Temps à saisir</v>
      </c>
      <c r="G11" s="7" t="s">
        <v>8</v>
      </c>
    </row>
    <row r="12" spans="1:10" x14ac:dyDescent="0.25">
      <c r="A12" s="4" t="str">
        <f t="shared" si="0"/>
        <v>lundi</v>
      </c>
      <c r="B12" s="22">
        <v>44473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mardi</v>
      </c>
      <c r="B13" s="22">
        <v>44474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mercredi</v>
      </c>
      <c r="B14" s="22">
        <v>44475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jeudi</v>
      </c>
      <c r="B15" s="22">
        <v>44476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vendredi</v>
      </c>
      <c r="B16" s="22">
        <v>44477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samedi</v>
      </c>
      <c r="B17" s="22">
        <v>44478</v>
      </c>
      <c r="C17" s="24"/>
      <c r="D17" s="24"/>
      <c r="E17" s="24"/>
      <c r="F17" s="23" t="str">
        <f t="shared" si="1"/>
        <v>Temps à saisir</v>
      </c>
      <c r="G17" s="7" t="s">
        <v>8</v>
      </c>
    </row>
    <row r="18" spans="1:7" x14ac:dyDescent="0.25">
      <c r="A18" s="4" t="str">
        <f t="shared" si="0"/>
        <v>dimanche</v>
      </c>
      <c r="B18" s="22">
        <v>44479</v>
      </c>
      <c r="C18" s="24"/>
      <c r="D18" s="24"/>
      <c r="E18" s="24"/>
      <c r="F18" s="23" t="str">
        <f t="shared" si="1"/>
        <v>Temps à saisir</v>
      </c>
      <c r="G18" s="7" t="s">
        <v>8</v>
      </c>
    </row>
    <row r="19" spans="1:7" x14ac:dyDescent="0.25">
      <c r="A19" s="4" t="str">
        <f t="shared" si="0"/>
        <v>lundi</v>
      </c>
      <c r="B19" s="22">
        <v>44480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 x14ac:dyDescent="0.25">
      <c r="A20" s="4" t="str">
        <f t="shared" si="0"/>
        <v>mardi</v>
      </c>
      <c r="B20" s="22">
        <v>44481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mercredi</v>
      </c>
      <c r="B21" s="22">
        <v>44482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 x14ac:dyDescent="0.25">
      <c r="A22" s="4" t="str">
        <f t="shared" si="0"/>
        <v>jeudi</v>
      </c>
      <c r="B22" s="22">
        <v>44483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 x14ac:dyDescent="0.25">
      <c r="A23" s="4" t="str">
        <f t="shared" si="0"/>
        <v>vendredi</v>
      </c>
      <c r="B23" s="22">
        <v>44484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samedi</v>
      </c>
      <c r="B24" s="22">
        <v>44485</v>
      </c>
      <c r="C24" s="24"/>
      <c r="D24" s="24"/>
      <c r="E24" s="24"/>
      <c r="F24" s="23" t="str">
        <f t="shared" si="1"/>
        <v>Temps à saisir</v>
      </c>
      <c r="G24" s="7" t="s">
        <v>8</v>
      </c>
    </row>
    <row r="25" spans="1:7" x14ac:dyDescent="0.25">
      <c r="A25" s="4" t="str">
        <f t="shared" si="0"/>
        <v>dimanche</v>
      </c>
      <c r="B25" s="22">
        <v>44486</v>
      </c>
      <c r="C25" s="24"/>
      <c r="D25" s="24"/>
      <c r="E25" s="24"/>
      <c r="F25" s="23" t="str">
        <f t="shared" si="1"/>
        <v>Temps à saisir</v>
      </c>
      <c r="G25" s="7" t="s">
        <v>8</v>
      </c>
    </row>
    <row r="26" spans="1:7" x14ac:dyDescent="0.25">
      <c r="A26" s="4" t="str">
        <f t="shared" si="0"/>
        <v>lundi</v>
      </c>
      <c r="B26" s="22">
        <v>44487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mardi</v>
      </c>
      <c r="B27" s="22">
        <v>44488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mercredi</v>
      </c>
      <c r="B28" s="22">
        <v>44489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 x14ac:dyDescent="0.25">
      <c r="A29" s="4" t="str">
        <f t="shared" si="0"/>
        <v>jeudi</v>
      </c>
      <c r="B29" s="22">
        <v>44490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 x14ac:dyDescent="0.25">
      <c r="A30" s="4" t="str">
        <f t="shared" si="0"/>
        <v>vendredi</v>
      </c>
      <c r="B30" s="22">
        <v>44491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samedi</v>
      </c>
      <c r="B31" s="22">
        <v>44492</v>
      </c>
      <c r="C31" s="24"/>
      <c r="D31" s="24"/>
      <c r="E31" s="24"/>
      <c r="F31" s="23" t="str">
        <f t="shared" si="1"/>
        <v>Temps à saisir</v>
      </c>
      <c r="G31" s="7" t="s">
        <v>8</v>
      </c>
    </row>
    <row r="32" spans="1:7" x14ac:dyDescent="0.25">
      <c r="A32" s="4" t="str">
        <f t="shared" si="0"/>
        <v>dimanche</v>
      </c>
      <c r="B32" s="22">
        <v>44493</v>
      </c>
      <c r="C32" s="24"/>
      <c r="D32" s="24"/>
      <c r="E32" s="24"/>
      <c r="F32" s="23" t="str">
        <f t="shared" si="1"/>
        <v>Temps à saisir</v>
      </c>
      <c r="G32" s="7" t="s">
        <v>8</v>
      </c>
    </row>
    <row r="33" spans="1:7" x14ac:dyDescent="0.25">
      <c r="A33" s="4" t="str">
        <f t="shared" si="0"/>
        <v>lundi</v>
      </c>
      <c r="B33" s="22">
        <v>44494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mardi</v>
      </c>
      <c r="B34" s="22">
        <v>44495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mercredi</v>
      </c>
      <c r="B35" s="22">
        <v>44496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 x14ac:dyDescent="0.25">
      <c r="A36" s="4" t="str">
        <f>TEXT(B36,"jjjj")</f>
        <v>jeudi</v>
      </c>
      <c r="B36" s="22">
        <v>44497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 x14ac:dyDescent="0.25">
      <c r="A37" s="4" t="str">
        <f t="shared" si="0"/>
        <v>vendredi</v>
      </c>
      <c r="B37" s="22">
        <v>44498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samedi</v>
      </c>
      <c r="B38" s="22">
        <v>44499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A39" s="33" t="str">
        <f>TEXT(B39,"jjjj")</f>
        <v>dimanche</v>
      </c>
      <c r="B39" s="22">
        <v>44500</v>
      </c>
      <c r="C39" s="28"/>
      <c r="D39" s="24">
        <v>3.125E-2</v>
      </c>
      <c r="E39" s="28"/>
      <c r="F39" s="29" t="str">
        <f t="shared" ref="F39" si="2">IF(AND(C39&lt;&gt;0,E39&lt;&gt;0),(E39-D39-C39),"Temps à saisir")</f>
        <v>Temps à saisir</v>
      </c>
      <c r="G39" s="30"/>
    </row>
    <row r="40" spans="1:7" x14ac:dyDescent="0.25">
      <c r="B40" s="19">
        <f>IFERROR(NETWORKDAYS(B9,B39,G1:G6),"Vérifiez les dates")</f>
        <v>21</v>
      </c>
      <c r="C40" s="20" t="str">
        <f>IFERROR(SUBTOTAL(101,Octobre[Heure d''arrivé]),"")</f>
        <v/>
      </c>
      <c r="D40" s="20">
        <f>SUBTOTAL(101,Octobre[Temps de pause])</f>
        <v>3.125E-2</v>
      </c>
      <c r="E40" s="20" t="str">
        <f>IFERROR(SUBTOTAL(101,Octobre[Heure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9 A12:G16 A10:F11 A19:G23 A17:F18 A26:G30 A24:F25 A33:G39 A31:F32">
    <cfRule type="expression" dxfId="99" priority="15">
      <formula>A9="samedi"</formula>
    </cfRule>
    <cfRule type="expression" dxfId="98" priority="17">
      <formula>A9="dimanche"</formula>
    </cfRule>
  </conditionalFormatting>
  <conditionalFormatting sqref="B9:G9 B12:G16 B10:F11 B19:G23 B17:F18 B26:G30 B24:F25 B33:G39 B31:F32">
    <cfRule type="expression" dxfId="97" priority="16">
      <formula>B9="samedi"</formula>
    </cfRule>
  </conditionalFormatting>
  <conditionalFormatting sqref="G10:G11">
    <cfRule type="expression" dxfId="96" priority="12">
      <formula>G10="samedi"</formula>
    </cfRule>
    <cfRule type="expression" dxfId="95" priority="14">
      <formula>G10="dimanche"</formula>
    </cfRule>
  </conditionalFormatting>
  <conditionalFormatting sqref="G10:G11">
    <cfRule type="expression" dxfId="94" priority="13">
      <formula>G10="samedi"</formula>
    </cfRule>
  </conditionalFormatting>
  <conditionalFormatting sqref="G17:G18">
    <cfRule type="expression" dxfId="93" priority="9">
      <formula>G17="samedi"</formula>
    </cfRule>
    <cfRule type="expression" dxfId="92" priority="11">
      <formula>G17="dimanche"</formula>
    </cfRule>
  </conditionalFormatting>
  <conditionalFormatting sqref="G17:G18">
    <cfRule type="expression" dxfId="91" priority="10">
      <formula>G17="samedi"</formula>
    </cfRule>
  </conditionalFormatting>
  <conditionalFormatting sqref="G24:G25">
    <cfRule type="expression" dxfId="90" priority="6">
      <formula>G24="samedi"</formula>
    </cfRule>
    <cfRule type="expression" dxfId="89" priority="8">
      <formula>G24="dimanche"</formula>
    </cfRule>
  </conditionalFormatting>
  <conditionalFormatting sqref="G24:G25">
    <cfRule type="expression" dxfId="88" priority="7">
      <formula>G24="samedi"</formula>
    </cfRule>
  </conditionalFormatting>
  <conditionalFormatting sqref="G31:G32">
    <cfRule type="expression" dxfId="87" priority="3">
      <formula>G31="samedi"</formula>
    </cfRule>
    <cfRule type="expression" dxfId="86" priority="5">
      <formula>G31="dimanche"</formula>
    </cfRule>
  </conditionalFormatting>
  <conditionalFormatting sqref="G31:G32">
    <cfRule type="expression" dxfId="85" priority="4">
      <formula>G31="samedi"</formula>
    </cfRule>
  </conditionalFormatting>
  <conditionalFormatting sqref="J1:J2">
    <cfRule type="expression" dxfId="64" priority="1">
      <formula>J1="samedi"</formula>
    </cfRule>
    <cfRule type="expression" dxfId="63" priority="2">
      <formula>J1="dimanche"</formula>
    </cfRule>
  </conditionalFormatting>
  <dataValidations count="2">
    <dataValidation allowBlank="1" showErrorMessage="1" sqref="B9:E39" xr:uid="{00000000-0002-0000-0900-000000000000}"/>
    <dataValidation allowBlank="1" showInputMessage="1" showErrorMessage="1" prompt="Saisir à droite les date exactes des jours fériés pendant la période" sqref="F1:F6" xr:uid="{00000000-0002-0000-09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40"/>
  <sheetViews>
    <sheetView workbookViewId="0">
      <pane ySplit="8" topLeftCell="A9" activePane="bottomLeft" state="frozen"/>
      <selection activeCell="J7" sqref="J7:J9"/>
      <selection pane="bottomLeft" activeCell="J27" sqref="J27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44501</v>
      </c>
      <c r="I1" s="25" t="s">
        <v>33</v>
      </c>
      <c r="J1" s="26">
        <v>6.3194444444444438</v>
      </c>
    </row>
    <row r="2" spans="1:10" x14ac:dyDescent="0.25">
      <c r="F2" s="46"/>
      <c r="G2" s="13">
        <v>44511</v>
      </c>
      <c r="I2" s="48" t="s">
        <v>16</v>
      </c>
      <c r="J2" s="42">
        <f>IF(J1-Novembre[[#Totals],[Temps travaillé]]&lt;0,CONCATENATE("+ ",TEXT(Novembre[[#Totals],[Temps travaillé]]-J1,"[h]:mm")),J1-Novembre[[#Totals],[Temps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SUM(OFFSET(Novembre[[#Headers],[Temps travaillé]],1,,MATCH("dimanche",Novembre[Jours],0)))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SUM(OFFSET(Novembre[[#Headers],[Temps travaillé]],MATCH("Dimanche",Novembre[Jours],0)+1+(7*(ROW(A1)-1)),,7))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SUM(OFFSET(Novembre[[#Headers],[Temps travaillé]],MATCH("Dimanche",Novembre[Jours],0)+1+(7*(ROW(A2)-1)),,7))</f>
        <v>0</v>
      </c>
    </row>
    <row r="7" spans="1:10" x14ac:dyDescent="0.25">
      <c r="I7" s="44" t="s">
        <v>32</v>
      </c>
      <c r="J7" s="40">
        <f ca="1">SUM(OFFSET(Novembre[[#Headers],[Temps travaillé]],MATCH("Dimanche",Novembre[Jours],0)+1+(7*(ROW(A3)-1)),,7))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IF(COUNTA(Novembre[Jours])&gt;28,SUM(OFFSET(Novembre[[#Headers],[Temps travaillé]],MATCH("Dimanche",Novembre[Jours],0)+1+(7*(ROW(A4)-1)),,IF(WEEKDAY(B9,2)&lt;6,COUNTA(Novembre[Jours])-(MATCH("Dimanche",Novembre[Jours],0)+(7*(ROW(A4)-1))),7))),0)</f>
        <v>0</v>
      </c>
    </row>
    <row r="9" spans="1:10" x14ac:dyDescent="0.25">
      <c r="A9" s="34" t="str">
        <f t="shared" ref="A9:A38" si="0">TEXT(B9,"jjjj")</f>
        <v>lundi</v>
      </c>
      <c r="B9" s="35">
        <v>44501</v>
      </c>
      <c r="C9" s="36"/>
      <c r="D9" s="37">
        <v>3.125E-2</v>
      </c>
      <c r="E9" s="36"/>
      <c r="F9" s="38" t="str">
        <f t="shared" ref="F9:F37" si="1">IF(AND(C9&lt;&gt;0,E9&lt;&gt;0),(E9-D9-C9),"Temps à saisir")</f>
        <v>Temps à saisir</v>
      </c>
      <c r="G9" s="36" t="s">
        <v>24</v>
      </c>
      <c r="I9" s="44" t="s">
        <v>37</v>
      </c>
      <c r="J9" s="40">
        <f ca="1">IF(AND(COUNTA(Novembre[Jours])&gt;28,WEEKDAY(B9,2)&gt;5),SUM(OFFSET(Novembre[[#Headers],[Temps travaillé]],MATCH("Dimanche",Novembre[Jours],0)+1+(7*(ROW(A5)-1)),,COUNTA(Novembre[Jours])-(MATCH("Dimanche",Novembre[Jours],0)+(7*(ROW(A5)-1))))),0)</f>
        <v>0</v>
      </c>
    </row>
    <row r="10" spans="1:10" x14ac:dyDescent="0.25">
      <c r="A10" s="4" t="str">
        <f t="shared" si="0"/>
        <v>mardi</v>
      </c>
      <c r="B10" s="22">
        <v>44502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 x14ac:dyDescent="0.25">
      <c r="A11" s="4" t="str">
        <f t="shared" si="0"/>
        <v>mercredi</v>
      </c>
      <c r="B11" s="22">
        <v>44503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 x14ac:dyDescent="0.25">
      <c r="A12" s="4" t="str">
        <f t="shared" si="0"/>
        <v>jeudi</v>
      </c>
      <c r="B12" s="22">
        <v>44504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 x14ac:dyDescent="0.25">
      <c r="A13" s="4" t="str">
        <f t="shared" si="0"/>
        <v>vendredi</v>
      </c>
      <c r="B13" s="22">
        <v>44505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samedi</v>
      </c>
      <c r="B14" s="22">
        <v>44506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dimanche</v>
      </c>
      <c r="B15" s="22">
        <v>44507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lundi</v>
      </c>
      <c r="B16" s="22">
        <v>44508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mardi</v>
      </c>
      <c r="B17" s="22">
        <v>44509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 x14ac:dyDescent="0.25">
      <c r="A18" s="4" t="str">
        <f t="shared" si="0"/>
        <v>mercredi</v>
      </c>
      <c r="B18" s="22">
        <v>44510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 x14ac:dyDescent="0.25">
      <c r="A19" s="34" t="str">
        <f t="shared" si="0"/>
        <v>jeudi</v>
      </c>
      <c r="B19" s="35">
        <v>44511</v>
      </c>
      <c r="C19" s="37"/>
      <c r="D19" s="37">
        <v>3.125E-2</v>
      </c>
      <c r="E19" s="37"/>
      <c r="F19" s="38" t="str">
        <f t="shared" si="1"/>
        <v>Temps à saisir</v>
      </c>
      <c r="G19" s="36" t="s">
        <v>25</v>
      </c>
    </row>
    <row r="20" spans="1:7" x14ac:dyDescent="0.25">
      <c r="A20" s="4" t="str">
        <f t="shared" si="0"/>
        <v>vendredi</v>
      </c>
      <c r="B20" s="22">
        <v>44512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 x14ac:dyDescent="0.25">
      <c r="A21" s="4" t="str">
        <f t="shared" si="0"/>
        <v>samedi</v>
      </c>
      <c r="B21" s="22">
        <v>44513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 x14ac:dyDescent="0.25">
      <c r="A22" s="4" t="str">
        <f t="shared" si="0"/>
        <v>dimanche</v>
      </c>
      <c r="B22" s="22">
        <v>44514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 x14ac:dyDescent="0.25">
      <c r="A23" s="4" t="str">
        <f t="shared" si="0"/>
        <v>lundi</v>
      </c>
      <c r="B23" s="22">
        <v>44515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 x14ac:dyDescent="0.25">
      <c r="A24" s="4" t="str">
        <f t="shared" si="0"/>
        <v>mardi</v>
      </c>
      <c r="B24" s="22">
        <v>44516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 x14ac:dyDescent="0.25">
      <c r="A25" s="4" t="str">
        <f t="shared" si="0"/>
        <v>mercredi</v>
      </c>
      <c r="B25" s="22">
        <v>44517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 x14ac:dyDescent="0.25">
      <c r="A26" s="4" t="str">
        <f t="shared" si="0"/>
        <v>jeudi</v>
      </c>
      <c r="B26" s="22">
        <v>44518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 x14ac:dyDescent="0.25">
      <c r="A27" s="4" t="str">
        <f t="shared" si="0"/>
        <v>vendredi</v>
      </c>
      <c r="B27" s="22">
        <v>44519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 x14ac:dyDescent="0.25">
      <c r="A28" s="4" t="str">
        <f t="shared" si="0"/>
        <v>samedi</v>
      </c>
      <c r="B28" s="22">
        <v>44520</v>
      </c>
      <c r="C28" s="24"/>
      <c r="D28" s="24"/>
      <c r="E28" s="24"/>
      <c r="F28" s="23" t="str">
        <f t="shared" si="1"/>
        <v>Temps à saisir</v>
      </c>
      <c r="G28" s="7" t="s">
        <v>8</v>
      </c>
    </row>
    <row r="29" spans="1:7" x14ac:dyDescent="0.25">
      <c r="A29" s="4" t="str">
        <f t="shared" si="0"/>
        <v>dimanche</v>
      </c>
      <c r="B29" s="22">
        <v>44521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 x14ac:dyDescent="0.25">
      <c r="A30" s="4" t="str">
        <f t="shared" si="0"/>
        <v>lundi</v>
      </c>
      <c r="B30" s="22">
        <v>44522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 x14ac:dyDescent="0.25">
      <c r="A31" s="4" t="str">
        <f t="shared" si="0"/>
        <v>mardi</v>
      </c>
      <c r="B31" s="22">
        <v>44523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 x14ac:dyDescent="0.25">
      <c r="A32" s="4" t="str">
        <f t="shared" si="0"/>
        <v>mercredi</v>
      </c>
      <c r="B32" s="22">
        <v>44524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 x14ac:dyDescent="0.25">
      <c r="A33" s="4" t="str">
        <f t="shared" si="0"/>
        <v>jeudi</v>
      </c>
      <c r="B33" s="22">
        <v>44525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 x14ac:dyDescent="0.25">
      <c r="A34" s="4" t="str">
        <f t="shared" si="0"/>
        <v>vendredi</v>
      </c>
      <c r="B34" s="22">
        <v>44526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 x14ac:dyDescent="0.25">
      <c r="A35" s="4" t="str">
        <f t="shared" si="0"/>
        <v>samedi</v>
      </c>
      <c r="B35" s="22">
        <v>44527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dimanche</v>
      </c>
      <c r="B36" s="22">
        <v>44528</v>
      </c>
      <c r="C36" s="28"/>
      <c r="D36" s="24"/>
      <c r="E36" s="28"/>
      <c r="F36" s="29" t="str">
        <f t="shared" si="1"/>
        <v>Temps à saisir</v>
      </c>
      <c r="G36" s="7" t="s">
        <v>8</v>
      </c>
    </row>
    <row r="37" spans="1:7" x14ac:dyDescent="0.25">
      <c r="A37" s="4" t="str">
        <f t="shared" si="0"/>
        <v>lundi</v>
      </c>
      <c r="B37" s="22">
        <v>44529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 x14ac:dyDescent="0.25">
      <c r="A38" s="4" t="str">
        <f t="shared" si="0"/>
        <v>mardi</v>
      </c>
      <c r="B38" s="22">
        <v>44530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 x14ac:dyDescent="0.25">
      <c r="B39" s="19">
        <f>IFERROR(NETWORKDAYS(B9,B38,G1:G6),"Vérifiez les dates")</f>
        <v>20</v>
      </c>
      <c r="C39" s="20" t="str">
        <f>IFERROR(SUBTOTAL(101,Novembre[Heure d''arrivé]),"")</f>
        <v/>
      </c>
      <c r="D39" s="20">
        <f>SUBTOTAL(101,Novembre[Temps de pause])</f>
        <v>3.125E-2</v>
      </c>
      <c r="E39" s="20" t="str">
        <f>IFERROR(SUBTOTAL(101,Novembre[Heure de départ]),"")</f>
        <v/>
      </c>
      <c r="F39" s="12">
        <f>IFERROR(SUBTOTAL(9,F9:F38),"")</f>
        <v>0</v>
      </c>
      <c r="G39" s="21"/>
    </row>
    <row r="40" spans="1:7" s="9" customFormat="1" ht="42.75" customHeight="1" x14ac:dyDescent="0.25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38">
    <cfRule type="expression" dxfId="84" priority="3">
      <formula>A9="samedi"</formula>
    </cfRule>
    <cfRule type="expression" dxfId="83" priority="5">
      <formula>A9="dimanche"</formula>
    </cfRule>
  </conditionalFormatting>
  <conditionalFormatting sqref="B9:G38">
    <cfRule type="expression" dxfId="82" priority="4">
      <formula>B9="samedi"</formula>
    </cfRule>
  </conditionalFormatting>
  <conditionalFormatting sqref="J1:J2">
    <cfRule type="expression" dxfId="74" priority="1">
      <formula>J1="samedi"</formula>
    </cfRule>
    <cfRule type="expression" dxfId="73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 xr:uid="{00000000-0002-0000-0A00-000000000000}"/>
    <dataValidation allowBlank="1" showErrorMessage="1" sqref="B9:E38" xr:uid="{00000000-0002-0000-0A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41"/>
  <sheetViews>
    <sheetView workbookViewId="0">
      <pane ySplit="8" topLeftCell="A9" activePane="bottomLeft" state="frozen"/>
      <selection activeCell="I1" sqref="I1:J9"/>
      <selection pane="bottomLeft" activeCell="F33" sqref="F33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25/11/20 à 10 h 01</v>
      </c>
      <c r="B1" s="3"/>
      <c r="C1" s="3"/>
      <c r="D1" s="3"/>
      <c r="E1" s="3"/>
      <c r="F1" s="45" t="s">
        <v>9</v>
      </c>
      <c r="G1" s="2">
        <v>44555</v>
      </c>
      <c r="I1" s="25" t="s">
        <v>33</v>
      </c>
      <c r="J1" s="26">
        <v>6.3194444444444438</v>
      </c>
    </row>
    <row r="2" spans="1:10" x14ac:dyDescent="0.25">
      <c r="F2" s="46"/>
      <c r="G2" s="13"/>
      <c r="I2" s="48" t="s">
        <v>16</v>
      </c>
      <c r="J2" s="42">
        <f>IF(J1-Décembre[[#Totals],[Temps travaillé]]&lt;0,CONCATENATE("+ ",TEXT(Décembre[[#Totals],[Temps travaillé]]-J1,"[h]:mm")),J1-Décembre[[#Totals],[Temps travaillé]])</f>
        <v>6.3194444444444438</v>
      </c>
    </row>
    <row r="3" spans="1:10" x14ac:dyDescent="0.25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6"/>
      <c r="G3" s="14"/>
      <c r="I3" s="41" t="s">
        <v>34</v>
      </c>
      <c r="J3" s="40">
        <v>1.4583333333333333</v>
      </c>
    </row>
    <row r="4" spans="1:10" x14ac:dyDescent="0.25">
      <c r="F4" s="46"/>
      <c r="G4" s="14"/>
      <c r="I4" s="43" t="s">
        <v>29</v>
      </c>
      <c r="J4" s="40">
        <f ca="1">SUM(OFFSET(Décembre[[#Headers],[Temps travaillé]],1,,MATCH("dimanche",Décembre[Jours],0)))</f>
        <v>0</v>
      </c>
    </row>
    <row r="5" spans="1:10" x14ac:dyDescent="0.25">
      <c r="A5" s="16" t="s">
        <v>6</v>
      </c>
      <c r="B5" s="17"/>
      <c r="F5" s="46"/>
      <c r="G5" s="14"/>
      <c r="I5" s="43" t="s">
        <v>30</v>
      </c>
      <c r="J5" s="40">
        <f ca="1">SUM(OFFSET(Décembre[[#Headers],[Temps travaillé]],MATCH("Dimanche",Décembre[Jours],0)+1+(7*(ROW(A1)-1)),,7))</f>
        <v>0</v>
      </c>
    </row>
    <row r="6" spans="1:10" ht="15.75" thickBot="1" x14ac:dyDescent="0.3">
      <c r="F6" s="47"/>
      <c r="G6" s="15"/>
      <c r="I6" s="43" t="s">
        <v>31</v>
      </c>
      <c r="J6" s="40">
        <f ca="1">SUM(OFFSET(Décembre[[#Headers],[Temps travaillé]],MATCH("Dimanche",Décembre[Jours],0)+1+(7*(ROW(A2)-1)),,7))</f>
        <v>0</v>
      </c>
    </row>
    <row r="7" spans="1:10" x14ac:dyDescent="0.25">
      <c r="I7" s="44" t="s">
        <v>32</v>
      </c>
      <c r="J7" s="40">
        <f ca="1">SUM(OFFSET(Décembre[[#Headers],[Temps travaillé]],MATCH("Dimanche",Décembre[Jours],0)+1+(7*(ROW(A3)-1)),,7))</f>
        <v>0</v>
      </c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36</v>
      </c>
      <c r="J8" s="40">
        <f ca="1">IF(COUNTA(Décembre[Jours])&gt;28,SUM(OFFSET(Décembre[[#Headers],[Temps travaillé]],MATCH("Dimanche",Décembre[Jours],0)+1+(7*(ROW(A4)-1)),,IF(WEEKDAY(B9,2)&lt;6,COUNTA(Décembre[Jours])-(MATCH("Dimanche",Décembre[Jours],0)+(7*(ROW(A4)-1))),7))),0)</f>
        <v>0</v>
      </c>
    </row>
    <row r="9" spans="1:10" x14ac:dyDescent="0.25">
      <c r="A9" s="4" t="str">
        <f>TEXT(B9,"jjjj")</f>
        <v>mercredi</v>
      </c>
      <c r="B9" s="22">
        <v>44531</v>
      </c>
      <c r="C9" s="7"/>
      <c r="D9" s="24">
        <v>3.125E-2</v>
      </c>
      <c r="E9" s="7"/>
      <c r="F9" s="23" t="str">
        <f t="shared" ref="F9:F38" si="0">IF(AND(C9&lt;&gt;0,E9&lt;&gt;0),(E9-D9-C9),"Temps à saisir")</f>
        <v>Temps à saisir</v>
      </c>
      <c r="G9" s="7"/>
      <c r="I9" s="44" t="s">
        <v>37</v>
      </c>
      <c r="J9" s="40">
        <f ca="1">IF(AND(COUNTA(Décembre[Jours])&gt;28,WEEKDAY(B9,2)&gt;5),SUM(OFFSET(Décembre[[#Headers],[Temps travaillé]],MATCH("Dimanche",Décembre[Jours],0)+1+(7*(ROW(A5)-1)),,COUNTA(Décembre[Jours])-(MATCH("Dimanche",Décembre[Jours],0)+(7*(ROW(A5)-1))))),0)</f>
        <v>0</v>
      </c>
    </row>
    <row r="10" spans="1:10" x14ac:dyDescent="0.25">
      <c r="A10" s="5" t="str">
        <f>TEXT(B10,"jjjj")</f>
        <v>jeudi</v>
      </c>
      <c r="B10" s="22">
        <v>44532</v>
      </c>
      <c r="C10" s="24"/>
      <c r="D10" s="24">
        <v>3.125E-2</v>
      </c>
      <c r="E10" s="24"/>
      <c r="F10" s="23" t="str">
        <f t="shared" si="0"/>
        <v>Temps à saisir</v>
      </c>
      <c r="G10" s="7"/>
      <c r="H10" s="1"/>
    </row>
    <row r="11" spans="1:10" x14ac:dyDescent="0.25">
      <c r="A11" s="5" t="str">
        <f>TEXT(B11,"jjjj")</f>
        <v>vendredi</v>
      </c>
      <c r="B11" s="22">
        <v>44533</v>
      </c>
      <c r="C11" s="24"/>
      <c r="D11" s="24">
        <v>3.125E-2</v>
      </c>
      <c r="E11" s="24"/>
      <c r="F11" s="23" t="str">
        <f t="shared" si="0"/>
        <v>Temps à saisir</v>
      </c>
      <c r="G11" s="7"/>
    </row>
    <row r="12" spans="1:10" x14ac:dyDescent="0.25">
      <c r="A12" s="5" t="str">
        <f t="shared" ref="A12:A38" si="1">TEXT(B12,"jjjj")</f>
        <v>samedi</v>
      </c>
      <c r="B12" s="22">
        <v>44534</v>
      </c>
      <c r="C12" s="24"/>
      <c r="D12" s="24"/>
      <c r="E12" s="24"/>
      <c r="F12" s="23" t="str">
        <f t="shared" si="0"/>
        <v>Temps à saisir</v>
      </c>
      <c r="G12" s="7" t="s">
        <v>8</v>
      </c>
    </row>
    <row r="13" spans="1:10" x14ac:dyDescent="0.25">
      <c r="A13" s="5" t="str">
        <f t="shared" si="1"/>
        <v>dimanche</v>
      </c>
      <c r="B13" s="22">
        <v>44535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 x14ac:dyDescent="0.25">
      <c r="A14" s="5" t="str">
        <f t="shared" si="1"/>
        <v>lundi</v>
      </c>
      <c r="B14" s="22">
        <v>44536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 x14ac:dyDescent="0.25">
      <c r="A15" s="5" t="str">
        <f t="shared" si="1"/>
        <v>mardi</v>
      </c>
      <c r="B15" s="22">
        <v>44537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 x14ac:dyDescent="0.25">
      <c r="A16" s="5" t="str">
        <f t="shared" si="1"/>
        <v>mercredi</v>
      </c>
      <c r="B16" s="22">
        <v>44538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 x14ac:dyDescent="0.25">
      <c r="A17" s="5" t="str">
        <f t="shared" si="1"/>
        <v>jeudi</v>
      </c>
      <c r="B17" s="22">
        <v>44539</v>
      </c>
      <c r="C17" s="24"/>
      <c r="D17" s="24">
        <v>3.125E-2</v>
      </c>
      <c r="E17" s="24"/>
      <c r="F17" s="23" t="str">
        <f t="shared" si="0"/>
        <v>Temps à saisir</v>
      </c>
      <c r="G17" s="7"/>
    </row>
    <row r="18" spans="1:7" x14ac:dyDescent="0.25">
      <c r="A18" s="5" t="str">
        <f t="shared" si="1"/>
        <v>vendredi</v>
      </c>
      <c r="B18" s="22">
        <v>44540</v>
      </c>
      <c r="C18" s="24"/>
      <c r="D18" s="24">
        <v>3.125E-2</v>
      </c>
      <c r="E18" s="24"/>
      <c r="F18" s="23" t="str">
        <f t="shared" si="0"/>
        <v>Temps à saisir</v>
      </c>
      <c r="G18" s="7"/>
    </row>
    <row r="19" spans="1:7" x14ac:dyDescent="0.25">
      <c r="A19" s="31" t="str">
        <f t="shared" si="1"/>
        <v>samedi</v>
      </c>
      <c r="B19" s="22">
        <v>44541</v>
      </c>
      <c r="C19" s="24"/>
      <c r="D19" s="24"/>
      <c r="E19" s="24"/>
      <c r="F19" s="32" t="str">
        <f t="shared" si="0"/>
        <v>Temps à saisir</v>
      </c>
      <c r="G19" s="7" t="s">
        <v>8</v>
      </c>
    </row>
    <row r="20" spans="1:7" x14ac:dyDescent="0.25">
      <c r="A20" s="5" t="str">
        <f t="shared" si="1"/>
        <v>dimanche</v>
      </c>
      <c r="B20" s="22">
        <v>44542</v>
      </c>
      <c r="C20" s="24"/>
      <c r="D20" s="24"/>
      <c r="E20" s="24"/>
      <c r="F20" s="23" t="str">
        <f t="shared" si="0"/>
        <v>Temps à saisir</v>
      </c>
      <c r="G20" s="7" t="s">
        <v>8</v>
      </c>
    </row>
    <row r="21" spans="1:7" x14ac:dyDescent="0.25">
      <c r="A21" s="5" t="str">
        <f t="shared" si="1"/>
        <v>lundi</v>
      </c>
      <c r="B21" s="22">
        <v>44543</v>
      </c>
      <c r="C21" s="24"/>
      <c r="D21" s="24">
        <v>3.125E-2</v>
      </c>
      <c r="E21" s="24"/>
      <c r="F21" s="23" t="str">
        <f t="shared" si="0"/>
        <v>Temps à saisir</v>
      </c>
      <c r="G21" s="7"/>
    </row>
    <row r="22" spans="1:7" x14ac:dyDescent="0.25">
      <c r="A22" s="5" t="str">
        <f t="shared" si="1"/>
        <v>mardi</v>
      </c>
      <c r="B22" s="22">
        <v>44544</v>
      </c>
      <c r="C22" s="24"/>
      <c r="D22" s="24">
        <v>3.125E-2</v>
      </c>
      <c r="E22" s="24"/>
      <c r="F22" s="23" t="str">
        <f t="shared" si="0"/>
        <v>Temps à saisir</v>
      </c>
      <c r="G22" s="7"/>
    </row>
    <row r="23" spans="1:7" x14ac:dyDescent="0.25">
      <c r="A23" s="5" t="str">
        <f t="shared" si="1"/>
        <v>mercredi</v>
      </c>
      <c r="B23" s="22">
        <v>44545</v>
      </c>
      <c r="C23" s="24"/>
      <c r="D23" s="24">
        <v>3.125E-2</v>
      </c>
      <c r="E23" s="24"/>
      <c r="F23" s="23" t="str">
        <f t="shared" si="0"/>
        <v>Temps à saisir</v>
      </c>
      <c r="G23" s="7"/>
    </row>
    <row r="24" spans="1:7" x14ac:dyDescent="0.25">
      <c r="A24" s="5" t="str">
        <f t="shared" si="1"/>
        <v>jeudi</v>
      </c>
      <c r="B24" s="22">
        <v>44546</v>
      </c>
      <c r="C24" s="24"/>
      <c r="D24" s="24">
        <v>3.125E-2</v>
      </c>
      <c r="E24" s="24"/>
      <c r="F24" s="23" t="str">
        <f t="shared" si="0"/>
        <v>Temps à saisir</v>
      </c>
      <c r="G24" s="7"/>
    </row>
    <row r="25" spans="1:7" x14ac:dyDescent="0.25">
      <c r="A25" s="5" t="str">
        <f t="shared" si="1"/>
        <v>vendredi</v>
      </c>
      <c r="B25" s="22">
        <v>44547</v>
      </c>
      <c r="C25" s="24"/>
      <c r="D25" s="24">
        <v>3.125E-2</v>
      </c>
      <c r="E25" s="24"/>
      <c r="F25" s="23" t="str">
        <f t="shared" si="0"/>
        <v>Temps à saisir</v>
      </c>
      <c r="G25" s="7"/>
    </row>
    <row r="26" spans="1:7" x14ac:dyDescent="0.25">
      <c r="A26" s="5" t="str">
        <f t="shared" si="1"/>
        <v>samedi</v>
      </c>
      <c r="B26" s="22">
        <v>44548</v>
      </c>
      <c r="C26" s="24"/>
      <c r="D26" s="24"/>
      <c r="E26" s="24"/>
      <c r="F26" s="23" t="str">
        <f t="shared" si="0"/>
        <v>Temps à saisir</v>
      </c>
      <c r="G26" s="7" t="s">
        <v>8</v>
      </c>
    </row>
    <row r="27" spans="1:7" x14ac:dyDescent="0.25">
      <c r="A27" s="5" t="str">
        <f t="shared" si="1"/>
        <v>dimanche</v>
      </c>
      <c r="B27" s="22">
        <v>44549</v>
      </c>
      <c r="C27" s="24"/>
      <c r="D27" s="24"/>
      <c r="E27" s="24"/>
      <c r="F27" s="23" t="str">
        <f t="shared" si="0"/>
        <v>Temps à saisir</v>
      </c>
      <c r="G27" s="7" t="s">
        <v>8</v>
      </c>
    </row>
    <row r="28" spans="1:7" x14ac:dyDescent="0.25">
      <c r="A28" s="5" t="str">
        <f t="shared" si="1"/>
        <v>lundi</v>
      </c>
      <c r="B28" s="22">
        <v>44550</v>
      </c>
      <c r="C28" s="24"/>
      <c r="D28" s="24">
        <v>3.125E-2</v>
      </c>
      <c r="E28" s="24"/>
      <c r="F28" s="23" t="str">
        <f t="shared" si="0"/>
        <v>Temps à saisir</v>
      </c>
      <c r="G28" s="7"/>
    </row>
    <row r="29" spans="1:7" x14ac:dyDescent="0.25">
      <c r="A29" s="5" t="str">
        <f t="shared" si="1"/>
        <v>mardi</v>
      </c>
      <c r="B29" s="22">
        <v>44551</v>
      </c>
      <c r="C29" s="24"/>
      <c r="D29" s="24">
        <v>3.125E-2</v>
      </c>
      <c r="E29" s="24"/>
      <c r="F29" s="23" t="str">
        <f t="shared" si="0"/>
        <v>Temps à saisir</v>
      </c>
      <c r="G29" s="7"/>
    </row>
    <row r="30" spans="1:7" x14ac:dyDescent="0.25">
      <c r="A30" s="5" t="str">
        <f t="shared" si="1"/>
        <v>mercredi</v>
      </c>
      <c r="B30" s="22">
        <v>44552</v>
      </c>
      <c r="C30" s="24"/>
      <c r="D30" s="24">
        <v>3.125E-2</v>
      </c>
      <c r="E30" s="24"/>
      <c r="F30" s="23" t="str">
        <f t="shared" si="0"/>
        <v>Temps à saisir</v>
      </c>
      <c r="G30" s="7"/>
    </row>
    <row r="31" spans="1:7" x14ac:dyDescent="0.25">
      <c r="A31" s="5" t="str">
        <f t="shared" si="1"/>
        <v>jeudi</v>
      </c>
      <c r="B31" s="22">
        <v>44553</v>
      </c>
      <c r="C31" s="24"/>
      <c r="D31" s="24">
        <v>3.125E-2</v>
      </c>
      <c r="E31" s="24"/>
      <c r="F31" s="23" t="str">
        <f t="shared" si="0"/>
        <v>Temps à saisir</v>
      </c>
      <c r="G31" s="7"/>
    </row>
    <row r="32" spans="1:7" x14ac:dyDescent="0.25">
      <c r="A32" s="5" t="str">
        <f t="shared" si="1"/>
        <v>vendredi</v>
      </c>
      <c r="B32" s="22">
        <v>44554</v>
      </c>
      <c r="C32" s="24"/>
      <c r="D32" s="24">
        <v>3.125E-2</v>
      </c>
      <c r="E32" s="24"/>
      <c r="F32" s="23" t="str">
        <f t="shared" si="0"/>
        <v>Temps à saisir</v>
      </c>
      <c r="G32" s="7"/>
    </row>
    <row r="33" spans="1:7" x14ac:dyDescent="0.25">
      <c r="A33" s="39" t="str">
        <f t="shared" si="1"/>
        <v>samedi</v>
      </c>
      <c r="B33" s="35">
        <v>44555</v>
      </c>
      <c r="C33" s="37"/>
      <c r="D33" s="37"/>
      <c r="E33" s="37"/>
      <c r="F33" s="38" t="str">
        <f t="shared" si="0"/>
        <v>Temps à saisir</v>
      </c>
      <c r="G33" s="36" t="s">
        <v>26</v>
      </c>
    </row>
    <row r="34" spans="1:7" x14ac:dyDescent="0.25">
      <c r="A34" s="5" t="str">
        <f t="shared" si="1"/>
        <v>dimanche</v>
      </c>
      <c r="B34" s="22">
        <v>44556</v>
      </c>
      <c r="C34" s="24"/>
      <c r="D34" s="24"/>
      <c r="E34" s="24"/>
      <c r="F34" s="23" t="str">
        <f t="shared" si="0"/>
        <v>Temps à saisir</v>
      </c>
      <c r="G34" s="7" t="s">
        <v>8</v>
      </c>
    </row>
    <row r="35" spans="1:7" x14ac:dyDescent="0.25">
      <c r="A35" s="5" t="str">
        <f>TEXT(B35,"jjjj")</f>
        <v>lundi</v>
      </c>
      <c r="B35" s="22">
        <v>44557</v>
      </c>
      <c r="C35" s="24"/>
      <c r="D35" s="24">
        <v>3.125E-2</v>
      </c>
      <c r="E35" s="24"/>
      <c r="F35" s="23" t="str">
        <f t="shared" si="0"/>
        <v>Temps à saisir</v>
      </c>
      <c r="G35" s="7"/>
    </row>
    <row r="36" spans="1:7" x14ac:dyDescent="0.25">
      <c r="A36" s="5" t="str">
        <f t="shared" si="1"/>
        <v>mardi</v>
      </c>
      <c r="B36" s="22">
        <v>44558</v>
      </c>
      <c r="C36" s="24"/>
      <c r="D36" s="24">
        <v>3.125E-2</v>
      </c>
      <c r="E36" s="24"/>
      <c r="F36" s="23" t="str">
        <f t="shared" si="0"/>
        <v>Temps à saisir</v>
      </c>
      <c r="G36" s="7"/>
    </row>
    <row r="37" spans="1:7" x14ac:dyDescent="0.25">
      <c r="A37" s="5" t="str">
        <f t="shared" si="1"/>
        <v>mercredi</v>
      </c>
      <c r="B37" s="22">
        <v>44559</v>
      </c>
      <c r="C37" s="24"/>
      <c r="D37" s="24">
        <v>3.125E-2</v>
      </c>
      <c r="E37" s="24"/>
      <c r="F37" s="23" t="str">
        <f t="shared" si="0"/>
        <v>Temps à saisir</v>
      </c>
      <c r="G37" s="7"/>
    </row>
    <row r="38" spans="1:7" x14ac:dyDescent="0.25">
      <c r="A38" s="5" t="str">
        <f t="shared" si="1"/>
        <v>jeudi</v>
      </c>
      <c r="B38" s="22">
        <v>44560</v>
      </c>
      <c r="C38" s="24"/>
      <c r="D38" s="24">
        <v>3.125E-2</v>
      </c>
      <c r="E38" s="24"/>
      <c r="F38" s="23" t="str">
        <f t="shared" si="0"/>
        <v>Temps à saisir</v>
      </c>
      <c r="G38" s="7"/>
    </row>
    <row r="39" spans="1:7" x14ac:dyDescent="0.25">
      <c r="A39" s="27" t="str">
        <f>TEXT(B39,"jjjj")</f>
        <v>vendredi</v>
      </c>
      <c r="B39" s="22">
        <v>44561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 x14ac:dyDescent="0.25">
      <c r="B40" s="19">
        <f>IFERROR(NETWORKDAYS(B9,B39,G1:G6),"Vérifiez les dates")</f>
        <v>23</v>
      </c>
      <c r="C40" s="20" t="str">
        <f>IFERROR(SUBTOTAL(101,Décembre[Heure d''arrivé]),"")</f>
        <v/>
      </c>
      <c r="D40" s="20">
        <f>SUBTOTAL(101,Décembre[Temps de pause])</f>
        <v>3.125E-2</v>
      </c>
      <c r="E40" s="20" t="str">
        <f>IFERROR(SUBTOTAL(101,Décembre[Heure de départ]),"")</f>
        <v/>
      </c>
      <c r="F40" s="12">
        <f>IFERROR(SUBTOTAL(9,F9:F39),"")</f>
        <v>0</v>
      </c>
      <c r="G40" s="21"/>
    </row>
    <row r="41" spans="1:7" s="9" customFormat="1" ht="42.75" customHeight="1" x14ac:dyDescent="0.25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9:F41 G9:G40">
    <cfRule type="expression" dxfId="81" priority="3">
      <formula>A9="samedi"</formula>
    </cfRule>
    <cfRule type="expression" dxfId="80" priority="5">
      <formula>A9="dimanche"</formula>
    </cfRule>
  </conditionalFormatting>
  <conditionalFormatting sqref="B9:G39">
    <cfRule type="expression" dxfId="79" priority="4">
      <formula>B9="samedi"</formula>
    </cfRule>
  </conditionalFormatting>
  <conditionalFormatting sqref="J1:J2">
    <cfRule type="expression" dxfId="66" priority="1">
      <formula>J1="samedi"</formula>
    </cfRule>
    <cfRule type="expression" dxfId="65" priority="2">
      <formula>J1="dimanche"</formula>
    </cfRule>
  </conditionalFormatting>
  <dataValidations count="2">
    <dataValidation allowBlank="1" showErrorMessage="1" sqref="B9:E39" xr:uid="{00000000-0002-0000-0B00-000000000000}"/>
    <dataValidation allowBlank="1" showInputMessage="1" showErrorMessage="1" prompt="Saisir à droite les date exactes des jours fériés pendant la période" sqref="F1:F6" xr:uid="{00000000-0002-0000-0B00-000001000000}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2020-11-20T07:39:22Z</dcterms:created>
  <dcterms:modified xsi:type="dcterms:W3CDTF">2020-11-25T09:27:53Z</dcterms:modified>
</cp:coreProperties>
</file>