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tables/table15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 hidePivotFieldList="1"/>
  <bookViews>
    <workbookView xWindow="-120" yWindow="-120" windowWidth="20730" windowHeight="11160" activeTab="5"/>
  </bookViews>
  <sheets>
    <sheet name="REPORTING_SEPTEMBRE" sheetId="2" r:id="rId1"/>
    <sheet name="REPORTING_DECEMBRE" sheetId="27" r:id="rId2"/>
    <sheet name="DATA" sheetId="1" r:id="rId3"/>
    <sheet name="CALCULATION" sheetId="19" r:id="rId4"/>
    <sheet name="DASHBOARD_2" sheetId="9" state="hidden" r:id="rId5"/>
    <sheet name="Feuil1" sheetId="28" r:id="rId6"/>
  </sheets>
  <externalReferences>
    <externalReference r:id="rId7"/>
  </externalReferences>
  <definedNames>
    <definedName name="BudgetSecuPackLine">[1]Budget!$B1</definedName>
    <definedName name="DATA_AutomaticWarnings_1">[1]DATA!$Q$2</definedName>
    <definedName name="DATA_AutomaticWarnings_2">[1]DATA!$Q$3</definedName>
    <definedName name="DATA_AutomaticWarnings_3">[1]DATA!$Q$4</definedName>
    <definedName name="DATA_AutomaticWarnings_4">[1]DATA!$Q$5</definedName>
    <definedName name="DATA_AutomaticWarnings_5">[1]DATA!$Q$6</definedName>
    <definedName name="DATA_AutomaticWarnings_6">[1]DATA!$Q$7</definedName>
    <definedName name="DATA_AutomaticWarnings_7">[1]DATA!$Q$8</definedName>
    <definedName name="DATA_AutomaticWarnings_8">[1]DATA!$Q$9</definedName>
    <definedName name="DATA_AutomaticWarnings_9">[1]DATA!$Q$10</definedName>
    <definedName name="DATA_DQA_1">[1]DATA!$O$2</definedName>
    <definedName name="DATA_DQA_10">[1]DATA!$O$11</definedName>
    <definedName name="DATA_DQA_11">[1]DATA!$O$12</definedName>
    <definedName name="DATA_DQA_12">[1]DATA!$O$13</definedName>
    <definedName name="DATA_DQA_13">[1]DATA!$O$14</definedName>
    <definedName name="DATA_DQA_14">[1]DATA!$O$15</definedName>
    <definedName name="DATA_DQA_16">[1]DATA!$O$17</definedName>
    <definedName name="DATA_DQA_17">[1]DATA!$O$18</definedName>
    <definedName name="DATA_DQA_18">[1]DATA!$O$19</definedName>
    <definedName name="DATA_DQA_19">[1]DATA!$O$20</definedName>
    <definedName name="DATA_DQA_2">[1]DATA!$O$3</definedName>
    <definedName name="DATA_DQA_3">[1]DATA!$O$4</definedName>
    <definedName name="DATA_DQA_4">[1]DATA!$O$5</definedName>
    <definedName name="DATA_DQA_5">[1]DATA!$O$6</definedName>
    <definedName name="DATA_DQA_6">[1]DATA!$O$7</definedName>
    <definedName name="DATA_DQA_7">[1]DATA!$O$8</definedName>
    <definedName name="DATA_DQA_8">[1]DATA!$O$9</definedName>
    <definedName name="DATA_DQA_9">[1]DATA!$O$10</definedName>
    <definedName name="DATA_FileVersion">DATA!$A$3</definedName>
    <definedName name="DATA_SP_AFadv">[1]DATA!$C$5</definedName>
    <definedName name="DATA_SP_AFMed">[1]DATA!$C$4</definedName>
    <definedName name="DATA_SP_AntiAPTAdv">[1]DATA!$C$8</definedName>
    <definedName name="DATA_SP_AntiAPTMed">[1]DATA!$C$7</definedName>
    <definedName name="DATA_SP_AntiDdos">[1]DATA!$C$3</definedName>
    <definedName name="DATA_SP_ATMsecAdv">[1]DATA!$C$11</definedName>
    <definedName name="DATA_SP_ATMsecBas">[1]DATA!$C$9</definedName>
    <definedName name="DATA_SP_Basics">[1]DATA!$C$2</definedName>
    <definedName name="DATA_SP_CBDataSecurity">[1]DATA!$C$12</definedName>
    <definedName name="DATA_SP_CertifAudit">[1]DATA!$C$13</definedName>
    <definedName name="DATA_SP_DLP">[1]DATA!$C$6</definedName>
    <definedName name="DATA_SP_LocalPackage">[1]DATA!$C$14</definedName>
    <definedName name="DATA_SPG_AntiAPT">[1]DATA!$Z$3</definedName>
    <definedName name="DATA_SPG_AntiFraud">[1]DATA!$Z$2</definedName>
    <definedName name="DATA_SPG_ATM">[1]DATA!$Z$4</definedName>
    <definedName name="DATA_Status_CERTIFIED">[1]DATA!$E$9</definedName>
    <definedName name="DATA_Status_DONEPostAuditMitigation">[1]DATA!$E$8</definedName>
    <definedName name="DATA_Status_DONEtoBeCERTIFIED">[1]DATA!$E$7</definedName>
    <definedName name="DATA_Status_INPROGRESS">[1]DATA!$E$6</definedName>
    <definedName name="DATA_Status_NOTAPPLICABLE">[1]DATA!$E$4</definedName>
    <definedName name="DATA_Status_PleaseChoose">[1]DATA!$E$2</definedName>
    <definedName name="DATA_Status_RiskAccepted">[1]DATA!$E$3</definedName>
    <definedName name="DATA_Status_TOBESTARTED">[1]DATA!$E$5</definedName>
    <definedName name="DateAbove">[1]Planning!A$7</definedName>
    <definedName name="DonnéesExternes_1" localSheetId="5" hidden="1">Feuil1!$A$1:$S$11</definedName>
    <definedName name="EndOf2015">[1]DATA!$W$2</definedName>
    <definedName name="EndOf2016">[1]DATA!$W$3</definedName>
    <definedName name="EndOf2017">[1]DATA!$W$4</definedName>
    <definedName name="EndOf2018">[1]DATA!$W$5</definedName>
    <definedName name="EndOf2019">[1]DATA!$W$6</definedName>
    <definedName name="LocalProgramLead">'[1]Security Measures'!$C$5</definedName>
    <definedName name="NbDays2016">[1]DATA!$X$3</definedName>
    <definedName name="NbDays2017">[1]DATA!$X$4</definedName>
    <definedName name="NbDays2018">[1]DATA!$X$5</definedName>
    <definedName name="NbDays2019">[1]DATA!$X$6</definedName>
    <definedName name="PreviousCell">!XFD1</definedName>
    <definedName name="PreviousCell2" localSheetId="4">DASHBOARD_2!XFB1</definedName>
    <definedName name="PreviousCell2" localSheetId="1">#REF!</definedName>
    <definedName name="PreviousCell2">#REF!</definedName>
    <definedName name="ReportingDate" localSheetId="3">#REF!</definedName>
    <definedName name="ReportingDate" localSheetId="4">'[1]Security Measures'!$C$6</definedName>
    <definedName name="ReportingDate" localSheetId="1">#REF!</definedName>
    <definedName name="ReportingDate">#REF!</definedName>
    <definedName name="SecurityMeasureAbove">'[1]Audit &amp; Account'!A$6</definedName>
    <definedName name="SecurityPackLine">[1]Planning!$B1</definedName>
    <definedName name="SM_Entity">'[1]Security Measures'!$B$4</definedName>
    <definedName name="SM_Region">'[1]Security Measures'!$C$4</definedName>
    <definedName name="Status_No_Project">DATA!$I$3</definedName>
    <definedName name="Target_Not_Applicable">DATA!$L$12</definedName>
    <definedName name="THEME_P1">DATA!$AF:$AF</definedName>
    <definedName name="TOTAL_IBFS_DarwinScope_BudgetExecution">[1]Budget!$AE$26</definedName>
    <definedName name="TOTAL_IBFS_DarwinScope_Spent">[1]Budget!$AD$26</definedName>
    <definedName name="TPL_ver">DATA!$A$3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00" i="27" l="1"/>
  <c r="F80" i="27" l="1"/>
  <c r="H80" i="27" s="1"/>
  <c r="F6" i="27"/>
  <c r="H6" i="27" s="1"/>
  <c r="F99" i="27"/>
  <c r="H99" i="27" s="1"/>
  <c r="F98" i="27"/>
  <c r="H98" i="27" s="1"/>
  <c r="F97" i="27"/>
  <c r="H97" i="27" s="1"/>
  <c r="F96" i="27"/>
  <c r="H96" i="27" s="1"/>
  <c r="F95" i="27"/>
  <c r="H95" i="27" s="1"/>
  <c r="F94" i="27"/>
  <c r="H94" i="27" s="1"/>
  <c r="F93" i="27"/>
  <c r="H93" i="27" s="1"/>
  <c r="F92" i="27"/>
  <c r="H92" i="27" s="1"/>
  <c r="F91" i="27"/>
  <c r="H91" i="27" s="1"/>
  <c r="F90" i="27"/>
  <c r="H90" i="27" s="1"/>
  <c r="F89" i="27"/>
  <c r="H89" i="27" s="1"/>
  <c r="F88" i="27"/>
  <c r="H88" i="27" s="1"/>
  <c r="F87" i="27"/>
  <c r="H87" i="27" s="1"/>
  <c r="F86" i="27"/>
  <c r="H86" i="27" s="1"/>
  <c r="F85" i="27"/>
  <c r="H85" i="27" s="1"/>
  <c r="F84" i="27"/>
  <c r="H84" i="27" s="1"/>
  <c r="F83" i="27"/>
  <c r="H83" i="27" s="1"/>
  <c r="F82" i="27"/>
  <c r="H82" i="27" s="1"/>
  <c r="F81" i="27"/>
  <c r="H81" i="27" s="1"/>
  <c r="F79" i="27"/>
  <c r="H79" i="27" s="1"/>
  <c r="F78" i="27"/>
  <c r="H78" i="27" s="1"/>
  <c r="F77" i="27"/>
  <c r="H77" i="27" s="1"/>
  <c r="F76" i="27"/>
  <c r="H76" i="27" s="1"/>
  <c r="F75" i="27"/>
  <c r="H75" i="27" s="1"/>
  <c r="F74" i="27"/>
  <c r="H74" i="27" s="1"/>
  <c r="F73" i="27"/>
  <c r="H73" i="27" s="1"/>
  <c r="F72" i="27"/>
  <c r="H72" i="27" s="1"/>
  <c r="F71" i="27"/>
  <c r="H71" i="27" s="1"/>
  <c r="F70" i="27"/>
  <c r="H70" i="27" s="1"/>
  <c r="F69" i="27"/>
  <c r="H69" i="27" s="1"/>
  <c r="F68" i="27"/>
  <c r="H68" i="27" s="1"/>
  <c r="F67" i="27"/>
  <c r="H67" i="27" s="1"/>
  <c r="F66" i="27"/>
  <c r="H66" i="27" s="1"/>
  <c r="F65" i="27"/>
  <c r="H65" i="27" s="1"/>
  <c r="F64" i="27"/>
  <c r="H64" i="27" s="1"/>
  <c r="F63" i="27"/>
  <c r="H63" i="27" s="1"/>
  <c r="F62" i="27"/>
  <c r="H62" i="27" s="1"/>
  <c r="F61" i="27"/>
  <c r="H61" i="27" s="1"/>
  <c r="F60" i="27"/>
  <c r="H60" i="27" s="1"/>
  <c r="F59" i="27"/>
  <c r="H59" i="27" s="1"/>
  <c r="F58" i="27"/>
  <c r="H58" i="27" s="1"/>
  <c r="F57" i="27"/>
  <c r="H57" i="27" s="1"/>
  <c r="F56" i="27"/>
  <c r="H56" i="27" s="1"/>
  <c r="F55" i="27"/>
  <c r="H55" i="27" s="1"/>
  <c r="F54" i="27"/>
  <c r="H54" i="27" s="1"/>
  <c r="F53" i="27"/>
  <c r="H53" i="27" s="1"/>
  <c r="F52" i="27"/>
  <c r="H52" i="27" s="1"/>
  <c r="F51" i="27"/>
  <c r="H51" i="27" s="1"/>
  <c r="F50" i="27"/>
  <c r="H50" i="27" s="1"/>
  <c r="F49" i="27"/>
  <c r="H49" i="27" s="1"/>
  <c r="F48" i="27"/>
  <c r="H48" i="27" s="1"/>
  <c r="F47" i="27"/>
  <c r="H47" i="27" s="1"/>
  <c r="F46" i="27"/>
  <c r="H46" i="27" s="1"/>
  <c r="F45" i="27"/>
  <c r="H45" i="27" s="1"/>
  <c r="F44" i="27"/>
  <c r="H44" i="27" s="1"/>
  <c r="F43" i="27"/>
  <c r="H43" i="27" s="1"/>
  <c r="F42" i="27"/>
  <c r="H42" i="27" s="1"/>
  <c r="F41" i="27"/>
  <c r="H41" i="27" s="1"/>
  <c r="F40" i="27"/>
  <c r="H40" i="27" s="1"/>
  <c r="F39" i="27"/>
  <c r="H39" i="27" s="1"/>
  <c r="F38" i="27"/>
  <c r="H38" i="27" s="1"/>
  <c r="F37" i="27"/>
  <c r="H37" i="27" s="1"/>
  <c r="F36" i="27"/>
  <c r="H36" i="27" s="1"/>
  <c r="F35" i="27"/>
  <c r="H35" i="27" s="1"/>
  <c r="F34" i="27"/>
  <c r="H34" i="27" s="1"/>
  <c r="F33" i="27"/>
  <c r="H33" i="27" s="1"/>
  <c r="F32" i="27"/>
  <c r="H32" i="27" s="1"/>
  <c r="F31" i="27"/>
  <c r="H31" i="27" s="1"/>
  <c r="F30" i="27"/>
  <c r="H30" i="27" s="1"/>
  <c r="F29" i="27"/>
  <c r="H29" i="27" s="1"/>
  <c r="F28" i="27"/>
  <c r="H28" i="27" s="1"/>
  <c r="F27" i="27"/>
  <c r="H27" i="27" s="1"/>
  <c r="F26" i="27"/>
  <c r="H26" i="27" s="1"/>
  <c r="F25" i="27"/>
  <c r="H25" i="27" s="1"/>
  <c r="F24" i="27"/>
  <c r="H24" i="27" s="1"/>
  <c r="F23" i="27"/>
  <c r="H23" i="27" s="1"/>
  <c r="F22" i="27"/>
  <c r="H22" i="27" s="1"/>
  <c r="F21" i="27"/>
  <c r="H21" i="27" s="1"/>
  <c r="F20" i="27"/>
  <c r="H20" i="27" s="1"/>
  <c r="F19" i="27"/>
  <c r="H19" i="27" s="1"/>
  <c r="F18" i="27"/>
  <c r="H18" i="27" s="1"/>
  <c r="F17" i="27"/>
  <c r="H17" i="27" s="1"/>
  <c r="F16" i="27"/>
  <c r="H16" i="27" s="1"/>
  <c r="F15" i="27"/>
  <c r="H15" i="27" s="1"/>
  <c r="F14" i="27"/>
  <c r="H14" i="27" s="1"/>
  <c r="F13" i="27"/>
  <c r="H13" i="27" s="1"/>
  <c r="F12" i="27"/>
  <c r="H12" i="27" s="1"/>
  <c r="F11" i="27"/>
  <c r="H11" i="27" s="1"/>
  <c r="F10" i="27"/>
  <c r="H10" i="27" s="1"/>
  <c r="F9" i="27"/>
  <c r="H9" i="27" s="1"/>
  <c r="F8" i="27"/>
  <c r="H8" i="27" s="1"/>
  <c r="F7" i="27"/>
  <c r="H7" i="27" s="1"/>
  <c r="F5" i="27"/>
  <c r="H5" i="27" s="1"/>
  <c r="F4" i="27"/>
  <c r="H4" i="27" s="1"/>
  <c r="F3" i="27"/>
  <c r="H3" i="27" s="1"/>
  <c r="F2" i="27"/>
  <c r="F2" i="2"/>
  <c r="G34" i="19" l="1"/>
  <c r="G32" i="19"/>
  <c r="G31" i="19"/>
  <c r="F31" i="19"/>
  <c r="G30" i="19"/>
  <c r="F30" i="19"/>
  <c r="E30" i="19"/>
  <c r="G28" i="19"/>
  <c r="G26" i="19"/>
  <c r="G24" i="19"/>
  <c r="G22" i="19"/>
  <c r="F22" i="19"/>
  <c r="F18" i="19"/>
  <c r="G18" i="19"/>
  <c r="G16" i="19"/>
  <c r="G33" i="19"/>
  <c r="C30" i="19"/>
  <c r="G29" i="19"/>
  <c r="G27" i="19"/>
  <c r="G25" i="19"/>
  <c r="E24" i="19"/>
  <c r="G23" i="19"/>
  <c r="E23" i="19"/>
  <c r="E22" i="19"/>
  <c r="C22" i="19"/>
  <c r="G21" i="19"/>
  <c r="G20" i="19"/>
  <c r="G19" i="19"/>
  <c r="E19" i="19"/>
  <c r="G17" i="19"/>
  <c r="G15" i="19"/>
  <c r="D3" i="19"/>
  <c r="F60" i="2" l="1"/>
  <c r="BS4" i="19"/>
  <c r="BS5" i="19"/>
  <c r="BS6" i="19"/>
  <c r="BS7" i="19"/>
  <c r="BS8" i="19"/>
  <c r="BS9" i="19"/>
  <c r="BS10" i="19"/>
  <c r="BS11" i="19"/>
  <c r="AG6" i="19" l="1"/>
  <c r="AG10" i="19"/>
  <c r="AH10" i="19"/>
  <c r="AB3" i="19"/>
  <c r="BE3" i="19"/>
  <c r="BS3" i="19"/>
  <c r="F19" i="19"/>
  <c r="E21" i="19"/>
  <c r="F26" i="19"/>
  <c r="E27" i="19"/>
  <c r="F27" i="19"/>
  <c r="F28" i="19"/>
  <c r="E29" i="19"/>
  <c r="F29" i="19"/>
  <c r="E32" i="19"/>
  <c r="F32" i="19"/>
  <c r="E25" i="19" l="1"/>
  <c r="F23" i="19"/>
  <c r="C23" i="19"/>
  <c r="F21" i="19"/>
  <c r="C17" i="19"/>
  <c r="F17" i="19"/>
  <c r="C34" i="19"/>
  <c r="E34" i="19"/>
  <c r="E16" i="19"/>
  <c r="D15" i="19"/>
  <c r="C27" i="19"/>
  <c r="F20" i="19"/>
  <c r="C19" i="19"/>
  <c r="E17" i="19"/>
  <c r="C33" i="19"/>
  <c r="E31" i="19"/>
  <c r="C32" i="19"/>
  <c r="F25" i="19"/>
  <c r="F33" i="19"/>
  <c r="F15" i="19"/>
  <c r="E26" i="19"/>
  <c r="C26" i="19"/>
  <c r="E28" i="19"/>
  <c r="C31" i="19"/>
  <c r="C29" i="19"/>
  <c r="C28" i="19"/>
  <c r="C25" i="19"/>
  <c r="F24" i="19"/>
  <c r="C24" i="19"/>
  <c r="C21" i="19"/>
  <c r="E20" i="19"/>
  <c r="C20" i="19"/>
  <c r="E18" i="19"/>
  <c r="C18" i="19"/>
  <c r="F34" i="19"/>
  <c r="F16" i="19"/>
  <c r="E15" i="19"/>
  <c r="E33" i="19"/>
  <c r="C16" i="19"/>
  <c r="C15" i="19"/>
  <c r="BL11" i="19"/>
  <c r="BO11" i="19"/>
  <c r="BL10" i="19"/>
  <c r="BO10" i="19"/>
  <c r="BO8" i="19"/>
  <c r="BO9" i="19"/>
  <c r="BL9" i="19"/>
  <c r="BL8" i="19"/>
  <c r="BL7" i="19"/>
  <c r="BO7" i="19"/>
  <c r="BL6" i="19"/>
  <c r="BO6" i="19"/>
  <c r="BL4" i="19"/>
  <c r="BL5" i="19"/>
  <c r="BO5" i="19"/>
  <c r="BO4" i="19"/>
  <c r="AV4" i="19"/>
  <c r="AV7" i="19"/>
  <c r="AV9" i="19"/>
  <c r="AV5" i="19"/>
  <c r="AV3" i="19"/>
  <c r="AV11" i="19"/>
  <c r="AV10" i="19"/>
  <c r="AV8" i="19"/>
  <c r="AV6" i="19"/>
  <c r="BL3" i="19"/>
  <c r="BO3" i="19"/>
  <c r="BP4" i="19" l="1"/>
  <c r="BP5" i="19"/>
  <c r="BP6" i="19"/>
  <c r="BP7" i="19"/>
  <c r="BP8" i="19"/>
  <c r="BP9" i="19"/>
  <c r="BP10" i="19"/>
  <c r="BP11" i="19"/>
  <c r="E3" i="19" l="1"/>
  <c r="F3" i="19"/>
  <c r="G3" i="19"/>
  <c r="H3" i="19"/>
  <c r="I3" i="19"/>
  <c r="J3" i="19"/>
  <c r="K3" i="19"/>
  <c r="L3" i="19"/>
  <c r="M3" i="19"/>
  <c r="N3" i="19"/>
  <c r="O3" i="19"/>
  <c r="AU3" i="19" s="1"/>
  <c r="P3" i="19"/>
  <c r="Q3" i="19"/>
  <c r="R3" i="19"/>
  <c r="S3" i="19"/>
  <c r="T3" i="19"/>
  <c r="U3" i="19"/>
  <c r="V3" i="19"/>
  <c r="W3" i="19"/>
  <c r="X3" i="19"/>
  <c r="Y3" i="19"/>
  <c r="Z3" i="19"/>
  <c r="AA3" i="19"/>
  <c r="AC3" i="19"/>
  <c r="D16" i="19" s="1"/>
  <c r="AD3" i="19"/>
  <c r="AE3" i="19"/>
  <c r="BD3" i="19"/>
  <c r="BF3" i="19"/>
  <c r="BM3" i="19"/>
  <c r="BP3" i="19"/>
  <c r="D4" i="19"/>
  <c r="E4" i="19"/>
  <c r="F4" i="19"/>
  <c r="G4" i="19"/>
  <c r="H4" i="19"/>
  <c r="I4" i="19"/>
  <c r="J4" i="19"/>
  <c r="K4" i="19"/>
  <c r="L4" i="19"/>
  <c r="M4" i="19"/>
  <c r="N4" i="19"/>
  <c r="O4" i="19"/>
  <c r="AU4" i="19" s="1"/>
  <c r="P4" i="19"/>
  <c r="Q4" i="19"/>
  <c r="R4" i="19"/>
  <c r="S4" i="19"/>
  <c r="T4" i="19"/>
  <c r="U4" i="19"/>
  <c r="V4" i="19"/>
  <c r="W4" i="19"/>
  <c r="X4" i="19"/>
  <c r="Y4" i="19"/>
  <c r="Z4" i="19"/>
  <c r="AA4" i="19"/>
  <c r="AB4" i="19"/>
  <c r="D17" i="19" s="1"/>
  <c r="AC4" i="19"/>
  <c r="D18" i="19" s="1"/>
  <c r="AD4" i="19"/>
  <c r="AE4" i="19"/>
  <c r="BD4" i="19"/>
  <c r="BE4" i="19"/>
  <c r="BF4" i="19"/>
  <c r="BM4" i="19"/>
  <c r="D5" i="19"/>
  <c r="E5" i="19"/>
  <c r="F5" i="19"/>
  <c r="G5" i="19"/>
  <c r="H5" i="19"/>
  <c r="I5" i="19"/>
  <c r="J5" i="19"/>
  <c r="K5" i="19"/>
  <c r="L5" i="19"/>
  <c r="M5" i="19"/>
  <c r="N5" i="19"/>
  <c r="O5" i="19"/>
  <c r="AU5" i="19" s="1"/>
  <c r="P5" i="19"/>
  <c r="Q5" i="19"/>
  <c r="R5" i="19"/>
  <c r="S5" i="19"/>
  <c r="T5" i="19"/>
  <c r="U5" i="19"/>
  <c r="V5" i="19"/>
  <c r="W5" i="19"/>
  <c r="X5" i="19"/>
  <c r="Y5" i="19"/>
  <c r="Z5" i="19"/>
  <c r="AA5" i="19"/>
  <c r="AB5" i="19"/>
  <c r="D19" i="19" s="1"/>
  <c r="AC5" i="19"/>
  <c r="D20" i="19" s="1"/>
  <c r="AD5" i="19"/>
  <c r="AE5" i="19"/>
  <c r="BD5" i="19"/>
  <c r="BE5" i="19"/>
  <c r="BF5" i="19"/>
  <c r="BM5" i="19"/>
  <c r="D6" i="19"/>
  <c r="E6" i="19"/>
  <c r="F6" i="19"/>
  <c r="G6" i="19"/>
  <c r="H6" i="19"/>
  <c r="I6" i="19"/>
  <c r="J6" i="19"/>
  <c r="K6" i="19"/>
  <c r="L6" i="19"/>
  <c r="M6" i="19"/>
  <c r="N6" i="19"/>
  <c r="O6" i="19"/>
  <c r="AU6" i="19" s="1"/>
  <c r="P6" i="19"/>
  <c r="Q6" i="19"/>
  <c r="R6" i="19"/>
  <c r="S6" i="19"/>
  <c r="T6" i="19"/>
  <c r="U6" i="19"/>
  <c r="V6" i="19"/>
  <c r="W6" i="19"/>
  <c r="X6" i="19"/>
  <c r="Y6" i="19"/>
  <c r="Z6" i="19"/>
  <c r="AA6" i="19"/>
  <c r="AB6" i="19"/>
  <c r="D21" i="19" s="1"/>
  <c r="AC6" i="19"/>
  <c r="D22" i="19" s="1"/>
  <c r="AD6" i="19"/>
  <c r="AE6" i="19"/>
  <c r="BD6" i="19"/>
  <c r="BE6" i="19"/>
  <c r="BF6" i="19"/>
  <c r="BM6" i="19"/>
  <c r="D7" i="19"/>
  <c r="E7" i="19"/>
  <c r="F7" i="19"/>
  <c r="G7" i="19"/>
  <c r="H7" i="19"/>
  <c r="I7" i="19"/>
  <c r="J7" i="19"/>
  <c r="K7" i="19"/>
  <c r="L7" i="19"/>
  <c r="M7" i="19"/>
  <c r="N7" i="19"/>
  <c r="O7" i="19"/>
  <c r="AU7" i="19" s="1"/>
  <c r="P7" i="19"/>
  <c r="Q7" i="19"/>
  <c r="R7" i="19"/>
  <c r="S7" i="19"/>
  <c r="T7" i="19"/>
  <c r="U7" i="19"/>
  <c r="V7" i="19"/>
  <c r="W7" i="19"/>
  <c r="X7" i="19"/>
  <c r="Y7" i="19"/>
  <c r="Z7" i="19"/>
  <c r="AA7" i="19"/>
  <c r="AB7" i="19"/>
  <c r="D23" i="19" s="1"/>
  <c r="AC7" i="19"/>
  <c r="D24" i="19" s="1"/>
  <c r="AD7" i="19"/>
  <c r="AE7" i="19"/>
  <c r="BD7" i="19"/>
  <c r="BE7" i="19"/>
  <c r="BF7" i="19"/>
  <c r="BM7" i="19"/>
  <c r="D8" i="19"/>
  <c r="E8" i="19"/>
  <c r="F8" i="19"/>
  <c r="G8" i="19"/>
  <c r="H8" i="19"/>
  <c r="I8" i="19"/>
  <c r="J8" i="19"/>
  <c r="K8" i="19"/>
  <c r="L8" i="19"/>
  <c r="M8" i="19"/>
  <c r="N8" i="19"/>
  <c r="O8" i="19"/>
  <c r="AU8" i="19" s="1"/>
  <c r="P8" i="19"/>
  <c r="Q8" i="19"/>
  <c r="R8" i="19"/>
  <c r="S8" i="19"/>
  <c r="T8" i="19"/>
  <c r="U8" i="19"/>
  <c r="V8" i="19"/>
  <c r="W8" i="19"/>
  <c r="X8" i="19"/>
  <c r="Y8" i="19"/>
  <c r="Z8" i="19"/>
  <c r="AA8" i="19"/>
  <c r="AB8" i="19"/>
  <c r="D25" i="19" s="1"/>
  <c r="AC8" i="19"/>
  <c r="D26" i="19" s="1"/>
  <c r="AD8" i="19"/>
  <c r="AE8" i="19"/>
  <c r="BD8" i="19"/>
  <c r="BE8" i="19"/>
  <c r="BF8" i="19"/>
  <c r="BM8" i="19"/>
  <c r="D9" i="19"/>
  <c r="E9" i="19"/>
  <c r="F9" i="19"/>
  <c r="G9" i="19"/>
  <c r="H9" i="19"/>
  <c r="I9" i="19"/>
  <c r="J9" i="19"/>
  <c r="K9" i="19"/>
  <c r="L9" i="19"/>
  <c r="M9" i="19"/>
  <c r="N9" i="19"/>
  <c r="O9" i="19"/>
  <c r="P9" i="19"/>
  <c r="Q9" i="19"/>
  <c r="R9" i="19"/>
  <c r="S9" i="19"/>
  <c r="T9" i="19"/>
  <c r="U9" i="19"/>
  <c r="V9" i="19"/>
  <c r="W9" i="19"/>
  <c r="X9" i="19"/>
  <c r="Y9" i="19"/>
  <c r="Z9" i="19"/>
  <c r="AA9" i="19"/>
  <c r="AB9" i="19"/>
  <c r="D27" i="19" s="1"/>
  <c r="AC9" i="19"/>
  <c r="D28" i="19" s="1"/>
  <c r="AD9" i="19"/>
  <c r="AE9" i="19"/>
  <c r="BD9" i="19"/>
  <c r="BE9" i="19"/>
  <c r="BF9" i="19"/>
  <c r="BM9" i="19"/>
  <c r="D10" i="19"/>
  <c r="E10" i="19"/>
  <c r="F10" i="19"/>
  <c r="G10" i="19"/>
  <c r="H10" i="19"/>
  <c r="I10" i="19"/>
  <c r="J10" i="19"/>
  <c r="K10" i="19"/>
  <c r="L10" i="19"/>
  <c r="M10" i="19"/>
  <c r="N10" i="19"/>
  <c r="O10" i="19"/>
  <c r="P10" i="19"/>
  <c r="Q10" i="19"/>
  <c r="R10" i="19"/>
  <c r="S10" i="19"/>
  <c r="T10" i="19"/>
  <c r="U10" i="19"/>
  <c r="V10" i="19"/>
  <c r="W10" i="19"/>
  <c r="X10" i="19"/>
  <c r="Y10" i="19"/>
  <c r="Z10" i="19"/>
  <c r="AA10" i="19"/>
  <c r="AB10" i="19"/>
  <c r="D29" i="19" s="1"/>
  <c r="AC10" i="19"/>
  <c r="D30" i="19" s="1"/>
  <c r="AD10" i="19"/>
  <c r="AE10" i="19"/>
  <c r="BD10" i="19"/>
  <c r="BE10" i="19"/>
  <c r="BF10" i="19"/>
  <c r="BM10" i="19"/>
  <c r="D11" i="19"/>
  <c r="E11" i="19"/>
  <c r="F11" i="19"/>
  <c r="G11" i="19"/>
  <c r="H11" i="19"/>
  <c r="I11" i="19"/>
  <c r="J11" i="19"/>
  <c r="K11" i="19"/>
  <c r="L11" i="19"/>
  <c r="M11" i="19"/>
  <c r="N11" i="19"/>
  <c r="O11" i="19"/>
  <c r="P11" i="19"/>
  <c r="Q11" i="19"/>
  <c r="R11" i="19"/>
  <c r="S11" i="19"/>
  <c r="T11" i="19"/>
  <c r="U11" i="19"/>
  <c r="V11" i="19"/>
  <c r="W11" i="19"/>
  <c r="X11" i="19"/>
  <c r="Y11" i="19"/>
  <c r="Z11" i="19"/>
  <c r="AA11" i="19"/>
  <c r="AB11" i="19"/>
  <c r="D31" i="19" s="1"/>
  <c r="AC11" i="19"/>
  <c r="D32" i="19" s="1"/>
  <c r="AD11" i="19"/>
  <c r="AE11" i="19"/>
  <c r="BD11" i="19"/>
  <c r="BE11" i="19"/>
  <c r="BF11" i="19"/>
  <c r="BM11" i="19"/>
  <c r="D12" i="19" l="1"/>
  <c r="AU9" i="19"/>
  <c r="AU10" i="19"/>
  <c r="AU11" i="19"/>
  <c r="AX3" i="19"/>
  <c r="AW3" i="19"/>
  <c r="AW8" i="19"/>
  <c r="AX5" i="19"/>
  <c r="AY8" i="19"/>
  <c r="AW4" i="19"/>
  <c r="AW6" i="19"/>
  <c r="AR6" i="19" s="1"/>
  <c r="AY4" i="19"/>
  <c r="AX4" i="19"/>
  <c r="AY9" i="19"/>
  <c r="AX9" i="19"/>
  <c r="AX8" i="19"/>
  <c r="AX7" i="19"/>
  <c r="AY10" i="19"/>
  <c r="AW11" i="19"/>
  <c r="AW7" i="19"/>
  <c r="AY5" i="19"/>
  <c r="AW10" i="19"/>
  <c r="AR10" i="19" s="1"/>
  <c r="AW9" i="19"/>
  <c r="AY7" i="19"/>
  <c r="AY11" i="19"/>
  <c r="AX11" i="19"/>
  <c r="AX10" i="19"/>
  <c r="AS10" i="19" s="1"/>
  <c r="AY6" i="19"/>
  <c r="AY3" i="19"/>
  <c r="AW5" i="19"/>
  <c r="AX6" i="19"/>
  <c r="V60" i="1" l="1"/>
  <c r="X60" i="1"/>
  <c r="F9" i="2" l="1"/>
  <c r="F10" i="2"/>
  <c r="H9" i="2" l="1"/>
  <c r="H10" i="2"/>
  <c r="F11" i="2" l="1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AH6" i="19" s="1"/>
  <c r="F94" i="2"/>
  <c r="F95" i="2"/>
  <c r="F96" i="2"/>
  <c r="F97" i="2"/>
  <c r="F98" i="2"/>
  <c r="F99" i="2"/>
  <c r="F3" i="2"/>
  <c r="AQ11" i="19" l="1"/>
  <c r="BA5" i="19"/>
  <c r="AQ5" i="19"/>
  <c r="AQ10" i="19"/>
  <c r="AQ8" i="19"/>
  <c r="AQ6" i="19"/>
  <c r="AQ4" i="19"/>
  <c r="AQ9" i="19"/>
  <c r="AQ7" i="19"/>
  <c r="BA10" i="19"/>
  <c r="BA7" i="19"/>
  <c r="BA11" i="19"/>
  <c r="BH11" i="19" s="1"/>
  <c r="BA6" i="19"/>
  <c r="BA4" i="19"/>
  <c r="BA8" i="19"/>
  <c r="BA9" i="19"/>
  <c r="AH11" i="19"/>
  <c r="AI7" i="19"/>
  <c r="AI11" i="19"/>
  <c r="AI6" i="19"/>
  <c r="AI4" i="19"/>
  <c r="AI10" i="19"/>
  <c r="AI9" i="19"/>
  <c r="AI8" i="19"/>
  <c r="AI5" i="19"/>
  <c r="AH4" i="19"/>
  <c r="AG7" i="19"/>
  <c r="AH9" i="19"/>
  <c r="AL6" i="19"/>
  <c r="AK6" i="19"/>
  <c r="AJ6" i="19"/>
  <c r="AJ7" i="19"/>
  <c r="AL7" i="19"/>
  <c r="AK7" i="19"/>
  <c r="AL11" i="19"/>
  <c r="AJ11" i="19"/>
  <c r="AK11" i="19"/>
  <c r="AL10" i="19"/>
  <c r="AK10" i="19"/>
  <c r="AJ10" i="19"/>
  <c r="AJ4" i="19"/>
  <c r="AK4" i="19"/>
  <c r="AL4" i="19"/>
  <c r="AK9" i="19"/>
  <c r="AJ9" i="19"/>
  <c r="AL9" i="19"/>
  <c r="AJ8" i="19"/>
  <c r="AK8" i="19"/>
  <c r="AL8" i="19"/>
  <c r="AK5" i="19"/>
  <c r="AL5" i="19"/>
  <c r="AJ5" i="19"/>
  <c r="AG11" i="19"/>
  <c r="AG5" i="19"/>
  <c r="AR4" i="19"/>
  <c r="AG4" i="19"/>
  <c r="AG9" i="19"/>
  <c r="AG8" i="19"/>
  <c r="AH7" i="19"/>
  <c r="AH8" i="19"/>
  <c r="AH5" i="19"/>
  <c r="AH3" i="19"/>
  <c r="AF10" i="19"/>
  <c r="AF8" i="19"/>
  <c r="AF6" i="19"/>
  <c r="AF7" i="19"/>
  <c r="AF11" i="19"/>
  <c r="AF9" i="19"/>
  <c r="AF4" i="19"/>
  <c r="AF5" i="19"/>
  <c r="AR8" i="19"/>
  <c r="AS9" i="19"/>
  <c r="AS7" i="19"/>
  <c r="AS6" i="19"/>
  <c r="AS4" i="19"/>
  <c r="AS11" i="19"/>
  <c r="AS8" i="19"/>
  <c r="AS5" i="19"/>
  <c r="AS3" i="19"/>
  <c r="AR11" i="19"/>
  <c r="AR9" i="19"/>
  <c r="AR7" i="19"/>
  <c r="AR5" i="19"/>
  <c r="H13" i="2"/>
  <c r="H89" i="2"/>
  <c r="H81" i="2"/>
  <c r="H77" i="2"/>
  <c r="H73" i="2"/>
  <c r="H69" i="2"/>
  <c r="H65" i="2"/>
  <c r="H96" i="2"/>
  <c r="H88" i="2"/>
  <c r="H84" i="2"/>
  <c r="H80" i="2"/>
  <c r="H76" i="2"/>
  <c r="H72" i="2"/>
  <c r="H68" i="2"/>
  <c r="H52" i="2"/>
  <c r="H12" i="2"/>
  <c r="H99" i="2"/>
  <c r="H95" i="2"/>
  <c r="H91" i="2"/>
  <c r="H87" i="2"/>
  <c r="H83" i="2"/>
  <c r="H79" i="2"/>
  <c r="H75" i="2"/>
  <c r="H71" i="2"/>
  <c r="H67" i="2"/>
  <c r="H55" i="2"/>
  <c r="H47" i="2"/>
  <c r="H43" i="2"/>
  <c r="H39" i="2"/>
  <c r="H35" i="2"/>
  <c r="H31" i="2"/>
  <c r="H27" i="2"/>
  <c r="H23" i="2"/>
  <c r="H19" i="2"/>
  <c r="H15" i="2"/>
  <c r="H97" i="2"/>
  <c r="H85" i="2"/>
  <c r="H98" i="2"/>
  <c r="H94" i="2"/>
  <c r="H90" i="2"/>
  <c r="H86" i="2"/>
  <c r="H82" i="2"/>
  <c r="H78" i="2"/>
  <c r="H74" i="2"/>
  <c r="H70" i="2"/>
  <c r="H66" i="2"/>
  <c r="H93" i="2"/>
  <c r="H63" i="2"/>
  <c r="H64" i="2"/>
  <c r="H61" i="2"/>
  <c r="H57" i="2"/>
  <c r="H53" i="2"/>
  <c r="H49" i="2"/>
  <c r="H45" i="2"/>
  <c r="H41" i="2"/>
  <c r="H37" i="2"/>
  <c r="H33" i="2"/>
  <c r="H29" i="2"/>
  <c r="H25" i="2"/>
  <c r="H21" i="2"/>
  <c r="H17" i="2"/>
  <c r="H3" i="2"/>
  <c r="H60" i="2"/>
  <c r="H56" i="2"/>
  <c r="H48" i="2"/>
  <c r="H44" i="2"/>
  <c r="H40" i="2"/>
  <c r="H36" i="2"/>
  <c r="H32" i="2"/>
  <c r="H28" i="2"/>
  <c r="H24" i="2"/>
  <c r="H20" i="2"/>
  <c r="H16" i="2"/>
  <c r="H59" i="2"/>
  <c r="H11" i="2"/>
  <c r="H58" i="2"/>
  <c r="H54" i="2"/>
  <c r="H50" i="2"/>
  <c r="H46" i="2"/>
  <c r="H42" i="2"/>
  <c r="H38" i="2"/>
  <c r="H34" i="2"/>
  <c r="H30" i="2"/>
  <c r="H26" i="2"/>
  <c r="H22" i="2"/>
  <c r="H18" i="2"/>
  <c r="H14" i="2"/>
  <c r="AO11" i="19"/>
  <c r="AM11" i="19"/>
  <c r="AP11" i="19"/>
  <c r="AM7" i="19"/>
  <c r="AO7" i="19"/>
  <c r="AP7" i="19"/>
  <c r="AP10" i="19"/>
  <c r="AO10" i="19"/>
  <c r="AM10" i="19"/>
  <c r="AP6" i="19"/>
  <c r="AM6" i="19"/>
  <c r="AO6" i="19"/>
  <c r="AM4" i="19"/>
  <c r="AO4" i="19"/>
  <c r="AP4" i="19"/>
  <c r="AO9" i="19"/>
  <c r="AP9" i="19"/>
  <c r="AM9" i="19"/>
  <c r="AM8" i="19"/>
  <c r="AO8" i="19"/>
  <c r="AP8" i="19"/>
  <c r="AO5" i="19"/>
  <c r="AP5" i="19"/>
  <c r="AM5" i="19"/>
  <c r="H92" i="2"/>
  <c r="H51" i="2"/>
  <c r="H62" i="2"/>
  <c r="BK9" i="19" l="1"/>
  <c r="BH9" i="19"/>
  <c r="BI9" i="19" s="1"/>
  <c r="BK8" i="19"/>
  <c r="BH8" i="19"/>
  <c r="BI8" i="19" s="1"/>
  <c r="BK10" i="19"/>
  <c r="BH10" i="19"/>
  <c r="BI10" i="19" s="1"/>
  <c r="BK4" i="19"/>
  <c r="BH4" i="19"/>
  <c r="BI4" i="19" s="1"/>
  <c r="BK5" i="19"/>
  <c r="BH5" i="19"/>
  <c r="BI5" i="19" s="1"/>
  <c r="BK6" i="19"/>
  <c r="BH6" i="19"/>
  <c r="BI6" i="19" s="1"/>
  <c r="BK7" i="19"/>
  <c r="BH7" i="19"/>
  <c r="BI7" i="19" s="1"/>
  <c r="AZ11" i="19"/>
  <c r="BK11" i="19"/>
  <c r="BR10" i="19"/>
  <c r="BR11" i="19"/>
  <c r="BR9" i="19"/>
  <c r="BR8" i="19"/>
  <c r="BI11" i="19"/>
  <c r="BR7" i="19"/>
  <c r="BR6" i="19"/>
  <c r="BR5" i="19"/>
  <c r="BR4" i="19"/>
  <c r="BQ4" i="19"/>
  <c r="BT4" i="19"/>
  <c r="BQ7" i="19"/>
  <c r="BT7" i="19"/>
  <c r="BQ5" i="19"/>
  <c r="BT5" i="19"/>
  <c r="BQ11" i="19"/>
  <c r="BT11" i="19"/>
  <c r="BQ8" i="19"/>
  <c r="BT8" i="19"/>
  <c r="BQ9" i="19"/>
  <c r="BT9" i="19"/>
  <c r="BQ6" i="19"/>
  <c r="BT6" i="19"/>
  <c r="BQ10" i="19"/>
  <c r="BT10" i="19"/>
  <c r="BG4" i="19"/>
  <c r="BN4" i="19"/>
  <c r="BG7" i="19"/>
  <c r="BN7" i="19"/>
  <c r="BG5" i="19"/>
  <c r="BN5" i="19"/>
  <c r="BG9" i="19"/>
  <c r="BN9" i="19"/>
  <c r="BG8" i="19"/>
  <c r="BN8" i="19"/>
  <c r="BG11" i="19"/>
  <c r="BN11" i="19"/>
  <c r="BG6" i="19"/>
  <c r="BN6" i="19"/>
  <c r="BG10" i="19"/>
  <c r="BN10" i="19"/>
  <c r="BC7" i="19"/>
  <c r="BC11" i="19"/>
  <c r="BC5" i="19"/>
  <c r="BC9" i="19"/>
  <c r="BC8" i="19"/>
  <c r="BC10" i="19"/>
  <c r="BC4" i="19"/>
  <c r="BC6" i="19"/>
  <c r="BB5" i="19"/>
  <c r="AN5" i="19" s="1"/>
  <c r="BB6" i="19"/>
  <c r="AN6" i="19" s="1"/>
  <c r="BB8" i="19"/>
  <c r="AN8" i="19" s="1"/>
  <c r="BB10" i="19"/>
  <c r="AN10" i="19" s="1"/>
  <c r="BB4" i="19"/>
  <c r="AN4" i="19" s="1"/>
  <c r="BB7" i="19"/>
  <c r="AN7" i="19" s="1"/>
  <c r="BB11" i="19"/>
  <c r="AN11" i="19" s="1"/>
  <c r="BB9" i="19"/>
  <c r="AN9" i="19" s="1"/>
  <c r="BR3" i="19"/>
  <c r="AT9" i="19"/>
  <c r="AT4" i="19"/>
  <c r="AT5" i="19"/>
  <c r="AT8" i="19"/>
  <c r="AT6" i="19"/>
  <c r="AT10" i="19"/>
  <c r="AT7" i="19"/>
  <c r="AT11" i="19"/>
  <c r="AZ5" i="19"/>
  <c r="AZ8" i="19"/>
  <c r="AZ7" i="19"/>
  <c r="AZ6" i="19"/>
  <c r="AZ9" i="19"/>
  <c r="AZ4" i="19"/>
  <c r="AZ10" i="19"/>
  <c r="BJ9" i="19" l="1"/>
  <c r="BJ8" i="19"/>
  <c r="BJ6" i="19"/>
  <c r="BJ10" i="19"/>
  <c r="BJ7" i="19"/>
  <c r="BJ5" i="19"/>
  <c r="BJ11" i="19"/>
  <c r="BJ4" i="19"/>
  <c r="BV10" i="19"/>
  <c r="BV9" i="19"/>
  <c r="BV11" i="19"/>
  <c r="BV8" i="19"/>
  <c r="BV4" i="19"/>
  <c r="BV6" i="19"/>
  <c r="BV7" i="19"/>
  <c r="BV5" i="19"/>
  <c r="BW4" i="19"/>
  <c r="BU10" i="19"/>
  <c r="BW10" i="19"/>
  <c r="BU11" i="19"/>
  <c r="BW11" i="19"/>
  <c r="BU9" i="19"/>
  <c r="BW9" i="19"/>
  <c r="BU7" i="19"/>
  <c r="BW7" i="19"/>
  <c r="BU6" i="19"/>
  <c r="BW6" i="19"/>
  <c r="BU8" i="19"/>
  <c r="BW8" i="19"/>
  <c r="BU5" i="19"/>
  <c r="BW5" i="19"/>
  <c r="BU4" i="19"/>
  <c r="F4" i="2"/>
  <c r="F5" i="2"/>
  <c r="F6" i="2"/>
  <c r="F7" i="2"/>
  <c r="F8" i="2"/>
  <c r="AQ3" i="19" l="1"/>
  <c r="AP12" i="19" s="1"/>
  <c r="BA3" i="19"/>
  <c r="BH3" i="19" s="1"/>
  <c r="AI3" i="19"/>
  <c r="AG3" i="19"/>
  <c r="AJ3" i="19"/>
  <c r="AL3" i="19"/>
  <c r="AK3" i="19"/>
  <c r="AF3" i="19"/>
  <c r="AR3" i="19"/>
  <c r="AM3" i="19"/>
  <c r="AO3" i="19"/>
  <c r="AP3" i="19"/>
  <c r="H2" i="2"/>
  <c r="H6" i="2"/>
  <c r="H5" i="2"/>
  <c r="H8" i="2"/>
  <c r="H4" i="2"/>
  <c r="H7" i="2"/>
  <c r="BB3" i="19" l="1"/>
  <c r="AN3" i="19" s="1"/>
  <c r="BK3" i="19"/>
  <c r="BT3" i="19"/>
  <c r="BN3" i="19"/>
  <c r="BQ3" i="19"/>
  <c r="BG3" i="19"/>
  <c r="BC3" i="19"/>
  <c r="AT3" i="19"/>
  <c r="AZ3" i="19"/>
  <c r="BI3" i="19" l="1"/>
  <c r="BV3" i="19"/>
  <c r="BW3" i="19"/>
  <c r="BU3" i="19"/>
  <c r="BJ3" i="19" l="1"/>
  <c r="O36" i="1" l="1"/>
  <c r="P36" i="1"/>
  <c r="Q22" i="9" l="1"/>
  <c r="L22" i="9"/>
  <c r="G22" i="9"/>
  <c r="B22" i="9"/>
  <c r="Q6" i="9"/>
  <c r="L6" i="9"/>
  <c r="G6" i="9"/>
  <c r="B6" i="9"/>
  <c r="B4" i="9"/>
  <c r="E2" i="9"/>
  <c r="R36" i="1" l="1"/>
  <c r="Q36" i="1"/>
  <c r="B34" i="9" l="1"/>
  <c r="L18" i="9"/>
  <c r="G34" i="9"/>
  <c r="Q34" i="9"/>
  <c r="G18" i="9"/>
  <c r="L34" i="9"/>
  <c r="B18" i="9"/>
  <c r="Q18" i="9"/>
  <c r="AH12" i="19" l="1"/>
  <c r="Z12" i="19"/>
  <c r="V12" i="19"/>
  <c r="R12" i="19"/>
  <c r="N12" i="19"/>
  <c r="J12" i="19"/>
  <c r="S12" i="19"/>
  <c r="H12" i="19"/>
  <c r="O12" i="19"/>
  <c r="L12" i="19"/>
  <c r="E12" i="19"/>
  <c r="T12" i="19"/>
  <c r="AT12" i="19"/>
  <c r="Y12" i="19"/>
  <c r="AR12" i="19"/>
  <c r="AD12" i="19"/>
  <c r="AZ12" i="19"/>
  <c r="BA12" i="19" s="1"/>
  <c r="AM12" i="19" s="1"/>
  <c r="AL12" i="19"/>
  <c r="AV12" i="19"/>
  <c r="X12" i="19"/>
  <c r="BL12" i="19"/>
  <c r="AU12" i="19"/>
  <c r="BO12" i="19"/>
  <c r="U12" i="19"/>
  <c r="BE12" i="19"/>
  <c r="BR12" i="19"/>
  <c r="Q12" i="19"/>
  <c r="P12" i="19"/>
  <c r="AA12" i="19"/>
  <c r="D33" i="19" s="1"/>
  <c r="AI12" i="19"/>
  <c r="G12" i="19"/>
  <c r="M12" i="19"/>
  <c r="F12" i="19"/>
  <c r="BN12" i="19"/>
  <c r="AS12" i="19"/>
  <c r="BD12" i="19"/>
  <c r="AX12" i="19"/>
  <c r="AW12" i="19"/>
  <c r="BQ12" i="19"/>
  <c r="AE12" i="19"/>
  <c r="AO12" i="19"/>
  <c r="AB12" i="19"/>
  <c r="D34" i="19" s="1"/>
  <c r="AK12" i="19"/>
  <c r="W12" i="19"/>
  <c r="AQ12" i="19"/>
  <c r="AG12" i="19"/>
  <c r="BK12" i="19"/>
  <c r="AC12" i="19"/>
  <c r="I12" i="19"/>
  <c r="AF12" i="19"/>
  <c r="K12" i="19"/>
  <c r="AJ12" i="19"/>
  <c r="BU12" i="19"/>
  <c r="AN12" i="19"/>
  <c r="AY12" i="19" l="1"/>
  <c r="BM12" i="19"/>
  <c r="BS12" i="19"/>
  <c r="BP12" i="19"/>
  <c r="BG12" i="19"/>
  <c r="BH12" i="19" s="1"/>
  <c r="BJ12" i="19"/>
  <c r="BF12" i="19"/>
  <c r="BB12" i="19"/>
  <c r="BT12" i="19" l="1"/>
  <c r="BV12" i="19" s="1"/>
  <c r="BI12" i="19"/>
</calcChain>
</file>

<file path=xl/comments1.xml><?xml version="1.0" encoding="utf-8"?>
<comments xmlns="http://schemas.openxmlformats.org/spreadsheetml/2006/main">
  <authors>
    <author>TATIANA LARINA (X096394)</author>
  </authors>
  <commentList>
    <comment ref="J1" authorId="0">
      <text>
        <r>
          <rPr>
            <b/>
            <sz val="9"/>
            <color indexed="81"/>
            <rFont val="Tahoma"/>
            <family val="2"/>
          </rPr>
          <t xml:space="preserve"> (Done = 100%)</t>
        </r>
      </text>
    </comment>
  </commentList>
</comments>
</file>

<file path=xl/comments2.xml><?xml version="1.0" encoding="utf-8"?>
<comments xmlns="http://schemas.openxmlformats.org/spreadsheetml/2006/main">
  <authors>
    <author>TATIANA LARINA (X096394)</author>
  </authors>
  <commentList>
    <comment ref="J1" authorId="0">
      <text>
        <r>
          <rPr>
            <b/>
            <sz val="9"/>
            <color indexed="81"/>
            <rFont val="Tahoma"/>
            <family val="2"/>
          </rPr>
          <t xml:space="preserve"> (Done = 100%)</t>
        </r>
      </text>
    </comment>
  </commentList>
</comments>
</file>

<file path=xl/connections.xml><?xml version="1.0" encoding="utf-8"?>
<connections xmlns="http://schemas.openxmlformats.org/spreadsheetml/2006/main">
  <connection id="1" keepAlive="1" name="Requête - Data_Mois1" description="Connexion à la requête « Data_Mois1 » dans le classeur." type="5" refreshedVersion="4" background="1" saveData="1">
    <dbPr connection="provider=Microsoft.Mashup.OleDb.1;data source=$EmbeddedMashup(7d03e2b6-cacf-4086-8eef-1508e29eb185)$;location=Data_Mois1;extended properties=UEsDBBQAAgAIADB02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wdNp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MHTaUG6gfOHCAwAAuw0AABMAHABGb3JtdWxhcy9TZWN0aW9uMS5tIKIYACigFAAAAAAAAAAAAAAAAAAAAAAAAAAAAO1WbWvjRhD+brj/sGxpkUARlin9ckkgZ/uKWyc5bLf9YEzYSONEd9Kubl9yCSY/yP0b/mOdlWy92HIu5aBQuHxIlN3ZeZ6ZZ2Z2FYQ6FpxMi7/B2zedNx11zyREZMA0u7kUsQrIGUlAdwj+TIWRIeDC8DGExO8bKYHrv4T8dCvEJ8ddza9YCmf01/H1u4vxzeBidnHTDejied4XXKPpwsv9/ED/ZAkYSSSkWcLCzRooep2x2wT8CdglQAsDToHocZMkHqXedk82jLziXF8kJuWWgNoec90d3OwpA5KKKF7Gm3UFNZOMq6WQaXHWWimnjZy3WtFLYMpIIKMB9Yi2DjU86mePrOiMyTvQRGmmjTq6G4oMdpuMP9X3PhqlkVvIcj2ceHkadLs/ugeupu0IIyQKKea3OJ9JcSdBKSKZLhG5SW9B5ub90fSaMKXQxB46cJfv90VqNw/BTsciZAkxCkhwvh9PbbPX2HwutZiaLJNxChLLimirAzMklFhqmzWJnjhL488GSASKMKMxDhKKRHAOqhLuD57FD0Jf63uQhXZWt6bKlk5NM6RH+4Uj3NpqTEtWIx7BI2EfhdGbdVAhXURRvlWgON9EH2FzX36An12PBCX6BD6bzd8ajZdGoYQci64W7hUoDdFvIrYE9ph6q9Lps1d2ba+xTPP1wbA/vHw3GVLPevo95pE/ie/u9bXRIEsq2xwpoopALZOg3p2peIAq5+3Mvb12KTNflUGDEok26wdIRJbV23P4mDEe5d9l+tvpIcJeiLaMK7WbZLbaP7/CyKbPPTq0giNT66XovjLLViW7EvYDSIUcWWJLDHbKQ6NGy/y0cMRg3scJliJ+AQvvSbwk88JuQU7Pd99+sCDYT5zMtzlZEEiUHRxJUnIZx3c2+Uvrr1mjU0jwGpmIL7YqjlHeEnDmBaEcPvf/tWCD9mgP6NhCgESzHZKWT45j4902w+LMwhVx0ithUBZs48S6ISeEFhHT4QMC5KOUuuQncpWPTn8mZjgDnQ66y7XyR8rZ5dEjI65/+dm3I8jFgRcRLvSBGeI3DXMeJ6UYObr133a4BeN1/mv65gDV/yWyR7s+XjjUdTvCztQvMdrZaP33UqROe8RY4zDDSVjHsmvFmZ2d2wBd2Hz+e0HIycl5ocWLpPL4X0ULLd39bLgvzsDjI/BoyVbNXJ8n9XasZvQ+dnWVVMAf7J13ZAais3GstD/AXzEPj5qVze0278Oia9xOzI/yaH0e9r71edj7/jz8/jz8fz0Pe//V87Dqxj38t/8AUEsBAi0AFAACAAgAMHTaUJo5YH+rAAAA+gAAABIAAAAAAAAAAAAAAAAAAAAAAENvbmZpZy9QYWNrYWdlLnhtbFBLAQItABQAAgAIADB02lAPyumrpAAAAOkAAAATAAAAAAAAAAAAAAAAAPcAAABbQ29udGVudF9UeXBlc10ueG1sUEsBAi0AFAACAAgAMHTaUG6gfOHCAwAAuw0AABMAAAAAAAAAAAAAAAAA6AEAAEZvcm11bGFzL1NlY3Rpb24xLm1QSwUGAAAAAAMAAwDCAAAA9wUAAAAA" command="SELECT * FROM [Data_Mois1]"/>
  </connection>
  <connection id="2" name="Requête - Data_Mois2" description="Connexion à la requête « Data_Mois2 » dans le classeur." type="5" refreshedVersion="0" background="1">
    <dbPr connection="provider=Microsoft.Mashup.OleDb.1;data source=$EmbeddedMashup(7d03e2b6-cacf-4086-8eef-1508e29eb185)$;location=Data_Mois2;extended properties=UEsDBBQAAgAIADB02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wdNp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MHTaUJbtqu3BAQAAnAMAABMAHABGb3JtdWxhcy9TZWN0aW9uMS5tIKIYACigFAAAAAAAAAAAAAAAAAAAAAAAAAAAAKVS22rbQBR8N+QfDlsKEghj+TVJwZFLMTg1VEr7EII5lo4TJXtR91JsjD/I3+Ef60pyfIndp+6Llp05M7OaNZTbUklI2298fdW56pgX1FTAEC1O71Vp+nALnGwH/EqV0zn5g6+LnHg3cVqTtL+Ufpsp9RaEq8fvKOiWfRtP7gbj6XCQDaa9PntaPyZKWk99ihqdT+wncnIaNImKY77dEPOqGc44dX9QfUSe4ShoHSPpOI8Yi3aYPiFF7VyiuBOyDmB2Y2H4bpctKwKhinJebjcHq0yjNHOlRTtbs0xwKVy0WrF7QuM0wWjIIrC1oKWFXUewYhnqZ7JgLFpn/onmqqJ3EOXyGHt1xvpsOTZ9BOX8Ju71PodnUullh5EPSsL/33a+0upZkzGg0e4dpRMz0g09GaUTQGM8pR46k2vwRIkaPDe7GascOThDEH/5eJ8jsH8CrvddpK6qdClI+2cFtu4BHeTaP7XtBoqlRFH+dgQFGUBn/T0gV1xJSeZQ3IOsyj/KTuwL6ba7urfTlus4R535eCxphTy065jtU41kQQvAV+XsdtM/OA2KooFal+C/4nvbRqsb+20vgjjslPKy//VfUEsBAi0AFAACAAgAMHTaUJo5YH+rAAAA+gAAABIAAAAAAAAAAAAAAAAAAAAAAENvbmZpZy9QYWNrYWdlLnhtbFBLAQItABQAAgAIADB02lAPyumrpAAAAOkAAAATAAAAAAAAAAAAAAAAAPcAAABbQ29udGVudF9UeXBlc10ueG1sUEsBAi0AFAACAAgAMHTaUJbtqu3BAQAAnAMAABMAAAAAAAAAAAAAAAAA6AEAAEZvcm11bGFzL1NlY3Rpb24xLm1QSwUGAAAAAAMAAwDCAAAA9gMAAAAA" command="SELECT * FROM [Data_Mois2]"/>
  </connection>
</connections>
</file>

<file path=xl/sharedStrings.xml><?xml version="1.0" encoding="utf-8"?>
<sst xmlns="http://schemas.openxmlformats.org/spreadsheetml/2006/main" count="2424" uniqueCount="667">
  <si>
    <t>Security packs EN</t>
  </si>
  <si>
    <t>Security packs FR</t>
  </si>
  <si>
    <t>Operational security</t>
  </si>
  <si>
    <t>Training and awareness</t>
  </si>
  <si>
    <t>Data protection</t>
  </si>
  <si>
    <t>Internal fraud protection</t>
  </si>
  <si>
    <t>Advanced protection</t>
  </si>
  <si>
    <t>Exposed services</t>
  </si>
  <si>
    <t>Cloud</t>
  </si>
  <si>
    <t>Third parties and supply chain</t>
  </si>
  <si>
    <t>Security in product lifecycle</t>
  </si>
  <si>
    <t>Sécurité opérationnelle</t>
  </si>
  <si>
    <t>OPS</t>
  </si>
  <si>
    <t>Formation et sensibilisation</t>
  </si>
  <si>
    <t>TAA</t>
  </si>
  <si>
    <t>Protection des données</t>
  </si>
  <si>
    <t>DTP</t>
  </si>
  <si>
    <t>Protection contre la fraude interne</t>
  </si>
  <si>
    <t>IFP</t>
  </si>
  <si>
    <t>Protection avancée</t>
  </si>
  <si>
    <t>ADP</t>
  </si>
  <si>
    <t>Services exposés</t>
  </si>
  <si>
    <t>EXS</t>
  </si>
  <si>
    <t>CLD</t>
  </si>
  <si>
    <t>Tiers et supply chain</t>
  </si>
  <si>
    <t>TPS</t>
  </si>
  <si>
    <t>Sécurité dans le cycle de vie produit</t>
  </si>
  <si>
    <t>SPL</t>
  </si>
  <si>
    <t>Order index</t>
  </si>
  <si>
    <t>Months overdelay</t>
  </si>
  <si>
    <t>NOT APPLICABLE</t>
  </si>
  <si>
    <t>TO BE STARTED</t>
  </si>
  <si>
    <t>IN PROGRESS</t>
  </si>
  <si>
    <t>DONE</t>
  </si>
  <si>
    <t>RISK ACCEPTED</t>
  </si>
  <si>
    <t>CHECKED CISO</t>
  </si>
  <si>
    <t>Rank</t>
  </si>
  <si>
    <t>Entity</t>
  </si>
  <si>
    <t>Region</t>
  </si>
  <si>
    <t>SGABS</t>
  </si>
  <si>
    <t>AFMO</t>
  </si>
  <si>
    <t>BDP</t>
  </si>
  <si>
    <t>BFCOI</t>
  </si>
  <si>
    <t>SGA</t>
  </si>
  <si>
    <t>SGB</t>
  </si>
  <si>
    <t>SGBF</t>
  </si>
  <si>
    <t>SGBGE</t>
  </si>
  <si>
    <t>SGC</t>
  </si>
  <si>
    <t>SGCB</t>
  </si>
  <si>
    <t>SGGH</t>
  </si>
  <si>
    <t>SGM</t>
  </si>
  <si>
    <t>SGMA</t>
  </si>
  <si>
    <t>SGT</t>
  </si>
  <si>
    <t>UIB</t>
  </si>
  <si>
    <t>BDK</t>
  </si>
  <si>
    <t>EURO</t>
  </si>
  <si>
    <t>BRD</t>
  </si>
  <si>
    <t>Essox</t>
  </si>
  <si>
    <t>Fiditalia</t>
  </si>
  <si>
    <t>Hanseatic Bank</t>
  </si>
  <si>
    <t>KB</t>
  </si>
  <si>
    <t>RUSS</t>
  </si>
  <si>
    <t>ROSBANK</t>
  </si>
  <si>
    <t>Rusfinance</t>
  </si>
  <si>
    <t>#</t>
  </si>
  <si>
    <t>Target of scope</t>
  </si>
  <si>
    <t>File_Version</t>
  </si>
  <si>
    <t>Acronym / Acronyme</t>
  </si>
  <si>
    <t>Status_Choice</t>
  </si>
  <si>
    <t>Level</t>
  </si>
  <si>
    <t>Country</t>
  </si>
  <si>
    <t>Language</t>
  </si>
  <si>
    <t>Allemagne</t>
  </si>
  <si>
    <t>EN</t>
  </si>
  <si>
    <t>Roumanie</t>
  </si>
  <si>
    <t>-</t>
  </si>
  <si>
    <t xml:space="preserve">BU </t>
  </si>
  <si>
    <t>Outre-mer</t>
  </si>
  <si>
    <t>Polynésie française</t>
  </si>
  <si>
    <t>FR</t>
  </si>
  <si>
    <t>La Réunion</t>
  </si>
  <si>
    <t>France</t>
  </si>
  <si>
    <t>Maroc</t>
  </si>
  <si>
    <t>République Tchèque</t>
  </si>
  <si>
    <t>Italie</t>
  </si>
  <si>
    <t>Cameroun</t>
  </si>
  <si>
    <t>Mozambique</t>
  </si>
  <si>
    <t>Russie</t>
  </si>
  <si>
    <t>Algérie</t>
  </si>
  <si>
    <t>COO</t>
  </si>
  <si>
    <t>Afrique de l'ouest</t>
  </si>
  <si>
    <t>Bénin</t>
  </si>
  <si>
    <t>Burkina Faso</t>
  </si>
  <si>
    <t>Guinée</t>
  </si>
  <si>
    <t>Afrique centrale et Australie</t>
  </si>
  <si>
    <t>Guinée équatoriale</t>
  </si>
  <si>
    <t>SGCAM</t>
  </si>
  <si>
    <t>SGMZ</t>
  </si>
  <si>
    <t>Sénégal</t>
  </si>
  <si>
    <t>Congo</t>
  </si>
  <si>
    <t>Nouvelle Calédonie</t>
  </si>
  <si>
    <t>SGCI</t>
  </si>
  <si>
    <t>Ghana</t>
  </si>
  <si>
    <t>Mauritanie</t>
  </si>
  <si>
    <t>Tchad</t>
  </si>
  <si>
    <t>Tunisie</t>
  </si>
  <si>
    <t>SGTG</t>
  </si>
  <si>
    <t>Togo</t>
  </si>
  <si>
    <t>Acronym theme</t>
  </si>
  <si>
    <t>Acronym combined</t>
  </si>
  <si>
    <t>ID</t>
  </si>
  <si>
    <t>Know your IT</t>
  </si>
  <si>
    <t>KYI</t>
  </si>
  <si>
    <t>OPS_KYI</t>
  </si>
  <si>
    <t>Operational securityKnow your IT</t>
  </si>
  <si>
    <t>Incident management</t>
  </si>
  <si>
    <t>IMN</t>
  </si>
  <si>
    <t>OPS_IMN</t>
  </si>
  <si>
    <t>Operational securityIncident management</t>
  </si>
  <si>
    <t>Access management</t>
  </si>
  <si>
    <t>ACM</t>
  </si>
  <si>
    <t>OPS_ACM</t>
  </si>
  <si>
    <t>Operational securityAccess management</t>
  </si>
  <si>
    <t>Privileged Access management</t>
  </si>
  <si>
    <t>PAM</t>
  </si>
  <si>
    <t>OPS_PAM</t>
  </si>
  <si>
    <t>Operational securityPrivileged Access management</t>
  </si>
  <si>
    <t>Secure your IT</t>
  </si>
  <si>
    <t>SYI</t>
  </si>
  <si>
    <t>OPS_SYI</t>
  </si>
  <si>
    <t>Operational securitySecure your IT</t>
  </si>
  <si>
    <t>Secure your Endpoints</t>
  </si>
  <si>
    <t>SYE</t>
  </si>
  <si>
    <t>OPS_SYE</t>
  </si>
  <si>
    <t>Operational securitySecure your Endpoints</t>
  </si>
  <si>
    <t>Maintain IT Security</t>
  </si>
  <si>
    <t>MIS</t>
  </si>
  <si>
    <t>OPS_MIS</t>
  </si>
  <si>
    <t>Operational securityMaintain IT Security</t>
  </si>
  <si>
    <t>Monitoring</t>
  </si>
  <si>
    <t>MON</t>
  </si>
  <si>
    <t>OPS_MON</t>
  </si>
  <si>
    <t>Operational securityMonitoring</t>
  </si>
  <si>
    <t>Evaluate your Security</t>
  </si>
  <si>
    <t>EYS</t>
  </si>
  <si>
    <t>OPS_EYS</t>
  </si>
  <si>
    <t>Operational securityEvaluate your Security</t>
  </si>
  <si>
    <t>Data cartography</t>
  </si>
  <si>
    <t>DCT</t>
  </si>
  <si>
    <t>DTP_DCT</t>
  </si>
  <si>
    <t>Data protectionData cartography</t>
  </si>
  <si>
    <t>Data classification</t>
  </si>
  <si>
    <t>DCL</t>
  </si>
  <si>
    <t>DTP_DCL</t>
  </si>
  <si>
    <t>Data protectionData classification</t>
  </si>
  <si>
    <t>DTP_MON</t>
  </si>
  <si>
    <t>Data protectionMonitoring</t>
  </si>
  <si>
    <t>Data leakage</t>
  </si>
  <si>
    <t>DLK</t>
  </si>
  <si>
    <t>DTP_DLK</t>
  </si>
  <si>
    <t>Data protectionData leakage</t>
  </si>
  <si>
    <t>Encryption</t>
  </si>
  <si>
    <t>ENC</t>
  </si>
  <si>
    <t>DTP_ENC</t>
  </si>
  <si>
    <t>Data protectionEncryption</t>
  </si>
  <si>
    <t>Anonymisation</t>
  </si>
  <si>
    <t>ANO</t>
  </si>
  <si>
    <t>DTP_ANO</t>
  </si>
  <si>
    <t>Data protectionAnonymisation</t>
  </si>
  <si>
    <t>Big Data</t>
  </si>
  <si>
    <t>BDT</t>
  </si>
  <si>
    <t>DTP_BDT</t>
  </si>
  <si>
    <t>Data protectionBig Data</t>
  </si>
  <si>
    <t>Third Parties Management</t>
  </si>
  <si>
    <t>TPM</t>
  </si>
  <si>
    <t>TPS_TPM</t>
  </si>
  <si>
    <t>Third parties and supply chainThird Parties Management</t>
  </si>
  <si>
    <t>Third Parties Access</t>
  </si>
  <si>
    <t>TPA</t>
  </si>
  <si>
    <t>TPS_TPA</t>
  </si>
  <si>
    <t>Third parties and supply chainThird Parties Access</t>
  </si>
  <si>
    <t>Monitoringand control</t>
  </si>
  <si>
    <t>MNC</t>
  </si>
  <si>
    <t>TPS_MNC</t>
  </si>
  <si>
    <t>Third parties and supply chainMonitoringand control</t>
  </si>
  <si>
    <t>End of the contract</t>
  </si>
  <si>
    <t>EOC</t>
  </si>
  <si>
    <t>TPS_EOC</t>
  </si>
  <si>
    <t>Third parties and supply chainEnd of the contract</t>
  </si>
  <si>
    <t>Analytic security</t>
  </si>
  <si>
    <t>ANS</t>
  </si>
  <si>
    <t>ADP_ANS</t>
  </si>
  <si>
    <t>Advanced protectionAnalytic security</t>
  </si>
  <si>
    <t>Cyber Incident</t>
  </si>
  <si>
    <t>CYI</t>
  </si>
  <si>
    <t>ADP_CYI</t>
  </si>
  <si>
    <t>Advanced protectionCyber Incident</t>
  </si>
  <si>
    <t>Endpoint security</t>
  </si>
  <si>
    <t>ENS</t>
  </si>
  <si>
    <t>ADP_ENS</t>
  </si>
  <si>
    <t>Advanced protectionEndpoint security</t>
  </si>
  <si>
    <t>Filtering security</t>
  </si>
  <si>
    <t>FLS</t>
  </si>
  <si>
    <t>ADP_FLS</t>
  </si>
  <si>
    <t>Advanced protectionFiltering security</t>
  </si>
  <si>
    <t>Sensitive Assets</t>
  </si>
  <si>
    <t>SEA</t>
  </si>
  <si>
    <t>ADP_SEA</t>
  </si>
  <si>
    <t>Advanced protectionSensitive Assets</t>
  </si>
  <si>
    <t>User Security</t>
  </si>
  <si>
    <t>UZS</t>
  </si>
  <si>
    <t>ADP_UZS</t>
  </si>
  <si>
    <t>Advanced protectionUser Security</t>
  </si>
  <si>
    <t>Cloud Management</t>
  </si>
  <si>
    <t>MNG</t>
  </si>
  <si>
    <t>CLD_MNG</t>
  </si>
  <si>
    <t>CloudCloud Management</t>
  </si>
  <si>
    <t>Availability</t>
  </si>
  <si>
    <t>AVA</t>
  </si>
  <si>
    <t>CLD_AVA</t>
  </si>
  <si>
    <t>CloudAvailability</t>
  </si>
  <si>
    <t>IAM</t>
  </si>
  <si>
    <t>CLD_IAM</t>
  </si>
  <si>
    <t>CloudIAM</t>
  </si>
  <si>
    <t>Data Protection</t>
  </si>
  <si>
    <t>CLD_DTP</t>
  </si>
  <si>
    <t>CloudData Protection</t>
  </si>
  <si>
    <t>CLD_IMN</t>
  </si>
  <si>
    <t>CloudIncident management</t>
  </si>
  <si>
    <t>Services access</t>
  </si>
  <si>
    <t>SAC</t>
  </si>
  <si>
    <t>CLD_SAC</t>
  </si>
  <si>
    <t>CloudServices access</t>
  </si>
  <si>
    <t>Architecture</t>
  </si>
  <si>
    <t>ARC</t>
  </si>
  <si>
    <t>CLD_ARC</t>
  </si>
  <si>
    <t>CloudArchitecture</t>
  </si>
  <si>
    <t>Access filtering</t>
  </si>
  <si>
    <t>ACF</t>
  </si>
  <si>
    <t>CLD_ACF</t>
  </si>
  <si>
    <t>CloudAccess filtering</t>
  </si>
  <si>
    <t>Infrastructure security</t>
  </si>
  <si>
    <t>IFS</t>
  </si>
  <si>
    <t>CLD_IFS</t>
  </si>
  <si>
    <t>CloudInfrastructure security</t>
  </si>
  <si>
    <t>Log management</t>
  </si>
  <si>
    <t>LGM</t>
  </si>
  <si>
    <t>CLD_LGM</t>
  </si>
  <si>
    <t>CloudLog management</t>
  </si>
  <si>
    <t>Secure Hosting Baseline</t>
  </si>
  <si>
    <t>SHB</t>
  </si>
  <si>
    <t>EXS_SHB</t>
  </si>
  <si>
    <t>Exposed servicesSecure Hosting Baseline</t>
  </si>
  <si>
    <t>Customer Identity Mangement</t>
  </si>
  <si>
    <t>CIM</t>
  </si>
  <si>
    <t>EXS_CIM</t>
  </si>
  <si>
    <t>Exposed servicesCustomer Identity Mangement</t>
  </si>
  <si>
    <t>DNS security</t>
  </si>
  <si>
    <t>DNS</t>
  </si>
  <si>
    <t>EXS_DNS</t>
  </si>
  <si>
    <t>Exposed servicesDNS security</t>
  </si>
  <si>
    <t>E-fraud</t>
  </si>
  <si>
    <t>EFD</t>
  </si>
  <si>
    <t>EXS_EFD</t>
  </si>
  <si>
    <t>Exposed servicesE-fraud</t>
  </si>
  <si>
    <t>Internet application security</t>
  </si>
  <si>
    <t>IAS</t>
  </si>
  <si>
    <t>EXS_IAS</t>
  </si>
  <si>
    <t>Exposed servicesInternet application security</t>
  </si>
  <si>
    <t>Mobile Banking Security</t>
  </si>
  <si>
    <t>MBS</t>
  </si>
  <si>
    <t>EXS_MBS</t>
  </si>
  <si>
    <t>Exposed servicesMobile Banking Security</t>
  </si>
  <si>
    <t>Open Banking and API security</t>
  </si>
  <si>
    <t>OBS</t>
  </si>
  <si>
    <t>EXS_OBS</t>
  </si>
  <si>
    <t>Exposed servicesOpen Banking and API security</t>
  </si>
  <si>
    <t>Secure usage of internet services</t>
  </si>
  <si>
    <t>SUI</t>
  </si>
  <si>
    <t>EXS_SUI</t>
  </si>
  <si>
    <t>Exposed servicesSecure usage of internet services</t>
  </si>
  <si>
    <t>Project Methodology</t>
  </si>
  <si>
    <t>PMD</t>
  </si>
  <si>
    <t>SPL_PMD</t>
  </si>
  <si>
    <t>Security in product lifecycleProject Methodology</t>
  </si>
  <si>
    <t>Agile Project Methodology</t>
  </si>
  <si>
    <t>APM</t>
  </si>
  <si>
    <t>SPL_APM</t>
  </si>
  <si>
    <t>Security in product lifecycleAgile Project Methodology</t>
  </si>
  <si>
    <t>Dev. Security</t>
  </si>
  <si>
    <t>DVS</t>
  </si>
  <si>
    <t>SPL_DVS</t>
  </si>
  <si>
    <t>Security in product lifecycleDev. Security</t>
  </si>
  <si>
    <t>Devops</t>
  </si>
  <si>
    <t>DVO</t>
  </si>
  <si>
    <t>SPL_DVO</t>
  </si>
  <si>
    <t>Security in product lifecycleDevops</t>
  </si>
  <si>
    <t>Governance</t>
  </si>
  <si>
    <t>GOV</t>
  </si>
  <si>
    <t>TAA_GOV</t>
  </si>
  <si>
    <t>Training and awarenessGovernance</t>
  </si>
  <si>
    <t>Training</t>
  </si>
  <si>
    <t>TRN</t>
  </si>
  <si>
    <t>TAA_TRN</t>
  </si>
  <si>
    <t>Training and awarenessTraining</t>
  </si>
  <si>
    <t>Awareness</t>
  </si>
  <si>
    <t>AWA</t>
  </si>
  <si>
    <t>TAA_AWA</t>
  </si>
  <si>
    <t>Training and awarenessAwareness</t>
  </si>
  <si>
    <t>Specific comunication</t>
  </si>
  <si>
    <t>SPC</t>
  </si>
  <si>
    <t>TAA_SPC</t>
  </si>
  <si>
    <t>Training and awarenessSpecific comunication</t>
  </si>
  <si>
    <t>Customer awareness</t>
  </si>
  <si>
    <t>CAW</t>
  </si>
  <si>
    <t>TAA_CAW</t>
  </si>
  <si>
    <t>Training and awarenessCustomer awareness</t>
  </si>
  <si>
    <t>Third Parties</t>
  </si>
  <si>
    <t>TPT</t>
  </si>
  <si>
    <t>TAA_TPT</t>
  </si>
  <si>
    <t>Training and awarenessThird Parties</t>
  </si>
  <si>
    <t>IFP_GOV</t>
  </si>
  <si>
    <t>Internal fraud protectionGovernance</t>
  </si>
  <si>
    <t>Prevention</t>
  </si>
  <si>
    <t>PRV</t>
  </si>
  <si>
    <t>IFP_PRV</t>
  </si>
  <si>
    <t>Internal fraud protectionPrevention</t>
  </si>
  <si>
    <t>Detection</t>
  </si>
  <si>
    <t>DET</t>
  </si>
  <si>
    <t>IFP_DET</t>
  </si>
  <si>
    <t>Internal fraud protectionDetection</t>
  </si>
  <si>
    <t>Pack EN</t>
  </si>
  <si>
    <t>Pack FR</t>
  </si>
  <si>
    <t>Theme EN</t>
  </si>
  <si>
    <t>Theme FR</t>
  </si>
  <si>
    <t>Sécurité analytique</t>
  </si>
  <si>
    <t>Incident cyber</t>
  </si>
  <si>
    <t>Sécurité des terminaux</t>
  </si>
  <si>
    <t>Sécurité des flux</t>
  </si>
  <si>
    <t>Actifs sensibles</t>
  </si>
  <si>
    <t>Sécurité des utilisateurs</t>
  </si>
  <si>
    <t>Gestion du Cloud</t>
  </si>
  <si>
    <t>Disponibilité</t>
  </si>
  <si>
    <t>Gestion des incidents</t>
  </si>
  <si>
    <t>Accès aux services</t>
  </si>
  <si>
    <t>Filtrage d'accès</t>
  </si>
  <si>
    <t>Sécurité de l'infrastructure</t>
  </si>
  <si>
    <t>Gestion des traces</t>
  </si>
  <si>
    <t>Cartographie des données</t>
  </si>
  <si>
    <t>Classification des données</t>
  </si>
  <si>
    <t>Fuite de données</t>
  </si>
  <si>
    <t>Chiffrement</t>
  </si>
  <si>
    <t>Big data</t>
  </si>
  <si>
    <t>Hébergement de référence sécurisé</t>
  </si>
  <si>
    <t>Gestion de l'identité des clients</t>
  </si>
  <si>
    <t>Sécurité du DNS</t>
  </si>
  <si>
    <t>Sécurité des applications web</t>
  </si>
  <si>
    <t>Sécurité des services bancaires mobile</t>
  </si>
  <si>
    <t>Open Banking et sécurité des API</t>
  </si>
  <si>
    <t>Utilisation sécurisée des services web</t>
  </si>
  <si>
    <t>Gouvernance</t>
  </si>
  <si>
    <t>Prévention</t>
  </si>
  <si>
    <t>Détection</t>
  </si>
  <si>
    <t>Connaître son SI</t>
  </si>
  <si>
    <t>Gestion des accès</t>
  </si>
  <si>
    <t>Gestion des accès à privilèges</t>
  </si>
  <si>
    <t>Sécuriser son SI</t>
  </si>
  <si>
    <t>Protéger ces postes de travail</t>
  </si>
  <si>
    <t>Maintenance de la sécurité du SI</t>
  </si>
  <si>
    <t>Evaluer la sécurité</t>
  </si>
  <si>
    <t>Méthodologie Projet</t>
  </si>
  <si>
    <t>Méthodologie Projet Agile</t>
  </si>
  <si>
    <t>Sécurité des développements</t>
  </si>
  <si>
    <t>Gestion des tiers</t>
  </si>
  <si>
    <t>Accès des tiers</t>
  </si>
  <si>
    <t>Suivi et contrôle</t>
  </si>
  <si>
    <t>Fin de contrat</t>
  </si>
  <si>
    <t>Formation</t>
  </si>
  <si>
    <t>Sensibilisation</t>
  </si>
  <si>
    <t>Communication spécifique</t>
  </si>
  <si>
    <t>Sensibilisation du client</t>
  </si>
  <si>
    <t>Tiers</t>
  </si>
  <si>
    <t>VERIFIED</t>
  </si>
  <si>
    <t>CISO assessment</t>
  </si>
  <si>
    <t>No alert</t>
  </si>
  <si>
    <t>Alert</t>
  </si>
  <si>
    <t>Pack</t>
  </si>
  <si>
    <t>Acronyme</t>
  </si>
  <si>
    <t>OPS_ACM_01</t>
  </si>
  <si>
    <t>OPS_ACM_02</t>
  </si>
  <si>
    <t>OPS_ACM_03</t>
  </si>
  <si>
    <t>OPS_ACM_04</t>
  </si>
  <si>
    <t>OPS_ACM_05</t>
  </si>
  <si>
    <t>OPS_ACM_06</t>
  </si>
  <si>
    <t>OPS_EYS_01</t>
  </si>
  <si>
    <t>OPS_IMN_01</t>
  </si>
  <si>
    <t>OPS_IMN_02</t>
  </si>
  <si>
    <t>OPS_IMN_03</t>
  </si>
  <si>
    <t>OPS_KYI_01</t>
  </si>
  <si>
    <t>OPS_KYI_02</t>
  </si>
  <si>
    <t>OPS_KYI_03</t>
  </si>
  <si>
    <t>OPS_KYI_04</t>
  </si>
  <si>
    <t>OPS_KYI_05</t>
  </si>
  <si>
    <t>OPS_KYI_06</t>
  </si>
  <si>
    <t>OPS_MIS_01</t>
  </si>
  <si>
    <t>OPS_MIS_02</t>
  </si>
  <si>
    <t>OPS_MIS_03</t>
  </si>
  <si>
    <t>OPS_MIS_04</t>
  </si>
  <si>
    <t>OPS_MIS_05</t>
  </si>
  <si>
    <t>OPS_MIS_06</t>
  </si>
  <si>
    <t>OPS_MIS_07</t>
  </si>
  <si>
    <t>OPS_MIS_08</t>
  </si>
  <si>
    <t>OPS_MIS_09</t>
  </si>
  <si>
    <t>OPS_MON_01</t>
  </si>
  <si>
    <t>OPS_MON_02</t>
  </si>
  <si>
    <t>OPS_MON_03</t>
  </si>
  <si>
    <t>OPS_MON_04</t>
  </si>
  <si>
    <t>OPS_MON_05</t>
  </si>
  <si>
    <t>OPS_MON_06</t>
  </si>
  <si>
    <t>OPS_PAM_01</t>
  </si>
  <si>
    <t>OPS_PAM_02</t>
  </si>
  <si>
    <t>OPS_PAM_03</t>
  </si>
  <si>
    <t>OPS_PAM_04</t>
  </si>
  <si>
    <t>OPS_PAM_05</t>
  </si>
  <si>
    <t>OPS_PAM_06</t>
  </si>
  <si>
    <t>OPS_PAM_07</t>
  </si>
  <si>
    <t>OPS_PAM_08</t>
  </si>
  <si>
    <t>OPS_PAM_09</t>
  </si>
  <si>
    <t>OPS_SYE_01</t>
  </si>
  <si>
    <t>OPS_SYI_01</t>
  </si>
  <si>
    <t>OPS_SYI_02</t>
  </si>
  <si>
    <t>OPS_SYI_03</t>
  </si>
  <si>
    <t>OPS_SYI_04</t>
  </si>
  <si>
    <t>OPS_SYI_05</t>
  </si>
  <si>
    <t>OPS_SYI_06</t>
  </si>
  <si>
    <t>OPS_SYI_07</t>
  </si>
  <si>
    <t>OPS_SYI_08</t>
  </si>
  <si>
    <t>TAA_AWA_01</t>
  </si>
  <si>
    <t>TAA_AWA_02</t>
  </si>
  <si>
    <t>TAA_AWA_03</t>
  </si>
  <si>
    <t>TAA_AWA_04</t>
  </si>
  <si>
    <t>TAA_AWA_05</t>
  </si>
  <si>
    <t>TAA_CAW_01</t>
  </si>
  <si>
    <t>TAA_GOV_01</t>
  </si>
  <si>
    <t>TAA_GOV_02</t>
  </si>
  <si>
    <t>TAA_SPC_01</t>
  </si>
  <si>
    <t>TAA_TPT_01</t>
  </si>
  <si>
    <t>TAA_TRN_01</t>
  </si>
  <si>
    <t>DTP_ANO_01</t>
  </si>
  <si>
    <t>DTP_ANO_02</t>
  </si>
  <si>
    <t>DTP_BDT_01</t>
  </si>
  <si>
    <t>DTP_BDT_02</t>
  </si>
  <si>
    <t>DTP_BDT_03</t>
  </si>
  <si>
    <t>DTP_BDT_04</t>
  </si>
  <si>
    <t>DTP_BDT_05</t>
  </si>
  <si>
    <t>DTP_BDT_06</t>
  </si>
  <si>
    <t>DTP_DCT_01</t>
  </si>
  <si>
    <t>DTP_DCT_02</t>
  </si>
  <si>
    <t>DTP_DCT_03</t>
  </si>
  <si>
    <t>DTP_DCT_04</t>
  </si>
  <si>
    <t>DTP_DCL_01</t>
  </si>
  <si>
    <t>DTP_DCL_02</t>
  </si>
  <si>
    <t>DTP_DLK_01</t>
  </si>
  <si>
    <t>DTP_DLK_02</t>
  </si>
  <si>
    <t>DTP_DLK_03</t>
  </si>
  <si>
    <t>DTP_DLK_04</t>
  </si>
  <si>
    <t>DTP_DLK_05</t>
  </si>
  <si>
    <t>DTP_DLK_06</t>
  </si>
  <si>
    <t>DTP_DLK_07</t>
  </si>
  <si>
    <t>DTP_ENC_01</t>
  </si>
  <si>
    <t>DTP_ENC_02</t>
  </si>
  <si>
    <t>DTP_ENC_03</t>
  </si>
  <si>
    <t>DTP_ENC_04</t>
  </si>
  <si>
    <t>DTP_ENC_05</t>
  </si>
  <si>
    <t>DTP_ENC_06</t>
  </si>
  <si>
    <t>DTP_ENC_07</t>
  </si>
  <si>
    <t>DTP_MON_01</t>
  </si>
  <si>
    <t>DTP_MON_02</t>
  </si>
  <si>
    <t>IFP_DET_01</t>
  </si>
  <si>
    <t>IFP_DET_02</t>
  </si>
  <si>
    <t>IFP_DET_03</t>
  </si>
  <si>
    <t>IFP_DET_04</t>
  </si>
  <si>
    <t>IFP_GOV_01</t>
  </si>
  <si>
    <t>IFP_GOV_02</t>
  </si>
  <si>
    <t>IFP_GOV_03</t>
  </si>
  <si>
    <t>IFP_PRV_01</t>
  </si>
  <si>
    <t>P1</t>
  </si>
  <si>
    <t>P2</t>
  </si>
  <si>
    <t>P3</t>
  </si>
  <si>
    <t>NC</t>
  </si>
  <si>
    <t>Local</t>
  </si>
  <si>
    <t>Hub SSI</t>
  </si>
  <si>
    <t>SG ABS</t>
  </si>
  <si>
    <t>PACK</t>
  </si>
  <si>
    <t>Completed</t>
  </si>
  <si>
    <t>Risk situation comment</t>
  </si>
  <si>
    <t>Global rollout of security packs</t>
  </si>
  <si>
    <t>Global progress</t>
  </si>
  <si>
    <t>Certified</t>
  </si>
  <si>
    <t>In progress</t>
  </si>
  <si>
    <t>To be started</t>
  </si>
  <si>
    <t>Risk accepted by entity</t>
  </si>
  <si>
    <t>/</t>
  </si>
  <si>
    <t>Measures distribution</t>
  </si>
  <si>
    <t>Current situation</t>
  </si>
  <si>
    <t>Entity remarks</t>
  </si>
  <si>
    <t>COMPLETED</t>
  </si>
  <si>
    <t>COMPLETED %</t>
  </si>
  <si>
    <t>IN SCOPE</t>
  </si>
  <si>
    <t>% RISK ACCEPTED</t>
  </si>
  <si>
    <t>BU</t>
  </si>
  <si>
    <t>Warning</t>
  </si>
  <si>
    <t>SGMADA</t>
  </si>
  <si>
    <t>EQDOM</t>
  </si>
  <si>
    <t>Méditerranée</t>
  </si>
  <si>
    <t>SGGN</t>
  </si>
  <si>
    <t>SGSN</t>
  </si>
  <si>
    <t>CGI Finance</t>
  </si>
  <si>
    <t>P0</t>
  </si>
  <si>
    <t>Madagascar</t>
  </si>
  <si>
    <t>Priority</t>
  </si>
  <si>
    <t>Measure ID</t>
  </si>
  <si>
    <t>Status</t>
  </si>
  <si>
    <t>Kick-off</t>
  </si>
  <si>
    <t>Initial end</t>
  </si>
  <si>
    <t>BRD Finance</t>
  </si>
  <si>
    <t>Implementation progress rate</t>
  </si>
  <si>
    <t>Target status</t>
  </si>
  <si>
    <t>FULL IMPLEMENTATION</t>
  </si>
  <si>
    <t>PARTIAL IMPLEMENTATION + RA</t>
  </si>
  <si>
    <t>RAF_Status_Choice</t>
  </si>
  <si>
    <t>20% déjà réalisés avant début du projet donc to be started est cohérent</t>
  </si>
  <si>
    <t>Pas de projet donc pas de suivi</t>
  </si>
  <si>
    <t>Ressources</t>
  </si>
  <si>
    <t>Not secured</t>
  </si>
  <si>
    <t>Secured</t>
  </si>
  <si>
    <t>Main actor</t>
  </si>
  <si>
    <t>&lt;Local use 1&gt;</t>
  </si>
  <si>
    <t>&lt;Local use 2&gt;</t>
  </si>
  <si>
    <t>Target scope</t>
  </si>
  <si>
    <t>Target justification (if&lt;100%)</t>
  </si>
  <si>
    <t>5.0</t>
  </si>
  <si>
    <t>Re-estimated end</t>
  </si>
  <si>
    <t>Value</t>
  </si>
  <si>
    <t>Target_Status_Choice</t>
  </si>
  <si>
    <t>CISO Comments</t>
  </si>
  <si>
    <t>TO BE DONE</t>
  </si>
  <si>
    <t>TO BE UPDATED</t>
  </si>
  <si>
    <t>SUBMITTED</t>
  </si>
  <si>
    <t>VALIDATED</t>
  </si>
  <si>
    <t>NO PROJECT</t>
  </si>
  <si>
    <t>RISK STATUS (Alert/Warning)</t>
  </si>
  <si>
    <t>DELTA (No risk/empty)</t>
  </si>
  <si>
    <t>Resource allocated</t>
  </si>
  <si>
    <t>NO PROJECT P1</t>
  </si>
  <si>
    <t>NO PROJECT P0</t>
  </si>
  <si>
    <t>NO PROJECT P2&amp;P3</t>
  </si>
  <si>
    <t>TO BE STARTED P0</t>
  </si>
  <si>
    <t>TO BE STARTED P1</t>
  </si>
  <si>
    <t>TO BE STARTED P2&amp;P3</t>
  </si>
  <si>
    <t>IN PROGRESS P0</t>
  </si>
  <si>
    <t>IN PROGRESS P2&amp;P3</t>
  </si>
  <si>
    <t>IN PROGRESS P1</t>
  </si>
  <si>
    <t>DONE P0</t>
  </si>
  <si>
    <t>DONE P1</t>
  </si>
  <si>
    <t>DONE P2&amp;P3</t>
  </si>
  <si>
    <t>CHECKED CISO P0</t>
  </si>
  <si>
    <t>CHECKED CISO P1</t>
  </si>
  <si>
    <t>CHECKED CISO P2&amp;P3</t>
  </si>
  <si>
    <t>VERIFIED P0</t>
  </si>
  <si>
    <t>VERIFIED P1</t>
  </si>
  <si>
    <t>VERIFIED P2&amp;P3</t>
  </si>
  <si>
    <t>TOTAL Impl</t>
  </si>
  <si>
    <t>WIP</t>
  </si>
  <si>
    <t>COMPLETED P0</t>
  </si>
  <si>
    <t>DELTA</t>
  </si>
  <si>
    <t>COMMITTED</t>
  </si>
  <si>
    <t>COMPLETED P1</t>
  </si>
  <si>
    <t>COMPLETED P2&amp;3</t>
  </si>
  <si>
    <t>2020 IMLP</t>
  </si>
  <si>
    <t>2021 IMPL</t>
  </si>
  <si>
    <t>2022 IMPL</t>
  </si>
  <si>
    <t>TARGET IMPL</t>
  </si>
  <si>
    <t>CURRENT IMPL</t>
  </si>
  <si>
    <t>PR_EX P0</t>
  </si>
  <si>
    <t>PR_EX P1</t>
  </si>
  <si>
    <t>PR_EX P2&amp;P3</t>
  </si>
  <si>
    <t>TOTAL PR_EX</t>
  </si>
  <si>
    <t>2020 COMMITTED</t>
  </si>
  <si>
    <t>2021 COMMITTED</t>
  </si>
  <si>
    <t>% 2020 COMMITTED</t>
  </si>
  <si>
    <t>2022 COMMITTED</t>
  </si>
  <si>
    <t>% 2021 COMMITTED</t>
  </si>
  <si>
    <t>% 2022 COMMITTED</t>
  </si>
  <si>
    <t>IN SCOPE %</t>
  </si>
  <si>
    <t>LEFT P0</t>
  </si>
  <si>
    <t>LEFT P1</t>
  </si>
  <si>
    <t>LEFT P2&amp;3</t>
  </si>
  <si>
    <t>RISK ACCEPTED P0</t>
  </si>
  <si>
    <t>RISK ACCEPTED P1</t>
  </si>
  <si>
    <t>RISK ACCEPTED P2&amp;3</t>
  </si>
  <si>
    <t xml:space="preserve">Total IMPLEMENTED </t>
  </si>
  <si>
    <t>PARTIAL IMPLEMENTATION + RA P0</t>
  </si>
  <si>
    <t>PARTIAL IMPLEMENTATION + RA P1</t>
  </si>
  <si>
    <t>PARTIAL IMPLEMENTATION + RA P2&amp;P3</t>
  </si>
  <si>
    <t>C2-Confidential</t>
  </si>
  <si>
    <t>RISK ACCEPTANCE</t>
  </si>
  <si>
    <t xml:space="preserve">CURRENT IMPL DONE </t>
  </si>
  <si>
    <t>CURRENT IMPL CHECKED CISO &amp; VERIFIED</t>
  </si>
  <si>
    <t>RISK ACCEPTED (FULL MEASURE)</t>
  </si>
  <si>
    <t>WIP %</t>
  </si>
  <si>
    <t>END</t>
  </si>
  <si>
    <t>Overview</t>
  </si>
  <si>
    <t>Total</t>
  </si>
  <si>
    <t>Target Nb</t>
  </si>
  <si>
    <t>Target Global Status</t>
  </si>
  <si>
    <t>Before DARWIN²</t>
  </si>
  <si>
    <t>BUDGET</t>
  </si>
  <si>
    <t>CP : Ahmad</t>
  </si>
  <si>
    <t>Double checked of proof done</t>
  </si>
  <si>
    <t>Check done</t>
  </si>
  <si>
    <t>CF : Mohammed</t>
  </si>
  <si>
    <t>LOD2 done</t>
  </si>
  <si>
    <t>SPL_PMD_07</t>
  </si>
  <si>
    <t>edezc</t>
  </si>
  <si>
    <t>PARTIAL IMPLEMENTATION + RA --&gt; FULL IMPLEMENTATION</t>
  </si>
  <si>
    <t>Evolution 20,00%</t>
  </si>
  <si>
    <t>&lt;required&gt; --&gt;  -</t>
  </si>
  <si>
    <t>CHECKED CISO --&gt; VERIFIED</t>
  </si>
  <si>
    <t xml:space="preserve"> --&gt; LOD2 done</t>
  </si>
  <si>
    <t>NOT APPLICABLE --&gt; PARTIAL IMPLEMENTATION + RA</t>
  </si>
  <si>
    <t>Evolution 40,00%</t>
  </si>
  <si>
    <t>NO PROJECT --&gt; IN PROGRESS</t>
  </si>
  <si>
    <t>Evolution 10,00%</t>
  </si>
  <si>
    <t xml:space="preserve"> --&gt; Secured</t>
  </si>
  <si>
    <t xml:space="preserve"> --&gt; 07/10/2021</t>
  </si>
  <si>
    <t xml:space="preserve"> --&gt; 07/12/2021</t>
  </si>
  <si>
    <t>&lt;required&gt; --&gt; BUDGET</t>
  </si>
  <si>
    <t>No alert --&gt; Warning</t>
  </si>
  <si>
    <t xml:space="preserve"> --&gt; Ressources</t>
  </si>
  <si>
    <t xml:space="preserve">Local --&gt; </t>
  </si>
  <si>
    <t xml:space="preserve"> --&gt; 25/04/2020</t>
  </si>
  <si>
    <t xml:space="preserve"> --&gt; CP : Ahmad</t>
  </si>
  <si>
    <t xml:space="preserve">FULL IMPLEMENTATION --&gt; </t>
  </si>
  <si>
    <t>Evolution -100,00%</t>
  </si>
  <si>
    <t xml:space="preserve"> - --&gt; &lt;required&gt;</t>
  </si>
  <si>
    <t>IN PROGRESS --&gt; DONE</t>
  </si>
  <si>
    <t>Warning --&gt; No alert</t>
  </si>
  <si>
    <t>Pas de projet donc pas de suivi --&gt; Double checked of proof done</t>
  </si>
  <si>
    <t>NOT APPLICABLE --&gt; FULL IMPLEMENTATION</t>
  </si>
  <si>
    <t>Evolution 100,00%</t>
  </si>
  <si>
    <t>Evolution 50,00%</t>
  </si>
  <si>
    <t xml:space="preserve"> --&gt; No alert</t>
  </si>
  <si>
    <t xml:space="preserve"> --&gt; CF : Mohammed</t>
  </si>
  <si>
    <t>DONE --&gt; CHECKED CISO</t>
  </si>
  <si>
    <t xml:space="preserve"> --&gt; Check done</t>
  </si>
  <si>
    <t>Nouvelle ligne - PARTIAL IMPLEMENTATION + RA</t>
  </si>
  <si>
    <t>Nouvelle ligne - 60,00%</t>
  </si>
  <si>
    <t>Nouvelle ligne - edezc</t>
  </si>
  <si>
    <t>Nouvelle ligne - IN PROGRESS</t>
  </si>
  <si>
    <t>Nouvelle ligne - 20,00%</t>
  </si>
  <si>
    <t>Nouvelle ligne - Hub SSI</t>
  </si>
  <si>
    <t>Nouvelle ligne - 16/06/2020</t>
  </si>
  <si>
    <t>Nouvelle ligne - AFMO</t>
  </si>
  <si>
    <t>Nouvelle ligne - Maroc</t>
  </si>
  <si>
    <t>Nouvelle ligne - EQDOM</t>
  </si>
  <si>
    <t>Nouvelle ligne - P1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</si>
</sst>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=0]&quot;Local program lead remarks here&quot;;"/>
    <numFmt numFmtId="165" formatCode=";;;"/>
  </numFmts>
  <fonts count="3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73743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8"/>
      <color theme="1" tint="0.249977111117893"/>
      <name val="Calibri"/>
      <family val="2"/>
      <scheme val="minor"/>
    </font>
    <font>
      <b/>
      <sz val="16"/>
      <color rgb="FF373743"/>
      <name val="Calibri"/>
      <family val="2"/>
      <scheme val="minor"/>
    </font>
    <font>
      <b/>
      <sz val="14"/>
      <color rgb="FF373743"/>
      <name val="Calibri"/>
      <family val="2"/>
      <scheme val="minor"/>
    </font>
    <font>
      <b/>
      <sz val="12"/>
      <color rgb="FF373743"/>
      <name val="Calibri"/>
      <family val="2"/>
      <scheme val="minor"/>
    </font>
    <font>
      <b/>
      <sz val="10"/>
      <color rgb="FF373743"/>
      <name val="Calibri"/>
      <family val="2"/>
      <scheme val="minor"/>
    </font>
    <font>
      <b/>
      <sz val="20"/>
      <color rgb="FF00CC18"/>
      <name val="Calibri"/>
      <family val="2"/>
      <scheme val="minor"/>
    </font>
    <font>
      <b/>
      <sz val="20"/>
      <name val="Calibri"/>
      <family val="2"/>
      <scheme val="minor"/>
    </font>
    <font>
      <b/>
      <sz val="20"/>
      <color rgb="FFA7A7B7"/>
      <name val="Calibri"/>
      <family val="2"/>
      <scheme val="minor"/>
    </font>
    <font>
      <b/>
      <sz val="20"/>
      <color theme="1" tint="0.34998626667073579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b/>
      <sz val="20"/>
      <color theme="1" tint="0.249977111117893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0"/>
      <color theme="1" tint="0.34998626667073579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color rgb="FF21517D"/>
      <name val="Calibri"/>
      <family val="2"/>
      <scheme val="minor"/>
    </font>
    <font>
      <sz val="11"/>
      <color theme="1"/>
      <name val="Consolas"/>
      <family val="3"/>
    </font>
    <font>
      <b/>
      <sz val="10"/>
      <color theme="1"/>
      <name val="Consolas"/>
      <family val="3"/>
    </font>
    <font>
      <sz val="10"/>
      <color theme="1"/>
      <name val="Consolas"/>
      <family val="3"/>
    </font>
    <font>
      <b/>
      <sz val="11"/>
      <color theme="1"/>
      <name val="Consolas"/>
      <family val="3"/>
    </font>
    <font>
      <b/>
      <sz val="9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9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21517D"/>
        <bgColor indexed="64"/>
      </patternFill>
    </fill>
    <fill>
      <patternFill patternType="solid">
        <fgColor rgb="FFFFFF2D"/>
        <bgColor indexed="64"/>
      </patternFill>
    </fill>
    <fill>
      <patternFill patternType="solid">
        <fgColor theme="9" tint="0.39997558519241921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theme="5"/>
      </top>
      <bottom style="thin">
        <color theme="5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/>
      <bottom style="thick">
        <color rgb="FF373743"/>
      </bottom>
      <diagonal/>
    </border>
    <border>
      <left/>
      <right/>
      <top style="dotted">
        <color rgb="FF373743"/>
      </top>
      <bottom style="dotted">
        <color rgb="FF373743"/>
      </bottom>
      <diagonal/>
    </border>
    <border>
      <left/>
      <right/>
      <top style="dotted">
        <color rgb="FF373743"/>
      </top>
      <bottom style="thin">
        <color rgb="FFEAEAEE"/>
      </bottom>
      <diagonal/>
    </border>
    <border>
      <left/>
      <right/>
      <top/>
      <bottom style="thin">
        <color rgb="FFEAEAEE"/>
      </bottom>
      <diagonal/>
    </border>
    <border>
      <left/>
      <right/>
      <top style="thin">
        <color rgb="FFEAEAEE"/>
      </top>
      <bottom style="thin">
        <color rgb="FFEAEAEE"/>
      </bottom>
      <diagonal/>
    </border>
    <border>
      <left/>
      <right/>
      <top style="thin">
        <color rgb="FFEAEAEE"/>
      </top>
      <bottom style="dotted">
        <color auto="1"/>
      </bottom>
      <diagonal/>
    </border>
    <border>
      <left/>
      <right/>
      <top style="thin">
        <color rgb="FFEAEAEE"/>
      </top>
      <bottom style="dashed">
        <color rgb="FF373743"/>
      </bottom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double">
        <color rgb="FFC00000"/>
      </left>
      <right/>
      <top/>
      <bottom/>
      <diagonal/>
    </border>
    <border>
      <left/>
      <right/>
      <top style="thin">
        <color theme="5"/>
      </top>
      <bottom/>
      <diagonal/>
    </border>
    <border>
      <left style="double">
        <color rgb="FFFF0000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/>
      <right style="double">
        <color rgb="FFC00000"/>
      </right>
      <top/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82">
    <xf numFmtId="0" fontId="0" fillId="0" borderId="0" xfId="0"/>
    <xf numFmtId="0" fontId="0" fillId="0" borderId="0" xfId="0" applyProtection="1">
      <protection locked="0"/>
    </xf>
    <xf numFmtId="0" fontId="0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hidden="1"/>
    </xf>
    <xf numFmtId="2" fontId="3" fillId="0" borderId="0" xfId="0" applyNumberFormat="1" applyFont="1" applyAlignment="1" applyProtection="1">
      <alignment horizontal="left" vertical="center"/>
      <protection hidden="1"/>
    </xf>
    <xf numFmtId="9" fontId="0" fillId="0" borderId="0" xfId="0" applyNumberFormat="1" applyProtection="1">
      <protection locked="0"/>
    </xf>
    <xf numFmtId="1" fontId="3" fillId="0" borderId="0" xfId="0" applyNumberFormat="1" applyFont="1" applyAlignment="1" applyProtection="1">
      <alignment horizontal="left" vertical="center"/>
      <protection hidden="1"/>
    </xf>
    <xf numFmtId="2" fontId="3" fillId="0" borderId="0" xfId="0" quotePrefix="1" applyNumberFormat="1" applyFont="1" applyAlignment="1" applyProtection="1">
      <alignment horizontal="left" vertical="center"/>
      <protection hidden="1"/>
    </xf>
    <xf numFmtId="2" fontId="3" fillId="0" borderId="0" xfId="0" applyNumberFormat="1" applyFont="1" applyFill="1" applyAlignment="1" applyProtection="1">
      <alignment horizontal="left" vertical="center"/>
      <protection hidden="1"/>
    </xf>
    <xf numFmtId="1" fontId="0" fillId="0" borderId="0" xfId="0" applyNumberFormat="1" applyAlignment="1" applyProtection="1">
      <alignment horizontal="left"/>
      <protection locked="0"/>
    </xf>
    <xf numFmtId="0" fontId="0" fillId="0" borderId="0" xfId="0" applyAlignment="1">
      <alignment vertical="center" wrapText="1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ill="1"/>
    <xf numFmtId="0" fontId="1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5" fillId="0" borderId="0" xfId="0" applyFont="1" applyBorder="1" applyAlignment="1">
      <alignment horizontal="left"/>
    </xf>
    <xf numFmtId="0" fontId="5" fillId="0" borderId="0" xfId="0" applyFont="1" applyAlignment="1" applyProtection="1">
      <alignment horizontal="left"/>
      <protection locked="0"/>
    </xf>
    <xf numFmtId="0" fontId="8" fillId="0" borderId="0" xfId="0" applyFont="1" applyAlignment="1">
      <alignment horizontal="center" vertical="center" wrapText="1"/>
    </xf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1" fontId="5" fillId="0" borderId="0" xfId="0" applyNumberFormat="1" applyFont="1" applyBorder="1" applyAlignment="1">
      <alignment horizontal="left"/>
    </xf>
    <xf numFmtId="0" fontId="5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4" xfId="0" applyFont="1" applyBorder="1"/>
    <xf numFmtId="0" fontId="0" fillId="0" borderId="0" xfId="0" applyFont="1" applyFill="1" applyProtection="1">
      <protection hidden="1"/>
    </xf>
    <xf numFmtId="0" fontId="3" fillId="0" borderId="0" xfId="0" applyFont="1" applyFill="1" applyProtection="1">
      <protection hidden="1"/>
    </xf>
    <xf numFmtId="0" fontId="11" fillId="0" borderId="0" xfId="0" applyFont="1" applyFill="1" applyBorder="1" applyAlignment="1" applyProtection="1">
      <alignment vertical="center"/>
      <protection hidden="1"/>
    </xf>
    <xf numFmtId="0" fontId="9" fillId="0" borderId="0" xfId="0" applyFont="1" applyFill="1" applyAlignment="1" applyProtection="1">
      <alignment horizontal="center" vertical="center"/>
      <protection hidden="1"/>
    </xf>
    <xf numFmtId="0" fontId="12" fillId="0" borderId="8" xfId="0" applyFont="1" applyFill="1" applyBorder="1" applyProtection="1">
      <protection hidden="1"/>
    </xf>
    <xf numFmtId="0" fontId="13" fillId="0" borderId="0" xfId="0" applyFont="1" applyFill="1" applyProtection="1">
      <protection hidden="1"/>
    </xf>
    <xf numFmtId="0" fontId="12" fillId="0" borderId="9" xfId="0" applyFont="1" applyFill="1" applyBorder="1" applyProtection="1">
      <protection hidden="1"/>
    </xf>
    <xf numFmtId="0" fontId="12" fillId="0" borderId="10" xfId="0" applyFont="1" applyFill="1" applyBorder="1" applyProtection="1">
      <protection hidden="1"/>
    </xf>
    <xf numFmtId="0" fontId="12" fillId="0" borderId="11" xfId="0" applyFont="1" applyFill="1" applyBorder="1" applyProtection="1">
      <protection hidden="1"/>
    </xf>
    <xf numFmtId="9" fontId="14" fillId="0" borderId="12" xfId="1" applyFont="1" applyFill="1" applyBorder="1" applyAlignment="1" applyProtection="1">
      <alignment horizontal="right" vertical="center"/>
      <protection hidden="1"/>
    </xf>
    <xf numFmtId="9" fontId="15" fillId="0" borderId="12" xfId="1" applyFont="1" applyFill="1" applyBorder="1" applyAlignment="1" applyProtection="1">
      <alignment horizontal="center" vertical="center"/>
      <protection hidden="1"/>
    </xf>
    <xf numFmtId="9" fontId="16" fillId="0" borderId="12" xfId="1" applyFont="1" applyFill="1" applyBorder="1" applyAlignment="1" applyProtection="1">
      <alignment horizontal="left" vertical="center"/>
      <protection hidden="1"/>
    </xf>
    <xf numFmtId="9" fontId="17" fillId="0" borderId="12" xfId="1" applyFont="1" applyFill="1" applyBorder="1" applyAlignment="1" applyProtection="1">
      <alignment horizontal="left" vertical="center"/>
      <protection hidden="1"/>
    </xf>
    <xf numFmtId="9" fontId="18" fillId="0" borderId="0" xfId="1" applyFont="1" applyFill="1" applyAlignment="1" applyProtection="1">
      <alignment horizontal="center" vertical="center"/>
      <protection hidden="1"/>
    </xf>
    <xf numFmtId="0" fontId="19" fillId="0" borderId="13" xfId="0" applyFont="1" applyFill="1" applyBorder="1" applyAlignment="1" applyProtection="1">
      <alignment horizontal="left" vertical="center" indent="1"/>
      <protection hidden="1"/>
    </xf>
    <xf numFmtId="0" fontId="0" fillId="0" borderId="0" xfId="0" applyFont="1" applyFill="1" applyAlignment="1" applyProtection="1">
      <alignment horizontal="left" vertical="center" indent="3"/>
      <protection hidden="1"/>
    </xf>
    <xf numFmtId="0" fontId="0" fillId="0" borderId="20" xfId="0" applyFont="1" applyFill="1" applyBorder="1" applyAlignment="1" applyProtection="1">
      <protection hidden="1"/>
    </xf>
    <xf numFmtId="0" fontId="0" fillId="0" borderId="0" xfId="0" applyFont="1" applyFill="1" applyBorder="1" applyAlignment="1" applyProtection="1">
      <protection hidden="1"/>
    </xf>
    <xf numFmtId="164" fontId="0" fillId="0" borderId="0" xfId="0" applyNumberFormat="1" applyFont="1" applyFill="1" applyBorder="1" applyAlignment="1" applyProtection="1">
      <alignment vertical="top"/>
      <protection hidden="1"/>
    </xf>
    <xf numFmtId="9" fontId="21" fillId="0" borderId="0" xfId="1" applyFont="1" applyFill="1" applyAlignment="1" applyProtection="1">
      <alignment horizontal="center" vertical="center"/>
      <protection hidden="1"/>
    </xf>
    <xf numFmtId="0" fontId="22" fillId="0" borderId="0" xfId="0" applyFont="1" applyFill="1" applyAlignment="1" applyProtection="1">
      <alignment horizontal="right"/>
      <protection hidden="1"/>
    </xf>
    <xf numFmtId="9" fontId="0" fillId="0" borderId="0" xfId="0" quotePrefix="1" applyNumberFormat="1" applyProtection="1">
      <protection locked="0"/>
    </xf>
    <xf numFmtId="0" fontId="0" fillId="0" borderId="0" xfId="0" applyAlignment="1" applyProtection="1">
      <alignment vertical="center"/>
      <protection locked="0"/>
    </xf>
    <xf numFmtId="0" fontId="23" fillId="0" borderId="0" xfId="0" applyFont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7" fillId="0" borderId="21" xfId="0" applyFont="1" applyBorder="1" applyAlignment="1" applyProtection="1">
      <alignment vertical="center" wrapText="1"/>
      <protection locked="0"/>
    </xf>
    <xf numFmtId="0" fontId="7" fillId="0" borderId="0" xfId="0" applyFont="1" applyBorder="1" applyAlignment="1" applyProtection="1">
      <alignment horizontal="center" vertical="center" wrapText="1"/>
      <protection locked="0"/>
    </xf>
    <xf numFmtId="0" fontId="7" fillId="0" borderId="0" xfId="0" applyFont="1" applyBorder="1" applyAlignment="1" applyProtection="1">
      <alignment vertical="center" wrapText="1"/>
      <protection locked="0"/>
    </xf>
    <xf numFmtId="0" fontId="25" fillId="4" borderId="22" xfId="0" applyFont="1" applyFill="1" applyBorder="1" applyAlignment="1">
      <alignment horizontal="left"/>
    </xf>
    <xf numFmtId="0" fontId="0" fillId="0" borderId="4" xfId="0" applyFont="1" applyBorder="1" applyProtection="1">
      <protection locked="0"/>
    </xf>
    <xf numFmtId="0" fontId="0" fillId="0" borderId="22" xfId="0" applyFont="1" applyBorder="1" applyAlignment="1">
      <alignment horizontal="center" vertical="center"/>
    </xf>
    <xf numFmtId="0" fontId="7" fillId="0" borderId="23" xfId="0" applyFont="1" applyBorder="1" applyAlignment="1" applyProtection="1">
      <alignment horizontal="center" vertical="center" wrapText="1"/>
      <protection locked="0"/>
    </xf>
    <xf numFmtId="9" fontId="7" fillId="0" borderId="0" xfId="0" applyNumberFormat="1" applyFont="1" applyAlignment="1" applyProtection="1">
      <alignment horizontal="center" vertical="center" wrapText="1"/>
      <protection locked="0"/>
    </xf>
    <xf numFmtId="0" fontId="7" fillId="0" borderId="0" xfId="0" applyFont="1" applyBorder="1" applyAlignment="1" applyProtection="1">
      <alignment horizontal="left" vertical="center" wrapText="1"/>
      <protection locked="0"/>
    </xf>
    <xf numFmtId="0" fontId="7" fillId="0" borderId="21" xfId="0" applyNumberFormat="1" applyFont="1" applyBorder="1" applyAlignment="1" applyProtection="1">
      <alignment horizontal="center" vertical="center" wrapText="1"/>
      <protection locked="0"/>
    </xf>
    <xf numFmtId="9" fontId="0" fillId="0" borderId="22" xfId="0" applyNumberFormat="1" applyFont="1" applyBorder="1" applyAlignment="1">
      <alignment horizontal="center" vertical="center"/>
    </xf>
    <xf numFmtId="0" fontId="0" fillId="0" borderId="0" xfId="0" applyFill="1" applyAlignment="1" applyProtection="1">
      <alignment vertical="center"/>
      <protection locked="0"/>
    </xf>
    <xf numFmtId="0" fontId="27" fillId="0" borderId="0" xfId="0" applyFont="1" applyAlignment="1" applyProtection="1">
      <alignment horizontal="center" vertical="center"/>
      <protection locked="0"/>
    </xf>
    <xf numFmtId="0" fontId="25" fillId="4" borderId="25" xfId="0" applyFont="1" applyFill="1" applyBorder="1"/>
    <xf numFmtId="49" fontId="0" fillId="0" borderId="26" xfId="0" applyNumberFormat="1" applyFont="1" applyBorder="1" applyAlignment="1">
      <alignment horizontal="center" vertical="center"/>
    </xf>
    <xf numFmtId="0" fontId="26" fillId="8" borderId="0" xfId="0" applyFont="1" applyFill="1" applyAlignment="1" applyProtection="1">
      <alignment horizontal="center" vertical="center" wrapText="1"/>
    </xf>
    <xf numFmtId="0" fontId="26" fillId="5" borderId="23" xfId="0" applyFont="1" applyFill="1" applyBorder="1" applyAlignment="1" applyProtection="1">
      <alignment horizontal="center" vertical="center" wrapText="1"/>
    </xf>
    <xf numFmtId="0" fontId="26" fillId="5" borderId="0" xfId="0" applyFont="1" applyFill="1" applyBorder="1" applyAlignment="1" applyProtection="1">
      <alignment horizontal="center" vertical="center" wrapText="1"/>
    </xf>
    <xf numFmtId="14" fontId="7" fillId="0" borderId="0" xfId="0" applyNumberFormat="1" applyFont="1" applyBorder="1" applyAlignment="1" applyProtection="1">
      <alignment horizontal="center" vertical="center"/>
      <protection locked="0"/>
    </xf>
    <xf numFmtId="9" fontId="7" fillId="0" borderId="0" xfId="1" applyFont="1" applyBorder="1" applyAlignment="1" applyProtection="1">
      <alignment horizontal="center" vertical="center" wrapText="1"/>
      <protection locked="0"/>
    </xf>
    <xf numFmtId="0" fontId="26" fillId="6" borderId="23" xfId="0" applyFont="1" applyFill="1" applyBorder="1" applyAlignment="1" applyProtection="1">
      <alignment horizontal="center" vertical="center" wrapText="1"/>
    </xf>
    <xf numFmtId="0" fontId="26" fillId="6" borderId="0" xfId="0" applyFont="1" applyFill="1" applyBorder="1" applyAlignment="1" applyProtection="1">
      <alignment horizontal="center" vertical="center" wrapText="1"/>
    </xf>
    <xf numFmtId="0" fontId="26" fillId="7" borderId="21" xfId="0" applyFont="1" applyFill="1" applyBorder="1" applyAlignment="1" applyProtection="1">
      <alignment horizontal="center" vertical="center" wrapText="1"/>
    </xf>
    <xf numFmtId="0" fontId="26" fillId="7" borderId="0" xfId="0" applyFont="1" applyFill="1" applyAlignment="1" applyProtection="1">
      <alignment horizontal="center" vertical="center" wrapText="1"/>
    </xf>
    <xf numFmtId="0" fontId="24" fillId="3" borderId="21" xfId="0" applyFont="1" applyFill="1" applyBorder="1" applyAlignment="1" applyProtection="1">
      <alignment horizontal="center" vertical="center" wrapText="1"/>
    </xf>
    <xf numFmtId="0" fontId="28" fillId="0" borderId="0" xfId="0" applyFont="1" applyAlignment="1" applyProtection="1">
      <alignment horizontal="center" vertical="center"/>
    </xf>
    <xf numFmtId="0" fontId="28" fillId="0" borderId="0" xfId="0" applyFont="1" applyAlignment="1" applyProtection="1">
      <alignment vertical="center"/>
    </xf>
    <xf numFmtId="9" fontId="28" fillId="0" borderId="23" xfId="1" applyFont="1" applyBorder="1" applyAlignment="1" applyProtection="1">
      <alignment horizontal="center" vertical="center" wrapText="1"/>
      <protection locked="0"/>
    </xf>
    <xf numFmtId="9" fontId="7" fillId="0" borderId="0" xfId="0" quotePrefix="1" applyNumberFormat="1" applyFont="1" applyBorder="1" applyAlignment="1" applyProtection="1">
      <alignment horizontal="center" vertical="center" wrapText="1"/>
      <protection locked="0"/>
    </xf>
    <xf numFmtId="0" fontId="24" fillId="3" borderId="27" xfId="0" applyFont="1" applyFill="1" applyBorder="1" applyAlignment="1" applyProtection="1">
      <alignment horizontal="center" vertical="center" wrapText="1"/>
    </xf>
    <xf numFmtId="0" fontId="4" fillId="10" borderId="0" xfId="0" applyFont="1" applyFill="1" applyProtection="1">
      <protection locked="0"/>
    </xf>
    <xf numFmtId="0" fontId="0" fillId="10" borderId="0" xfId="0" applyFill="1" applyProtection="1">
      <protection locked="0"/>
    </xf>
    <xf numFmtId="0" fontId="29" fillId="0" borderId="0" xfId="0" applyFont="1" applyProtection="1">
      <protection locked="0"/>
    </xf>
    <xf numFmtId="1" fontId="29" fillId="0" borderId="0" xfId="0" applyNumberFormat="1" applyFont="1" applyProtection="1">
      <protection locked="0"/>
    </xf>
    <xf numFmtId="0" fontId="29" fillId="0" borderId="0" xfId="0" applyNumberFormat="1" applyFont="1" applyProtection="1">
      <protection locked="0"/>
    </xf>
    <xf numFmtId="0" fontId="29" fillId="0" borderId="0" xfId="0" applyFont="1" applyFill="1" applyProtection="1">
      <protection locked="0"/>
    </xf>
    <xf numFmtId="0" fontId="30" fillId="0" borderId="2" xfId="0" applyFont="1" applyFill="1" applyBorder="1" applyAlignment="1" applyProtection="1">
      <alignment horizontal="left" vertical="center"/>
      <protection locked="0"/>
    </xf>
    <xf numFmtId="0" fontId="30" fillId="0" borderId="2" xfId="0" applyFont="1" applyFill="1" applyBorder="1" applyAlignment="1" applyProtection="1">
      <alignment horizontal="left" vertical="center" wrapText="1"/>
      <protection locked="0"/>
    </xf>
    <xf numFmtId="0" fontId="30" fillId="0" borderId="3" xfId="0" applyFont="1" applyFill="1" applyBorder="1" applyAlignment="1" applyProtection="1">
      <alignment horizontal="left" vertical="center" wrapText="1"/>
      <protection locked="0"/>
    </xf>
    <xf numFmtId="0" fontId="29" fillId="0" borderId="24" xfId="0" applyFont="1" applyFill="1" applyBorder="1" applyProtection="1">
      <protection locked="0"/>
    </xf>
    <xf numFmtId="0" fontId="29" fillId="0" borderId="24" xfId="0" applyFont="1" applyBorder="1" applyProtection="1">
      <protection locked="0"/>
    </xf>
    <xf numFmtId="0" fontId="30" fillId="0" borderId="3" xfId="0" applyFont="1" applyFill="1" applyBorder="1" applyAlignment="1" applyProtection="1">
      <alignment horizontal="left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28" fillId="0" borderId="0" xfId="0" applyNumberFormat="1" applyFont="1" applyFill="1" applyAlignment="1" applyProtection="1">
      <alignment horizontal="center" vertical="center"/>
      <protection locked="0"/>
    </xf>
    <xf numFmtId="0" fontId="28" fillId="0" borderId="0" xfId="0" applyNumberFormat="1" applyFont="1" applyFill="1" applyAlignment="1" applyProtection="1">
      <alignment vertical="center" wrapText="1"/>
      <protection locked="0"/>
    </xf>
    <xf numFmtId="0" fontId="30" fillId="0" borderId="2" xfId="0" applyFont="1" applyBorder="1" applyAlignment="1" applyProtection="1">
      <alignment horizontal="left" vertical="center"/>
      <protection locked="0"/>
    </xf>
    <xf numFmtId="0" fontId="29" fillId="0" borderId="0" xfId="0" applyFont="1" applyBorder="1" applyProtection="1">
      <protection locked="0"/>
    </xf>
    <xf numFmtId="0" fontId="29" fillId="0" borderId="0" xfId="0" applyFont="1" applyFill="1" applyBorder="1" applyProtection="1">
      <protection locked="0"/>
    </xf>
    <xf numFmtId="0" fontId="30" fillId="9" borderId="2" xfId="0" applyFont="1" applyFill="1" applyBorder="1" applyAlignment="1" applyProtection="1">
      <alignment horizontal="left" vertical="center" wrapText="1"/>
      <protection locked="0"/>
    </xf>
    <xf numFmtId="0" fontId="29" fillId="9" borderId="0" xfId="0" applyFont="1" applyFill="1" applyProtection="1">
      <protection locked="0"/>
    </xf>
    <xf numFmtId="0" fontId="29" fillId="9" borderId="0" xfId="0" applyNumberFormat="1" applyFont="1" applyFill="1" applyProtection="1">
      <protection locked="0"/>
    </xf>
    <xf numFmtId="10" fontId="29" fillId="0" borderId="0" xfId="1" quotePrefix="1" applyNumberFormat="1" applyFont="1" applyProtection="1">
      <protection locked="0"/>
    </xf>
    <xf numFmtId="10" fontId="29" fillId="0" borderId="0" xfId="1" applyNumberFormat="1" applyFont="1" applyProtection="1">
      <protection locked="0"/>
    </xf>
    <xf numFmtId="10" fontId="0" fillId="0" borderId="0" xfId="1" applyNumberFormat="1" applyFont="1" applyProtection="1">
      <protection locked="0"/>
    </xf>
    <xf numFmtId="10" fontId="29" fillId="0" borderId="0" xfId="0" applyNumberFormat="1" applyFont="1" applyProtection="1">
      <protection locked="0"/>
    </xf>
    <xf numFmtId="10" fontId="29" fillId="0" borderId="0" xfId="0" applyNumberFormat="1" applyFont="1" applyAlignment="1" applyProtection="1">
      <alignment wrapText="1"/>
      <protection locked="0"/>
    </xf>
    <xf numFmtId="10" fontId="29" fillId="11" borderId="0" xfId="0" quotePrefix="1" applyNumberFormat="1" applyFont="1" applyFill="1" applyBorder="1" applyAlignment="1" applyProtection="1">
      <alignment wrapText="1"/>
      <protection locked="0"/>
    </xf>
    <xf numFmtId="10" fontId="29" fillId="11" borderId="0" xfId="0" applyNumberFormat="1" applyFont="1" applyFill="1" applyBorder="1" applyAlignment="1" applyProtection="1">
      <alignment wrapText="1"/>
      <protection locked="0"/>
    </xf>
    <xf numFmtId="0" fontId="30" fillId="11" borderId="2" xfId="0" applyFont="1" applyFill="1" applyBorder="1" applyAlignment="1" applyProtection="1">
      <alignment horizontal="left" vertical="center" wrapText="1"/>
      <protection locked="0"/>
    </xf>
    <xf numFmtId="10" fontId="29" fillId="11" borderId="0" xfId="1" applyNumberFormat="1" applyFont="1" applyFill="1"/>
    <xf numFmtId="10" fontId="0" fillId="11" borderId="0" xfId="1" applyNumberFormat="1" applyFont="1" applyFill="1" applyProtection="1">
      <protection locked="0"/>
    </xf>
    <xf numFmtId="10" fontId="0" fillId="0" borderId="0" xfId="0" applyNumberFormat="1" applyProtection="1">
      <protection locked="0"/>
    </xf>
    <xf numFmtId="9" fontId="29" fillId="0" borderId="0" xfId="1" applyFont="1" applyFill="1" applyProtection="1">
      <protection locked="0"/>
    </xf>
    <xf numFmtId="0" fontId="29" fillId="0" borderId="0" xfId="0" quotePrefix="1" applyFont="1" applyFill="1" applyProtection="1">
      <protection locked="0"/>
    </xf>
    <xf numFmtId="0" fontId="32" fillId="0" borderId="0" xfId="0" applyFont="1" applyFill="1" applyProtection="1">
      <protection locked="0"/>
    </xf>
    <xf numFmtId="0" fontId="30" fillId="9" borderId="3" xfId="0" applyFont="1" applyFill="1" applyBorder="1" applyAlignment="1" applyProtection="1">
      <alignment horizontal="left" vertical="center" wrapText="1"/>
      <protection locked="0"/>
    </xf>
    <xf numFmtId="0" fontId="29" fillId="9" borderId="24" xfId="0" applyFont="1" applyFill="1" applyBorder="1" applyProtection="1">
      <protection locked="0"/>
    </xf>
    <xf numFmtId="0" fontId="30" fillId="12" borderId="2" xfId="0" applyFont="1" applyFill="1" applyBorder="1" applyAlignment="1" applyProtection="1">
      <alignment horizontal="left" vertical="center"/>
      <protection locked="0"/>
    </xf>
    <xf numFmtId="0" fontId="30" fillId="12" borderId="0" xfId="0" applyFont="1" applyFill="1" applyBorder="1" applyAlignment="1" applyProtection="1">
      <alignment horizontal="left" vertical="center" wrapText="1"/>
      <protection locked="0"/>
    </xf>
    <xf numFmtId="10" fontId="32" fillId="0" borderId="0" xfId="0" applyNumberFormat="1" applyFont="1" applyFill="1" applyProtection="1">
      <protection locked="0"/>
    </xf>
    <xf numFmtId="0" fontId="32" fillId="9" borderId="0" xfId="0" applyFont="1" applyFill="1" applyProtection="1">
      <protection locked="0"/>
    </xf>
    <xf numFmtId="0" fontId="29" fillId="11" borderId="0" xfId="0" applyFont="1" applyFill="1" applyProtection="1">
      <protection locked="0"/>
    </xf>
    <xf numFmtId="0" fontId="32" fillId="11" borderId="0" xfId="0" applyFont="1" applyFill="1" applyProtection="1">
      <protection locked="0"/>
    </xf>
    <xf numFmtId="9" fontId="32" fillId="0" borderId="0" xfId="1" applyFont="1" applyFill="1" applyProtection="1">
      <protection locked="0"/>
    </xf>
    <xf numFmtId="10" fontId="32" fillId="0" borderId="0" xfId="1" applyNumberFormat="1" applyFont="1" applyFill="1" applyProtection="1">
      <protection locked="0"/>
    </xf>
    <xf numFmtId="10" fontId="29" fillId="0" borderId="0" xfId="1" applyNumberFormat="1" applyFont="1" applyFill="1" applyBorder="1" applyProtection="1">
      <protection locked="0"/>
    </xf>
    <xf numFmtId="0" fontId="29" fillId="9" borderId="24" xfId="0" applyFont="1" applyFill="1" applyBorder="1" applyAlignment="1" applyProtection="1">
      <alignment wrapText="1"/>
      <protection locked="0"/>
    </xf>
    <xf numFmtId="10" fontId="32" fillId="9" borderId="0" xfId="1" applyNumberFormat="1" applyFont="1" applyFill="1" applyProtection="1">
      <protection locked="0"/>
    </xf>
    <xf numFmtId="10" fontId="32" fillId="0" borderId="0" xfId="1" quotePrefix="1" applyNumberFormat="1" applyFont="1" applyFill="1" applyProtection="1">
      <protection locked="0"/>
    </xf>
    <xf numFmtId="0" fontId="31" fillId="0" borderId="0" xfId="0" applyFont="1" applyFill="1" applyAlignment="1">
      <alignment horizontal="center" vertical="center" wrapText="1"/>
    </xf>
    <xf numFmtId="10" fontId="29" fillId="9" borderId="0" xfId="0" applyNumberFormat="1" applyFont="1" applyFill="1" applyBorder="1" applyProtection="1">
      <protection locked="0"/>
    </xf>
    <xf numFmtId="0" fontId="29" fillId="0" borderId="28" xfId="0" applyFont="1" applyFill="1" applyBorder="1"/>
    <xf numFmtId="0" fontId="0" fillId="0" borderId="28" xfId="0" applyBorder="1" applyProtection="1">
      <protection locked="0"/>
    </xf>
    <xf numFmtId="0" fontId="30" fillId="0" borderId="28" xfId="0" applyFont="1" applyFill="1" applyBorder="1" applyAlignment="1">
      <alignment horizontal="center" vertical="center"/>
    </xf>
    <xf numFmtId="165" fontId="0" fillId="0" borderId="0" xfId="0" applyNumberFormat="1" applyProtection="1">
      <protection locked="0"/>
    </xf>
    <xf numFmtId="165" fontId="0" fillId="0" borderId="28" xfId="1" quotePrefix="1" applyNumberFormat="1" applyFont="1" applyBorder="1" applyProtection="1">
      <protection locked="0"/>
    </xf>
    <xf numFmtId="165" fontId="0" fillId="0" borderId="28" xfId="1" applyNumberFormat="1" applyFont="1" applyBorder="1" applyProtection="1">
      <protection locked="0"/>
    </xf>
    <xf numFmtId="1" fontId="1" fillId="0" borderId="28" xfId="1" quotePrefix="1" applyNumberFormat="1" applyFont="1" applyBorder="1" applyProtection="1">
      <protection locked="0"/>
    </xf>
    <xf numFmtId="1" fontId="1" fillId="0" borderId="28" xfId="1" applyNumberFormat="1" applyFont="1" applyBorder="1" applyProtection="1">
      <protection locked="0"/>
    </xf>
    <xf numFmtId="0" fontId="1" fillId="0" borderId="28" xfId="0" applyFont="1" applyBorder="1" applyAlignment="1" applyProtection="1">
      <alignment horizontal="center" vertical="center"/>
      <protection locked="0"/>
    </xf>
    <xf numFmtId="0" fontId="1" fillId="0" borderId="28" xfId="0" applyFont="1" applyBorder="1" applyAlignment="1" applyProtection="1">
      <alignment horizontal="center" vertical="center" wrapText="1"/>
      <protection locked="0"/>
    </xf>
    <xf numFmtId="9" fontId="0" fillId="0" borderId="0" xfId="0" applyNumberFormat="1" applyAlignment="1" applyProtection="1">
      <alignment horizontal="center" vertical="center"/>
      <protection locked="0"/>
    </xf>
    <xf numFmtId="0" fontId="0" fillId="0" borderId="4" xfId="0" applyFont="1" applyBorder="1" applyAlignment="1">
      <alignment horizontal="center" vertical="center"/>
    </xf>
    <xf numFmtId="14" fontId="7" fillId="9" borderId="0" xfId="0" applyNumberFormat="1" applyFont="1" applyFill="1" applyBorder="1" applyAlignment="1" applyProtection="1">
      <alignment horizontal="center" vertical="center"/>
      <protection locked="0"/>
    </xf>
    <xf numFmtId="9" fontId="28" fillId="9" borderId="23" xfId="1" applyFont="1" applyFill="1" applyBorder="1" applyAlignment="1" applyProtection="1">
      <alignment horizontal="center" vertical="center" wrapText="1"/>
      <protection locked="0"/>
    </xf>
    <xf numFmtId="9" fontId="7" fillId="9" borderId="0" xfId="1" applyFont="1" applyFill="1" applyBorder="1" applyAlignment="1" applyProtection="1">
      <alignment horizontal="center" vertical="center" wrapText="1"/>
      <protection locked="0"/>
    </xf>
    <xf numFmtId="9" fontId="7" fillId="9" borderId="0" xfId="0" quotePrefix="1" applyNumberFormat="1" applyFont="1" applyFill="1" applyBorder="1" applyAlignment="1" applyProtection="1">
      <alignment horizontal="center" vertical="center" wrapText="1"/>
      <protection locked="0"/>
    </xf>
    <xf numFmtId="0" fontId="7" fillId="9" borderId="23" xfId="0" applyFont="1" applyFill="1" applyBorder="1" applyAlignment="1" applyProtection="1">
      <alignment horizontal="center" vertical="center" wrapText="1"/>
      <protection locked="0"/>
    </xf>
    <xf numFmtId="9" fontId="7" fillId="9" borderId="0" xfId="0" applyNumberFormat="1" applyFont="1" applyFill="1" applyAlignment="1" applyProtection="1">
      <alignment horizontal="center" vertical="center" wrapText="1"/>
      <protection locked="0"/>
    </xf>
    <xf numFmtId="0" fontId="7" fillId="9" borderId="0" xfId="0" applyFont="1" applyFill="1" applyBorder="1" applyAlignment="1" applyProtection="1">
      <alignment horizontal="center" vertical="center" wrapText="1"/>
      <protection locked="0"/>
    </xf>
    <xf numFmtId="0" fontId="7" fillId="9" borderId="0" xfId="0" applyFont="1" applyFill="1" applyBorder="1" applyAlignment="1" applyProtection="1">
      <alignment horizontal="left" vertical="center" wrapText="1"/>
      <protection locked="0"/>
    </xf>
    <xf numFmtId="0" fontId="7" fillId="9" borderId="21" xfId="0" applyFont="1" applyFill="1" applyBorder="1" applyAlignment="1" applyProtection="1">
      <alignment vertical="center" wrapText="1"/>
      <protection locked="0"/>
    </xf>
    <xf numFmtId="0" fontId="27" fillId="9" borderId="0" xfId="0" applyFont="1" applyFill="1" applyAlignment="1" applyProtection="1">
      <alignment horizontal="center" vertical="center"/>
      <protection locked="0"/>
    </xf>
    <xf numFmtId="0" fontId="7" fillId="9" borderId="21" xfId="0" applyNumberFormat="1" applyFont="1" applyFill="1" applyBorder="1" applyAlignment="1" applyProtection="1">
      <alignment horizontal="center" vertical="center" wrapText="1"/>
      <protection locked="0"/>
    </xf>
    <xf numFmtId="0" fontId="28" fillId="9" borderId="0" xfId="0" applyNumberFormat="1" applyFont="1" applyFill="1" applyAlignment="1" applyProtection="1">
      <alignment horizontal="center" vertical="center"/>
      <protection locked="0"/>
    </xf>
    <xf numFmtId="0" fontId="28" fillId="9" borderId="0" xfId="0" applyNumberFormat="1" applyFont="1" applyFill="1" applyAlignment="1" applyProtection="1">
      <alignment vertical="center" wrapText="1"/>
      <protection locked="0"/>
    </xf>
    <xf numFmtId="0" fontId="28" fillId="9" borderId="0" xfId="0" applyFont="1" applyFill="1" applyAlignment="1" applyProtection="1">
      <alignment vertical="center"/>
    </xf>
    <xf numFmtId="0" fontId="28" fillId="9" borderId="0" xfId="0" applyFont="1" applyFill="1" applyAlignment="1" applyProtection="1">
      <alignment horizontal="center" vertical="center"/>
    </xf>
    <xf numFmtId="0" fontId="7" fillId="9" borderId="0" xfId="0" applyFont="1" applyFill="1" applyBorder="1" applyAlignment="1" applyProtection="1">
      <alignment vertical="center" wrapText="1"/>
      <protection locked="0"/>
    </xf>
    <xf numFmtId="164" fontId="20" fillId="2" borderId="16" xfId="0" applyNumberFormat="1" applyFont="1" applyFill="1" applyBorder="1" applyAlignment="1" applyProtection="1">
      <alignment horizontal="left" vertical="top" wrapText="1"/>
      <protection locked="0"/>
    </xf>
    <xf numFmtId="164" fontId="20" fillId="2" borderId="17" xfId="0" applyNumberFormat="1" applyFont="1" applyFill="1" applyBorder="1" applyAlignment="1" applyProtection="1">
      <alignment horizontal="left" vertical="top" wrapText="1"/>
      <protection locked="0"/>
    </xf>
    <xf numFmtId="164" fontId="20" fillId="2" borderId="18" xfId="0" applyNumberFormat="1" applyFont="1" applyFill="1" applyBorder="1" applyAlignment="1" applyProtection="1">
      <alignment horizontal="left" vertical="top" wrapText="1"/>
      <protection locked="0"/>
    </xf>
    <xf numFmtId="0" fontId="4" fillId="0" borderId="14" xfId="0" applyFont="1" applyFill="1" applyBorder="1" applyAlignment="1" applyProtection="1">
      <alignment horizontal="left" vertical="center" indent="3"/>
      <protection hidden="1"/>
    </xf>
    <xf numFmtId="0" fontId="4" fillId="0" borderId="0" xfId="0" applyFont="1" applyFill="1" applyAlignment="1" applyProtection="1">
      <alignment horizontal="left" vertical="center" indent="3"/>
      <protection hidden="1"/>
    </xf>
    <xf numFmtId="0" fontId="0" fillId="0" borderId="13" xfId="0" applyFont="1" applyFill="1" applyBorder="1" applyAlignment="1" applyProtection="1">
      <alignment horizontal="center"/>
      <protection hidden="1"/>
    </xf>
    <xf numFmtId="0" fontId="19" fillId="0" borderId="13" xfId="0" applyFont="1" applyFill="1" applyBorder="1" applyAlignment="1" applyProtection="1">
      <alignment horizontal="left" vertical="center" indent="1"/>
      <protection hidden="1"/>
    </xf>
    <xf numFmtId="0" fontId="12" fillId="0" borderId="11" xfId="0" applyFont="1" applyFill="1" applyBorder="1" applyAlignment="1" applyProtection="1">
      <alignment horizontal="left" vertical="center" wrapText="1"/>
      <protection hidden="1"/>
    </xf>
    <xf numFmtId="0" fontId="12" fillId="0" borderId="9" xfId="0" applyFont="1" applyFill="1" applyBorder="1" applyAlignment="1" applyProtection="1">
      <alignment horizontal="left" vertical="center" wrapText="1"/>
      <protection hidden="1"/>
    </xf>
    <xf numFmtId="0" fontId="12" fillId="0" borderId="7" xfId="0" applyFont="1" applyFill="1" applyBorder="1" applyAlignment="1" applyProtection="1">
      <alignment horizontal="left" vertical="center" wrapText="1"/>
      <protection hidden="1"/>
    </xf>
    <xf numFmtId="0" fontId="10" fillId="0" borderId="5" xfId="0" applyFont="1" applyFill="1" applyBorder="1" applyAlignment="1" applyProtection="1">
      <alignment horizontal="left" vertical="center" indent="1"/>
      <protection hidden="1"/>
    </xf>
    <xf numFmtId="0" fontId="11" fillId="0" borderId="6" xfId="0" applyFont="1" applyFill="1" applyBorder="1" applyAlignment="1" applyProtection="1">
      <alignment horizontal="left" vertical="center" wrapText="1" indent="1"/>
      <protection hidden="1"/>
    </xf>
    <xf numFmtId="164" fontId="0" fillId="2" borderId="15" xfId="0" applyNumberFormat="1" applyFont="1" applyFill="1" applyBorder="1" applyAlignment="1" applyProtection="1">
      <alignment horizontal="left" vertical="top"/>
      <protection locked="0"/>
    </xf>
    <xf numFmtId="164" fontId="0" fillId="2" borderId="19" xfId="0" applyNumberFormat="1" applyFont="1" applyFill="1" applyBorder="1" applyAlignment="1" applyProtection="1">
      <alignment horizontal="left" vertical="top"/>
      <protection locked="0"/>
    </xf>
    <xf numFmtId="0" fontId="12" fillId="0" borderId="10" xfId="0" applyFont="1" applyFill="1" applyBorder="1" applyAlignment="1" applyProtection="1">
      <alignment horizontal="left" vertical="center" wrapText="1"/>
      <protection hidden="1"/>
    </xf>
    <xf numFmtId="0" fontId="9" fillId="0" borderId="0" xfId="0" applyFont="1" applyFill="1" applyAlignment="1" applyProtection="1">
      <alignment horizontal="center" vertical="center"/>
      <protection hidden="1"/>
    </xf>
    <xf numFmtId="0" fontId="10" fillId="0" borderId="5" xfId="0" applyFont="1" applyFill="1" applyBorder="1" applyAlignment="1" applyProtection="1">
      <alignment horizontal="left" vertical="center" indent="1"/>
      <protection locked="0"/>
    </xf>
    <xf numFmtId="0" fontId="10" fillId="0" borderId="5" xfId="0" applyFont="1" applyFill="1" applyBorder="1" applyAlignment="1" applyProtection="1">
      <alignment horizontal="center" vertical="center"/>
      <protection hidden="1"/>
    </xf>
    <xf numFmtId="0" fontId="0" fillId="0" borderId="0" xfId="0" quotePrefix="1" applyNumberFormat="1"/>
    <xf numFmtId="0" fontId="0" fillId="0" borderId="0" xfId="0" applyNumberFormat="1"/>
  </cellXfs>
  <cellStyles count="2">
    <cellStyle name="Normal" xfId="0" builtinId="0"/>
    <cellStyle name="Pourcentage" xfId="1" builtinId="5"/>
  </cellStyles>
  <dxfs count="22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ont>
        <strike val="0"/>
        <outline val="0"/>
        <shadow val="0"/>
        <u val="none"/>
        <vertAlign val="baseline"/>
        <color theme="1"/>
        <name val="Consolas"/>
        <scheme val="none"/>
      </font>
      <numFmt numFmtId="14" formatCode="0.00%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fill>
        <patternFill>
          <fgColor indexed="64"/>
          <bgColor rgb="FFFFFF2D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protection locked="0" hidden="0"/>
    </dxf>
    <dxf>
      <font>
        <strike val="0"/>
        <outline val="0"/>
        <shadow val="0"/>
        <u val="none"/>
        <vertAlign val="baseline"/>
        <color theme="1"/>
        <name val="Consolas"/>
        <scheme val="none"/>
      </font>
      <numFmt numFmtId="2" formatCode="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scheme val="none"/>
      </font>
      <numFmt numFmtId="0" formatCode="General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scheme val="none"/>
      </font>
      <numFmt numFmtId="0" formatCode="General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scheme val="none"/>
      </font>
      <numFmt numFmtId="2" formatCode="0.00"/>
      <protection locked="0" hidden="0"/>
    </dxf>
    <dxf>
      <font>
        <strike val="0"/>
        <outline val="0"/>
        <shadow val="0"/>
        <u val="none"/>
        <vertAlign val="baseline"/>
        <color theme="1"/>
        <name val="Consolas"/>
        <scheme val="none"/>
      </font>
      <numFmt numFmtId="0" formatCode="General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scheme val="none"/>
      </font>
      <numFmt numFmtId="0" formatCode="General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scheme val="none"/>
      </font>
      <numFmt numFmtId="14" formatCode="0.00%"/>
      <protection locked="0" hidden="0"/>
    </dxf>
    <dxf>
      <font>
        <strike val="0"/>
        <outline val="0"/>
        <shadow val="0"/>
        <u val="none"/>
        <vertAlign val="baseline"/>
        <color theme="1"/>
        <name val="Consolas"/>
        <scheme val="none"/>
      </font>
      <numFmt numFmtId="0" formatCode="General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scheme val="none"/>
      </font>
      <numFmt numFmtId="0" formatCode="General"/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scheme val="none"/>
      </font>
      <numFmt numFmtId="14" formatCode="0.00%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scheme val="none"/>
      </font>
      <numFmt numFmtId="14" formatCode="0.00%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scheme val="none"/>
      </font>
      <numFmt numFmtId="14" formatCode="0.00%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scheme val="none"/>
      </font>
      <numFmt numFmtId="14" formatCode="0.00%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scheme val="none"/>
      </font>
      <numFmt numFmtId="14" formatCode="0.00%"/>
      <fill>
        <patternFill patternType="solid">
          <fgColor indexed="64"/>
          <bgColor rgb="FFFFFF2D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scheme val="none"/>
      </font>
      <numFmt numFmtId="0" formatCode="General"/>
      <fill>
        <patternFill patternType="solid">
          <fgColor indexed="64"/>
          <bgColor rgb="FFFFFF00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scheme val="none"/>
      </font>
      <numFmt numFmtId="1" formatCode="0"/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scheme val="none"/>
      </font>
      <numFmt numFmtId="0" formatCode="General"/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scheme val="none"/>
      </font>
      <numFmt numFmtId="14" formatCode="0.00%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scheme val="none"/>
      </font>
      <numFmt numFmtId="14" formatCode="0.00%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scheme val="none"/>
      </font>
      <numFmt numFmtId="0" formatCode="General"/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scheme val="none"/>
      </font>
      <numFmt numFmtId="14" formatCode="0.00%"/>
      <fill>
        <patternFill patternType="solid">
          <fgColor indexed="64"/>
          <bgColor rgb="FFFFFF00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scheme val="none"/>
      </font>
      <numFmt numFmtId="0" formatCode="General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scheme val="none"/>
      </font>
      <numFmt numFmtId="0" formatCode="General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scheme val="none"/>
      </font>
      <numFmt numFmtId="0" formatCode="General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scheme val="none"/>
      </font>
      <numFmt numFmtId="0" formatCode="General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scheme val="none"/>
      </font>
      <numFmt numFmtId="0" formatCode="General"/>
      <fill>
        <patternFill patternType="solid">
          <fgColor indexed="64"/>
          <bgColor rgb="FFFFFF2D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scheme val="none"/>
      </font>
      <numFmt numFmtId="0" formatCode="General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scheme val="none"/>
      </font>
      <numFmt numFmtId="0" formatCode="General"/>
      <fill>
        <patternFill patternType="solid">
          <fgColor indexed="64"/>
          <bgColor rgb="FFFFFF00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scheme val="none"/>
      </font>
      <numFmt numFmtId="0" formatCode="General"/>
      <fill>
        <patternFill patternType="solid">
          <fgColor indexed="64"/>
          <bgColor rgb="FFFFFF00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scheme val="none"/>
      </font>
      <numFmt numFmtId="0" formatCode="General"/>
      <fill>
        <patternFill patternType="solid">
          <fgColor indexed="64"/>
          <bgColor rgb="FFFFFF00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scheme val="none"/>
      </font>
      <numFmt numFmtId="0" formatCode="General"/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scheme val="none"/>
      </font>
      <numFmt numFmtId="0" formatCode="General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scheme val="none"/>
      </font>
      <numFmt numFmtId="14" formatCode="0.00%"/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scheme val="none"/>
      </font>
      <numFmt numFmtId="0" formatCode="General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scheme val="none"/>
      </font>
      <numFmt numFmtId="0" formatCode="General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scheme val="none"/>
      </font>
      <numFmt numFmtId="0" formatCode="General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scheme val="none"/>
      </font>
      <numFmt numFmtId="0" formatCode="General"/>
      <fill>
        <patternFill patternType="none">
          <fgColor indexed="64"/>
          <bgColor indexed="65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scheme val="none"/>
      </font>
      <numFmt numFmtId="0" formatCode="General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scheme val="none"/>
      </font>
      <numFmt numFmtId="0" formatCode="General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scheme val="none"/>
      </font>
      <numFmt numFmtId="0" formatCode="General"/>
      <fill>
        <patternFill patternType="none">
          <fgColor indexed="64"/>
          <bgColor indexed="65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/>
        <right style="thin">
          <color auto="1"/>
        </right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scheme val="none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scheme val="none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strike val="0"/>
        <outline val="0"/>
        <shadow val="0"/>
        <u val="none"/>
        <vertAlign val="baseline"/>
        <color theme="1"/>
        <name val="Consolas"/>
        <scheme val="none"/>
      </font>
      <protection locked="0" hidden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0"/>
        <color theme="1"/>
        <name val="Consolas"/>
        <scheme val="none"/>
      </font>
      <alignment horizontal="left" vertical="center" textRotation="0" indent="0" justifyLastLine="0" shrinkToFit="0" readingOrder="0"/>
      <protection locked="0" hidden="0"/>
    </dxf>
    <dxf>
      <fill>
        <patternFill>
          <bgColor theme="0" tint="-0.24994659260841701"/>
        </patternFill>
      </fill>
    </dxf>
    <dxf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</dxf>
    <dxf>
      <border outline="0">
        <right style="thin">
          <color theme="5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</dxf>
    <dxf>
      <border outline="0">
        <right style="thin">
          <color theme="5"/>
        </right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</dxf>
    <dxf>
      <alignment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vertical="center" textRotation="0" indent="0" justifyLastLine="0" shrinkToFit="0" readingOrder="0"/>
    </dxf>
    <dxf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alignment horizontal="general" vertical="center" textRotation="0" wrapText="1" indent="0" justifyLastLine="0" shrinkToFit="0" readingOrder="0"/>
      <protection locked="0" hidden="0"/>
    </dxf>
    <dxf>
      <alignment horizontal="general" vertical="center" textRotation="0" wrapText="1" indent="0" justifyLastLine="0" shrinkToFit="0" readingOrder="0"/>
      <protection locked="0" hidden="0"/>
    </dxf>
    <dxf>
      <protection locked="0" hidden="0"/>
    </dxf>
    <dxf>
      <protection locked="0" hidden="0"/>
    </dxf>
    <dxf>
      <alignment horizontal="general" vertical="center" textRotation="0" wrapText="1" indent="0" justifyLastLine="0" shrinkToFit="0" readingOrder="0"/>
      <protection locked="0" hidden="0"/>
    </dxf>
    <dxf>
      <alignment horizontal="general" vertical="center" textRotation="0" wrapText="1" indent="0" justifyLastLine="0" shrinkToFit="0" readingOrder="0"/>
      <protection locked="0" hidden="0"/>
    </dxf>
    <dxf>
      <protection locked="0" hidden="0"/>
    </dxf>
    <dxf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protection locked="0" hidden="0"/>
    </dxf>
    <dxf>
      <numFmt numFmtId="13" formatCode="0%"/>
      <protection locked="0" hidden="0"/>
    </dxf>
    <dxf>
      <numFmt numFmtId="13" formatCode="0%"/>
      <protection locked="0" hidden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73743"/>
        <name val="Calibri"/>
        <scheme val="minor"/>
      </font>
      <numFmt numFmtId="2" formatCode="0.00"/>
      <alignment horizontal="left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73743"/>
        <name val="Calibri"/>
        <scheme val="minor"/>
      </font>
      <numFmt numFmtId="1" formatCode="0"/>
      <alignment horizontal="left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73743"/>
        <name val="Calibri"/>
        <scheme val="minor"/>
      </font>
      <numFmt numFmtId="2" formatCode="0.00"/>
      <alignment horizontal="left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73743"/>
        <name val="Calibri"/>
        <scheme val="minor"/>
      </font>
      <numFmt numFmtId="2" formatCode="0.00"/>
      <alignment horizontal="left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73743"/>
        <name val="Calibri"/>
        <scheme val="minor"/>
      </font>
      <numFmt numFmtId="2" formatCode="0.00"/>
      <alignment horizontal="left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73743"/>
        <name val="Calibri"/>
        <scheme val="minor"/>
      </font>
      <numFmt numFmtId="2" formatCode="0.00"/>
      <alignment horizontal="left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73743"/>
        <name val="Calibri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73743"/>
        <name val="Calibri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5"/>
        </top>
        <bottom style="thin">
          <color theme="5"/>
        </bottom>
        <vertical/>
        <horizontal/>
      </border>
      <protection locked="0" hidden="0"/>
    </dxf>
    <dxf>
      <border outline="0"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>
        <left style="double">
          <color rgb="FFC00000"/>
        </left>
        <right/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double">
          <color rgb="FFC00000"/>
        </left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3" formatCode="0%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3" formatCode="0%"/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3" formatCode="0%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rgb="FF21517D"/>
        <name val="Calibri"/>
        <scheme val="minor"/>
      </font>
      <numFmt numFmtId="13" formatCode="0%"/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rgb="FF21517D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rgb="FF21517D"/>
        <name val="Calibri"/>
        <scheme val="minor"/>
      </font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517D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rgb="FF21517D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517D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none"/>
      </font>
      <alignment vertical="center" textRotation="0" indent="0" justifyLastLine="0" shrinkToFit="0" readingOrder="0"/>
      <protection locked="0" hidden="0"/>
    </dxf>
    <dxf>
      <font>
        <b/>
        <strike val="0"/>
        <outline val="0"/>
        <shadow val="0"/>
        <u val="none"/>
        <vertAlign val="baseline"/>
        <sz val="8"/>
        <color theme="1" tint="0.34998626667073579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1" hidden="0"/>
    </dxf>
    <dxf>
      <fill>
        <patternFill>
          <bgColor rgb="FFFF7C8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>
        <left style="double">
          <color rgb="FFC00000"/>
        </left>
        <right/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double">
          <color rgb="FFC00000"/>
        </left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3" formatCode="0%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3" formatCode="0%"/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3" formatCode="0%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rgb="FF21517D"/>
        <name val="Calibri"/>
        <scheme val="minor"/>
      </font>
      <numFmt numFmtId="13" formatCode="0%"/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rgb="FF21517D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rgb="FF21517D"/>
        <name val="Calibri"/>
        <scheme val="minor"/>
      </font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517D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rgb="FF21517D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517D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protection locked="0" hidden="0"/>
    </dxf>
    <dxf>
      <font>
        <b/>
        <strike val="0"/>
        <outline val="0"/>
        <shadow val="0"/>
        <u val="none"/>
        <vertAlign val="baseline"/>
        <sz val="8"/>
        <color theme="1" tint="0.34998626667073579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1" hidden="0"/>
    </dxf>
    <dxf>
      <fill>
        <patternFill>
          <bgColor rgb="FFFF7C80"/>
        </patternFill>
      </fill>
    </dxf>
  </dxfs>
  <tableStyles count="2" defaultTableStyle="TableStyleMedium2" defaultPivotStyle="PivotStyleLight16">
    <tableStyle name="TableStyleQueryPreview" pivot="0" count="3">
      <tableStyleElement type="wholeTable" dxfId="26"/>
      <tableStyleElement type="headerRow" dxfId="25"/>
      <tableStyleElement type="firstRowStripe" dxfId="24"/>
    </tableStyle>
    <tableStyle name="TableStyleQueryResult" pivot="0" count="3">
      <tableStyleElement type="wholeTable" dxfId="23"/>
      <tableStyleElement type="headerRow" dxfId="22"/>
      <tableStyleElement type="firstRowStripe" dxfId="21"/>
    </tableStyle>
  </tableStyles>
  <colors>
    <mruColors>
      <color rgb="FF98C0E4"/>
      <color rgb="FF3A88CE"/>
      <color rgb="FF245D90"/>
      <color rgb="FF6DA6D9"/>
      <color rgb="FFE0EEF6"/>
      <color rgb="FFE3ECF3"/>
      <color rgb="FFA568D2"/>
      <color rgb="FFE6D5F3"/>
      <color rgb="FF14A43A"/>
      <color rgb="FFFFD50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openxmlformats.org/officeDocument/2006/relationships/customXml" Target="../customXml/item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2.5891512945158103E-2"/>
          <c:y val="3.2401480489072404E-2"/>
          <c:w val="0.94254471626444181"/>
          <c:h val="0.9425444342688164"/>
        </c:manualLayout>
      </c:layout>
      <c:doughnutChart>
        <c:varyColors val="1"/>
        <c:ser>
          <c:idx val="0"/>
          <c:order val="0"/>
          <c:tx>
            <c:v>Average progress % Risk accepted Progress objective</c:v>
          </c:tx>
          <c:spPr>
            <a:ln w="3175">
              <a:solidFill>
                <a:sysClr val="window" lastClr="FFFFFF"/>
              </a:solidFill>
            </a:ln>
          </c:spPr>
          <c:dPt>
            <c:idx val="0"/>
            <c:bubble3D val="0"/>
            <c:spPr>
              <a:solidFill>
                <a:srgbClr val="03F309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F0FB-442D-9185-6431C1CAE623}"/>
              </c:ext>
            </c:extLst>
          </c:dPt>
          <c:dPt>
            <c:idx val="1"/>
            <c:bubble3D val="0"/>
            <c:spPr>
              <a:noFill/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F0FB-442D-9185-6431C1CAE623}"/>
              </c:ext>
            </c:extLst>
          </c:dPt>
          <c:dPt>
            <c:idx val="2"/>
            <c:bubble3D val="0"/>
            <c:spPr>
              <a:solidFill>
                <a:srgbClr val="373743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F0FB-442D-9185-6431C1CAE623}"/>
              </c:ext>
            </c:extLst>
          </c:dPt>
          <c:dPt>
            <c:idx val="3"/>
            <c:bubble3D val="0"/>
            <c:spPr>
              <a:solidFill>
                <a:schemeClr val="bg2">
                  <a:lumMod val="50000"/>
                </a:schemeClr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F0FB-442D-9185-6431C1CAE623}"/>
              </c:ext>
            </c:extLst>
          </c:dPt>
          <c:dPt>
            <c:idx val="4"/>
            <c:bubble3D val="0"/>
            <c:spPr>
              <a:solidFill>
                <a:srgbClr val="FF4747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F0FB-442D-9185-6431C1CAE623}"/>
              </c:ext>
            </c:extLst>
          </c:dPt>
          <c:cat>
            <c:strLit>
              <c:ptCount val="5"/>
              <c:pt idx="0">
                <c:v>Will Not Be Done</c:v>
              </c:pt>
              <c:pt idx="1">
                <c:v>2017</c:v>
              </c:pt>
              <c:pt idx="2">
                <c:v>2018</c:v>
              </c:pt>
              <c:pt idx="3">
                <c:v>2019</c:v>
              </c:pt>
              <c:pt idx="4">
                <c:v>2020</c:v>
              </c:pt>
            </c:strLit>
          </c:cat>
          <c:val>
            <c:numLit>
              <c:formatCode>General</c:formatCode>
              <c:ptCount val="3"/>
              <c:pt idx="0">
                <c:v>1</c:v>
              </c:pt>
              <c:pt idx="1">
                <c:v>0</c:v>
              </c:pt>
              <c:pt idx="2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F0FB-442D-9185-6431C1CAE623}"/>
            </c:ext>
          </c:extLst>
        </c:ser>
        <c:ser>
          <c:idx val="2"/>
          <c:order val="1"/>
          <c:tx>
            <c:v>End of 2016 forecast Diff Forecast 2017 - 2016 End of 2017 forecast Diff Forecast 2018 - 2017 End of 2018 Forecast Diff Forecast 2019 - 2018 End of 2019 Forecast % Risk accepted bis % of errors</c:v>
          </c:tx>
          <c:spPr>
            <a:ln w="3175">
              <a:solidFill>
                <a:sysClr val="window" lastClr="FFFFFF"/>
              </a:solidFill>
            </a:ln>
          </c:spPr>
          <c:dPt>
            <c:idx val="0"/>
            <c:bubble3D val="0"/>
            <c:spPr>
              <a:solidFill>
                <a:srgbClr val="A7A7B7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C-F0FB-442D-9185-6431C1CAE623}"/>
              </c:ext>
            </c:extLst>
          </c:dPt>
          <c:dPt>
            <c:idx val="1"/>
            <c:bubble3D val="0"/>
            <c:spPr>
              <a:solidFill>
                <a:srgbClr val="A7A7B7"/>
              </a:solidFill>
              <a:ln w="3175">
                <a:solidFill>
                  <a:sysClr val="window" lastClr="FFFFFF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E-F0FB-442D-9185-6431C1CAE623}"/>
              </c:ext>
            </c:extLst>
          </c:dPt>
          <c:dPt>
            <c:idx val="2"/>
            <c:bubble3D val="0"/>
            <c:spPr>
              <a:solidFill>
                <a:srgbClr val="A7A7B7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0-F0FB-442D-9185-6431C1CAE623}"/>
              </c:ext>
            </c:extLst>
          </c:dPt>
          <c:dPt>
            <c:idx val="3"/>
            <c:bubble3D val="0"/>
            <c:spPr>
              <a:solidFill>
                <a:srgbClr val="A7A7B7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2-F0FB-442D-9185-6431C1CAE623}"/>
              </c:ext>
            </c:extLst>
          </c:dPt>
          <c:dPt>
            <c:idx val="4"/>
            <c:bubble3D val="0"/>
            <c:spPr>
              <a:solidFill>
                <a:srgbClr val="FFC000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F0FB-442D-9185-6431C1CAE623}"/>
              </c:ext>
            </c:extLst>
          </c:dPt>
          <c:dPt>
            <c:idx val="5"/>
            <c:bubble3D val="0"/>
            <c:spPr>
              <a:solidFill>
                <a:srgbClr val="373743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6-F0FB-442D-9185-6431C1CAE623}"/>
              </c:ext>
            </c:extLst>
          </c:dPt>
          <c:dPt>
            <c:idx val="6"/>
            <c:bubble3D val="0"/>
            <c:spPr>
              <a:solidFill>
                <a:srgbClr val="A7A7B7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8-F0FB-442D-9185-6431C1CAE623}"/>
              </c:ext>
            </c:extLst>
          </c:dPt>
          <c:dPt>
            <c:idx val="7"/>
            <c:bubble3D val="0"/>
            <c:spPr>
              <a:solidFill>
                <a:srgbClr val="FFFFFF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A-F0FB-442D-9185-6431C1CAE623}"/>
              </c:ext>
            </c:extLst>
          </c:dPt>
          <c:dPt>
            <c:idx val="8"/>
            <c:bubble3D val="0"/>
            <c:spPr>
              <a:solidFill>
                <a:srgbClr val="FFC000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C-F0FB-442D-9185-6431C1CAE623}"/>
              </c:ext>
            </c:extLst>
          </c:dPt>
          <c:dPt>
            <c:idx val="9"/>
            <c:bubble3D val="0"/>
            <c:spPr>
              <a:solidFill>
                <a:srgbClr val="373743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E-F0FB-442D-9185-6431C1CAE623}"/>
              </c:ext>
            </c:extLst>
          </c:dPt>
          <c:dPt>
            <c:idx val="10"/>
            <c:bubble3D val="0"/>
            <c:spPr>
              <a:solidFill>
                <a:srgbClr val="373743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0-F0FB-442D-9185-6431C1CAE623}"/>
              </c:ext>
            </c:extLst>
          </c:dPt>
          <c:dPt>
            <c:idx val="11"/>
            <c:bubble3D val="0"/>
            <c:spPr>
              <a:solidFill>
                <a:srgbClr val="FC3245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2-F0FB-442D-9185-6431C1CAE623}"/>
              </c:ext>
            </c:extLst>
          </c:dPt>
          <c:dLbls>
            <c:dLbl>
              <c:idx val="0"/>
              <c:numFmt formatCode="&quot;2016&quot;;;;@" sourceLinked="0"/>
              <c:spPr/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numFmt formatCode="&quot;2017&quot;;;;@" sourceLinked="0"/>
              <c:spPr/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numFmt formatCode="&quot;2018&quot;;;;@" sourceLinked="0"/>
              <c:spPr/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numFmt formatCode="&quot;2019&quot;;;;@" sourceLinked="0"/>
              <c:spPr/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F0FB-442D-9185-6431C1CAE623}"/>
                </c:ext>
              </c:extLst>
            </c:dLbl>
            <c:dLbl>
              <c:idx val="5"/>
              <c:numFmt formatCode="0%;;;" sourceLinked="0"/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numFmt formatCode="&quot;2019&quot;;;;@" sourceLinked="0"/>
              <c:spPr/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F0FB-442D-9185-6431C1CAE623}"/>
                </c:ext>
              </c:extLst>
            </c:dLbl>
            <c:dLbl>
              <c:idx val="8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F0FB-442D-9185-6431C1CAE623}"/>
                </c:ext>
              </c:extLst>
            </c:dLbl>
            <c:dLbl>
              <c:idx val="9"/>
              <c:numFmt formatCode="0%;;;" sourceLinked="0"/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F0FB-442D-9185-6431C1CAE623}"/>
                </c:ext>
              </c:extLst>
            </c:dLbl>
            <c:dLbl>
              <c:idx val="11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F0FB-442D-9185-6431C1CAE62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 b="1">
                    <a:solidFill>
                      <a:srgbClr val="FFFFFF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Lit>
              <c:ptCount val="5"/>
              <c:pt idx="0">
                <c:v>Will Not Be Done</c:v>
              </c:pt>
              <c:pt idx="1">
                <c:v>2017</c:v>
              </c:pt>
              <c:pt idx="2">
                <c:v>2018</c:v>
              </c:pt>
              <c:pt idx="3">
                <c:v>2019</c:v>
              </c:pt>
              <c:pt idx="4">
                <c:v>2020</c:v>
              </c:pt>
            </c:strLit>
          </c:cat>
          <c:val>
            <c:numLit>
              <c:formatCode>General</c:formatCode>
              <c:ptCount val="6"/>
              <c:pt idx="0">
                <c:v>1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3-F0FB-442D-9185-6431C1CAE6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</c:plotArea>
    <c:plotVisOnly val="1"/>
    <c:dispBlanksAs val="zero"/>
    <c:showDLblsOverMax val="0"/>
  </c:chart>
  <c:spPr>
    <a:noFill/>
    <a:ln>
      <a:noFill/>
    </a:ln>
  </c:spPr>
  <c:printSettings>
    <c:headerFooter/>
    <c:pageMargins b="0.75000000000001443" l="0.70000000000000062" r="0.70000000000000062" t="0.7500000000000144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2.5891512945158103E-2"/>
          <c:y val="3.2401480489072404E-2"/>
          <c:w val="0.94254471626444181"/>
          <c:h val="0.9425444342688164"/>
        </c:manualLayout>
      </c:layout>
      <c:doughnutChart>
        <c:varyColors val="1"/>
        <c:ser>
          <c:idx val="0"/>
          <c:order val="0"/>
          <c:tx>
            <c:v>Average progress % Risk accepted Progress objective</c:v>
          </c:tx>
          <c:spPr>
            <a:ln w="3175">
              <a:solidFill>
                <a:sysClr val="window" lastClr="FFFFFF"/>
              </a:solidFill>
            </a:ln>
          </c:spPr>
          <c:dPt>
            <c:idx val="0"/>
            <c:bubble3D val="0"/>
            <c:spPr>
              <a:solidFill>
                <a:srgbClr val="03F309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FDEF-4B11-AFDA-01B69E09EDD3}"/>
              </c:ext>
            </c:extLst>
          </c:dPt>
          <c:dPt>
            <c:idx val="1"/>
            <c:bubble3D val="0"/>
            <c:spPr>
              <a:noFill/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FDEF-4B11-AFDA-01B69E09EDD3}"/>
              </c:ext>
            </c:extLst>
          </c:dPt>
          <c:dPt>
            <c:idx val="2"/>
            <c:bubble3D val="0"/>
            <c:spPr>
              <a:solidFill>
                <a:srgbClr val="373743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FDEF-4B11-AFDA-01B69E09EDD3}"/>
              </c:ext>
            </c:extLst>
          </c:dPt>
          <c:dPt>
            <c:idx val="3"/>
            <c:bubble3D val="0"/>
            <c:spPr>
              <a:solidFill>
                <a:schemeClr val="bg2">
                  <a:lumMod val="50000"/>
                </a:schemeClr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FDEF-4B11-AFDA-01B69E09EDD3}"/>
              </c:ext>
            </c:extLst>
          </c:dPt>
          <c:dPt>
            <c:idx val="4"/>
            <c:bubble3D val="0"/>
            <c:spPr>
              <a:solidFill>
                <a:srgbClr val="FF4747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FDEF-4B11-AFDA-01B69E09EDD3}"/>
              </c:ext>
            </c:extLst>
          </c:dPt>
          <c:cat>
            <c:strLit>
              <c:ptCount val="5"/>
              <c:pt idx="0">
                <c:v>Will Not Be Done</c:v>
              </c:pt>
              <c:pt idx="1">
                <c:v>2017</c:v>
              </c:pt>
              <c:pt idx="2">
                <c:v>2018</c:v>
              </c:pt>
              <c:pt idx="3">
                <c:v>2019</c:v>
              </c:pt>
              <c:pt idx="4">
                <c:v>2020</c:v>
              </c:pt>
            </c:strLit>
          </c:cat>
          <c:val>
            <c:numLit>
              <c:formatCode>General</c:formatCode>
              <c:ptCount val="3"/>
              <c:pt idx="0">
                <c:v>1</c:v>
              </c:pt>
              <c:pt idx="1">
                <c:v>0</c:v>
              </c:pt>
              <c:pt idx="2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FDEF-4B11-AFDA-01B69E09EDD3}"/>
            </c:ext>
          </c:extLst>
        </c:ser>
        <c:ser>
          <c:idx val="2"/>
          <c:order val="1"/>
          <c:tx>
            <c:v>End of 2016 forecast Diff Forecast 2017 - 2016 End of 2017 forecast Diff Forecast 2018 - 2017 End of 2018 Forecast Diff Forecast 2019 - 2018 End of 2019 Forecast % Risk accepted bis % of errors</c:v>
          </c:tx>
          <c:spPr>
            <a:ln w="3175">
              <a:solidFill>
                <a:sysClr val="window" lastClr="FFFFFF"/>
              </a:solidFill>
            </a:ln>
          </c:spPr>
          <c:dPt>
            <c:idx val="0"/>
            <c:bubble3D val="0"/>
            <c:spPr>
              <a:solidFill>
                <a:srgbClr val="A7A7B7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C-FDEF-4B11-AFDA-01B69E09EDD3}"/>
              </c:ext>
            </c:extLst>
          </c:dPt>
          <c:dPt>
            <c:idx val="1"/>
            <c:bubble3D val="0"/>
            <c:spPr>
              <a:solidFill>
                <a:srgbClr val="A7A7B7"/>
              </a:solidFill>
              <a:ln w="3175">
                <a:solidFill>
                  <a:sysClr val="window" lastClr="FFFFFF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E-FDEF-4B11-AFDA-01B69E09EDD3}"/>
              </c:ext>
            </c:extLst>
          </c:dPt>
          <c:dPt>
            <c:idx val="2"/>
            <c:bubble3D val="0"/>
            <c:spPr>
              <a:solidFill>
                <a:srgbClr val="A7A7B7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0-FDEF-4B11-AFDA-01B69E09EDD3}"/>
              </c:ext>
            </c:extLst>
          </c:dPt>
          <c:dPt>
            <c:idx val="3"/>
            <c:bubble3D val="0"/>
            <c:spPr>
              <a:solidFill>
                <a:srgbClr val="A7A7B7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2-FDEF-4B11-AFDA-01B69E09EDD3}"/>
              </c:ext>
            </c:extLst>
          </c:dPt>
          <c:dPt>
            <c:idx val="4"/>
            <c:bubble3D val="0"/>
            <c:spPr>
              <a:solidFill>
                <a:srgbClr val="FFC000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FDEF-4B11-AFDA-01B69E09EDD3}"/>
              </c:ext>
            </c:extLst>
          </c:dPt>
          <c:dPt>
            <c:idx val="5"/>
            <c:bubble3D val="0"/>
            <c:spPr>
              <a:solidFill>
                <a:srgbClr val="373743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6-FDEF-4B11-AFDA-01B69E09EDD3}"/>
              </c:ext>
            </c:extLst>
          </c:dPt>
          <c:dPt>
            <c:idx val="6"/>
            <c:bubble3D val="0"/>
            <c:spPr>
              <a:solidFill>
                <a:srgbClr val="A7A7B7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8-FDEF-4B11-AFDA-01B69E09EDD3}"/>
              </c:ext>
            </c:extLst>
          </c:dPt>
          <c:dPt>
            <c:idx val="7"/>
            <c:bubble3D val="0"/>
            <c:spPr>
              <a:solidFill>
                <a:srgbClr val="FFFFFF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A-FDEF-4B11-AFDA-01B69E09EDD3}"/>
              </c:ext>
            </c:extLst>
          </c:dPt>
          <c:dPt>
            <c:idx val="8"/>
            <c:bubble3D val="0"/>
            <c:spPr>
              <a:solidFill>
                <a:srgbClr val="FFC000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C-FDEF-4B11-AFDA-01B69E09EDD3}"/>
              </c:ext>
            </c:extLst>
          </c:dPt>
          <c:dPt>
            <c:idx val="9"/>
            <c:bubble3D val="0"/>
            <c:spPr>
              <a:solidFill>
                <a:srgbClr val="373743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E-FDEF-4B11-AFDA-01B69E09EDD3}"/>
              </c:ext>
            </c:extLst>
          </c:dPt>
          <c:dPt>
            <c:idx val="10"/>
            <c:bubble3D val="0"/>
            <c:spPr>
              <a:solidFill>
                <a:srgbClr val="373743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0-FDEF-4B11-AFDA-01B69E09EDD3}"/>
              </c:ext>
            </c:extLst>
          </c:dPt>
          <c:dPt>
            <c:idx val="11"/>
            <c:bubble3D val="0"/>
            <c:spPr>
              <a:solidFill>
                <a:srgbClr val="FC3245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2-FDEF-4B11-AFDA-01B69E09EDD3}"/>
              </c:ext>
            </c:extLst>
          </c:dPt>
          <c:dLbls>
            <c:dLbl>
              <c:idx val="0"/>
              <c:numFmt formatCode="&quot;2016&quot;;;;@" sourceLinked="0"/>
              <c:spPr/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numFmt formatCode="&quot;2017&quot;;;;@" sourceLinked="0"/>
              <c:spPr/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numFmt formatCode="&quot;2018&quot;;;;@" sourceLinked="0"/>
              <c:spPr/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numFmt formatCode="&quot;2019&quot;;;;@" sourceLinked="0"/>
              <c:spPr/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FDEF-4B11-AFDA-01B69E09EDD3}"/>
                </c:ext>
              </c:extLst>
            </c:dLbl>
            <c:dLbl>
              <c:idx val="5"/>
              <c:numFmt formatCode="0%;;;" sourceLinked="0"/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numFmt formatCode="&quot;2019&quot;;;;@" sourceLinked="0"/>
              <c:spPr/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FDEF-4B11-AFDA-01B69E09EDD3}"/>
                </c:ext>
              </c:extLst>
            </c:dLbl>
            <c:dLbl>
              <c:idx val="8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FDEF-4B11-AFDA-01B69E09EDD3}"/>
                </c:ext>
              </c:extLst>
            </c:dLbl>
            <c:dLbl>
              <c:idx val="9"/>
              <c:numFmt formatCode="0%;;;" sourceLinked="0"/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FDEF-4B11-AFDA-01B69E09EDD3}"/>
                </c:ext>
              </c:extLst>
            </c:dLbl>
            <c:dLbl>
              <c:idx val="11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FDEF-4B11-AFDA-01B69E09EDD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 b="1">
                    <a:solidFill>
                      <a:srgbClr val="FFFFFF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Lit>
              <c:ptCount val="5"/>
              <c:pt idx="0">
                <c:v>Will Not Be Done</c:v>
              </c:pt>
              <c:pt idx="1">
                <c:v>2017</c:v>
              </c:pt>
              <c:pt idx="2">
                <c:v>2018</c:v>
              </c:pt>
              <c:pt idx="3">
                <c:v>2019</c:v>
              </c:pt>
              <c:pt idx="4">
                <c:v>2020</c:v>
              </c:pt>
            </c:strLit>
          </c:cat>
          <c:val>
            <c:numLit>
              <c:formatCode>General</c:formatCode>
              <c:ptCount val="6"/>
              <c:pt idx="0">
                <c:v>1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3-FDEF-4B11-AFDA-01B69E09ED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</c:plotArea>
    <c:plotVisOnly val="1"/>
    <c:dispBlanksAs val="zero"/>
    <c:showDLblsOverMax val="0"/>
  </c:chart>
  <c:spPr>
    <a:noFill/>
    <a:ln>
      <a:noFill/>
    </a:ln>
  </c:spPr>
  <c:printSettings>
    <c:headerFooter/>
    <c:pageMargins b="0.75000000000001443" l="0.70000000000000062" r="0.70000000000000062" t="0.75000000000001443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2.5891512945158103E-2"/>
          <c:y val="3.2401480489072404E-2"/>
          <c:w val="0.94254471626444181"/>
          <c:h val="0.9425444342688164"/>
        </c:manualLayout>
      </c:layout>
      <c:doughnutChart>
        <c:varyColors val="1"/>
        <c:ser>
          <c:idx val="0"/>
          <c:order val="0"/>
          <c:tx>
            <c:v>Average progress % Risk accepted Progress objective</c:v>
          </c:tx>
          <c:spPr>
            <a:ln w="3175">
              <a:solidFill>
                <a:sysClr val="window" lastClr="FFFFFF"/>
              </a:solidFill>
            </a:ln>
          </c:spPr>
          <c:dPt>
            <c:idx val="0"/>
            <c:bubble3D val="0"/>
            <c:spPr>
              <a:solidFill>
                <a:srgbClr val="03F309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D7E7-4DDF-BA69-80BA432B384B}"/>
              </c:ext>
            </c:extLst>
          </c:dPt>
          <c:dPt>
            <c:idx val="1"/>
            <c:bubble3D val="0"/>
            <c:spPr>
              <a:noFill/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D7E7-4DDF-BA69-80BA432B384B}"/>
              </c:ext>
            </c:extLst>
          </c:dPt>
          <c:dPt>
            <c:idx val="2"/>
            <c:bubble3D val="0"/>
            <c:spPr>
              <a:solidFill>
                <a:srgbClr val="373743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D7E7-4DDF-BA69-80BA432B384B}"/>
              </c:ext>
            </c:extLst>
          </c:dPt>
          <c:dPt>
            <c:idx val="3"/>
            <c:bubble3D val="0"/>
            <c:spPr>
              <a:solidFill>
                <a:schemeClr val="bg2">
                  <a:lumMod val="50000"/>
                </a:schemeClr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D7E7-4DDF-BA69-80BA432B384B}"/>
              </c:ext>
            </c:extLst>
          </c:dPt>
          <c:dPt>
            <c:idx val="4"/>
            <c:bubble3D val="0"/>
            <c:spPr>
              <a:solidFill>
                <a:srgbClr val="FF4747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D7E7-4DDF-BA69-80BA432B384B}"/>
              </c:ext>
            </c:extLst>
          </c:dPt>
          <c:cat>
            <c:strLit>
              <c:ptCount val="5"/>
              <c:pt idx="0">
                <c:v>Will Not Be Done</c:v>
              </c:pt>
              <c:pt idx="1">
                <c:v>2017</c:v>
              </c:pt>
              <c:pt idx="2">
                <c:v>2018</c:v>
              </c:pt>
              <c:pt idx="3">
                <c:v>2019</c:v>
              </c:pt>
              <c:pt idx="4">
                <c:v>2020</c:v>
              </c:pt>
            </c:strLit>
          </c:cat>
          <c:val>
            <c:numLit>
              <c:formatCode>General</c:formatCode>
              <c:ptCount val="3"/>
              <c:pt idx="0">
                <c:v>1</c:v>
              </c:pt>
              <c:pt idx="1">
                <c:v>0</c:v>
              </c:pt>
              <c:pt idx="2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D7E7-4DDF-BA69-80BA432B384B}"/>
            </c:ext>
          </c:extLst>
        </c:ser>
        <c:ser>
          <c:idx val="2"/>
          <c:order val="1"/>
          <c:tx>
            <c:v>End of 2016 forecast Diff Forecast 2017 - 2016 End of 2017 forecast Diff Forecast 2018 - 2017 End of 2018 Forecast Diff Forecast 2019 - 2018 End of 2019 Forecast % Risk accepted bis % of errors</c:v>
          </c:tx>
          <c:spPr>
            <a:ln w="3175">
              <a:solidFill>
                <a:sysClr val="window" lastClr="FFFFFF"/>
              </a:solidFill>
            </a:ln>
          </c:spPr>
          <c:dPt>
            <c:idx val="0"/>
            <c:bubble3D val="0"/>
            <c:spPr>
              <a:solidFill>
                <a:srgbClr val="A7A7B7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C-D7E7-4DDF-BA69-80BA432B384B}"/>
              </c:ext>
            </c:extLst>
          </c:dPt>
          <c:dPt>
            <c:idx val="1"/>
            <c:bubble3D val="0"/>
            <c:spPr>
              <a:solidFill>
                <a:srgbClr val="A7A7B7"/>
              </a:solidFill>
              <a:ln w="3175">
                <a:solidFill>
                  <a:sysClr val="window" lastClr="FFFFFF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E-D7E7-4DDF-BA69-80BA432B384B}"/>
              </c:ext>
            </c:extLst>
          </c:dPt>
          <c:dPt>
            <c:idx val="2"/>
            <c:bubble3D val="0"/>
            <c:spPr>
              <a:solidFill>
                <a:srgbClr val="A7A7B7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0-D7E7-4DDF-BA69-80BA432B384B}"/>
              </c:ext>
            </c:extLst>
          </c:dPt>
          <c:dPt>
            <c:idx val="3"/>
            <c:bubble3D val="0"/>
            <c:spPr>
              <a:solidFill>
                <a:srgbClr val="A7A7B7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2-D7E7-4DDF-BA69-80BA432B384B}"/>
              </c:ext>
            </c:extLst>
          </c:dPt>
          <c:dPt>
            <c:idx val="4"/>
            <c:bubble3D val="0"/>
            <c:spPr>
              <a:solidFill>
                <a:srgbClr val="FFC000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D7E7-4DDF-BA69-80BA432B384B}"/>
              </c:ext>
            </c:extLst>
          </c:dPt>
          <c:dPt>
            <c:idx val="5"/>
            <c:bubble3D val="0"/>
            <c:spPr>
              <a:solidFill>
                <a:srgbClr val="373743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6-D7E7-4DDF-BA69-80BA432B384B}"/>
              </c:ext>
            </c:extLst>
          </c:dPt>
          <c:dPt>
            <c:idx val="6"/>
            <c:bubble3D val="0"/>
            <c:spPr>
              <a:solidFill>
                <a:srgbClr val="A7A7B7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8-D7E7-4DDF-BA69-80BA432B384B}"/>
              </c:ext>
            </c:extLst>
          </c:dPt>
          <c:dPt>
            <c:idx val="7"/>
            <c:bubble3D val="0"/>
            <c:spPr>
              <a:solidFill>
                <a:srgbClr val="FFFFFF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A-D7E7-4DDF-BA69-80BA432B384B}"/>
              </c:ext>
            </c:extLst>
          </c:dPt>
          <c:dPt>
            <c:idx val="8"/>
            <c:bubble3D val="0"/>
            <c:spPr>
              <a:solidFill>
                <a:srgbClr val="FFC000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C-D7E7-4DDF-BA69-80BA432B384B}"/>
              </c:ext>
            </c:extLst>
          </c:dPt>
          <c:dPt>
            <c:idx val="9"/>
            <c:bubble3D val="0"/>
            <c:spPr>
              <a:solidFill>
                <a:srgbClr val="373743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E-D7E7-4DDF-BA69-80BA432B384B}"/>
              </c:ext>
            </c:extLst>
          </c:dPt>
          <c:dPt>
            <c:idx val="10"/>
            <c:bubble3D val="0"/>
            <c:spPr>
              <a:solidFill>
                <a:srgbClr val="373743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0-D7E7-4DDF-BA69-80BA432B384B}"/>
              </c:ext>
            </c:extLst>
          </c:dPt>
          <c:dPt>
            <c:idx val="11"/>
            <c:bubble3D val="0"/>
            <c:spPr>
              <a:solidFill>
                <a:srgbClr val="FC3245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2-D7E7-4DDF-BA69-80BA432B384B}"/>
              </c:ext>
            </c:extLst>
          </c:dPt>
          <c:dLbls>
            <c:dLbl>
              <c:idx val="0"/>
              <c:numFmt formatCode="&quot;2016&quot;;;;@" sourceLinked="0"/>
              <c:spPr/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numFmt formatCode="&quot;2017&quot;;;;@" sourceLinked="0"/>
              <c:spPr/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numFmt formatCode="&quot;2018&quot;;;;@" sourceLinked="0"/>
              <c:spPr/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numFmt formatCode="&quot;2019&quot;;;;@" sourceLinked="0"/>
              <c:spPr/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D7E7-4DDF-BA69-80BA432B384B}"/>
                </c:ext>
              </c:extLst>
            </c:dLbl>
            <c:dLbl>
              <c:idx val="5"/>
              <c:numFmt formatCode="0%;;;" sourceLinked="0"/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numFmt formatCode="&quot;2019&quot;;;;@" sourceLinked="0"/>
              <c:spPr/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D7E7-4DDF-BA69-80BA432B384B}"/>
                </c:ext>
              </c:extLst>
            </c:dLbl>
            <c:dLbl>
              <c:idx val="8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D7E7-4DDF-BA69-80BA432B384B}"/>
                </c:ext>
              </c:extLst>
            </c:dLbl>
            <c:dLbl>
              <c:idx val="9"/>
              <c:numFmt formatCode="0%;;;" sourceLinked="0"/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D7E7-4DDF-BA69-80BA432B384B}"/>
                </c:ext>
              </c:extLst>
            </c:dLbl>
            <c:dLbl>
              <c:idx val="11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D7E7-4DDF-BA69-80BA432B384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 b="1">
                    <a:solidFill>
                      <a:srgbClr val="FFFFFF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Lit>
              <c:ptCount val="5"/>
              <c:pt idx="0">
                <c:v>Will Not Be Done</c:v>
              </c:pt>
              <c:pt idx="1">
                <c:v>2017</c:v>
              </c:pt>
              <c:pt idx="2">
                <c:v>2018</c:v>
              </c:pt>
              <c:pt idx="3">
                <c:v>2019</c:v>
              </c:pt>
              <c:pt idx="4">
                <c:v>2020</c:v>
              </c:pt>
            </c:strLit>
          </c:cat>
          <c:val>
            <c:numLit>
              <c:formatCode>General</c:formatCode>
              <c:ptCount val="6"/>
              <c:pt idx="0">
                <c:v>0.77</c:v>
              </c:pt>
              <c:pt idx="1">
                <c:v>0.11</c:v>
              </c:pt>
              <c:pt idx="2">
                <c:v>0.09</c:v>
              </c:pt>
              <c:pt idx="3">
                <c:v>0.03</c:v>
              </c:pt>
              <c:pt idx="4">
                <c:v>0</c:v>
              </c:pt>
              <c:pt idx="5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3-D7E7-4DDF-BA69-80BA432B38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</c:plotArea>
    <c:plotVisOnly val="1"/>
    <c:dispBlanksAs val="zero"/>
    <c:showDLblsOverMax val="0"/>
  </c:chart>
  <c:spPr>
    <a:noFill/>
    <a:ln>
      <a:noFill/>
    </a:ln>
  </c:spPr>
  <c:printSettings>
    <c:headerFooter/>
    <c:pageMargins b="0.75000000000001443" l="0.70000000000000062" r="0.70000000000000062" t="0.75000000000001443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2.5891512945158103E-2"/>
          <c:y val="3.2401480489072404E-2"/>
          <c:w val="0.94254471626444181"/>
          <c:h val="0.9425444342688164"/>
        </c:manualLayout>
      </c:layout>
      <c:doughnutChart>
        <c:varyColors val="1"/>
        <c:ser>
          <c:idx val="0"/>
          <c:order val="0"/>
          <c:tx>
            <c:v>Average progress % Risk accepted Progress objective</c:v>
          </c:tx>
          <c:spPr>
            <a:ln w="3175">
              <a:solidFill>
                <a:sysClr val="window" lastClr="FFFFFF"/>
              </a:solidFill>
            </a:ln>
          </c:spPr>
          <c:dPt>
            <c:idx val="0"/>
            <c:bubble3D val="0"/>
            <c:spPr>
              <a:solidFill>
                <a:srgbClr val="03F309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689-4953-B36C-9DA3C59E3814}"/>
              </c:ext>
            </c:extLst>
          </c:dPt>
          <c:dPt>
            <c:idx val="1"/>
            <c:bubble3D val="0"/>
            <c:spPr>
              <a:noFill/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689-4953-B36C-9DA3C59E3814}"/>
              </c:ext>
            </c:extLst>
          </c:dPt>
          <c:dPt>
            <c:idx val="2"/>
            <c:bubble3D val="0"/>
            <c:spPr>
              <a:solidFill>
                <a:srgbClr val="373743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689-4953-B36C-9DA3C59E3814}"/>
              </c:ext>
            </c:extLst>
          </c:dPt>
          <c:dPt>
            <c:idx val="3"/>
            <c:bubble3D val="0"/>
            <c:spPr>
              <a:solidFill>
                <a:schemeClr val="bg2">
                  <a:lumMod val="50000"/>
                </a:schemeClr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9689-4953-B36C-9DA3C59E3814}"/>
              </c:ext>
            </c:extLst>
          </c:dPt>
          <c:dPt>
            <c:idx val="4"/>
            <c:bubble3D val="0"/>
            <c:spPr>
              <a:solidFill>
                <a:srgbClr val="FF4747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9689-4953-B36C-9DA3C59E3814}"/>
              </c:ext>
            </c:extLst>
          </c:dPt>
          <c:cat>
            <c:strLit>
              <c:ptCount val="5"/>
              <c:pt idx="0">
                <c:v>Will Not Be Done</c:v>
              </c:pt>
              <c:pt idx="1">
                <c:v>2017</c:v>
              </c:pt>
              <c:pt idx="2">
                <c:v>2018</c:v>
              </c:pt>
              <c:pt idx="3">
                <c:v>2019</c:v>
              </c:pt>
              <c:pt idx="4">
                <c:v>2020</c:v>
              </c:pt>
            </c:strLit>
          </c:cat>
          <c:val>
            <c:numLit>
              <c:formatCode>General</c:formatCode>
              <c:ptCount val="3"/>
              <c:pt idx="0">
                <c:v>1</c:v>
              </c:pt>
              <c:pt idx="1">
                <c:v>0</c:v>
              </c:pt>
              <c:pt idx="2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9689-4953-B36C-9DA3C59E3814}"/>
            </c:ext>
          </c:extLst>
        </c:ser>
        <c:ser>
          <c:idx val="2"/>
          <c:order val="1"/>
          <c:tx>
            <c:v>End of 2016 forecast Diff Forecast 2017 - 2016 End of 2017 forecast Diff Forecast 2018 - 2017 End of 2018 Forecast Diff Forecast 2019 - 2018 End of 2019 Forecast % Risk accepted bis % of errors</c:v>
          </c:tx>
          <c:spPr>
            <a:ln w="3175">
              <a:solidFill>
                <a:sysClr val="window" lastClr="FFFFFF"/>
              </a:solidFill>
            </a:ln>
          </c:spPr>
          <c:dPt>
            <c:idx val="0"/>
            <c:bubble3D val="0"/>
            <c:spPr>
              <a:solidFill>
                <a:srgbClr val="A7A7B7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C-9689-4953-B36C-9DA3C59E3814}"/>
              </c:ext>
            </c:extLst>
          </c:dPt>
          <c:dPt>
            <c:idx val="1"/>
            <c:bubble3D val="0"/>
            <c:spPr>
              <a:solidFill>
                <a:srgbClr val="A7A7B7"/>
              </a:solidFill>
              <a:ln w="3175">
                <a:solidFill>
                  <a:sysClr val="window" lastClr="FFFFFF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E-9689-4953-B36C-9DA3C59E3814}"/>
              </c:ext>
            </c:extLst>
          </c:dPt>
          <c:dPt>
            <c:idx val="2"/>
            <c:bubble3D val="0"/>
            <c:spPr>
              <a:solidFill>
                <a:srgbClr val="A7A7B7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0-9689-4953-B36C-9DA3C59E3814}"/>
              </c:ext>
            </c:extLst>
          </c:dPt>
          <c:dPt>
            <c:idx val="3"/>
            <c:bubble3D val="0"/>
            <c:spPr>
              <a:solidFill>
                <a:srgbClr val="A7A7B7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2-9689-4953-B36C-9DA3C59E3814}"/>
              </c:ext>
            </c:extLst>
          </c:dPt>
          <c:dPt>
            <c:idx val="4"/>
            <c:bubble3D val="0"/>
            <c:spPr>
              <a:solidFill>
                <a:srgbClr val="FFC000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9689-4953-B36C-9DA3C59E3814}"/>
              </c:ext>
            </c:extLst>
          </c:dPt>
          <c:dPt>
            <c:idx val="5"/>
            <c:bubble3D val="0"/>
            <c:spPr>
              <a:solidFill>
                <a:srgbClr val="373743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6-9689-4953-B36C-9DA3C59E3814}"/>
              </c:ext>
            </c:extLst>
          </c:dPt>
          <c:dPt>
            <c:idx val="6"/>
            <c:bubble3D val="0"/>
            <c:spPr>
              <a:solidFill>
                <a:srgbClr val="A7A7B7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8-9689-4953-B36C-9DA3C59E3814}"/>
              </c:ext>
            </c:extLst>
          </c:dPt>
          <c:dPt>
            <c:idx val="7"/>
            <c:bubble3D val="0"/>
            <c:spPr>
              <a:solidFill>
                <a:srgbClr val="FFFFFF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A-9689-4953-B36C-9DA3C59E3814}"/>
              </c:ext>
            </c:extLst>
          </c:dPt>
          <c:dPt>
            <c:idx val="8"/>
            <c:bubble3D val="0"/>
            <c:spPr>
              <a:solidFill>
                <a:srgbClr val="FFC000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C-9689-4953-B36C-9DA3C59E3814}"/>
              </c:ext>
            </c:extLst>
          </c:dPt>
          <c:dPt>
            <c:idx val="9"/>
            <c:bubble3D val="0"/>
            <c:spPr>
              <a:solidFill>
                <a:srgbClr val="373743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E-9689-4953-B36C-9DA3C59E3814}"/>
              </c:ext>
            </c:extLst>
          </c:dPt>
          <c:dPt>
            <c:idx val="10"/>
            <c:bubble3D val="0"/>
            <c:spPr>
              <a:solidFill>
                <a:srgbClr val="373743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0-9689-4953-B36C-9DA3C59E3814}"/>
              </c:ext>
            </c:extLst>
          </c:dPt>
          <c:dPt>
            <c:idx val="11"/>
            <c:bubble3D val="0"/>
            <c:spPr>
              <a:solidFill>
                <a:srgbClr val="FC3245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2-9689-4953-B36C-9DA3C59E3814}"/>
              </c:ext>
            </c:extLst>
          </c:dPt>
          <c:dLbls>
            <c:dLbl>
              <c:idx val="0"/>
              <c:numFmt formatCode="&quot;2016&quot;;;;@" sourceLinked="0"/>
              <c:spPr/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numFmt formatCode="&quot;2017&quot;;;;@" sourceLinked="0"/>
              <c:spPr/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numFmt formatCode="&quot;2018&quot;;;;@" sourceLinked="0"/>
              <c:spPr/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numFmt formatCode="&quot;2019&quot;;;;@" sourceLinked="0"/>
              <c:spPr/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9689-4953-B36C-9DA3C59E3814}"/>
                </c:ext>
              </c:extLst>
            </c:dLbl>
            <c:dLbl>
              <c:idx val="5"/>
              <c:numFmt formatCode="0%;;;" sourceLinked="0"/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numFmt formatCode="&quot;2019&quot;;;;@" sourceLinked="0"/>
              <c:spPr/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9689-4953-B36C-9DA3C59E3814}"/>
                </c:ext>
              </c:extLst>
            </c:dLbl>
            <c:dLbl>
              <c:idx val="8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9689-4953-B36C-9DA3C59E3814}"/>
                </c:ext>
              </c:extLst>
            </c:dLbl>
            <c:dLbl>
              <c:idx val="9"/>
              <c:numFmt formatCode="0%;;;" sourceLinked="0"/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9689-4953-B36C-9DA3C59E3814}"/>
                </c:ext>
              </c:extLst>
            </c:dLbl>
            <c:dLbl>
              <c:idx val="11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9689-4953-B36C-9DA3C59E381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 b="1">
                    <a:solidFill>
                      <a:srgbClr val="FFFFFF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Lit>
              <c:ptCount val="5"/>
              <c:pt idx="0">
                <c:v>Will Not Be Done</c:v>
              </c:pt>
              <c:pt idx="1">
                <c:v>2017</c:v>
              </c:pt>
              <c:pt idx="2">
                <c:v>2018</c:v>
              </c:pt>
              <c:pt idx="3">
                <c:v>2019</c:v>
              </c:pt>
              <c:pt idx="4">
                <c:v>2020</c:v>
              </c:pt>
            </c:strLit>
          </c:cat>
          <c:val>
            <c:numLit>
              <c:formatCode>General</c:formatCode>
              <c:ptCount val="6"/>
              <c:pt idx="0">
                <c:v>0.05</c:v>
              </c:pt>
              <c:pt idx="1">
                <c:v>0.1</c:v>
              </c:pt>
              <c:pt idx="2">
                <c:v>0.85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3-9689-4953-B36C-9DA3C59E38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</c:plotArea>
    <c:plotVisOnly val="1"/>
    <c:dispBlanksAs val="zero"/>
    <c:showDLblsOverMax val="0"/>
  </c:chart>
  <c:spPr>
    <a:noFill/>
    <a:ln>
      <a:noFill/>
    </a:ln>
  </c:spPr>
  <c:printSettings>
    <c:headerFooter/>
    <c:pageMargins b="0.75000000000001443" l="0.70000000000000062" r="0.70000000000000062" t="0.75000000000001443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2.5891512945158103E-2"/>
          <c:y val="3.2401480489072404E-2"/>
          <c:w val="0.94254471626444181"/>
          <c:h val="0.9425444342688164"/>
        </c:manualLayout>
      </c:layout>
      <c:doughnutChart>
        <c:varyColors val="1"/>
        <c:ser>
          <c:idx val="0"/>
          <c:order val="0"/>
          <c:tx>
            <c:v>Average progress % Risk accepted Progress objective</c:v>
          </c:tx>
          <c:spPr>
            <a:ln w="3175">
              <a:solidFill>
                <a:sysClr val="window" lastClr="FFFFFF"/>
              </a:solidFill>
            </a:ln>
          </c:spPr>
          <c:dPt>
            <c:idx val="0"/>
            <c:bubble3D val="0"/>
            <c:spPr>
              <a:solidFill>
                <a:srgbClr val="03F309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0B47-4416-A474-B992155606BB}"/>
              </c:ext>
            </c:extLst>
          </c:dPt>
          <c:dPt>
            <c:idx val="1"/>
            <c:bubble3D val="0"/>
            <c:spPr>
              <a:noFill/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0B47-4416-A474-B992155606BB}"/>
              </c:ext>
            </c:extLst>
          </c:dPt>
          <c:dPt>
            <c:idx val="2"/>
            <c:bubble3D val="0"/>
            <c:spPr>
              <a:solidFill>
                <a:srgbClr val="373743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0B47-4416-A474-B992155606BB}"/>
              </c:ext>
            </c:extLst>
          </c:dPt>
          <c:dPt>
            <c:idx val="3"/>
            <c:bubble3D val="0"/>
            <c:spPr>
              <a:solidFill>
                <a:schemeClr val="bg2">
                  <a:lumMod val="50000"/>
                </a:schemeClr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0B47-4416-A474-B992155606BB}"/>
              </c:ext>
            </c:extLst>
          </c:dPt>
          <c:dPt>
            <c:idx val="4"/>
            <c:bubble3D val="0"/>
            <c:spPr>
              <a:solidFill>
                <a:srgbClr val="FF4747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0B47-4416-A474-B992155606BB}"/>
              </c:ext>
            </c:extLst>
          </c:dPt>
          <c:cat>
            <c:strLit>
              <c:ptCount val="5"/>
              <c:pt idx="0">
                <c:v>Will Not Be Done</c:v>
              </c:pt>
              <c:pt idx="1">
                <c:v>2017</c:v>
              </c:pt>
              <c:pt idx="2">
                <c:v>2018</c:v>
              </c:pt>
              <c:pt idx="3">
                <c:v>2019</c:v>
              </c:pt>
              <c:pt idx="4">
                <c:v>2020</c:v>
              </c:pt>
            </c:strLit>
          </c:cat>
          <c:val>
            <c:numLit>
              <c:formatCode>General</c:formatCode>
              <c:ptCount val="3"/>
              <c:pt idx="0">
                <c:v>0.50714285714285712</c:v>
              </c:pt>
              <c:pt idx="1">
                <c:v>2.8571428571428914E-3</c:v>
              </c:pt>
              <c:pt idx="2">
                <c:v>0.49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0B47-4416-A474-B992155606BB}"/>
            </c:ext>
          </c:extLst>
        </c:ser>
        <c:ser>
          <c:idx val="2"/>
          <c:order val="1"/>
          <c:tx>
            <c:v>End of 2016 forecast Diff Forecast 2017 - 2016 End of 2017 forecast Diff Forecast 2018 - 2017 End of 2018 Forecast Diff Forecast 2019 - 2018 End of 2019 Forecast % Risk accepted bis % of errors</c:v>
          </c:tx>
          <c:spPr>
            <a:ln w="3175">
              <a:solidFill>
                <a:sysClr val="window" lastClr="FFFFFF"/>
              </a:solidFill>
            </a:ln>
          </c:spPr>
          <c:dPt>
            <c:idx val="0"/>
            <c:bubble3D val="0"/>
            <c:spPr>
              <a:solidFill>
                <a:srgbClr val="A7A7B7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C-0B47-4416-A474-B992155606BB}"/>
              </c:ext>
            </c:extLst>
          </c:dPt>
          <c:dPt>
            <c:idx val="1"/>
            <c:bubble3D val="0"/>
            <c:spPr>
              <a:solidFill>
                <a:srgbClr val="A7A7B7"/>
              </a:solidFill>
              <a:ln w="3175">
                <a:solidFill>
                  <a:sysClr val="window" lastClr="FFFFFF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E-0B47-4416-A474-B992155606BB}"/>
              </c:ext>
            </c:extLst>
          </c:dPt>
          <c:dPt>
            <c:idx val="2"/>
            <c:bubble3D val="0"/>
            <c:spPr>
              <a:solidFill>
                <a:srgbClr val="A7A7B7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0-0B47-4416-A474-B992155606BB}"/>
              </c:ext>
            </c:extLst>
          </c:dPt>
          <c:dPt>
            <c:idx val="3"/>
            <c:bubble3D val="0"/>
            <c:spPr>
              <a:solidFill>
                <a:srgbClr val="A7A7B7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2-0B47-4416-A474-B992155606BB}"/>
              </c:ext>
            </c:extLst>
          </c:dPt>
          <c:dPt>
            <c:idx val="4"/>
            <c:bubble3D val="0"/>
            <c:spPr>
              <a:solidFill>
                <a:srgbClr val="FFC000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0B47-4416-A474-B992155606BB}"/>
              </c:ext>
            </c:extLst>
          </c:dPt>
          <c:dPt>
            <c:idx val="5"/>
            <c:bubble3D val="0"/>
            <c:spPr>
              <a:solidFill>
                <a:srgbClr val="373743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6-0B47-4416-A474-B992155606BB}"/>
              </c:ext>
            </c:extLst>
          </c:dPt>
          <c:dPt>
            <c:idx val="6"/>
            <c:bubble3D val="0"/>
            <c:spPr>
              <a:solidFill>
                <a:srgbClr val="A7A7B7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8-0B47-4416-A474-B992155606BB}"/>
              </c:ext>
            </c:extLst>
          </c:dPt>
          <c:dPt>
            <c:idx val="7"/>
            <c:bubble3D val="0"/>
            <c:spPr>
              <a:solidFill>
                <a:srgbClr val="FFFFFF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A-0B47-4416-A474-B992155606BB}"/>
              </c:ext>
            </c:extLst>
          </c:dPt>
          <c:dPt>
            <c:idx val="8"/>
            <c:bubble3D val="0"/>
            <c:spPr>
              <a:solidFill>
                <a:srgbClr val="FFC000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C-0B47-4416-A474-B992155606BB}"/>
              </c:ext>
            </c:extLst>
          </c:dPt>
          <c:dPt>
            <c:idx val="9"/>
            <c:bubble3D val="0"/>
            <c:spPr>
              <a:solidFill>
                <a:srgbClr val="373743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E-0B47-4416-A474-B992155606BB}"/>
              </c:ext>
            </c:extLst>
          </c:dPt>
          <c:dPt>
            <c:idx val="10"/>
            <c:bubble3D val="0"/>
            <c:spPr>
              <a:solidFill>
                <a:srgbClr val="373743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0-0B47-4416-A474-B992155606BB}"/>
              </c:ext>
            </c:extLst>
          </c:dPt>
          <c:dPt>
            <c:idx val="11"/>
            <c:bubble3D val="0"/>
            <c:spPr>
              <a:solidFill>
                <a:srgbClr val="FC3245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2-0B47-4416-A474-B992155606BB}"/>
              </c:ext>
            </c:extLst>
          </c:dPt>
          <c:dLbls>
            <c:dLbl>
              <c:idx val="0"/>
              <c:numFmt formatCode="&quot;2016&quot;;;;@" sourceLinked="0"/>
              <c:spPr/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numFmt formatCode="&quot;2017&quot;;;;@" sourceLinked="0"/>
              <c:spPr/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numFmt formatCode="&quot;2018&quot;;;;@" sourceLinked="0"/>
              <c:spPr/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numFmt formatCode="&quot;2019&quot;;;;@" sourceLinked="0"/>
              <c:spPr/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0B47-4416-A474-B992155606BB}"/>
                </c:ext>
              </c:extLst>
            </c:dLbl>
            <c:dLbl>
              <c:idx val="5"/>
              <c:numFmt formatCode="0%;;;" sourceLinked="0"/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numFmt formatCode="&quot;2019&quot;;;;@" sourceLinked="0"/>
              <c:spPr/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0B47-4416-A474-B992155606BB}"/>
                </c:ext>
              </c:extLst>
            </c:dLbl>
            <c:dLbl>
              <c:idx val="8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0B47-4416-A474-B992155606BB}"/>
                </c:ext>
              </c:extLst>
            </c:dLbl>
            <c:dLbl>
              <c:idx val="9"/>
              <c:numFmt formatCode="0%;;;" sourceLinked="0"/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0B47-4416-A474-B992155606BB}"/>
                </c:ext>
              </c:extLst>
            </c:dLbl>
            <c:dLbl>
              <c:idx val="11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0B47-4416-A474-B992155606B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 b="1">
                    <a:solidFill>
                      <a:srgbClr val="FFFFFF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Lit>
              <c:ptCount val="5"/>
              <c:pt idx="0">
                <c:v>Will Not Be Done</c:v>
              </c:pt>
              <c:pt idx="1">
                <c:v>2017</c:v>
              </c:pt>
              <c:pt idx="2">
                <c:v>2018</c:v>
              </c:pt>
              <c:pt idx="3">
                <c:v>2019</c:v>
              </c:pt>
              <c:pt idx="4">
                <c:v>2020</c:v>
              </c:pt>
            </c:strLit>
          </c:cat>
          <c:val>
            <c:numLit>
              <c:formatCode>General</c:formatCode>
              <c:ptCount val="6"/>
              <c:pt idx="0">
                <c:v>0.35</c:v>
              </c:pt>
              <c:pt idx="1">
                <c:v>0.15</c:v>
              </c:pt>
              <c:pt idx="2">
                <c:v>0.01</c:v>
              </c:pt>
              <c:pt idx="3">
                <c:v>0</c:v>
              </c:pt>
              <c:pt idx="4">
                <c:v>0</c:v>
              </c:pt>
              <c:pt idx="5">
                <c:v>0.49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3-0B47-4416-A474-B992155606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</c:plotArea>
    <c:plotVisOnly val="1"/>
    <c:dispBlanksAs val="zero"/>
    <c:showDLblsOverMax val="0"/>
  </c:chart>
  <c:spPr>
    <a:noFill/>
    <a:ln>
      <a:noFill/>
    </a:ln>
  </c:spPr>
  <c:printSettings>
    <c:headerFooter/>
    <c:pageMargins b="0.75000000000001443" l="0.70000000000000062" r="0.70000000000000062" t="0.75000000000001443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2.5891512945158103E-2"/>
          <c:y val="3.2401480489072404E-2"/>
          <c:w val="0.94254471626444181"/>
          <c:h val="0.9425444342688164"/>
        </c:manualLayout>
      </c:layout>
      <c:doughnutChart>
        <c:varyColors val="1"/>
        <c:ser>
          <c:idx val="0"/>
          <c:order val="0"/>
          <c:tx>
            <c:v>Average progress % Risk accepted Progress objective</c:v>
          </c:tx>
          <c:spPr>
            <a:ln w="3175">
              <a:solidFill>
                <a:sysClr val="window" lastClr="FFFFFF"/>
              </a:solidFill>
            </a:ln>
          </c:spPr>
          <c:dPt>
            <c:idx val="0"/>
            <c:bubble3D val="0"/>
            <c:spPr>
              <a:solidFill>
                <a:srgbClr val="03F309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3DD2-4835-A866-897161540A12}"/>
              </c:ext>
            </c:extLst>
          </c:dPt>
          <c:dPt>
            <c:idx val="1"/>
            <c:bubble3D val="0"/>
            <c:spPr>
              <a:noFill/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3DD2-4835-A866-897161540A12}"/>
              </c:ext>
            </c:extLst>
          </c:dPt>
          <c:dPt>
            <c:idx val="2"/>
            <c:bubble3D val="0"/>
            <c:spPr>
              <a:solidFill>
                <a:srgbClr val="373743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3DD2-4835-A866-897161540A12}"/>
              </c:ext>
            </c:extLst>
          </c:dPt>
          <c:dPt>
            <c:idx val="3"/>
            <c:bubble3D val="0"/>
            <c:spPr>
              <a:solidFill>
                <a:schemeClr val="bg2">
                  <a:lumMod val="50000"/>
                </a:schemeClr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3DD2-4835-A866-897161540A12}"/>
              </c:ext>
            </c:extLst>
          </c:dPt>
          <c:dPt>
            <c:idx val="4"/>
            <c:bubble3D val="0"/>
            <c:spPr>
              <a:solidFill>
                <a:srgbClr val="FF4747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3DD2-4835-A866-897161540A12}"/>
              </c:ext>
            </c:extLst>
          </c:dPt>
          <c:cat>
            <c:strLit>
              <c:ptCount val="5"/>
              <c:pt idx="0">
                <c:v>Will Not Be Done</c:v>
              </c:pt>
              <c:pt idx="1">
                <c:v>2017</c:v>
              </c:pt>
              <c:pt idx="2">
                <c:v>2018</c:v>
              </c:pt>
              <c:pt idx="3">
                <c:v>2019</c:v>
              </c:pt>
              <c:pt idx="4">
                <c:v>2020</c:v>
              </c:pt>
            </c:strLit>
          </c:cat>
          <c:val>
            <c:numLit>
              <c:formatCode>General</c:formatCode>
              <c:ptCount val="3"/>
              <c:pt idx="0">
                <c:v>1.4807692307692308</c:v>
              </c:pt>
              <c:pt idx="1">
                <c:v>-0.48076923076923084</c:v>
              </c:pt>
              <c:pt idx="2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3DD2-4835-A866-897161540A12}"/>
            </c:ext>
          </c:extLst>
        </c:ser>
        <c:ser>
          <c:idx val="2"/>
          <c:order val="1"/>
          <c:tx>
            <c:v>End of 2016 forecast Diff Forecast 2017 - 2016 End of 2017 forecast Diff Forecast 2018 - 2017 End of 2018 Forecast Diff Forecast 2019 - 2018 End of 2019 Forecast % Risk accepted bis % of errors</c:v>
          </c:tx>
          <c:spPr>
            <a:ln w="3175">
              <a:solidFill>
                <a:sysClr val="window" lastClr="FFFFFF"/>
              </a:solidFill>
            </a:ln>
          </c:spPr>
          <c:dPt>
            <c:idx val="0"/>
            <c:bubble3D val="0"/>
            <c:spPr>
              <a:solidFill>
                <a:srgbClr val="A7A7B7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C-3DD2-4835-A866-897161540A12}"/>
              </c:ext>
            </c:extLst>
          </c:dPt>
          <c:dPt>
            <c:idx val="1"/>
            <c:bubble3D val="0"/>
            <c:spPr>
              <a:solidFill>
                <a:srgbClr val="A7A7B7"/>
              </a:solidFill>
              <a:ln w="3175">
                <a:solidFill>
                  <a:sysClr val="window" lastClr="FFFFFF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E-3DD2-4835-A866-897161540A12}"/>
              </c:ext>
            </c:extLst>
          </c:dPt>
          <c:dPt>
            <c:idx val="2"/>
            <c:bubble3D val="0"/>
            <c:spPr>
              <a:solidFill>
                <a:srgbClr val="A7A7B7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0-3DD2-4835-A866-897161540A12}"/>
              </c:ext>
            </c:extLst>
          </c:dPt>
          <c:dPt>
            <c:idx val="3"/>
            <c:bubble3D val="0"/>
            <c:spPr>
              <a:solidFill>
                <a:srgbClr val="A7A7B7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2-3DD2-4835-A866-897161540A12}"/>
              </c:ext>
            </c:extLst>
          </c:dPt>
          <c:dPt>
            <c:idx val="4"/>
            <c:bubble3D val="0"/>
            <c:spPr>
              <a:solidFill>
                <a:srgbClr val="FFC000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3DD2-4835-A866-897161540A12}"/>
              </c:ext>
            </c:extLst>
          </c:dPt>
          <c:dPt>
            <c:idx val="5"/>
            <c:bubble3D val="0"/>
            <c:spPr>
              <a:solidFill>
                <a:srgbClr val="373743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6-3DD2-4835-A866-897161540A12}"/>
              </c:ext>
            </c:extLst>
          </c:dPt>
          <c:dPt>
            <c:idx val="6"/>
            <c:bubble3D val="0"/>
            <c:spPr>
              <a:solidFill>
                <a:srgbClr val="A7A7B7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8-3DD2-4835-A866-897161540A12}"/>
              </c:ext>
            </c:extLst>
          </c:dPt>
          <c:dPt>
            <c:idx val="7"/>
            <c:bubble3D val="0"/>
            <c:spPr>
              <a:solidFill>
                <a:srgbClr val="FFFFFF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A-3DD2-4835-A866-897161540A12}"/>
              </c:ext>
            </c:extLst>
          </c:dPt>
          <c:dPt>
            <c:idx val="8"/>
            <c:bubble3D val="0"/>
            <c:spPr>
              <a:solidFill>
                <a:srgbClr val="FFC000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C-3DD2-4835-A866-897161540A12}"/>
              </c:ext>
            </c:extLst>
          </c:dPt>
          <c:dPt>
            <c:idx val="9"/>
            <c:bubble3D val="0"/>
            <c:spPr>
              <a:solidFill>
                <a:srgbClr val="373743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E-3DD2-4835-A866-897161540A12}"/>
              </c:ext>
            </c:extLst>
          </c:dPt>
          <c:dPt>
            <c:idx val="10"/>
            <c:bubble3D val="0"/>
            <c:spPr>
              <a:solidFill>
                <a:srgbClr val="373743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0-3DD2-4835-A866-897161540A12}"/>
              </c:ext>
            </c:extLst>
          </c:dPt>
          <c:dPt>
            <c:idx val="11"/>
            <c:bubble3D val="0"/>
            <c:spPr>
              <a:solidFill>
                <a:srgbClr val="FC3245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2-3DD2-4835-A866-897161540A12}"/>
              </c:ext>
            </c:extLst>
          </c:dPt>
          <c:dLbls>
            <c:dLbl>
              <c:idx val="0"/>
              <c:numFmt formatCode="&quot;2016&quot;;;;@" sourceLinked="0"/>
              <c:spPr/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numFmt formatCode="&quot;2017&quot;;;;@" sourceLinked="0"/>
              <c:spPr/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numFmt formatCode="&quot;2018&quot;;;;@" sourceLinked="0"/>
              <c:spPr/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numFmt formatCode="&quot;2019&quot;;;;@" sourceLinked="0"/>
              <c:spPr/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3DD2-4835-A866-897161540A12}"/>
                </c:ext>
              </c:extLst>
            </c:dLbl>
            <c:dLbl>
              <c:idx val="5"/>
              <c:numFmt formatCode="0%;;;" sourceLinked="0"/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numFmt formatCode="&quot;2019&quot;;;;@" sourceLinked="0"/>
              <c:spPr/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3DD2-4835-A866-897161540A12}"/>
                </c:ext>
              </c:extLst>
            </c:dLbl>
            <c:dLbl>
              <c:idx val="8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3DD2-4835-A866-897161540A12}"/>
                </c:ext>
              </c:extLst>
            </c:dLbl>
            <c:dLbl>
              <c:idx val="9"/>
              <c:numFmt formatCode="0%;;;" sourceLinked="0"/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3DD2-4835-A866-897161540A12}"/>
                </c:ext>
              </c:extLst>
            </c:dLbl>
            <c:dLbl>
              <c:idx val="11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3DD2-4835-A866-897161540A1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 b="1">
                    <a:solidFill>
                      <a:srgbClr val="FFFFFF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Lit>
              <c:ptCount val="5"/>
              <c:pt idx="0">
                <c:v>Will Not Be Done</c:v>
              </c:pt>
              <c:pt idx="1">
                <c:v>2017</c:v>
              </c:pt>
              <c:pt idx="2">
                <c:v>2018</c:v>
              </c:pt>
              <c:pt idx="3">
                <c:v>2019</c:v>
              </c:pt>
              <c:pt idx="4">
                <c:v>2020</c:v>
              </c:pt>
            </c:strLit>
          </c:cat>
          <c:val>
            <c:numLit>
              <c:formatCode>General</c:formatCode>
              <c:ptCount val="6"/>
              <c:pt idx="0">
                <c:v>1.46</c:v>
              </c:pt>
              <c:pt idx="1">
                <c:v>0.01</c:v>
              </c:pt>
              <c:pt idx="2">
                <c:v>0.01</c:v>
              </c:pt>
              <c:pt idx="3">
                <c:v>0</c:v>
              </c:pt>
              <c:pt idx="4">
                <c:v>-0.48</c:v>
              </c:pt>
              <c:pt idx="5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3-3DD2-4835-A866-897161540A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</c:plotArea>
    <c:plotVisOnly val="1"/>
    <c:dispBlanksAs val="zero"/>
    <c:showDLblsOverMax val="0"/>
  </c:chart>
  <c:spPr>
    <a:noFill/>
    <a:ln>
      <a:noFill/>
    </a:ln>
  </c:spPr>
  <c:printSettings>
    <c:headerFooter/>
    <c:pageMargins b="0.75000000000001443" l="0.70000000000000062" r="0.70000000000000062" t="0.75000000000001443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"/>
          <c:y val="1.1340044135329291E-3"/>
          <c:w val="1"/>
          <c:h val="0.98590342251277263"/>
        </c:manualLayout>
      </c:layout>
      <c:barChart>
        <c:barDir val="bar"/>
        <c:grouping val="percentStacked"/>
        <c:varyColors val="0"/>
        <c:ser>
          <c:idx val="1"/>
          <c:order val="0"/>
          <c:tx>
            <c:strRef>
              <c:f>DASHBOARD_2!$B$10</c:f>
              <c:strCache>
                <c:ptCount val="1"/>
                <c:pt idx="0">
                  <c:v>Completed</c:v>
                </c:pt>
              </c:strCache>
            </c:strRef>
          </c:tx>
          <c:spPr>
            <a:solidFill>
              <a:srgbClr val="00CC18"/>
            </a:solidFill>
            <a:ln w="31750">
              <a:solidFill>
                <a:schemeClr val="bg2">
                  <a:lumMod val="20000"/>
                  <a:lumOff val="8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00CC18"/>
              </a:solidFill>
              <a:ln w="31750">
                <a:noFill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A38-48FF-A364-EAC4661BF1A2}"/>
              </c:ext>
            </c:extLst>
          </c:dPt>
          <c:dLbls>
            <c:numFmt formatCode="#,##0;\(#,##0\)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373743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DASHBOARD_2!$E$10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9A38-48FF-A364-EAC4661BF1A2}"/>
            </c:ext>
          </c:extLst>
        </c:ser>
        <c:ser>
          <c:idx val="0"/>
          <c:order val="1"/>
          <c:tx>
            <c:strRef>
              <c:f>DASHBOARD_2!$B$11</c:f>
              <c:strCache>
                <c:ptCount val="1"/>
                <c:pt idx="0">
                  <c:v>In progress</c:v>
                </c:pt>
              </c:strCache>
            </c:strRef>
          </c:tx>
          <c:spPr>
            <a:solidFill>
              <a:srgbClr val="FFC000"/>
            </a:solidFill>
            <a:ln w="31750">
              <a:noFill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6DF35B"/>
              </a:solidFill>
              <a:ln w="31750">
                <a:noFill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9A38-48FF-A364-EAC4661BF1A2}"/>
              </c:ext>
            </c:extLst>
          </c:dPt>
          <c:dLbls>
            <c:numFmt formatCode="#,##0;\(#,##0\)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373743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DASHBOARD_2!$E$11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9A38-48FF-A364-EAC4661BF1A2}"/>
            </c:ext>
          </c:extLst>
        </c:ser>
        <c:ser>
          <c:idx val="2"/>
          <c:order val="2"/>
          <c:tx>
            <c:strRef>
              <c:f>DASHBOARD_2!$B$12</c:f>
              <c:strCache>
                <c:ptCount val="1"/>
                <c:pt idx="0">
                  <c:v>To be started</c:v>
                </c:pt>
              </c:strCache>
            </c:strRef>
          </c:tx>
          <c:spPr>
            <a:solidFill>
              <a:srgbClr val="A7A7B7"/>
            </a:solidFill>
            <a:ln w="31750">
              <a:noFill/>
            </a:ln>
          </c:spPr>
          <c:invertIfNegative val="0"/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9A38-48FF-A364-EAC4661BF1A2}"/>
                </c:ext>
              </c:extLst>
            </c:dLbl>
            <c:numFmt formatCode="#,##0;\(#,##0\)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373743"/>
                    </a:solidFill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DASHBOARD_2!$E$12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9A38-48FF-A364-EAC4661BF1A2}"/>
            </c:ext>
          </c:extLst>
        </c:ser>
        <c:ser>
          <c:idx val="3"/>
          <c:order val="3"/>
          <c:tx>
            <c:strRef>
              <c:f>DASHBOARD_2!$B$13</c:f>
              <c:strCache>
                <c:ptCount val="1"/>
                <c:pt idx="0">
                  <c:v>Risk accepted by entity</c:v>
                </c:pt>
              </c:strCache>
            </c:strRef>
          </c:tx>
          <c:spPr>
            <a:solidFill>
              <a:srgbClr val="373743"/>
            </a:solidFill>
            <a:ln w="31750">
              <a:noFill/>
            </a:ln>
          </c:spPr>
          <c:invertIfNegative val="0"/>
          <c:dLbls>
            <c:numFmt formatCode="#,##0;\(#,##0\)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FFFFFF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DASHBOARD_2!$E$13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9A38-48FF-A364-EAC4661BF1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55128192"/>
        <c:axId val="455139328"/>
      </c:barChart>
      <c:catAx>
        <c:axId val="455128192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one"/>
        <c:crossAx val="455139328"/>
        <c:crosses val="autoZero"/>
        <c:auto val="1"/>
        <c:lblAlgn val="ctr"/>
        <c:lblOffset val="100"/>
        <c:noMultiLvlLbl val="0"/>
      </c:catAx>
      <c:valAx>
        <c:axId val="455139328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one"/>
        <c:crossAx val="45512819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1354" l="0.70000000000000062" r="0.70000000000000062" t="0.75000000000001354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"/>
          <c:y val="1.4095961897229118E-2"/>
          <c:w val="1"/>
          <c:h val="0.98590342251277263"/>
        </c:manualLayout>
      </c:layout>
      <c:barChart>
        <c:barDir val="bar"/>
        <c:grouping val="percentStacked"/>
        <c:varyColors val="0"/>
        <c:ser>
          <c:idx val="3"/>
          <c:order val="0"/>
          <c:tx>
            <c:v>Forecast 2016</c:v>
          </c:tx>
          <c:spPr>
            <a:solidFill>
              <a:srgbClr val="6B6B6B"/>
            </a:solidFill>
          </c:spPr>
          <c:invertIfNegative val="0"/>
          <c:dLbls>
            <c:dLbl>
              <c:idx val="0"/>
              <c:numFmt formatCode="&quot;2016 &quot;\(0\);;;@" sourceLinked="0"/>
              <c:spPr/>
              <c:txPr>
                <a:bodyPr/>
                <a:lstStyle/>
                <a:p>
                  <a:pPr>
                    <a:defRPr sz="8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64B8-4808-A4F0-CB8F8EE3ADD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rgbClr val="FFFFFF"/>
                    </a:solidFill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22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4B8-4808-A4F0-CB8F8EE3ADD6}"/>
            </c:ext>
          </c:extLst>
        </c:ser>
        <c:ser>
          <c:idx val="1"/>
          <c:order val="1"/>
          <c:tx>
            <c:v>Forecast 2017</c:v>
          </c:tx>
          <c:spPr>
            <a:solidFill>
              <a:srgbClr val="7F7F7F"/>
            </a:solidFill>
            <a:ln w="44450">
              <a:noFill/>
            </a:ln>
          </c:spPr>
          <c:invertIfNegative val="0"/>
          <c:dLbls>
            <c:numFmt formatCode="&quot;2017 &quot;\(0\);;;@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>
                    <a:solidFill>
                      <a:srgbClr val="FFFFFF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64B8-4808-A4F0-CB8F8EE3ADD6}"/>
            </c:ext>
          </c:extLst>
        </c:ser>
        <c:ser>
          <c:idx val="0"/>
          <c:order val="2"/>
          <c:tx>
            <c:v>Forecast 2018</c:v>
          </c:tx>
          <c:spPr>
            <a:solidFill>
              <a:srgbClr val="A7A7A7"/>
            </a:solidFill>
            <a:ln w="22225">
              <a:noFill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A7A7A7"/>
              </a:solidFill>
              <a:ln w="44450">
                <a:noFill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64B8-4808-A4F0-CB8F8EE3ADD6}"/>
              </c:ext>
            </c:extLst>
          </c:dPt>
          <c:dLbls>
            <c:dLbl>
              <c:idx val="0"/>
              <c:numFmt formatCode="&quot;2018 &quot;\(0\);;;@" sourceLinked="0"/>
              <c:spPr/>
              <c:txPr>
                <a:bodyPr/>
                <a:lstStyle/>
                <a:p>
                  <a:pPr>
                    <a:defRPr sz="800" b="1">
                      <a:solidFill>
                        <a:srgbClr val="373743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&quot;2018 &quot;\(#,##0\)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>
                    <a:solidFill>
                      <a:srgbClr val="373743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64B8-4808-A4F0-CB8F8EE3ADD6}"/>
            </c:ext>
          </c:extLst>
        </c:ser>
        <c:ser>
          <c:idx val="4"/>
          <c:order val="3"/>
          <c:tx>
            <c:v>Forecast 2019</c:v>
          </c:tx>
          <c:spPr>
            <a:solidFill>
              <a:srgbClr val="BBBBBB"/>
            </a:solidFill>
          </c:spPr>
          <c:invertIfNegative val="0"/>
          <c:dLbls>
            <c:numFmt formatCode="&quot;2019 &quot;\(0\);;;@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>
                    <a:solidFill>
                      <a:srgbClr val="373743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64B8-4808-A4F0-CB8F8EE3ADD6}"/>
            </c:ext>
          </c:extLst>
        </c:ser>
        <c:ser>
          <c:idx val="5"/>
          <c:order val="4"/>
          <c:tx>
            <c:v>RISK ACCEPTED BY ENTITY</c:v>
          </c:tx>
          <c:spPr>
            <a:solidFill>
              <a:srgbClr val="CFCFCF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373743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64B8-4808-A4F0-CB8F8EE3ADD6}"/>
              </c:ext>
            </c:extLst>
          </c:dPt>
          <c:dLbls>
            <c:numFmt formatCode="&quot;2020 &quot;\(0\);;;@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 anchorCtr="0">
                <a:spAutoFit/>
              </a:bodyPr>
              <a:lstStyle/>
              <a:p>
                <a:pPr algn="ctr">
                  <a:defRPr lang="fr-FR" sz="800" b="1" i="0" u="none" strike="noStrike" kern="1200" baseline="0">
                    <a:solidFill>
                      <a:srgbClr val="373743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9-64B8-4808-A4F0-CB8F8EE3AD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61523968"/>
        <c:axId val="461533952"/>
      </c:barChart>
      <c:catAx>
        <c:axId val="46152396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one"/>
        <c:crossAx val="461533952"/>
        <c:crosses val="autoZero"/>
        <c:auto val="1"/>
        <c:lblAlgn val="ctr"/>
        <c:lblOffset val="100"/>
        <c:noMultiLvlLbl val="0"/>
      </c:catAx>
      <c:valAx>
        <c:axId val="461533952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one"/>
        <c:crossAx val="46152396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1377" l="0.70000000000000062" r="0.70000000000000062" t="0.75000000000001377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"/>
          <c:y val="1.1340044135329291E-3"/>
          <c:w val="1"/>
          <c:h val="0.98590342251277263"/>
        </c:manualLayout>
      </c:layout>
      <c:barChart>
        <c:barDir val="bar"/>
        <c:grouping val="percentStacked"/>
        <c:varyColors val="0"/>
        <c:ser>
          <c:idx val="1"/>
          <c:order val="0"/>
          <c:tx>
            <c:strRef>
              <c:f>DASHBOARD_2!$G$10</c:f>
              <c:strCache>
                <c:ptCount val="1"/>
                <c:pt idx="0">
                  <c:v>Completed</c:v>
                </c:pt>
              </c:strCache>
            </c:strRef>
          </c:tx>
          <c:spPr>
            <a:solidFill>
              <a:srgbClr val="00CC18"/>
            </a:solidFill>
            <a:ln w="31750">
              <a:solidFill>
                <a:schemeClr val="bg2">
                  <a:lumMod val="20000"/>
                  <a:lumOff val="8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00CC18"/>
              </a:solidFill>
              <a:ln w="31750">
                <a:noFill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599-42FF-83CC-1E7064AFE843}"/>
              </c:ext>
            </c:extLst>
          </c:dPt>
          <c:dLbls>
            <c:numFmt formatCode="#,##0;\(#,##0\)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373743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DASHBOARD_2!$J$10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9599-42FF-83CC-1E7064AFE843}"/>
            </c:ext>
          </c:extLst>
        </c:ser>
        <c:ser>
          <c:idx val="0"/>
          <c:order val="1"/>
          <c:tx>
            <c:strRef>
              <c:f>DASHBOARD_2!$G$11</c:f>
              <c:strCache>
                <c:ptCount val="1"/>
                <c:pt idx="0">
                  <c:v>In progress</c:v>
                </c:pt>
              </c:strCache>
            </c:strRef>
          </c:tx>
          <c:spPr>
            <a:solidFill>
              <a:srgbClr val="FFC000"/>
            </a:solidFill>
            <a:ln w="31750">
              <a:noFill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6DF35B"/>
              </a:solidFill>
              <a:ln w="31750">
                <a:noFill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9599-42FF-83CC-1E7064AFE843}"/>
              </c:ext>
            </c:extLst>
          </c:dPt>
          <c:dLbls>
            <c:numFmt formatCode="#,##0;\(#,##0\)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373743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DASHBOARD_2!$J$11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9599-42FF-83CC-1E7064AFE843}"/>
            </c:ext>
          </c:extLst>
        </c:ser>
        <c:ser>
          <c:idx val="2"/>
          <c:order val="2"/>
          <c:tx>
            <c:strRef>
              <c:f>DASHBOARD_2!$G$12</c:f>
              <c:strCache>
                <c:ptCount val="1"/>
                <c:pt idx="0">
                  <c:v>To be started</c:v>
                </c:pt>
              </c:strCache>
            </c:strRef>
          </c:tx>
          <c:spPr>
            <a:solidFill>
              <a:srgbClr val="A7A7B7"/>
            </a:solidFill>
            <a:ln w="31750">
              <a:noFill/>
            </a:ln>
          </c:spPr>
          <c:invertIfNegative val="0"/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9599-42FF-83CC-1E7064AFE843}"/>
                </c:ext>
              </c:extLst>
            </c:dLbl>
            <c:numFmt formatCode="#,##0;\(#,##0\)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373743"/>
                    </a:solidFill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DASHBOARD_2!$J$12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9599-42FF-83CC-1E7064AFE843}"/>
            </c:ext>
          </c:extLst>
        </c:ser>
        <c:ser>
          <c:idx val="3"/>
          <c:order val="3"/>
          <c:tx>
            <c:strRef>
              <c:f>DASHBOARD_2!$G$13</c:f>
              <c:strCache>
                <c:ptCount val="1"/>
                <c:pt idx="0">
                  <c:v>Risk accepted by entity</c:v>
                </c:pt>
              </c:strCache>
            </c:strRef>
          </c:tx>
          <c:spPr>
            <a:solidFill>
              <a:srgbClr val="373743"/>
            </a:solidFill>
            <a:ln w="31750">
              <a:noFill/>
            </a:ln>
          </c:spPr>
          <c:invertIfNegative val="0"/>
          <c:dLbls>
            <c:numFmt formatCode="#,##0;\(#,##0\)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FFFFFF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DASHBOARD_2!$J$13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9599-42FF-83CC-1E7064AFE8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61580544"/>
        <c:axId val="461608064"/>
      </c:barChart>
      <c:catAx>
        <c:axId val="461580544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one"/>
        <c:crossAx val="461608064"/>
        <c:crosses val="autoZero"/>
        <c:auto val="1"/>
        <c:lblAlgn val="ctr"/>
        <c:lblOffset val="100"/>
        <c:noMultiLvlLbl val="0"/>
      </c:catAx>
      <c:valAx>
        <c:axId val="461608064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one"/>
        <c:crossAx val="46158054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1354" l="0.70000000000000062" r="0.70000000000000062" t="0.75000000000001354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"/>
          <c:y val="1.4095961897229118E-2"/>
          <c:w val="1"/>
          <c:h val="0.98590342251277263"/>
        </c:manualLayout>
      </c:layout>
      <c:barChart>
        <c:barDir val="bar"/>
        <c:grouping val="percentStacked"/>
        <c:varyColors val="0"/>
        <c:ser>
          <c:idx val="3"/>
          <c:order val="0"/>
          <c:tx>
            <c:v>Forecast 2016</c:v>
          </c:tx>
          <c:spPr>
            <a:solidFill>
              <a:srgbClr val="6B6B6B"/>
            </a:solidFill>
          </c:spPr>
          <c:invertIfNegative val="0"/>
          <c:dLbls>
            <c:dLbl>
              <c:idx val="0"/>
              <c:numFmt formatCode="&quot;2016 &quot;\(0\);;;@" sourceLinked="0"/>
              <c:spPr/>
              <c:txPr>
                <a:bodyPr/>
                <a:lstStyle/>
                <a:p>
                  <a:pPr>
                    <a:defRPr sz="8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19F-426C-93D4-664EDD2A748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rgbClr val="FFFFFF"/>
                    </a:solidFill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3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019F-426C-93D4-664EDD2A7486}"/>
            </c:ext>
          </c:extLst>
        </c:ser>
        <c:ser>
          <c:idx val="1"/>
          <c:order val="1"/>
          <c:tx>
            <c:v>Forecast 2017</c:v>
          </c:tx>
          <c:spPr>
            <a:solidFill>
              <a:srgbClr val="7F7F7F"/>
            </a:solidFill>
            <a:ln w="44450">
              <a:noFill/>
            </a:ln>
          </c:spPr>
          <c:invertIfNegative val="0"/>
          <c:dLbls>
            <c:numFmt formatCode="&quot;2017 &quot;\(0\);;;@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>
                    <a:solidFill>
                      <a:srgbClr val="FFFFFF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019F-426C-93D4-664EDD2A7486}"/>
            </c:ext>
          </c:extLst>
        </c:ser>
        <c:ser>
          <c:idx val="0"/>
          <c:order val="2"/>
          <c:tx>
            <c:v>Forecast 2018</c:v>
          </c:tx>
          <c:spPr>
            <a:solidFill>
              <a:srgbClr val="A7A7A7"/>
            </a:solidFill>
            <a:ln w="22225">
              <a:noFill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A7A7A7"/>
              </a:solidFill>
              <a:ln w="44450">
                <a:noFill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019F-426C-93D4-664EDD2A7486}"/>
              </c:ext>
            </c:extLst>
          </c:dPt>
          <c:dLbls>
            <c:dLbl>
              <c:idx val="0"/>
              <c:numFmt formatCode="&quot;2018 &quot;\(0\);;;@" sourceLinked="0"/>
              <c:spPr/>
              <c:txPr>
                <a:bodyPr/>
                <a:lstStyle/>
                <a:p>
                  <a:pPr>
                    <a:defRPr sz="800" b="1">
                      <a:solidFill>
                        <a:srgbClr val="373743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&quot;2018 &quot;\(#,##0\)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>
                    <a:solidFill>
                      <a:srgbClr val="373743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019F-426C-93D4-664EDD2A7486}"/>
            </c:ext>
          </c:extLst>
        </c:ser>
        <c:ser>
          <c:idx val="4"/>
          <c:order val="3"/>
          <c:tx>
            <c:v>Forecast 2019</c:v>
          </c:tx>
          <c:spPr>
            <a:solidFill>
              <a:srgbClr val="BBBBBB"/>
            </a:solidFill>
          </c:spPr>
          <c:invertIfNegative val="0"/>
          <c:dLbls>
            <c:numFmt formatCode="&quot;2019 &quot;\(0\);;;@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>
                    <a:solidFill>
                      <a:srgbClr val="373743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019F-426C-93D4-664EDD2A7486}"/>
            </c:ext>
          </c:extLst>
        </c:ser>
        <c:ser>
          <c:idx val="5"/>
          <c:order val="4"/>
          <c:tx>
            <c:v>RISK ACCEPTED BY ENTITY</c:v>
          </c:tx>
          <c:spPr>
            <a:solidFill>
              <a:srgbClr val="CFCFCF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373743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019F-426C-93D4-664EDD2A7486}"/>
              </c:ext>
            </c:extLst>
          </c:dPt>
          <c:dLbls>
            <c:numFmt formatCode="&quot;2020 &quot;\(0\);;;@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 anchorCtr="0">
                <a:spAutoFit/>
              </a:bodyPr>
              <a:lstStyle/>
              <a:p>
                <a:pPr algn="ctr">
                  <a:defRPr lang="fr-FR" sz="800" b="1" i="0" u="none" strike="noStrike" kern="1200" baseline="0">
                    <a:solidFill>
                      <a:srgbClr val="373743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9-019F-426C-93D4-664EDD2A74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65107584"/>
        <c:axId val="469717376"/>
      </c:barChart>
      <c:catAx>
        <c:axId val="465107584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one"/>
        <c:crossAx val="469717376"/>
        <c:crosses val="autoZero"/>
        <c:auto val="1"/>
        <c:lblAlgn val="ctr"/>
        <c:lblOffset val="100"/>
        <c:noMultiLvlLbl val="0"/>
      </c:catAx>
      <c:valAx>
        <c:axId val="469717376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one"/>
        <c:crossAx val="46510758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1377" l="0.70000000000000062" r="0.70000000000000062" t="0.75000000000001377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"/>
          <c:y val="1.1340044135329291E-3"/>
          <c:w val="1"/>
          <c:h val="0.98590342251277263"/>
        </c:manualLayout>
      </c:layout>
      <c:barChart>
        <c:barDir val="bar"/>
        <c:grouping val="percentStacked"/>
        <c:varyColors val="0"/>
        <c:ser>
          <c:idx val="1"/>
          <c:order val="0"/>
          <c:tx>
            <c:strRef>
              <c:f>DASHBOARD_2!$L$10</c:f>
              <c:strCache>
                <c:ptCount val="1"/>
                <c:pt idx="0">
                  <c:v>Completed</c:v>
                </c:pt>
              </c:strCache>
            </c:strRef>
          </c:tx>
          <c:spPr>
            <a:solidFill>
              <a:srgbClr val="00CC18"/>
            </a:solidFill>
            <a:ln w="31750">
              <a:solidFill>
                <a:schemeClr val="bg2">
                  <a:lumMod val="20000"/>
                  <a:lumOff val="8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00CC18"/>
              </a:solidFill>
              <a:ln w="31750">
                <a:noFill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DAF9-4EEA-B19E-D70E624E78F0}"/>
              </c:ext>
            </c:extLst>
          </c:dPt>
          <c:dLbls>
            <c:numFmt formatCode="#,##0;\(#,##0\)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373743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DASHBOARD_2!$O$10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DAF9-4EEA-B19E-D70E624E78F0}"/>
            </c:ext>
          </c:extLst>
        </c:ser>
        <c:ser>
          <c:idx val="0"/>
          <c:order val="1"/>
          <c:tx>
            <c:strRef>
              <c:f>DASHBOARD_2!$L$11</c:f>
              <c:strCache>
                <c:ptCount val="1"/>
                <c:pt idx="0">
                  <c:v>In progress</c:v>
                </c:pt>
              </c:strCache>
            </c:strRef>
          </c:tx>
          <c:spPr>
            <a:solidFill>
              <a:srgbClr val="FFC000"/>
            </a:solidFill>
            <a:ln w="31750">
              <a:noFill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6DF35B"/>
              </a:solidFill>
              <a:ln w="31750">
                <a:noFill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DAF9-4EEA-B19E-D70E624E78F0}"/>
              </c:ext>
            </c:extLst>
          </c:dPt>
          <c:dLbls>
            <c:numFmt formatCode="#,##0;\(#,##0\)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373743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DASHBOARD_2!$O$11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DAF9-4EEA-B19E-D70E624E78F0}"/>
            </c:ext>
          </c:extLst>
        </c:ser>
        <c:ser>
          <c:idx val="2"/>
          <c:order val="2"/>
          <c:tx>
            <c:strRef>
              <c:f>DASHBOARD_2!$L$12</c:f>
              <c:strCache>
                <c:ptCount val="1"/>
                <c:pt idx="0">
                  <c:v>To be started</c:v>
                </c:pt>
              </c:strCache>
            </c:strRef>
          </c:tx>
          <c:spPr>
            <a:solidFill>
              <a:srgbClr val="A7A7B7"/>
            </a:solidFill>
            <a:ln w="31750">
              <a:noFill/>
            </a:ln>
          </c:spPr>
          <c:invertIfNegative val="0"/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AF9-4EEA-B19E-D70E624E78F0}"/>
                </c:ext>
              </c:extLst>
            </c:dLbl>
            <c:numFmt formatCode="#,##0;\(#,##0\)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373743"/>
                    </a:solidFill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DASHBOARD_2!$O$12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DAF9-4EEA-B19E-D70E624E78F0}"/>
            </c:ext>
          </c:extLst>
        </c:ser>
        <c:ser>
          <c:idx val="3"/>
          <c:order val="3"/>
          <c:tx>
            <c:strRef>
              <c:f>DASHBOARD_2!$L$13</c:f>
              <c:strCache>
                <c:ptCount val="1"/>
                <c:pt idx="0">
                  <c:v>Risk accepted by entity</c:v>
                </c:pt>
              </c:strCache>
            </c:strRef>
          </c:tx>
          <c:spPr>
            <a:solidFill>
              <a:srgbClr val="373743"/>
            </a:solidFill>
            <a:ln w="31750">
              <a:noFill/>
            </a:ln>
          </c:spPr>
          <c:invertIfNegative val="0"/>
          <c:dLbls>
            <c:numFmt formatCode="#,##0;\(#,##0\)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FFFFFF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DASHBOARD_2!$O$13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DAF9-4EEA-B19E-D70E624E78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69743488"/>
        <c:axId val="481768192"/>
      </c:barChart>
      <c:catAx>
        <c:axId val="46974348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one"/>
        <c:crossAx val="481768192"/>
        <c:crosses val="autoZero"/>
        <c:auto val="1"/>
        <c:lblAlgn val="ctr"/>
        <c:lblOffset val="100"/>
        <c:noMultiLvlLbl val="0"/>
      </c:catAx>
      <c:valAx>
        <c:axId val="481768192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one"/>
        <c:crossAx val="46974348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1354" l="0.70000000000000062" r="0.70000000000000062" t="0.75000000000001354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"/>
          <c:y val="1.4095961897229118E-2"/>
          <c:w val="1"/>
          <c:h val="0.98590342251277263"/>
        </c:manualLayout>
      </c:layout>
      <c:barChart>
        <c:barDir val="bar"/>
        <c:grouping val="percentStacked"/>
        <c:varyColors val="0"/>
        <c:ser>
          <c:idx val="3"/>
          <c:order val="0"/>
          <c:tx>
            <c:v>Forecast 2016</c:v>
          </c:tx>
          <c:spPr>
            <a:solidFill>
              <a:srgbClr val="6B6B6B"/>
            </a:solidFill>
          </c:spPr>
          <c:invertIfNegative val="0"/>
          <c:dLbls>
            <c:dLbl>
              <c:idx val="0"/>
              <c:numFmt formatCode="&quot;2016 &quot;\(0\);;;@" sourceLinked="0"/>
              <c:spPr/>
              <c:txPr>
                <a:bodyPr/>
                <a:lstStyle/>
                <a:p>
                  <a:pPr>
                    <a:defRPr sz="8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341-4C85-923A-CF59F3890E5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rgbClr val="FFFFFF"/>
                    </a:solidFill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6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2341-4C85-923A-CF59F3890E54}"/>
            </c:ext>
          </c:extLst>
        </c:ser>
        <c:ser>
          <c:idx val="1"/>
          <c:order val="1"/>
          <c:tx>
            <c:v>Forecast 2017</c:v>
          </c:tx>
          <c:spPr>
            <a:solidFill>
              <a:srgbClr val="7F7F7F"/>
            </a:solidFill>
            <a:ln w="44450">
              <a:noFill/>
            </a:ln>
          </c:spPr>
          <c:invertIfNegative val="0"/>
          <c:dLbls>
            <c:numFmt formatCode="&quot;2017 &quot;\(0\);;;@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>
                    <a:solidFill>
                      <a:srgbClr val="FFFFFF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2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2341-4C85-923A-CF59F3890E54}"/>
            </c:ext>
          </c:extLst>
        </c:ser>
        <c:ser>
          <c:idx val="0"/>
          <c:order val="2"/>
          <c:tx>
            <c:v>Forecast 2018</c:v>
          </c:tx>
          <c:spPr>
            <a:solidFill>
              <a:srgbClr val="A7A7A7"/>
            </a:solidFill>
            <a:ln w="22225">
              <a:noFill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A7A7A7"/>
              </a:solidFill>
              <a:ln w="44450">
                <a:noFill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2341-4C85-923A-CF59F3890E54}"/>
              </c:ext>
            </c:extLst>
          </c:dPt>
          <c:dLbls>
            <c:dLbl>
              <c:idx val="0"/>
              <c:numFmt formatCode="&quot;2018 &quot;\(0\);;;@" sourceLinked="0"/>
              <c:spPr/>
              <c:txPr>
                <a:bodyPr/>
                <a:lstStyle/>
                <a:p>
                  <a:pPr>
                    <a:defRPr sz="800" b="1">
                      <a:solidFill>
                        <a:schemeClr val="bg1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&quot;2018 &quot;\(#,##0\)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1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2341-4C85-923A-CF59F3890E54}"/>
            </c:ext>
          </c:extLst>
        </c:ser>
        <c:ser>
          <c:idx val="4"/>
          <c:order val="3"/>
          <c:tx>
            <c:v>Forecast 2019</c:v>
          </c:tx>
          <c:spPr>
            <a:solidFill>
              <a:srgbClr val="BBBBBB"/>
            </a:solidFill>
          </c:spPr>
          <c:invertIfNegative val="0"/>
          <c:dLbls>
            <c:numFmt formatCode="&quot;2019 &quot;\(0\);;;@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>
                    <a:solidFill>
                      <a:srgbClr val="373743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1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2341-4C85-923A-CF59F3890E54}"/>
            </c:ext>
          </c:extLst>
        </c:ser>
        <c:ser>
          <c:idx val="5"/>
          <c:order val="4"/>
          <c:tx>
            <c:v>RISK ACCEPTED BY ENTITY</c:v>
          </c:tx>
          <c:spPr>
            <a:solidFill>
              <a:srgbClr val="CFCFCF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373743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2341-4C85-923A-CF59F3890E54}"/>
              </c:ext>
            </c:extLst>
          </c:dPt>
          <c:dLbls>
            <c:numFmt formatCode="&quot;2020 &quot;\(0\);;;@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 anchorCtr="0">
                <a:spAutoFit/>
              </a:bodyPr>
              <a:lstStyle/>
              <a:p>
                <a:pPr algn="ctr">
                  <a:defRPr lang="fr-FR" sz="800" b="1" i="0" u="none" strike="noStrike" kern="1200" baseline="0">
                    <a:solidFill>
                      <a:srgbClr val="373743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9-2341-4C85-923A-CF59F3890E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87004416"/>
        <c:axId val="487010304"/>
      </c:barChart>
      <c:catAx>
        <c:axId val="48700441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one"/>
        <c:crossAx val="487010304"/>
        <c:crosses val="autoZero"/>
        <c:auto val="1"/>
        <c:lblAlgn val="ctr"/>
        <c:lblOffset val="100"/>
        <c:noMultiLvlLbl val="0"/>
      </c:catAx>
      <c:valAx>
        <c:axId val="487010304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one"/>
        <c:crossAx val="48700441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1377" l="0.70000000000000062" r="0.70000000000000062" t="0.75000000000001377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"/>
          <c:y val="1.1340044135329291E-3"/>
          <c:w val="1"/>
          <c:h val="0.98590342251277263"/>
        </c:manualLayout>
      </c:layout>
      <c:barChart>
        <c:barDir val="bar"/>
        <c:grouping val="percentStacked"/>
        <c:varyColors val="0"/>
        <c:ser>
          <c:idx val="1"/>
          <c:order val="0"/>
          <c:tx>
            <c:strRef>
              <c:f>DASHBOARD_2!$Q$10</c:f>
              <c:strCache>
                <c:ptCount val="1"/>
                <c:pt idx="0">
                  <c:v>Completed</c:v>
                </c:pt>
              </c:strCache>
            </c:strRef>
          </c:tx>
          <c:spPr>
            <a:solidFill>
              <a:srgbClr val="00CC18"/>
            </a:solidFill>
            <a:ln w="31750">
              <a:solidFill>
                <a:schemeClr val="bg2">
                  <a:lumMod val="20000"/>
                  <a:lumOff val="8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00CC18"/>
              </a:solidFill>
              <a:ln w="31750">
                <a:noFill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3569-4704-ABE8-583B8040C7DB}"/>
              </c:ext>
            </c:extLst>
          </c:dPt>
          <c:dLbls>
            <c:numFmt formatCode="#,##0;\(#,##0\)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373743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DASHBOARD_2!$T$10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3569-4704-ABE8-583B8040C7DB}"/>
            </c:ext>
          </c:extLst>
        </c:ser>
        <c:ser>
          <c:idx val="0"/>
          <c:order val="1"/>
          <c:tx>
            <c:strRef>
              <c:f>DASHBOARD_2!$Q$11</c:f>
              <c:strCache>
                <c:ptCount val="1"/>
                <c:pt idx="0">
                  <c:v>In progress</c:v>
                </c:pt>
              </c:strCache>
            </c:strRef>
          </c:tx>
          <c:spPr>
            <a:solidFill>
              <a:srgbClr val="FFC000"/>
            </a:solidFill>
            <a:ln w="31750">
              <a:noFill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6DF35B"/>
              </a:solidFill>
              <a:ln w="31750">
                <a:noFill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3569-4704-ABE8-583B8040C7DB}"/>
              </c:ext>
            </c:extLst>
          </c:dPt>
          <c:dLbls>
            <c:numFmt formatCode="#,##0;\(#,##0\)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373743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DASHBOARD_2!$T$11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3569-4704-ABE8-583B8040C7DB}"/>
            </c:ext>
          </c:extLst>
        </c:ser>
        <c:ser>
          <c:idx val="2"/>
          <c:order val="2"/>
          <c:tx>
            <c:strRef>
              <c:f>DASHBOARD_2!$Q$12</c:f>
              <c:strCache>
                <c:ptCount val="1"/>
                <c:pt idx="0">
                  <c:v>To be started</c:v>
                </c:pt>
              </c:strCache>
            </c:strRef>
          </c:tx>
          <c:spPr>
            <a:solidFill>
              <a:srgbClr val="A7A7B7"/>
            </a:solidFill>
            <a:ln w="31750">
              <a:noFill/>
            </a:ln>
          </c:spPr>
          <c:invertIfNegative val="0"/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3569-4704-ABE8-583B8040C7DB}"/>
                </c:ext>
              </c:extLst>
            </c:dLbl>
            <c:numFmt formatCode="#,##0;\(#,##0\)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373743"/>
                    </a:solidFill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DASHBOARD_2!$T$12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3569-4704-ABE8-583B8040C7DB}"/>
            </c:ext>
          </c:extLst>
        </c:ser>
        <c:ser>
          <c:idx val="3"/>
          <c:order val="3"/>
          <c:tx>
            <c:strRef>
              <c:f>DASHBOARD_2!$Q$13</c:f>
              <c:strCache>
                <c:ptCount val="1"/>
                <c:pt idx="0">
                  <c:v>Risk accepted by entity</c:v>
                </c:pt>
              </c:strCache>
            </c:strRef>
          </c:tx>
          <c:spPr>
            <a:solidFill>
              <a:srgbClr val="373743"/>
            </a:solidFill>
            <a:ln w="31750">
              <a:noFill/>
            </a:ln>
          </c:spPr>
          <c:invertIfNegative val="0"/>
          <c:dLbls>
            <c:numFmt formatCode="#,##0;\(#,##0\)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FFFFFF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DASHBOARD_2!$T$13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3569-4704-ABE8-583B8040C7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84189440"/>
        <c:axId val="584204672"/>
      </c:barChart>
      <c:catAx>
        <c:axId val="584189440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one"/>
        <c:crossAx val="584204672"/>
        <c:crosses val="autoZero"/>
        <c:auto val="1"/>
        <c:lblAlgn val="ctr"/>
        <c:lblOffset val="100"/>
        <c:noMultiLvlLbl val="0"/>
      </c:catAx>
      <c:valAx>
        <c:axId val="584204672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one"/>
        <c:crossAx val="58418944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1354" l="0.70000000000000062" r="0.70000000000000062" t="0.75000000000001354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"/>
          <c:y val="1.4095961897229118E-2"/>
          <c:w val="1"/>
          <c:h val="0.98590342251277263"/>
        </c:manualLayout>
      </c:layout>
      <c:barChart>
        <c:barDir val="bar"/>
        <c:grouping val="percentStacked"/>
        <c:varyColors val="0"/>
        <c:ser>
          <c:idx val="3"/>
          <c:order val="0"/>
          <c:tx>
            <c:v>Forecast 2016</c:v>
          </c:tx>
          <c:spPr>
            <a:solidFill>
              <a:srgbClr val="6B6B6B"/>
            </a:solidFill>
          </c:spPr>
          <c:invertIfNegative val="0"/>
          <c:dLbls>
            <c:dLbl>
              <c:idx val="0"/>
              <c:numFmt formatCode="&quot;2016 &quot;\(0\);;;@" sourceLinked="0"/>
              <c:spPr/>
              <c:txPr>
                <a:bodyPr/>
                <a:lstStyle/>
                <a:p>
                  <a:pPr>
                    <a:defRPr sz="8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EBE-4184-8925-20D2E3049CF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rgbClr val="FFFFFF"/>
                    </a:solidFill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EEBE-4184-8925-20D2E3049CF4}"/>
            </c:ext>
          </c:extLst>
        </c:ser>
        <c:ser>
          <c:idx val="1"/>
          <c:order val="1"/>
          <c:tx>
            <c:v>Forecast 2017</c:v>
          </c:tx>
          <c:spPr>
            <a:solidFill>
              <a:srgbClr val="7F7F7F"/>
            </a:solidFill>
            <a:ln w="44450">
              <a:noFill/>
            </a:ln>
          </c:spPr>
          <c:invertIfNegative val="0"/>
          <c:dLbls>
            <c:numFmt formatCode="&quot;2017 &quot;\(0\);;;@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>
                    <a:solidFill>
                      <a:srgbClr val="FFFFFF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EEBE-4184-8925-20D2E3049CF4}"/>
            </c:ext>
          </c:extLst>
        </c:ser>
        <c:ser>
          <c:idx val="0"/>
          <c:order val="2"/>
          <c:tx>
            <c:v>Forecast 2018</c:v>
          </c:tx>
          <c:spPr>
            <a:solidFill>
              <a:srgbClr val="A7A7A7"/>
            </a:solidFill>
            <a:ln w="22225">
              <a:noFill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A7A7A7"/>
              </a:solidFill>
              <a:ln w="44450">
                <a:noFill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EEBE-4184-8925-20D2E3049CF4}"/>
              </c:ext>
            </c:extLst>
          </c:dPt>
          <c:dLbls>
            <c:dLbl>
              <c:idx val="0"/>
              <c:numFmt formatCode="&quot;2018 &quot;\(0\);;;@" sourceLinked="0"/>
              <c:spPr/>
              <c:txPr>
                <a:bodyPr/>
                <a:lstStyle/>
                <a:p>
                  <a:pPr>
                    <a:defRPr sz="800" b="1">
                      <a:solidFill>
                        <a:srgbClr val="373743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&quot;2018 &quot;\(#,##0\)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>
                    <a:solidFill>
                      <a:srgbClr val="373743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1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EEBE-4184-8925-20D2E3049CF4}"/>
            </c:ext>
          </c:extLst>
        </c:ser>
        <c:ser>
          <c:idx val="4"/>
          <c:order val="3"/>
          <c:tx>
            <c:v>Forecast 2019</c:v>
          </c:tx>
          <c:spPr>
            <a:solidFill>
              <a:srgbClr val="BBBBBB"/>
            </a:solidFill>
          </c:spPr>
          <c:invertIfNegative val="0"/>
          <c:dLbls>
            <c:numFmt formatCode="&quot;2019 &quot;\(0\);;;@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>
                    <a:solidFill>
                      <a:srgbClr val="373743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EEBE-4184-8925-20D2E3049CF4}"/>
            </c:ext>
          </c:extLst>
        </c:ser>
        <c:ser>
          <c:idx val="5"/>
          <c:order val="4"/>
          <c:tx>
            <c:v>RISK ACCEPTED BY ENTITY</c:v>
          </c:tx>
          <c:spPr>
            <a:solidFill>
              <a:srgbClr val="CFCFCF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373743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EEBE-4184-8925-20D2E3049CF4}"/>
              </c:ext>
            </c:extLst>
          </c:dPt>
          <c:dLbls>
            <c:numFmt formatCode="&quot;2020 &quot;\(0\);;;@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 anchorCtr="0">
                <a:spAutoFit/>
              </a:bodyPr>
              <a:lstStyle/>
              <a:p>
                <a:pPr algn="ctr">
                  <a:defRPr lang="fr-FR" sz="800" b="1" i="0" u="none" strike="noStrike" kern="1200" baseline="0">
                    <a:solidFill>
                      <a:srgbClr val="373743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9-EEBE-4184-8925-20D2E3049C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88208000"/>
        <c:axId val="588209536"/>
      </c:barChart>
      <c:catAx>
        <c:axId val="588208000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one"/>
        <c:crossAx val="588209536"/>
        <c:crosses val="autoZero"/>
        <c:auto val="1"/>
        <c:lblAlgn val="ctr"/>
        <c:lblOffset val="100"/>
        <c:noMultiLvlLbl val="0"/>
      </c:catAx>
      <c:valAx>
        <c:axId val="588209536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one"/>
        <c:crossAx val="58820800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1377" l="0.70000000000000062" r="0.70000000000000062" t="0.75000000000001377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"/>
          <c:y val="1.1340044135329291E-3"/>
          <c:w val="1"/>
          <c:h val="0.98590342251277263"/>
        </c:manualLayout>
      </c:layout>
      <c:barChart>
        <c:barDir val="bar"/>
        <c:grouping val="percentStacked"/>
        <c:varyColors val="0"/>
        <c:ser>
          <c:idx val="1"/>
          <c:order val="0"/>
          <c:tx>
            <c:strRef>
              <c:f>DASHBOARD_2!$B$26</c:f>
              <c:strCache>
                <c:ptCount val="1"/>
                <c:pt idx="0">
                  <c:v>Completed</c:v>
                </c:pt>
              </c:strCache>
            </c:strRef>
          </c:tx>
          <c:spPr>
            <a:solidFill>
              <a:srgbClr val="00CC18"/>
            </a:solidFill>
            <a:ln w="31750">
              <a:solidFill>
                <a:schemeClr val="bg2">
                  <a:lumMod val="20000"/>
                  <a:lumOff val="8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00CC18"/>
              </a:solidFill>
              <a:ln w="31750">
                <a:noFill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3752-4652-B00A-228ED572483B}"/>
              </c:ext>
            </c:extLst>
          </c:dPt>
          <c:dLbls>
            <c:numFmt formatCode="#,##0;\(#,##0\)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373743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DASHBOARD_2!$E$26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3752-4652-B00A-228ED572483B}"/>
            </c:ext>
          </c:extLst>
        </c:ser>
        <c:ser>
          <c:idx val="0"/>
          <c:order val="1"/>
          <c:tx>
            <c:strRef>
              <c:f>DASHBOARD_2!$B$27</c:f>
              <c:strCache>
                <c:ptCount val="1"/>
                <c:pt idx="0">
                  <c:v>In progress</c:v>
                </c:pt>
              </c:strCache>
            </c:strRef>
          </c:tx>
          <c:spPr>
            <a:solidFill>
              <a:srgbClr val="FFC000"/>
            </a:solidFill>
            <a:ln w="31750">
              <a:noFill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6DF35B"/>
              </a:solidFill>
              <a:ln w="31750">
                <a:noFill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3752-4652-B00A-228ED572483B}"/>
              </c:ext>
            </c:extLst>
          </c:dPt>
          <c:dLbls>
            <c:numFmt formatCode="#,##0;\(#,##0\)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373743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DASHBOARD_2!$E$27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3752-4652-B00A-228ED572483B}"/>
            </c:ext>
          </c:extLst>
        </c:ser>
        <c:ser>
          <c:idx val="2"/>
          <c:order val="2"/>
          <c:tx>
            <c:strRef>
              <c:f>DASHBOARD_2!$B$28</c:f>
              <c:strCache>
                <c:ptCount val="1"/>
                <c:pt idx="0">
                  <c:v>To be started</c:v>
                </c:pt>
              </c:strCache>
            </c:strRef>
          </c:tx>
          <c:spPr>
            <a:solidFill>
              <a:srgbClr val="A7A7B7"/>
            </a:solidFill>
            <a:ln w="31750">
              <a:noFill/>
            </a:ln>
          </c:spPr>
          <c:invertIfNegative val="0"/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3752-4652-B00A-228ED572483B}"/>
                </c:ext>
              </c:extLst>
            </c:dLbl>
            <c:numFmt formatCode="#,##0;\(#,##0\)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373743"/>
                    </a:solidFill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DASHBOARD_2!$E$28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3752-4652-B00A-228ED572483B}"/>
            </c:ext>
          </c:extLst>
        </c:ser>
        <c:ser>
          <c:idx val="3"/>
          <c:order val="3"/>
          <c:tx>
            <c:strRef>
              <c:f>DASHBOARD_2!$B$29</c:f>
              <c:strCache>
                <c:ptCount val="1"/>
                <c:pt idx="0">
                  <c:v>Risk accepted by entity</c:v>
                </c:pt>
              </c:strCache>
            </c:strRef>
          </c:tx>
          <c:spPr>
            <a:solidFill>
              <a:srgbClr val="373743"/>
            </a:solidFill>
            <a:ln w="31750">
              <a:noFill/>
            </a:ln>
          </c:spPr>
          <c:invertIfNegative val="0"/>
          <c:dLbls>
            <c:numFmt formatCode="#,##0;\(#,##0\)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FFFFFF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DASHBOARD_2!$E$29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3752-4652-B00A-228ED57248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03399296"/>
        <c:axId val="603410432"/>
      </c:barChart>
      <c:catAx>
        <c:axId val="60339929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one"/>
        <c:crossAx val="603410432"/>
        <c:crosses val="autoZero"/>
        <c:auto val="1"/>
        <c:lblAlgn val="ctr"/>
        <c:lblOffset val="100"/>
        <c:noMultiLvlLbl val="0"/>
      </c:catAx>
      <c:valAx>
        <c:axId val="603410432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one"/>
        <c:crossAx val="60339929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1354" l="0.70000000000000062" r="0.70000000000000062" t="0.75000000000001354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"/>
          <c:y val="1.4095961897229118E-2"/>
          <c:w val="1"/>
          <c:h val="0.98590342251277263"/>
        </c:manualLayout>
      </c:layout>
      <c:barChart>
        <c:barDir val="bar"/>
        <c:grouping val="percentStacked"/>
        <c:varyColors val="0"/>
        <c:ser>
          <c:idx val="3"/>
          <c:order val="0"/>
          <c:tx>
            <c:v>Forecast 2016</c:v>
          </c:tx>
          <c:spPr>
            <a:solidFill>
              <a:srgbClr val="6B6B6B"/>
            </a:solidFill>
          </c:spPr>
          <c:invertIfNegative val="0"/>
          <c:dLbls>
            <c:dLbl>
              <c:idx val="0"/>
              <c:numFmt formatCode="&quot;2016 &quot;\(0\);;;@" sourceLinked="0"/>
              <c:spPr/>
              <c:txPr>
                <a:bodyPr/>
                <a:lstStyle/>
                <a:p>
                  <a:pPr>
                    <a:defRPr sz="8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1A4-46E8-91D2-4D7FD4174A3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rgbClr val="FFFFFF"/>
                    </a:solidFill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6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21A4-46E8-91D2-4D7FD4174A35}"/>
            </c:ext>
          </c:extLst>
        </c:ser>
        <c:ser>
          <c:idx val="1"/>
          <c:order val="1"/>
          <c:tx>
            <c:v>Forecast 2017</c:v>
          </c:tx>
          <c:spPr>
            <a:solidFill>
              <a:srgbClr val="7F7F7F"/>
            </a:solidFill>
            <a:ln w="44450">
              <a:noFill/>
            </a:ln>
          </c:spPr>
          <c:invertIfNegative val="0"/>
          <c:dLbls>
            <c:numFmt formatCode="&quot;2017 &quot;\(0\);;;@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>
                    <a:solidFill>
                      <a:srgbClr val="FFFFFF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11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21A4-46E8-91D2-4D7FD4174A35}"/>
            </c:ext>
          </c:extLst>
        </c:ser>
        <c:ser>
          <c:idx val="0"/>
          <c:order val="2"/>
          <c:tx>
            <c:v>Forecast 2018</c:v>
          </c:tx>
          <c:spPr>
            <a:solidFill>
              <a:srgbClr val="A7A7A7"/>
            </a:solidFill>
            <a:ln w="22225">
              <a:noFill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A7A7A7"/>
              </a:solidFill>
              <a:ln w="44450">
                <a:noFill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21A4-46E8-91D2-4D7FD4174A35}"/>
              </c:ext>
            </c:extLst>
          </c:dPt>
          <c:dLbls>
            <c:dLbl>
              <c:idx val="0"/>
              <c:numFmt formatCode="&quot;2018 &quot;\(0\);;;@" sourceLinked="0"/>
              <c:spPr/>
              <c:txPr>
                <a:bodyPr/>
                <a:lstStyle/>
                <a:p>
                  <a:pPr>
                    <a:defRPr sz="800" b="1">
                      <a:solidFill>
                        <a:schemeClr val="bg1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&quot;2018 &quot;\(#,##0\)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>
                    <a:solidFill>
                      <a:srgbClr val="373743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21A4-46E8-91D2-4D7FD4174A35}"/>
            </c:ext>
          </c:extLst>
        </c:ser>
        <c:ser>
          <c:idx val="4"/>
          <c:order val="3"/>
          <c:tx>
            <c:v>Forecast 2019</c:v>
          </c:tx>
          <c:spPr>
            <a:solidFill>
              <a:srgbClr val="BBBBBB"/>
            </a:solidFill>
          </c:spPr>
          <c:invertIfNegative val="0"/>
          <c:dLbls>
            <c:numFmt formatCode="&quot;2019 &quot;\(0\);;;@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>
                    <a:solidFill>
                      <a:srgbClr val="373743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1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21A4-46E8-91D2-4D7FD4174A35}"/>
            </c:ext>
          </c:extLst>
        </c:ser>
        <c:ser>
          <c:idx val="5"/>
          <c:order val="4"/>
          <c:tx>
            <c:v>RISK ACCEPTED BY ENTITY</c:v>
          </c:tx>
          <c:spPr>
            <a:solidFill>
              <a:srgbClr val="CFCFCF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373743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21A4-46E8-91D2-4D7FD4174A35}"/>
              </c:ext>
            </c:extLst>
          </c:dPt>
          <c:dLbls>
            <c:numFmt formatCode="&quot;2020 &quot;\(0\);;;@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 anchorCtr="0">
                <a:spAutoFit/>
              </a:bodyPr>
              <a:lstStyle/>
              <a:p>
                <a:pPr algn="ctr">
                  <a:defRPr lang="fr-FR" sz="800" b="1" i="0" u="none" strike="noStrike" kern="1200" baseline="0">
                    <a:solidFill>
                      <a:srgbClr val="373743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Lit>
              <c:formatCode>General</c:formatCode>
              <c:ptCount val="1"/>
              <c:pt idx="0">
                <c:v>17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9-21A4-46E8-91D2-4D7FD4174A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04780032"/>
        <c:axId val="604781568"/>
      </c:barChart>
      <c:catAx>
        <c:axId val="604780032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one"/>
        <c:crossAx val="604781568"/>
        <c:crosses val="autoZero"/>
        <c:auto val="1"/>
        <c:lblAlgn val="ctr"/>
        <c:lblOffset val="100"/>
        <c:noMultiLvlLbl val="0"/>
      </c:catAx>
      <c:valAx>
        <c:axId val="604781568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one"/>
        <c:crossAx val="60478003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1377" l="0.70000000000000062" r="0.70000000000000062" t="0.75000000000001377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"/>
          <c:y val="1.1340044135329291E-3"/>
          <c:w val="1"/>
          <c:h val="0.98590342251277263"/>
        </c:manualLayout>
      </c:layout>
      <c:barChart>
        <c:barDir val="bar"/>
        <c:grouping val="percentStacked"/>
        <c:varyColors val="0"/>
        <c:ser>
          <c:idx val="1"/>
          <c:order val="0"/>
          <c:tx>
            <c:strRef>
              <c:f>DASHBOARD_2!$G$26</c:f>
              <c:strCache>
                <c:ptCount val="1"/>
                <c:pt idx="0">
                  <c:v>Completed</c:v>
                </c:pt>
              </c:strCache>
            </c:strRef>
          </c:tx>
          <c:spPr>
            <a:solidFill>
              <a:srgbClr val="00CC18"/>
            </a:solidFill>
            <a:ln w="31750">
              <a:solidFill>
                <a:schemeClr val="bg2">
                  <a:lumMod val="20000"/>
                  <a:lumOff val="8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00CC18"/>
              </a:solidFill>
              <a:ln w="31750">
                <a:noFill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5375-471B-8292-6422999EA16B}"/>
              </c:ext>
            </c:extLst>
          </c:dPt>
          <c:dLbls>
            <c:numFmt formatCode="#,##0;\(#,##0\)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373743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DASHBOARD_2!$J$26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5375-471B-8292-6422999EA16B}"/>
            </c:ext>
          </c:extLst>
        </c:ser>
        <c:ser>
          <c:idx val="0"/>
          <c:order val="1"/>
          <c:tx>
            <c:strRef>
              <c:f>DASHBOARD_2!$G$27</c:f>
              <c:strCache>
                <c:ptCount val="1"/>
                <c:pt idx="0">
                  <c:v>In progress</c:v>
                </c:pt>
              </c:strCache>
            </c:strRef>
          </c:tx>
          <c:spPr>
            <a:solidFill>
              <a:srgbClr val="FFC000"/>
            </a:solidFill>
            <a:ln w="31750">
              <a:noFill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6DF35B"/>
              </a:solidFill>
              <a:ln w="31750">
                <a:noFill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5375-471B-8292-6422999EA16B}"/>
              </c:ext>
            </c:extLst>
          </c:dPt>
          <c:dLbls>
            <c:numFmt formatCode="#,##0;\(#,##0\)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373743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DASHBOARD_2!$J$27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5375-471B-8292-6422999EA16B}"/>
            </c:ext>
          </c:extLst>
        </c:ser>
        <c:ser>
          <c:idx val="2"/>
          <c:order val="2"/>
          <c:tx>
            <c:strRef>
              <c:f>DASHBOARD_2!$G$28</c:f>
              <c:strCache>
                <c:ptCount val="1"/>
                <c:pt idx="0">
                  <c:v>To be started</c:v>
                </c:pt>
              </c:strCache>
            </c:strRef>
          </c:tx>
          <c:spPr>
            <a:solidFill>
              <a:srgbClr val="A7A7B7"/>
            </a:solidFill>
            <a:ln w="31750">
              <a:noFill/>
            </a:ln>
          </c:spPr>
          <c:invertIfNegative val="0"/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5375-471B-8292-6422999EA16B}"/>
                </c:ext>
              </c:extLst>
            </c:dLbl>
            <c:numFmt formatCode="#,##0;\(#,##0\)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373743"/>
                    </a:solidFill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DASHBOARD_2!$J$28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5375-471B-8292-6422999EA16B}"/>
            </c:ext>
          </c:extLst>
        </c:ser>
        <c:ser>
          <c:idx val="3"/>
          <c:order val="3"/>
          <c:tx>
            <c:strRef>
              <c:f>DASHBOARD_2!$G$29</c:f>
              <c:strCache>
                <c:ptCount val="1"/>
                <c:pt idx="0">
                  <c:v>Risk accepted by entity</c:v>
                </c:pt>
              </c:strCache>
            </c:strRef>
          </c:tx>
          <c:spPr>
            <a:solidFill>
              <a:srgbClr val="373743"/>
            </a:solidFill>
            <a:ln w="31750">
              <a:noFill/>
            </a:ln>
          </c:spPr>
          <c:invertIfNegative val="0"/>
          <c:dLbls>
            <c:numFmt formatCode="#,##0;\(#,##0\)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FFFFFF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DASHBOARD_2!$J$29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5375-471B-8292-6422999EA1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04930816"/>
        <c:axId val="604933504"/>
      </c:barChart>
      <c:catAx>
        <c:axId val="60493081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one"/>
        <c:crossAx val="604933504"/>
        <c:crosses val="autoZero"/>
        <c:auto val="1"/>
        <c:lblAlgn val="ctr"/>
        <c:lblOffset val="100"/>
        <c:noMultiLvlLbl val="0"/>
      </c:catAx>
      <c:valAx>
        <c:axId val="604933504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one"/>
        <c:crossAx val="60493081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1354" l="0.70000000000000062" r="0.70000000000000062" t="0.75000000000001354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"/>
          <c:y val="1.4095961897229118E-2"/>
          <c:w val="1"/>
          <c:h val="0.98590342251277263"/>
        </c:manualLayout>
      </c:layout>
      <c:barChart>
        <c:barDir val="bar"/>
        <c:grouping val="percentStacked"/>
        <c:varyColors val="0"/>
        <c:ser>
          <c:idx val="3"/>
          <c:order val="0"/>
          <c:tx>
            <c:v>Forecast 2016</c:v>
          </c:tx>
          <c:spPr>
            <a:solidFill>
              <a:srgbClr val="6B6B6B"/>
            </a:solidFill>
          </c:spPr>
          <c:invertIfNegative val="0"/>
          <c:dLbls>
            <c:dLbl>
              <c:idx val="0"/>
              <c:numFmt formatCode="&quot;2016 &quot;\(0\);;;@" sourceLinked="0"/>
              <c:spPr/>
              <c:txPr>
                <a:bodyPr/>
                <a:lstStyle/>
                <a:p>
                  <a:pPr>
                    <a:defRPr sz="8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198-43C6-95BF-2A64D533CBA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rgbClr val="FFFFFF"/>
                    </a:solidFill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8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1198-43C6-95BF-2A64D533CBA8}"/>
            </c:ext>
          </c:extLst>
        </c:ser>
        <c:ser>
          <c:idx val="1"/>
          <c:order val="1"/>
          <c:tx>
            <c:v>Forecast 2017</c:v>
          </c:tx>
          <c:spPr>
            <a:solidFill>
              <a:srgbClr val="7F7F7F"/>
            </a:solidFill>
            <a:ln w="44450">
              <a:noFill/>
            </a:ln>
          </c:spPr>
          <c:invertIfNegative val="0"/>
          <c:dLbls>
            <c:numFmt formatCode="&quot;2017 &quot;\(0\);;;@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>
                    <a:solidFill>
                      <a:srgbClr val="FFFFFF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1198-43C6-95BF-2A64D533CBA8}"/>
            </c:ext>
          </c:extLst>
        </c:ser>
        <c:ser>
          <c:idx val="0"/>
          <c:order val="2"/>
          <c:tx>
            <c:v>Forecast 2018</c:v>
          </c:tx>
          <c:spPr>
            <a:solidFill>
              <a:srgbClr val="A7A7A7"/>
            </a:solidFill>
            <a:ln w="22225">
              <a:noFill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A7A7A7"/>
              </a:solidFill>
              <a:ln w="44450">
                <a:noFill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1198-43C6-95BF-2A64D533CBA8}"/>
              </c:ext>
            </c:extLst>
          </c:dPt>
          <c:dLbls>
            <c:dLbl>
              <c:idx val="0"/>
              <c:numFmt formatCode="&quot;2018 &quot;\(0\);;;@" sourceLinked="0"/>
              <c:spPr/>
              <c:txPr>
                <a:bodyPr/>
                <a:lstStyle/>
                <a:p>
                  <a:pPr>
                    <a:defRPr sz="800" b="1">
                      <a:solidFill>
                        <a:schemeClr val="bg1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&quot;2018 &quot;\(#,##0\)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1198-43C6-95BF-2A64D533CBA8}"/>
            </c:ext>
          </c:extLst>
        </c:ser>
        <c:ser>
          <c:idx val="4"/>
          <c:order val="3"/>
          <c:tx>
            <c:v>Forecast 2019</c:v>
          </c:tx>
          <c:spPr>
            <a:solidFill>
              <a:srgbClr val="BBBBBB"/>
            </a:solidFill>
          </c:spPr>
          <c:invertIfNegative val="0"/>
          <c:dLbls>
            <c:numFmt formatCode="&quot;2019 &quot;\(0\);;;@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>
                    <a:solidFill>
                      <a:srgbClr val="373743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1198-43C6-95BF-2A64D533CBA8}"/>
            </c:ext>
          </c:extLst>
        </c:ser>
        <c:ser>
          <c:idx val="5"/>
          <c:order val="4"/>
          <c:tx>
            <c:v>RISK ACCEPTED BY ENTITY</c:v>
          </c:tx>
          <c:spPr>
            <a:solidFill>
              <a:srgbClr val="CFCFCF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373743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1198-43C6-95BF-2A64D533CBA8}"/>
              </c:ext>
            </c:extLst>
          </c:dPt>
          <c:dLbls>
            <c:numFmt formatCode="&quot;2020 &quot;\(0\);;;@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 anchorCtr="0">
                <a:spAutoFit/>
              </a:bodyPr>
              <a:lstStyle/>
              <a:p>
                <a:pPr algn="ctr">
                  <a:defRPr lang="fr-FR" sz="800" b="1" i="0" u="none" strike="noStrike" kern="1200" baseline="0">
                    <a:solidFill>
                      <a:srgbClr val="373743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9-1198-43C6-95BF-2A64D533CB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05009024"/>
        <c:axId val="605010560"/>
      </c:barChart>
      <c:catAx>
        <c:axId val="605009024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one"/>
        <c:crossAx val="605010560"/>
        <c:crosses val="autoZero"/>
        <c:auto val="1"/>
        <c:lblAlgn val="ctr"/>
        <c:lblOffset val="100"/>
        <c:noMultiLvlLbl val="0"/>
      </c:catAx>
      <c:valAx>
        <c:axId val="605010560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one"/>
        <c:crossAx val="60500902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1377" l="0.70000000000000062" r="0.70000000000000062" t="0.75000000000001377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4833347008735349"/>
          <c:y val="9.6161404945673226E-2"/>
          <c:w val="0.50333305982529253"/>
          <c:h val="0.81157593980936149"/>
        </c:manualLayout>
      </c:layout>
      <c:radarChart>
        <c:radarStyle val="filled"/>
        <c:varyColors val="0"/>
        <c:ser>
          <c:idx val="0"/>
          <c:order val="0"/>
          <c:tx>
            <c:v>End of program forecast</c:v>
          </c:tx>
          <c:spPr>
            <a:solidFill>
              <a:schemeClr val="bg1">
                <a:lumMod val="85000"/>
              </a:schemeClr>
            </a:solidFill>
            <a:ln w="25400">
              <a:solidFill>
                <a:schemeClr val="tx1"/>
              </a:solidFill>
              <a:prstDash val="dash"/>
            </a:ln>
          </c:spPr>
          <c:cat>
            <c:strLit>
              <c:ptCount val="10"/>
              <c:pt idx="0">
                <c:v>Basics</c:v>
              </c:pt>
              <c:pt idx="1">
                <c:v>Anti-DDoS</c:v>
              </c:pt>
              <c:pt idx="2">
                <c:v>Anti-Fraud Med.</c:v>
              </c:pt>
              <c:pt idx="3">
                <c:v>Anti-Fraud Adv.</c:v>
              </c:pt>
              <c:pt idx="4">
                <c:v>DLP</c:v>
              </c:pt>
              <c:pt idx="5">
                <c:v>Anti-APT Med.</c:v>
              </c:pt>
              <c:pt idx="6">
                <c:v>Anti-APT Adv.</c:v>
              </c:pt>
              <c:pt idx="7">
                <c:v>ATM Security Bas.</c:v>
              </c:pt>
              <c:pt idx="8">
                <c:v>#NOM?</c:v>
              </c:pt>
              <c:pt idx="9">
                <c:v>ATM Security Adv.</c:v>
              </c:pt>
            </c:strLit>
          </c:cat>
          <c:val>
            <c:numLit>
              <c:formatCode>General</c:formatCode>
              <c:ptCount val="10"/>
              <c:pt idx="0">
                <c:v>1</c:v>
              </c:pt>
              <c:pt idx="1">
                <c:v>1</c:v>
              </c:pt>
              <c:pt idx="2">
                <c:v>1</c:v>
              </c:pt>
              <c:pt idx="3">
                <c:v>1</c:v>
              </c:pt>
              <c:pt idx="4">
                <c:v>1</c:v>
              </c:pt>
              <c:pt idx="5">
                <c:v>1</c:v>
              </c:pt>
              <c:pt idx="6">
                <c:v>0</c:v>
              </c:pt>
              <c:pt idx="7">
                <c:v>0.64</c:v>
              </c:pt>
              <c:pt idx="8">
                <c:v>0</c:v>
              </c:pt>
              <c:pt idx="9">
                <c:v>0.62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925-4A8A-9DF5-2CEE06B953E3}"/>
            </c:ext>
          </c:extLst>
        </c:ser>
        <c:ser>
          <c:idx val="2"/>
          <c:order val="1"/>
          <c:tx>
            <c:v>Average progress</c:v>
          </c:tx>
          <c:spPr>
            <a:solidFill>
              <a:srgbClr val="03F309"/>
            </a:solidFill>
            <a:ln w="25400">
              <a:noFill/>
            </a:ln>
          </c:spPr>
          <c:cat>
            <c:strLit>
              <c:ptCount val="10"/>
              <c:pt idx="0">
                <c:v>Basics</c:v>
              </c:pt>
              <c:pt idx="1">
                <c:v>Anti-DDoS</c:v>
              </c:pt>
              <c:pt idx="2">
                <c:v>Anti-Fraud Med.</c:v>
              </c:pt>
              <c:pt idx="3">
                <c:v>Anti-Fraud Adv.</c:v>
              </c:pt>
              <c:pt idx="4">
                <c:v>DLP</c:v>
              </c:pt>
              <c:pt idx="5">
                <c:v>Anti-APT Med.</c:v>
              </c:pt>
              <c:pt idx="6">
                <c:v>Anti-APT Adv.</c:v>
              </c:pt>
              <c:pt idx="7">
                <c:v>ATM Security Bas.</c:v>
              </c:pt>
              <c:pt idx="8">
                <c:v>#NOM?</c:v>
              </c:pt>
              <c:pt idx="9">
                <c:v>ATM Security Adv.</c:v>
              </c:pt>
            </c:strLit>
          </c:cat>
          <c:val>
            <c:numLit>
              <c:formatCode>General</c:formatCode>
              <c:ptCount val="10"/>
              <c:pt idx="0">
                <c:v>1</c:v>
              </c:pt>
              <c:pt idx="1">
                <c:v>1</c:v>
              </c:pt>
              <c:pt idx="2">
                <c:v>1</c:v>
              </c:pt>
              <c:pt idx="3">
                <c:v>1</c:v>
              </c:pt>
              <c:pt idx="4">
                <c:v>1</c:v>
              </c:pt>
              <c:pt idx="5">
                <c:v>0.99</c:v>
              </c:pt>
              <c:pt idx="6">
                <c:v>0</c:v>
              </c:pt>
              <c:pt idx="7">
                <c:v>0.64</c:v>
              </c:pt>
              <c:pt idx="8">
                <c:v>0</c:v>
              </c:pt>
              <c:pt idx="9">
                <c:v>0.62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925-4A8A-9DF5-2CEE06B953E3}"/>
            </c:ext>
          </c:extLst>
        </c:ser>
        <c:ser>
          <c:idx val="3"/>
          <c:order val="2"/>
          <c:tx>
            <c:v>Status before DARWIN</c:v>
          </c:tx>
          <c:spPr>
            <a:solidFill>
              <a:srgbClr val="00B050"/>
            </a:solidFill>
            <a:ln w="25400">
              <a:noFill/>
            </a:ln>
          </c:spPr>
          <c:cat>
            <c:strLit>
              <c:ptCount val="10"/>
              <c:pt idx="0">
                <c:v>Basics</c:v>
              </c:pt>
              <c:pt idx="1">
                <c:v>Anti-DDoS</c:v>
              </c:pt>
              <c:pt idx="2">
                <c:v>Anti-Fraud Med.</c:v>
              </c:pt>
              <c:pt idx="3">
                <c:v>Anti-Fraud Adv.</c:v>
              </c:pt>
              <c:pt idx="4">
                <c:v>DLP</c:v>
              </c:pt>
              <c:pt idx="5">
                <c:v>Anti-APT Med.</c:v>
              </c:pt>
              <c:pt idx="6">
                <c:v>Anti-APT Adv.</c:v>
              </c:pt>
              <c:pt idx="7">
                <c:v>ATM Security Bas.</c:v>
              </c:pt>
              <c:pt idx="8">
                <c:v>#NOM?</c:v>
              </c:pt>
              <c:pt idx="9">
                <c:v>ATM Security Adv.</c:v>
              </c:pt>
            </c:strLit>
          </c:cat>
          <c:val>
            <c:numLit>
              <c:formatCode>General</c:formatCode>
              <c:ptCount val="10"/>
              <c:pt idx="0">
                <c:v>0.71</c:v>
              </c:pt>
              <c:pt idx="1">
                <c:v>0.61</c:v>
              </c:pt>
              <c:pt idx="2">
                <c:v>0.45</c:v>
              </c:pt>
              <c:pt idx="3">
                <c:v>0.23</c:v>
              </c:pt>
              <c:pt idx="4">
                <c:v>0.05</c:v>
              </c:pt>
              <c:pt idx="5">
                <c:v>0.61</c:v>
              </c:pt>
              <c:pt idx="6">
                <c:v>0</c:v>
              </c:pt>
              <c:pt idx="7">
                <c:v>0.63</c:v>
              </c:pt>
              <c:pt idx="8">
                <c:v>0</c:v>
              </c:pt>
              <c:pt idx="9">
                <c:v>0.6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6925-4A8A-9DF5-2CEE06B953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301312"/>
        <c:axId val="126302848"/>
      </c:radarChart>
      <c:catAx>
        <c:axId val="12630131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600" b="1">
                <a:solidFill>
                  <a:srgbClr val="373743"/>
                </a:solidFill>
                <a:latin typeface="Arial" pitchFamily="34" charset="0"/>
                <a:cs typeface="Arial" pitchFamily="34" charset="0"/>
              </a:defRPr>
            </a:pPr>
            <a:endParaRPr lang="fr-FR"/>
          </a:p>
        </c:txPr>
        <c:crossAx val="126302848"/>
        <c:crosses val="autoZero"/>
        <c:auto val="1"/>
        <c:lblAlgn val="ctr"/>
        <c:lblOffset val="100"/>
        <c:noMultiLvlLbl val="0"/>
      </c:catAx>
      <c:valAx>
        <c:axId val="126302848"/>
        <c:scaling>
          <c:orientation val="minMax"/>
          <c:max val="1"/>
          <c:min val="-0.1"/>
        </c:scaling>
        <c:delete val="0"/>
        <c:axPos val="l"/>
        <c:majorGridlines>
          <c:spPr>
            <a:ln>
              <a:solidFill>
                <a:srgbClr val="A3A3B3"/>
              </a:solidFill>
            </a:ln>
          </c:spPr>
        </c:majorGridlines>
        <c:numFmt formatCode="General" sourceLinked="1"/>
        <c:majorTickMark val="none"/>
        <c:minorTickMark val="none"/>
        <c:tickLblPos val="none"/>
        <c:spPr>
          <a:ln>
            <a:solidFill>
              <a:srgbClr val="535365"/>
            </a:solidFill>
          </a:ln>
        </c:spPr>
        <c:crossAx val="126301312"/>
        <c:crosses val="autoZero"/>
        <c:crossBetween val="between"/>
      </c:valAx>
      <c:spPr>
        <a:noFill/>
        <a:ln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131" l="0.70000000000000062" r="0.70000000000000062" t="0.7500000000000131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2.5891512945158103E-2"/>
          <c:y val="3.2401480489072404E-2"/>
          <c:w val="0.94254471626444181"/>
          <c:h val="0.9425444342688164"/>
        </c:manualLayout>
      </c:layout>
      <c:doughnutChart>
        <c:varyColors val="1"/>
        <c:ser>
          <c:idx val="0"/>
          <c:order val="0"/>
          <c:tx>
            <c:v>Average progress % Risk accepted Progress objective</c:v>
          </c:tx>
          <c:spPr>
            <a:ln w="3175">
              <a:solidFill>
                <a:sysClr val="window" lastClr="FFFFFF"/>
              </a:solidFill>
            </a:ln>
          </c:spPr>
          <c:dPt>
            <c:idx val="0"/>
            <c:bubble3D val="0"/>
            <c:spPr>
              <a:solidFill>
                <a:srgbClr val="03F309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3093-43A6-983B-99BC2AA2CB9B}"/>
              </c:ext>
            </c:extLst>
          </c:dPt>
          <c:dPt>
            <c:idx val="1"/>
            <c:bubble3D val="0"/>
            <c:spPr>
              <a:noFill/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3093-43A6-983B-99BC2AA2CB9B}"/>
              </c:ext>
            </c:extLst>
          </c:dPt>
          <c:dPt>
            <c:idx val="2"/>
            <c:bubble3D val="0"/>
            <c:spPr>
              <a:solidFill>
                <a:srgbClr val="373743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3093-43A6-983B-99BC2AA2CB9B}"/>
              </c:ext>
            </c:extLst>
          </c:dPt>
          <c:dPt>
            <c:idx val="3"/>
            <c:bubble3D val="0"/>
            <c:spPr>
              <a:solidFill>
                <a:schemeClr val="bg2">
                  <a:lumMod val="50000"/>
                </a:schemeClr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3093-43A6-983B-99BC2AA2CB9B}"/>
              </c:ext>
            </c:extLst>
          </c:dPt>
          <c:dPt>
            <c:idx val="4"/>
            <c:bubble3D val="0"/>
            <c:spPr>
              <a:solidFill>
                <a:srgbClr val="FF4747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3093-43A6-983B-99BC2AA2CB9B}"/>
              </c:ext>
            </c:extLst>
          </c:dPt>
          <c:cat>
            <c:strLit>
              <c:ptCount val="5"/>
              <c:pt idx="0">
                <c:v>Will Not Be Done</c:v>
              </c:pt>
              <c:pt idx="1">
                <c:v>2017</c:v>
              </c:pt>
              <c:pt idx="2">
                <c:v>2018</c:v>
              </c:pt>
              <c:pt idx="3">
                <c:v>2019</c:v>
              </c:pt>
              <c:pt idx="4">
                <c:v>2020</c:v>
              </c:pt>
            </c:strLit>
          </c:cat>
          <c:val>
            <c:numLit>
              <c:formatCode>General</c:formatCode>
              <c:ptCount val="3"/>
              <c:pt idx="0">
                <c:v>0</c:v>
              </c:pt>
              <c:pt idx="1">
                <c:v>1</c:v>
              </c:pt>
              <c:pt idx="2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3093-43A6-983B-99BC2AA2CB9B}"/>
            </c:ext>
          </c:extLst>
        </c:ser>
        <c:ser>
          <c:idx val="2"/>
          <c:order val="1"/>
          <c:tx>
            <c:v>End of 2016 forecast Diff Forecast 2017 - 2016 End of 2017 forecast Diff Forecast 2018 - 2017 End of 2018 Forecast Diff Forecast 2019 - 2018 End of 2019 Forecast % Risk accepted bis % of errors</c:v>
          </c:tx>
          <c:spPr>
            <a:ln w="3175">
              <a:solidFill>
                <a:sysClr val="window" lastClr="FFFFFF"/>
              </a:solidFill>
            </a:ln>
          </c:spPr>
          <c:dPt>
            <c:idx val="0"/>
            <c:bubble3D val="0"/>
            <c:spPr>
              <a:solidFill>
                <a:srgbClr val="A7A7B7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C-3093-43A6-983B-99BC2AA2CB9B}"/>
              </c:ext>
            </c:extLst>
          </c:dPt>
          <c:dPt>
            <c:idx val="1"/>
            <c:bubble3D val="0"/>
            <c:spPr>
              <a:solidFill>
                <a:srgbClr val="A7A7B7"/>
              </a:solidFill>
              <a:ln w="3175">
                <a:solidFill>
                  <a:sysClr val="window" lastClr="FFFFFF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E-3093-43A6-983B-99BC2AA2CB9B}"/>
              </c:ext>
            </c:extLst>
          </c:dPt>
          <c:dPt>
            <c:idx val="2"/>
            <c:bubble3D val="0"/>
            <c:spPr>
              <a:solidFill>
                <a:srgbClr val="A7A7B7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0-3093-43A6-983B-99BC2AA2CB9B}"/>
              </c:ext>
            </c:extLst>
          </c:dPt>
          <c:dPt>
            <c:idx val="3"/>
            <c:bubble3D val="0"/>
            <c:spPr>
              <a:solidFill>
                <a:srgbClr val="A7A7B7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2-3093-43A6-983B-99BC2AA2CB9B}"/>
              </c:ext>
            </c:extLst>
          </c:dPt>
          <c:dPt>
            <c:idx val="4"/>
            <c:bubble3D val="0"/>
            <c:spPr>
              <a:solidFill>
                <a:srgbClr val="FFC000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3093-43A6-983B-99BC2AA2CB9B}"/>
              </c:ext>
            </c:extLst>
          </c:dPt>
          <c:dPt>
            <c:idx val="5"/>
            <c:bubble3D val="0"/>
            <c:spPr>
              <a:solidFill>
                <a:srgbClr val="373743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6-3093-43A6-983B-99BC2AA2CB9B}"/>
              </c:ext>
            </c:extLst>
          </c:dPt>
          <c:dPt>
            <c:idx val="6"/>
            <c:bubble3D val="0"/>
            <c:spPr>
              <a:solidFill>
                <a:srgbClr val="A7A7B7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8-3093-43A6-983B-99BC2AA2CB9B}"/>
              </c:ext>
            </c:extLst>
          </c:dPt>
          <c:dPt>
            <c:idx val="7"/>
            <c:bubble3D val="0"/>
            <c:spPr>
              <a:solidFill>
                <a:srgbClr val="FFFFFF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A-3093-43A6-983B-99BC2AA2CB9B}"/>
              </c:ext>
            </c:extLst>
          </c:dPt>
          <c:dPt>
            <c:idx val="8"/>
            <c:bubble3D val="0"/>
            <c:spPr>
              <a:solidFill>
                <a:srgbClr val="FFC000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C-3093-43A6-983B-99BC2AA2CB9B}"/>
              </c:ext>
            </c:extLst>
          </c:dPt>
          <c:dPt>
            <c:idx val="9"/>
            <c:bubble3D val="0"/>
            <c:spPr>
              <a:solidFill>
                <a:srgbClr val="373743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E-3093-43A6-983B-99BC2AA2CB9B}"/>
              </c:ext>
            </c:extLst>
          </c:dPt>
          <c:dPt>
            <c:idx val="10"/>
            <c:bubble3D val="0"/>
            <c:spPr>
              <a:solidFill>
                <a:srgbClr val="373743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0-3093-43A6-983B-99BC2AA2CB9B}"/>
              </c:ext>
            </c:extLst>
          </c:dPt>
          <c:dPt>
            <c:idx val="11"/>
            <c:bubble3D val="0"/>
            <c:spPr>
              <a:solidFill>
                <a:srgbClr val="FC3245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2-3093-43A6-983B-99BC2AA2CB9B}"/>
              </c:ext>
            </c:extLst>
          </c:dPt>
          <c:dLbls>
            <c:dLbl>
              <c:idx val="0"/>
              <c:numFmt formatCode="&quot;2016&quot;;;;@" sourceLinked="0"/>
              <c:spPr/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numFmt formatCode="&quot;2017&quot;;;;@" sourceLinked="0"/>
              <c:spPr/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numFmt formatCode="&quot;2018&quot;;;;@" sourceLinked="0"/>
              <c:spPr/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numFmt formatCode="&quot;2019&quot;;;;@" sourceLinked="0"/>
              <c:spPr/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3093-43A6-983B-99BC2AA2CB9B}"/>
                </c:ext>
              </c:extLst>
            </c:dLbl>
            <c:dLbl>
              <c:idx val="5"/>
              <c:numFmt formatCode="0%;;;" sourceLinked="0"/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numFmt formatCode="&quot;2019&quot;;;;@" sourceLinked="0"/>
              <c:spPr/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3093-43A6-983B-99BC2AA2CB9B}"/>
                </c:ext>
              </c:extLst>
            </c:dLbl>
            <c:dLbl>
              <c:idx val="8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3093-43A6-983B-99BC2AA2CB9B}"/>
                </c:ext>
              </c:extLst>
            </c:dLbl>
            <c:dLbl>
              <c:idx val="9"/>
              <c:numFmt formatCode="0%;;;" sourceLinked="0"/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3093-43A6-983B-99BC2AA2CB9B}"/>
                </c:ext>
              </c:extLst>
            </c:dLbl>
            <c:dLbl>
              <c:idx val="11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3093-43A6-983B-99BC2AA2CB9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 b="1">
                    <a:solidFill>
                      <a:srgbClr val="FFFFFF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Lit>
              <c:ptCount val="5"/>
              <c:pt idx="0">
                <c:v>Will Not Be Done</c:v>
              </c:pt>
              <c:pt idx="1">
                <c:v>2017</c:v>
              </c:pt>
              <c:pt idx="2">
                <c:v>2018</c:v>
              </c:pt>
              <c:pt idx="3">
                <c:v>2019</c:v>
              </c:pt>
              <c:pt idx="4">
                <c:v>2020</c:v>
              </c:pt>
            </c:strLit>
          </c:cat>
          <c:val>
            <c:numLit>
              <c:formatCode>General</c:formatCode>
              <c:ptCount val="6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3-3093-43A6-983B-99BC2AA2CB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</c:plotArea>
    <c:plotVisOnly val="1"/>
    <c:dispBlanksAs val="zero"/>
    <c:showDLblsOverMax val="0"/>
  </c:chart>
  <c:spPr>
    <a:noFill/>
    <a:ln>
      <a:noFill/>
    </a:ln>
  </c:spPr>
  <c:printSettings>
    <c:headerFooter/>
    <c:pageMargins b="0.75000000000001443" l="0.70000000000000062" r="0.70000000000000062" t="0.75000000000001443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"/>
          <c:y val="1.1340044135329291E-3"/>
          <c:w val="1"/>
          <c:h val="0.98590342251277263"/>
        </c:manualLayout>
      </c:layout>
      <c:barChart>
        <c:barDir val="bar"/>
        <c:grouping val="percentStacked"/>
        <c:varyColors val="0"/>
        <c:ser>
          <c:idx val="1"/>
          <c:order val="0"/>
          <c:tx>
            <c:strRef>
              <c:f>DASHBOARD_2!$L$26</c:f>
              <c:strCache>
                <c:ptCount val="1"/>
                <c:pt idx="0">
                  <c:v>Completed</c:v>
                </c:pt>
              </c:strCache>
            </c:strRef>
          </c:tx>
          <c:spPr>
            <a:solidFill>
              <a:srgbClr val="00CC18"/>
            </a:solidFill>
            <a:ln w="31750">
              <a:solidFill>
                <a:schemeClr val="bg2">
                  <a:lumMod val="20000"/>
                  <a:lumOff val="8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00CC18"/>
              </a:solidFill>
              <a:ln w="31750">
                <a:noFill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0A5C-4EAE-B787-F32F5937F9FB}"/>
              </c:ext>
            </c:extLst>
          </c:dPt>
          <c:dLbls>
            <c:numFmt formatCode="#,##0;\(#,##0\)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373743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DASHBOARD_2!$O$26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0A5C-4EAE-B787-F32F5937F9FB}"/>
            </c:ext>
          </c:extLst>
        </c:ser>
        <c:ser>
          <c:idx val="0"/>
          <c:order val="1"/>
          <c:tx>
            <c:strRef>
              <c:f>DASHBOARD_2!$L$27</c:f>
              <c:strCache>
                <c:ptCount val="1"/>
                <c:pt idx="0">
                  <c:v>In progress</c:v>
                </c:pt>
              </c:strCache>
            </c:strRef>
          </c:tx>
          <c:spPr>
            <a:solidFill>
              <a:srgbClr val="FFC000"/>
            </a:solidFill>
            <a:ln w="31750">
              <a:noFill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6DF35B"/>
              </a:solidFill>
              <a:ln w="31750">
                <a:noFill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0A5C-4EAE-B787-F32F5937F9FB}"/>
              </c:ext>
            </c:extLst>
          </c:dPt>
          <c:dLbls>
            <c:numFmt formatCode="#,##0;\(#,##0\)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373743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DASHBOARD_2!$O$27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0A5C-4EAE-B787-F32F5937F9FB}"/>
            </c:ext>
          </c:extLst>
        </c:ser>
        <c:ser>
          <c:idx val="2"/>
          <c:order val="2"/>
          <c:tx>
            <c:strRef>
              <c:f>DASHBOARD_2!$L$28</c:f>
              <c:strCache>
                <c:ptCount val="1"/>
                <c:pt idx="0">
                  <c:v>To be started</c:v>
                </c:pt>
              </c:strCache>
            </c:strRef>
          </c:tx>
          <c:spPr>
            <a:solidFill>
              <a:srgbClr val="A7A7B7"/>
            </a:solidFill>
            <a:ln w="31750">
              <a:noFill/>
            </a:ln>
          </c:spPr>
          <c:invertIfNegative val="0"/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0A5C-4EAE-B787-F32F5937F9FB}"/>
                </c:ext>
              </c:extLst>
            </c:dLbl>
            <c:numFmt formatCode="#,##0;\(#,##0\)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373743"/>
                    </a:solidFill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DASHBOARD_2!$O$28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0A5C-4EAE-B787-F32F5937F9FB}"/>
            </c:ext>
          </c:extLst>
        </c:ser>
        <c:ser>
          <c:idx val="3"/>
          <c:order val="3"/>
          <c:tx>
            <c:strRef>
              <c:f>DASHBOARD_2!$L$29</c:f>
              <c:strCache>
                <c:ptCount val="1"/>
                <c:pt idx="0">
                  <c:v>Risk accepted by entity</c:v>
                </c:pt>
              </c:strCache>
            </c:strRef>
          </c:tx>
          <c:spPr>
            <a:solidFill>
              <a:srgbClr val="373743"/>
            </a:solidFill>
            <a:ln w="31750">
              <a:noFill/>
            </a:ln>
          </c:spPr>
          <c:invertIfNegative val="0"/>
          <c:dLbls>
            <c:numFmt formatCode="#,##0;\(#,##0\)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FFFFFF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DASHBOARD_2!$O$29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0A5C-4EAE-B787-F32F5937F9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69795584"/>
        <c:axId val="469798272"/>
      </c:barChart>
      <c:catAx>
        <c:axId val="469795584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one"/>
        <c:crossAx val="469798272"/>
        <c:crosses val="autoZero"/>
        <c:auto val="1"/>
        <c:lblAlgn val="ctr"/>
        <c:lblOffset val="100"/>
        <c:noMultiLvlLbl val="0"/>
      </c:catAx>
      <c:valAx>
        <c:axId val="469798272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one"/>
        <c:crossAx val="46979558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1354" l="0.70000000000000062" r="0.70000000000000062" t="0.75000000000001354" header="0.30000000000000032" footer="0.30000000000000032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"/>
          <c:y val="1.4095961897229118E-2"/>
          <c:w val="1"/>
          <c:h val="0.98590342251277263"/>
        </c:manualLayout>
      </c:layout>
      <c:barChart>
        <c:barDir val="bar"/>
        <c:grouping val="percentStacked"/>
        <c:varyColors val="0"/>
        <c:ser>
          <c:idx val="3"/>
          <c:order val="0"/>
          <c:tx>
            <c:v>Forecast 2016</c:v>
          </c:tx>
          <c:spPr>
            <a:solidFill>
              <a:srgbClr val="6B6B6B"/>
            </a:solidFill>
          </c:spPr>
          <c:invertIfNegative val="0"/>
          <c:dLbls>
            <c:dLbl>
              <c:idx val="0"/>
              <c:numFmt formatCode="&quot;2016 &quot;\(0\);;;@" sourceLinked="0"/>
              <c:spPr/>
              <c:txPr>
                <a:bodyPr/>
                <a:lstStyle/>
                <a:p>
                  <a:pPr>
                    <a:defRPr sz="8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C80-452C-AD07-A81AF7B0384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rgbClr val="FFFFFF"/>
                    </a:solidFill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0C80-452C-AD07-A81AF7B0384C}"/>
            </c:ext>
          </c:extLst>
        </c:ser>
        <c:ser>
          <c:idx val="1"/>
          <c:order val="1"/>
          <c:tx>
            <c:v>Forecast 2017</c:v>
          </c:tx>
          <c:spPr>
            <a:solidFill>
              <a:srgbClr val="7F7F7F"/>
            </a:solidFill>
            <a:ln w="44450">
              <a:noFill/>
            </a:ln>
          </c:spPr>
          <c:invertIfNegative val="0"/>
          <c:dLbls>
            <c:numFmt formatCode="&quot;2017 &quot;\(0\);;;@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>
                    <a:solidFill>
                      <a:srgbClr val="FFFFFF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0C80-452C-AD07-A81AF7B0384C}"/>
            </c:ext>
          </c:extLst>
        </c:ser>
        <c:ser>
          <c:idx val="0"/>
          <c:order val="2"/>
          <c:tx>
            <c:v>Forecast 2018</c:v>
          </c:tx>
          <c:spPr>
            <a:solidFill>
              <a:srgbClr val="A7A7A7"/>
            </a:solidFill>
            <a:ln w="22225">
              <a:noFill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A7A7A7"/>
              </a:solidFill>
              <a:ln w="44450">
                <a:noFill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0C80-452C-AD07-A81AF7B0384C}"/>
              </c:ext>
            </c:extLst>
          </c:dPt>
          <c:dLbls>
            <c:dLbl>
              <c:idx val="0"/>
              <c:numFmt formatCode="&quot;2018 &quot;\(0\);;;@" sourceLinked="0"/>
              <c:spPr/>
              <c:txPr>
                <a:bodyPr/>
                <a:lstStyle/>
                <a:p>
                  <a:pPr>
                    <a:defRPr sz="800" b="1">
                      <a:solidFill>
                        <a:schemeClr val="bg1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&quot;2018 &quot;\(#,##0\)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0C80-452C-AD07-A81AF7B0384C}"/>
            </c:ext>
          </c:extLst>
        </c:ser>
        <c:ser>
          <c:idx val="4"/>
          <c:order val="3"/>
          <c:tx>
            <c:v>Forecast 2019</c:v>
          </c:tx>
          <c:spPr>
            <a:solidFill>
              <a:srgbClr val="BBBBBB"/>
            </a:solidFill>
          </c:spPr>
          <c:invertIfNegative val="0"/>
          <c:dLbls>
            <c:numFmt formatCode="&quot;2019 &quot;\(0\);;;@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>
                    <a:solidFill>
                      <a:srgbClr val="373743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0C80-452C-AD07-A81AF7B0384C}"/>
            </c:ext>
          </c:extLst>
        </c:ser>
        <c:ser>
          <c:idx val="5"/>
          <c:order val="4"/>
          <c:tx>
            <c:v>RISK ACCEPTED BY ENTITY</c:v>
          </c:tx>
          <c:spPr>
            <a:solidFill>
              <a:srgbClr val="CFCFCF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373743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0C80-452C-AD07-A81AF7B0384C}"/>
              </c:ext>
            </c:extLst>
          </c:dPt>
          <c:dLbls>
            <c:numFmt formatCode="&quot;2020 &quot;\(0\);;;@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 anchorCtr="0">
                <a:spAutoFit/>
              </a:bodyPr>
              <a:lstStyle/>
              <a:p>
                <a:pPr algn="ctr">
                  <a:defRPr lang="fr-FR" sz="800" b="1" i="0" u="none" strike="noStrike" kern="1200" baseline="0">
                    <a:solidFill>
                      <a:srgbClr val="373743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9-0C80-452C-AD07-A81AF7B038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71909504"/>
        <c:axId val="471911040"/>
      </c:barChart>
      <c:catAx>
        <c:axId val="471909504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one"/>
        <c:crossAx val="471911040"/>
        <c:crosses val="autoZero"/>
        <c:auto val="1"/>
        <c:lblAlgn val="ctr"/>
        <c:lblOffset val="100"/>
        <c:noMultiLvlLbl val="0"/>
      </c:catAx>
      <c:valAx>
        <c:axId val="471911040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one"/>
        <c:crossAx val="47190950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1377" l="0.70000000000000062" r="0.70000000000000062" t="0.75000000000001377" header="0.30000000000000032" footer="0.30000000000000032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2.5891512945158103E-2"/>
          <c:y val="3.2401480489072404E-2"/>
          <c:w val="0.94254471626444181"/>
          <c:h val="0.9425444342688164"/>
        </c:manualLayout>
      </c:layout>
      <c:doughnutChart>
        <c:varyColors val="1"/>
        <c:ser>
          <c:idx val="0"/>
          <c:order val="0"/>
          <c:tx>
            <c:v>Average progress % Risk accepted Progress objective</c:v>
          </c:tx>
          <c:spPr>
            <a:ln w="3175">
              <a:solidFill>
                <a:sysClr val="window" lastClr="FFFFFF"/>
              </a:solidFill>
            </a:ln>
          </c:spPr>
          <c:dPt>
            <c:idx val="0"/>
            <c:bubble3D val="0"/>
            <c:spPr>
              <a:solidFill>
                <a:srgbClr val="03F309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D062-4F71-9E2C-2A28E9F8F9E7}"/>
              </c:ext>
            </c:extLst>
          </c:dPt>
          <c:dPt>
            <c:idx val="1"/>
            <c:bubble3D val="0"/>
            <c:spPr>
              <a:noFill/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D062-4F71-9E2C-2A28E9F8F9E7}"/>
              </c:ext>
            </c:extLst>
          </c:dPt>
          <c:dPt>
            <c:idx val="2"/>
            <c:bubble3D val="0"/>
            <c:spPr>
              <a:solidFill>
                <a:srgbClr val="373743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D062-4F71-9E2C-2A28E9F8F9E7}"/>
              </c:ext>
            </c:extLst>
          </c:dPt>
          <c:dPt>
            <c:idx val="3"/>
            <c:bubble3D val="0"/>
            <c:spPr>
              <a:solidFill>
                <a:schemeClr val="bg2">
                  <a:lumMod val="50000"/>
                </a:schemeClr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D062-4F71-9E2C-2A28E9F8F9E7}"/>
              </c:ext>
            </c:extLst>
          </c:dPt>
          <c:dPt>
            <c:idx val="4"/>
            <c:bubble3D val="0"/>
            <c:spPr>
              <a:solidFill>
                <a:srgbClr val="FF4747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D062-4F71-9E2C-2A28E9F8F9E7}"/>
              </c:ext>
            </c:extLst>
          </c:dPt>
          <c:cat>
            <c:strLit>
              <c:ptCount val="5"/>
              <c:pt idx="0">
                <c:v>Will Not Be Done</c:v>
              </c:pt>
              <c:pt idx="1">
                <c:v>2017</c:v>
              </c:pt>
              <c:pt idx="2">
                <c:v>2018</c:v>
              </c:pt>
              <c:pt idx="3">
                <c:v>2019</c:v>
              </c:pt>
              <c:pt idx="4">
                <c:v>2020</c:v>
              </c:pt>
            </c:strLit>
          </c:cat>
          <c:val>
            <c:numLit>
              <c:formatCode>General</c:formatCode>
              <c:ptCount val="3"/>
              <c:pt idx="0">
                <c:v>0</c:v>
              </c:pt>
              <c:pt idx="1">
                <c:v>1</c:v>
              </c:pt>
              <c:pt idx="2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D062-4F71-9E2C-2A28E9F8F9E7}"/>
            </c:ext>
          </c:extLst>
        </c:ser>
        <c:ser>
          <c:idx val="2"/>
          <c:order val="1"/>
          <c:tx>
            <c:v>End of 2016 forecast Diff Forecast 2017 - 2016 End of 2017 forecast Diff Forecast 2018 - 2017 End of 2018 Forecast Diff Forecast 2019 - 2018 End of 2019 Forecast % Risk accepted bis % of errors</c:v>
          </c:tx>
          <c:spPr>
            <a:ln w="3175">
              <a:solidFill>
                <a:sysClr val="window" lastClr="FFFFFF"/>
              </a:solidFill>
            </a:ln>
          </c:spPr>
          <c:dPt>
            <c:idx val="0"/>
            <c:bubble3D val="0"/>
            <c:spPr>
              <a:solidFill>
                <a:srgbClr val="A7A7B7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C-D062-4F71-9E2C-2A28E9F8F9E7}"/>
              </c:ext>
            </c:extLst>
          </c:dPt>
          <c:dPt>
            <c:idx val="1"/>
            <c:bubble3D val="0"/>
            <c:spPr>
              <a:solidFill>
                <a:srgbClr val="A7A7B7"/>
              </a:solidFill>
              <a:ln w="3175">
                <a:solidFill>
                  <a:sysClr val="window" lastClr="FFFFFF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E-D062-4F71-9E2C-2A28E9F8F9E7}"/>
              </c:ext>
            </c:extLst>
          </c:dPt>
          <c:dPt>
            <c:idx val="2"/>
            <c:bubble3D val="0"/>
            <c:spPr>
              <a:solidFill>
                <a:srgbClr val="A7A7B7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0-D062-4F71-9E2C-2A28E9F8F9E7}"/>
              </c:ext>
            </c:extLst>
          </c:dPt>
          <c:dPt>
            <c:idx val="3"/>
            <c:bubble3D val="0"/>
            <c:spPr>
              <a:solidFill>
                <a:srgbClr val="A7A7B7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2-D062-4F71-9E2C-2A28E9F8F9E7}"/>
              </c:ext>
            </c:extLst>
          </c:dPt>
          <c:dPt>
            <c:idx val="4"/>
            <c:bubble3D val="0"/>
            <c:spPr>
              <a:solidFill>
                <a:srgbClr val="FFC000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D062-4F71-9E2C-2A28E9F8F9E7}"/>
              </c:ext>
            </c:extLst>
          </c:dPt>
          <c:dPt>
            <c:idx val="5"/>
            <c:bubble3D val="0"/>
            <c:spPr>
              <a:solidFill>
                <a:srgbClr val="373743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6-D062-4F71-9E2C-2A28E9F8F9E7}"/>
              </c:ext>
            </c:extLst>
          </c:dPt>
          <c:dPt>
            <c:idx val="6"/>
            <c:bubble3D val="0"/>
            <c:spPr>
              <a:solidFill>
                <a:srgbClr val="A7A7B7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8-D062-4F71-9E2C-2A28E9F8F9E7}"/>
              </c:ext>
            </c:extLst>
          </c:dPt>
          <c:dPt>
            <c:idx val="7"/>
            <c:bubble3D val="0"/>
            <c:spPr>
              <a:solidFill>
                <a:srgbClr val="FFFFFF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A-D062-4F71-9E2C-2A28E9F8F9E7}"/>
              </c:ext>
            </c:extLst>
          </c:dPt>
          <c:dPt>
            <c:idx val="8"/>
            <c:bubble3D val="0"/>
            <c:spPr>
              <a:solidFill>
                <a:srgbClr val="FFC000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C-D062-4F71-9E2C-2A28E9F8F9E7}"/>
              </c:ext>
            </c:extLst>
          </c:dPt>
          <c:dPt>
            <c:idx val="9"/>
            <c:bubble3D val="0"/>
            <c:spPr>
              <a:solidFill>
                <a:srgbClr val="373743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E-D062-4F71-9E2C-2A28E9F8F9E7}"/>
              </c:ext>
            </c:extLst>
          </c:dPt>
          <c:dPt>
            <c:idx val="10"/>
            <c:bubble3D val="0"/>
            <c:spPr>
              <a:solidFill>
                <a:srgbClr val="373743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0-D062-4F71-9E2C-2A28E9F8F9E7}"/>
              </c:ext>
            </c:extLst>
          </c:dPt>
          <c:dPt>
            <c:idx val="11"/>
            <c:bubble3D val="0"/>
            <c:spPr>
              <a:solidFill>
                <a:srgbClr val="FC3245"/>
              </a:solidFill>
              <a:ln w="3175">
                <a:solidFill>
                  <a:sysClr val="window" lastClr="FFFFFF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2-D062-4F71-9E2C-2A28E9F8F9E7}"/>
              </c:ext>
            </c:extLst>
          </c:dPt>
          <c:dLbls>
            <c:dLbl>
              <c:idx val="0"/>
              <c:numFmt formatCode="&quot;2016&quot;;;;@" sourceLinked="0"/>
              <c:spPr/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numFmt formatCode="&quot;2017&quot;;;;@" sourceLinked="0"/>
              <c:spPr/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numFmt formatCode="&quot;2018&quot;;;;@" sourceLinked="0"/>
              <c:spPr/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numFmt formatCode="&quot;2019&quot;;;;@" sourceLinked="0"/>
              <c:spPr/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D062-4F71-9E2C-2A28E9F8F9E7}"/>
                </c:ext>
              </c:extLst>
            </c:dLbl>
            <c:dLbl>
              <c:idx val="5"/>
              <c:numFmt formatCode="0%;;;" sourceLinked="0"/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numFmt formatCode="&quot;2019&quot;;;;@" sourceLinked="0"/>
              <c:spPr/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D062-4F71-9E2C-2A28E9F8F9E7}"/>
                </c:ext>
              </c:extLst>
            </c:dLbl>
            <c:dLbl>
              <c:idx val="8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D062-4F71-9E2C-2A28E9F8F9E7}"/>
                </c:ext>
              </c:extLst>
            </c:dLbl>
            <c:dLbl>
              <c:idx val="9"/>
              <c:numFmt formatCode="0%;;;" sourceLinked="0"/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14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D062-4F71-9E2C-2A28E9F8F9E7}"/>
                </c:ext>
              </c:extLst>
            </c:dLbl>
            <c:dLbl>
              <c:idx val="11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D062-4F71-9E2C-2A28E9F8F9E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 b="1">
                    <a:solidFill>
                      <a:srgbClr val="FFFFFF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Lit>
              <c:ptCount val="5"/>
              <c:pt idx="0">
                <c:v>Will Not Be Done</c:v>
              </c:pt>
              <c:pt idx="1">
                <c:v>2017</c:v>
              </c:pt>
              <c:pt idx="2">
                <c:v>2018</c:v>
              </c:pt>
              <c:pt idx="3">
                <c:v>2019</c:v>
              </c:pt>
              <c:pt idx="4">
                <c:v>2020</c:v>
              </c:pt>
            </c:strLit>
          </c:cat>
          <c:val>
            <c:numLit>
              <c:formatCode>General</c:formatCode>
              <c:ptCount val="6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3-D062-4F71-9E2C-2A28E9F8F9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</c:plotArea>
    <c:plotVisOnly val="1"/>
    <c:dispBlanksAs val="zero"/>
    <c:showDLblsOverMax val="0"/>
  </c:chart>
  <c:spPr>
    <a:noFill/>
    <a:ln>
      <a:noFill/>
    </a:ln>
  </c:spPr>
  <c:printSettings>
    <c:headerFooter/>
    <c:pageMargins b="0.75000000000001443" l="0.70000000000000062" r="0.70000000000000062" t="0.75000000000001443" header="0.30000000000000032" footer="0.30000000000000032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"/>
          <c:y val="1.1340044135329291E-3"/>
          <c:w val="1"/>
          <c:h val="0.98590342251277263"/>
        </c:manualLayout>
      </c:layout>
      <c:barChart>
        <c:barDir val="bar"/>
        <c:grouping val="percentStacked"/>
        <c:varyColors val="0"/>
        <c:ser>
          <c:idx val="1"/>
          <c:order val="0"/>
          <c:tx>
            <c:strRef>
              <c:f>DASHBOARD_2!$L$26</c:f>
              <c:strCache>
                <c:ptCount val="1"/>
                <c:pt idx="0">
                  <c:v>Completed</c:v>
                </c:pt>
              </c:strCache>
            </c:strRef>
          </c:tx>
          <c:spPr>
            <a:solidFill>
              <a:srgbClr val="00CC18"/>
            </a:solidFill>
            <a:ln w="31750">
              <a:solidFill>
                <a:schemeClr val="bg2">
                  <a:lumMod val="20000"/>
                  <a:lumOff val="8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00CC18"/>
              </a:solidFill>
              <a:ln w="31750">
                <a:noFill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540C-4F6D-9B49-13D2D36702AB}"/>
              </c:ext>
            </c:extLst>
          </c:dPt>
          <c:dLbls>
            <c:numFmt formatCode="#,##0;\(#,##0\)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373743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DASHBOARD_2!$O$26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540C-4F6D-9B49-13D2D36702AB}"/>
            </c:ext>
          </c:extLst>
        </c:ser>
        <c:ser>
          <c:idx val="0"/>
          <c:order val="1"/>
          <c:tx>
            <c:strRef>
              <c:f>DASHBOARD_2!$L$27</c:f>
              <c:strCache>
                <c:ptCount val="1"/>
                <c:pt idx="0">
                  <c:v>In progress</c:v>
                </c:pt>
              </c:strCache>
            </c:strRef>
          </c:tx>
          <c:spPr>
            <a:solidFill>
              <a:srgbClr val="FFC000"/>
            </a:solidFill>
            <a:ln w="31750">
              <a:noFill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6DF35B"/>
              </a:solidFill>
              <a:ln w="31750">
                <a:noFill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540C-4F6D-9B49-13D2D36702AB}"/>
              </c:ext>
            </c:extLst>
          </c:dPt>
          <c:dLbls>
            <c:numFmt formatCode="#,##0;\(#,##0\)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373743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DASHBOARD_2!$O$27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540C-4F6D-9B49-13D2D36702AB}"/>
            </c:ext>
          </c:extLst>
        </c:ser>
        <c:ser>
          <c:idx val="2"/>
          <c:order val="2"/>
          <c:tx>
            <c:strRef>
              <c:f>DASHBOARD_2!$L$28</c:f>
              <c:strCache>
                <c:ptCount val="1"/>
                <c:pt idx="0">
                  <c:v>To be started</c:v>
                </c:pt>
              </c:strCache>
            </c:strRef>
          </c:tx>
          <c:spPr>
            <a:solidFill>
              <a:srgbClr val="A7A7B7"/>
            </a:solidFill>
            <a:ln w="31750">
              <a:noFill/>
            </a:ln>
          </c:spPr>
          <c:invertIfNegative val="0"/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540C-4F6D-9B49-13D2D36702AB}"/>
                </c:ext>
              </c:extLst>
            </c:dLbl>
            <c:numFmt formatCode="#,##0;\(#,##0\)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373743"/>
                    </a:solidFill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DASHBOARD_2!$O$28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540C-4F6D-9B49-13D2D36702AB}"/>
            </c:ext>
          </c:extLst>
        </c:ser>
        <c:ser>
          <c:idx val="3"/>
          <c:order val="3"/>
          <c:tx>
            <c:strRef>
              <c:f>DASHBOARD_2!$L$29</c:f>
              <c:strCache>
                <c:ptCount val="1"/>
                <c:pt idx="0">
                  <c:v>Risk accepted by entity</c:v>
                </c:pt>
              </c:strCache>
            </c:strRef>
          </c:tx>
          <c:spPr>
            <a:solidFill>
              <a:srgbClr val="373743"/>
            </a:solidFill>
            <a:ln w="31750">
              <a:noFill/>
            </a:ln>
          </c:spPr>
          <c:invertIfNegative val="0"/>
          <c:dLbls>
            <c:numFmt formatCode="#,##0;\(#,##0\)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FFFFFF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DASHBOARD_2!$O$29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540C-4F6D-9B49-13D2D36702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72048000"/>
        <c:axId val="472050688"/>
      </c:barChart>
      <c:catAx>
        <c:axId val="472048000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one"/>
        <c:crossAx val="472050688"/>
        <c:crosses val="autoZero"/>
        <c:auto val="1"/>
        <c:lblAlgn val="ctr"/>
        <c:lblOffset val="100"/>
        <c:noMultiLvlLbl val="0"/>
      </c:catAx>
      <c:valAx>
        <c:axId val="472050688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one"/>
        <c:crossAx val="47204800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1354" l="0.70000000000000062" r="0.70000000000000062" t="0.75000000000001354" header="0.30000000000000032" footer="0.30000000000000032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"/>
          <c:y val="1.4095961897229118E-2"/>
          <c:w val="1"/>
          <c:h val="0.98590342251277263"/>
        </c:manualLayout>
      </c:layout>
      <c:barChart>
        <c:barDir val="bar"/>
        <c:grouping val="percentStacked"/>
        <c:varyColors val="0"/>
        <c:ser>
          <c:idx val="3"/>
          <c:order val="0"/>
          <c:tx>
            <c:v>Forecast 2016</c:v>
          </c:tx>
          <c:spPr>
            <a:solidFill>
              <a:srgbClr val="6B6B6B"/>
            </a:solidFill>
          </c:spPr>
          <c:invertIfNegative val="0"/>
          <c:dLbls>
            <c:dLbl>
              <c:idx val="0"/>
              <c:numFmt formatCode="&quot;2016 &quot;\(0\);;;@" sourceLinked="0"/>
              <c:spPr/>
              <c:txPr>
                <a:bodyPr/>
                <a:lstStyle/>
                <a:p>
                  <a:pPr>
                    <a:defRPr sz="800" b="1">
                      <a:solidFill>
                        <a:srgbClr val="FFFFFF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E30-4DB7-9340-369E3432B32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rgbClr val="FFFFFF"/>
                    </a:solidFill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FE30-4DB7-9340-369E3432B32B}"/>
            </c:ext>
          </c:extLst>
        </c:ser>
        <c:ser>
          <c:idx val="1"/>
          <c:order val="1"/>
          <c:tx>
            <c:v>Forecast 2017</c:v>
          </c:tx>
          <c:spPr>
            <a:solidFill>
              <a:srgbClr val="7F7F7F"/>
            </a:solidFill>
            <a:ln w="44450">
              <a:noFill/>
            </a:ln>
          </c:spPr>
          <c:invertIfNegative val="0"/>
          <c:dLbls>
            <c:numFmt formatCode="&quot;2017 &quot;\(0\);;;@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>
                    <a:solidFill>
                      <a:srgbClr val="FFFFFF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FE30-4DB7-9340-369E3432B32B}"/>
            </c:ext>
          </c:extLst>
        </c:ser>
        <c:ser>
          <c:idx val="0"/>
          <c:order val="2"/>
          <c:tx>
            <c:v>Forecast 2018</c:v>
          </c:tx>
          <c:spPr>
            <a:solidFill>
              <a:srgbClr val="A7A7A7"/>
            </a:solidFill>
            <a:ln w="22225">
              <a:noFill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A7A7A7"/>
              </a:solidFill>
              <a:ln w="44450">
                <a:noFill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FE30-4DB7-9340-369E3432B32B}"/>
              </c:ext>
            </c:extLst>
          </c:dPt>
          <c:dLbls>
            <c:dLbl>
              <c:idx val="0"/>
              <c:numFmt formatCode="&quot;2018 &quot;\(0\);;;@" sourceLinked="0"/>
              <c:spPr/>
              <c:txPr>
                <a:bodyPr/>
                <a:lstStyle/>
                <a:p>
                  <a:pPr>
                    <a:defRPr sz="800" b="1">
                      <a:solidFill>
                        <a:schemeClr val="bg1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&quot;2018 &quot;\(#,##0\)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FE30-4DB7-9340-369E3432B32B}"/>
            </c:ext>
          </c:extLst>
        </c:ser>
        <c:ser>
          <c:idx val="4"/>
          <c:order val="3"/>
          <c:tx>
            <c:v>Forecast 2019</c:v>
          </c:tx>
          <c:spPr>
            <a:solidFill>
              <a:srgbClr val="BBBBBB"/>
            </a:solidFill>
          </c:spPr>
          <c:invertIfNegative val="0"/>
          <c:dLbls>
            <c:numFmt formatCode="&quot;2019 &quot;\(0\);;;@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>
                    <a:solidFill>
                      <a:srgbClr val="373743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FE30-4DB7-9340-369E3432B32B}"/>
            </c:ext>
          </c:extLst>
        </c:ser>
        <c:ser>
          <c:idx val="5"/>
          <c:order val="4"/>
          <c:tx>
            <c:v>RISK ACCEPTED BY ENTITY</c:v>
          </c:tx>
          <c:spPr>
            <a:solidFill>
              <a:srgbClr val="CFCFCF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373743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FE30-4DB7-9340-369E3432B32B}"/>
              </c:ext>
            </c:extLst>
          </c:dPt>
          <c:dLbls>
            <c:numFmt formatCode="&quot;2020 &quot;\(0\);;;@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 anchorCtr="0">
                <a:spAutoFit/>
              </a:bodyPr>
              <a:lstStyle/>
              <a:p>
                <a:pPr algn="ctr">
                  <a:defRPr lang="fr-FR" sz="800" b="1" i="0" u="none" strike="noStrike" kern="1200" baseline="0">
                    <a:solidFill>
                      <a:srgbClr val="373743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9-FE30-4DB7-9340-369E3432B3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72130304"/>
        <c:axId val="472131840"/>
      </c:barChart>
      <c:catAx>
        <c:axId val="472130304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one"/>
        <c:crossAx val="472131840"/>
        <c:crosses val="autoZero"/>
        <c:auto val="1"/>
        <c:lblAlgn val="ctr"/>
        <c:lblOffset val="100"/>
        <c:noMultiLvlLbl val="0"/>
      </c:catAx>
      <c:valAx>
        <c:axId val="472131840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one"/>
        <c:crossAx val="47213030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1377" l="0.70000000000000062" r="0.70000000000000062" t="0.75000000000001377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6.xml"/><Relationship Id="rId13" Type="http://schemas.openxmlformats.org/officeDocument/2006/relationships/chart" Target="../charts/chart11.xml"/><Relationship Id="rId18" Type="http://schemas.openxmlformats.org/officeDocument/2006/relationships/chart" Target="../charts/chart16.xml"/><Relationship Id="rId26" Type="http://schemas.openxmlformats.org/officeDocument/2006/relationships/chart" Target="../charts/chart22.xml"/><Relationship Id="rId3" Type="http://schemas.openxmlformats.org/officeDocument/2006/relationships/image" Target="../media/image2.png"/><Relationship Id="rId21" Type="http://schemas.openxmlformats.org/officeDocument/2006/relationships/chart" Target="../charts/chart19.xml"/><Relationship Id="rId7" Type="http://schemas.openxmlformats.org/officeDocument/2006/relationships/chart" Target="../charts/chart5.xml"/><Relationship Id="rId12" Type="http://schemas.openxmlformats.org/officeDocument/2006/relationships/chart" Target="../charts/chart10.xml"/><Relationship Id="rId17" Type="http://schemas.openxmlformats.org/officeDocument/2006/relationships/chart" Target="../charts/chart15.xml"/><Relationship Id="rId25" Type="http://schemas.openxmlformats.org/officeDocument/2006/relationships/chart" Target="../charts/chart21.xml"/><Relationship Id="rId2" Type="http://schemas.openxmlformats.org/officeDocument/2006/relationships/image" Target="../media/image1.png"/><Relationship Id="rId16" Type="http://schemas.openxmlformats.org/officeDocument/2006/relationships/chart" Target="../charts/chart14.xml"/><Relationship Id="rId20" Type="http://schemas.openxmlformats.org/officeDocument/2006/relationships/chart" Target="../charts/chart18.xml"/><Relationship Id="rId29" Type="http://schemas.openxmlformats.org/officeDocument/2006/relationships/chart" Target="../charts/chart23.xml"/><Relationship Id="rId1" Type="http://schemas.openxmlformats.org/officeDocument/2006/relationships/chart" Target="../charts/chart1.xml"/><Relationship Id="rId6" Type="http://schemas.openxmlformats.org/officeDocument/2006/relationships/chart" Target="../charts/chart4.xml"/><Relationship Id="rId11" Type="http://schemas.openxmlformats.org/officeDocument/2006/relationships/chart" Target="../charts/chart9.xml"/><Relationship Id="rId24" Type="http://schemas.openxmlformats.org/officeDocument/2006/relationships/chart" Target="../charts/chart20.xml"/><Relationship Id="rId5" Type="http://schemas.openxmlformats.org/officeDocument/2006/relationships/chart" Target="../charts/chart3.xml"/><Relationship Id="rId15" Type="http://schemas.openxmlformats.org/officeDocument/2006/relationships/chart" Target="../charts/chart13.xml"/><Relationship Id="rId23" Type="http://schemas.openxmlformats.org/officeDocument/2006/relationships/image" Target="../media/image4.jpeg"/><Relationship Id="rId28" Type="http://schemas.openxmlformats.org/officeDocument/2006/relationships/image" Target="../media/image6.emf"/><Relationship Id="rId10" Type="http://schemas.openxmlformats.org/officeDocument/2006/relationships/chart" Target="../charts/chart8.xml"/><Relationship Id="rId19" Type="http://schemas.openxmlformats.org/officeDocument/2006/relationships/chart" Target="../charts/chart17.xml"/><Relationship Id="rId31" Type="http://schemas.openxmlformats.org/officeDocument/2006/relationships/chart" Target="../charts/chart25.xml"/><Relationship Id="rId4" Type="http://schemas.openxmlformats.org/officeDocument/2006/relationships/chart" Target="../charts/chart2.xml"/><Relationship Id="rId9" Type="http://schemas.openxmlformats.org/officeDocument/2006/relationships/chart" Target="../charts/chart7.xml"/><Relationship Id="rId14" Type="http://schemas.openxmlformats.org/officeDocument/2006/relationships/chart" Target="../charts/chart12.xml"/><Relationship Id="rId22" Type="http://schemas.openxmlformats.org/officeDocument/2006/relationships/image" Target="../media/image3.emf"/><Relationship Id="rId27" Type="http://schemas.openxmlformats.org/officeDocument/2006/relationships/image" Target="../media/image5.emf"/><Relationship Id="rId30" Type="http://schemas.openxmlformats.org/officeDocument/2006/relationships/chart" Target="../charts/chart2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13</xdr:row>
      <xdr:rowOff>0</xdr:rowOff>
    </xdr:from>
    <xdr:to>
      <xdr:col>4</xdr:col>
      <xdr:colOff>476249</xdr:colOff>
      <xdr:row>14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A1F590B0-8C82-40E4-B037-82CD98731C4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30079</xdr:colOff>
      <xdr:row>17</xdr:row>
      <xdr:rowOff>59823</xdr:rowOff>
    </xdr:from>
    <xdr:to>
      <xdr:col>1</xdr:col>
      <xdr:colOff>159281</xdr:colOff>
      <xdr:row>17</xdr:row>
      <xdr:rowOff>195512</xdr:rowOff>
    </xdr:to>
    <xdr:pic>
      <xdr:nvPicPr>
        <xdr:cNvPr id="3" name="Image 2" descr="cancel.png">
          <a:extLst>
            <a:ext uri="{FF2B5EF4-FFF2-40B4-BE49-F238E27FC236}">
              <a16:creationId xmlns:a16="http://schemas.microsoft.com/office/drawing/2014/main" xmlns="" id="{FC36730C-C211-4D0A-A780-0C66FAC1D8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4379" y="8070348"/>
          <a:ext cx="129202" cy="135689"/>
        </a:xfrm>
        <a:prstGeom prst="rect">
          <a:avLst/>
        </a:prstGeom>
      </xdr:spPr>
    </xdr:pic>
    <xdr:clientData/>
  </xdr:twoCellAnchor>
  <xdr:twoCellAnchor>
    <xdr:from>
      <xdr:col>1</xdr:col>
      <xdr:colOff>15040</xdr:colOff>
      <xdr:row>18</xdr:row>
      <xdr:rowOff>35089</xdr:rowOff>
    </xdr:from>
    <xdr:to>
      <xdr:col>1</xdr:col>
      <xdr:colOff>181814</xdr:colOff>
      <xdr:row>18</xdr:row>
      <xdr:rowOff>200526</xdr:rowOff>
    </xdr:to>
    <xdr:pic>
      <xdr:nvPicPr>
        <xdr:cNvPr id="4" name="Image 3" descr="warning.png">
          <a:extLst>
            <a:ext uri="{FF2B5EF4-FFF2-40B4-BE49-F238E27FC236}">
              <a16:creationId xmlns:a16="http://schemas.microsoft.com/office/drawing/2014/main" xmlns="" id="{804468BE-E011-49AB-A0EB-BE1AEBD5E8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29340" y="8274214"/>
          <a:ext cx="166774" cy="165437"/>
        </a:xfrm>
        <a:prstGeom prst="rect">
          <a:avLst/>
        </a:prstGeom>
      </xdr:spPr>
    </xdr:pic>
    <xdr:clientData/>
  </xdr:twoCellAnchor>
  <xdr:twoCellAnchor>
    <xdr:from>
      <xdr:col>6</xdr:col>
      <xdr:colOff>30079</xdr:colOff>
      <xdr:row>17</xdr:row>
      <xdr:rowOff>59823</xdr:rowOff>
    </xdr:from>
    <xdr:to>
      <xdr:col>6</xdr:col>
      <xdr:colOff>159281</xdr:colOff>
      <xdr:row>17</xdr:row>
      <xdr:rowOff>195512</xdr:rowOff>
    </xdr:to>
    <xdr:pic>
      <xdr:nvPicPr>
        <xdr:cNvPr id="5" name="Image 4" descr="cancel.png">
          <a:extLst>
            <a:ext uri="{FF2B5EF4-FFF2-40B4-BE49-F238E27FC236}">
              <a16:creationId xmlns:a16="http://schemas.microsoft.com/office/drawing/2014/main" xmlns="" id="{AF2530F4-D652-4635-910E-61D0ED92DC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592429" y="8070348"/>
          <a:ext cx="129202" cy="135689"/>
        </a:xfrm>
        <a:prstGeom prst="rect">
          <a:avLst/>
        </a:prstGeom>
      </xdr:spPr>
    </xdr:pic>
    <xdr:clientData/>
  </xdr:twoCellAnchor>
  <xdr:twoCellAnchor>
    <xdr:from>
      <xdr:col>6</xdr:col>
      <xdr:colOff>15040</xdr:colOff>
      <xdr:row>18</xdr:row>
      <xdr:rowOff>35089</xdr:rowOff>
    </xdr:from>
    <xdr:to>
      <xdr:col>6</xdr:col>
      <xdr:colOff>181814</xdr:colOff>
      <xdr:row>18</xdr:row>
      <xdr:rowOff>200526</xdr:rowOff>
    </xdr:to>
    <xdr:pic>
      <xdr:nvPicPr>
        <xdr:cNvPr id="6" name="Image 5" descr="warning.png">
          <a:extLst>
            <a:ext uri="{FF2B5EF4-FFF2-40B4-BE49-F238E27FC236}">
              <a16:creationId xmlns:a16="http://schemas.microsoft.com/office/drawing/2014/main" xmlns="" id="{6264A5B1-591A-45D3-BA4A-A603F5D380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577390" y="8274214"/>
          <a:ext cx="166774" cy="165437"/>
        </a:xfrm>
        <a:prstGeom prst="rect">
          <a:avLst/>
        </a:prstGeom>
      </xdr:spPr>
    </xdr:pic>
    <xdr:clientData/>
  </xdr:twoCellAnchor>
  <xdr:twoCellAnchor>
    <xdr:from>
      <xdr:col>11</xdr:col>
      <xdr:colOff>30079</xdr:colOff>
      <xdr:row>17</xdr:row>
      <xdr:rowOff>59823</xdr:rowOff>
    </xdr:from>
    <xdr:to>
      <xdr:col>11</xdr:col>
      <xdr:colOff>159281</xdr:colOff>
      <xdr:row>17</xdr:row>
      <xdr:rowOff>195512</xdr:rowOff>
    </xdr:to>
    <xdr:pic>
      <xdr:nvPicPr>
        <xdr:cNvPr id="7" name="Image 6" descr="cancel.png">
          <a:extLst>
            <a:ext uri="{FF2B5EF4-FFF2-40B4-BE49-F238E27FC236}">
              <a16:creationId xmlns:a16="http://schemas.microsoft.com/office/drawing/2014/main" xmlns="" id="{8D7BC320-EFE8-489E-8439-D8625AC617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002379" y="8070348"/>
          <a:ext cx="129202" cy="135689"/>
        </a:xfrm>
        <a:prstGeom prst="rect">
          <a:avLst/>
        </a:prstGeom>
      </xdr:spPr>
    </xdr:pic>
    <xdr:clientData/>
  </xdr:twoCellAnchor>
  <xdr:twoCellAnchor>
    <xdr:from>
      <xdr:col>11</xdr:col>
      <xdr:colOff>15040</xdr:colOff>
      <xdr:row>18</xdr:row>
      <xdr:rowOff>35089</xdr:rowOff>
    </xdr:from>
    <xdr:to>
      <xdr:col>11</xdr:col>
      <xdr:colOff>181814</xdr:colOff>
      <xdr:row>18</xdr:row>
      <xdr:rowOff>200526</xdr:rowOff>
    </xdr:to>
    <xdr:pic>
      <xdr:nvPicPr>
        <xdr:cNvPr id="8" name="Image 7" descr="warning.png">
          <a:extLst>
            <a:ext uri="{FF2B5EF4-FFF2-40B4-BE49-F238E27FC236}">
              <a16:creationId xmlns:a16="http://schemas.microsoft.com/office/drawing/2014/main" xmlns="" id="{C3AD3BB0-C072-4627-86D1-1C5DFCCCE3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987340" y="8274214"/>
          <a:ext cx="166774" cy="165437"/>
        </a:xfrm>
        <a:prstGeom prst="rect">
          <a:avLst/>
        </a:prstGeom>
      </xdr:spPr>
    </xdr:pic>
    <xdr:clientData/>
  </xdr:twoCellAnchor>
  <xdr:twoCellAnchor>
    <xdr:from>
      <xdr:col>16</xdr:col>
      <xdr:colOff>30079</xdr:colOff>
      <xdr:row>17</xdr:row>
      <xdr:rowOff>59823</xdr:rowOff>
    </xdr:from>
    <xdr:to>
      <xdr:col>16</xdr:col>
      <xdr:colOff>159281</xdr:colOff>
      <xdr:row>17</xdr:row>
      <xdr:rowOff>195512</xdr:rowOff>
    </xdr:to>
    <xdr:pic>
      <xdr:nvPicPr>
        <xdr:cNvPr id="9" name="Image 8" descr="cancel.png">
          <a:extLst>
            <a:ext uri="{FF2B5EF4-FFF2-40B4-BE49-F238E27FC236}">
              <a16:creationId xmlns:a16="http://schemas.microsoft.com/office/drawing/2014/main" xmlns="" id="{C29D7088-E839-45AC-8EC6-6163BE5082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459954" y="8070348"/>
          <a:ext cx="129202" cy="135689"/>
        </a:xfrm>
        <a:prstGeom prst="rect">
          <a:avLst/>
        </a:prstGeom>
      </xdr:spPr>
    </xdr:pic>
    <xdr:clientData/>
  </xdr:twoCellAnchor>
  <xdr:twoCellAnchor>
    <xdr:from>
      <xdr:col>16</xdr:col>
      <xdr:colOff>15040</xdr:colOff>
      <xdr:row>18</xdr:row>
      <xdr:rowOff>35089</xdr:rowOff>
    </xdr:from>
    <xdr:to>
      <xdr:col>16</xdr:col>
      <xdr:colOff>181814</xdr:colOff>
      <xdr:row>18</xdr:row>
      <xdr:rowOff>200526</xdr:rowOff>
    </xdr:to>
    <xdr:pic>
      <xdr:nvPicPr>
        <xdr:cNvPr id="10" name="Image 9" descr="warning.png">
          <a:extLst>
            <a:ext uri="{FF2B5EF4-FFF2-40B4-BE49-F238E27FC236}">
              <a16:creationId xmlns:a16="http://schemas.microsoft.com/office/drawing/2014/main" xmlns="" id="{B9423024-2037-4D63-816E-12D22B5985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0444915" y="8274214"/>
          <a:ext cx="166774" cy="165437"/>
        </a:xfrm>
        <a:prstGeom prst="rect">
          <a:avLst/>
        </a:prstGeom>
      </xdr:spPr>
    </xdr:pic>
    <xdr:clientData/>
  </xdr:twoCellAnchor>
  <xdr:twoCellAnchor>
    <xdr:from>
      <xdr:col>1</xdr:col>
      <xdr:colOff>30079</xdr:colOff>
      <xdr:row>33</xdr:row>
      <xdr:rowOff>59823</xdr:rowOff>
    </xdr:from>
    <xdr:to>
      <xdr:col>1</xdr:col>
      <xdr:colOff>159281</xdr:colOff>
      <xdr:row>33</xdr:row>
      <xdr:rowOff>195512</xdr:rowOff>
    </xdr:to>
    <xdr:pic>
      <xdr:nvPicPr>
        <xdr:cNvPr id="11" name="Image 10" descr="cancel.png">
          <a:extLst>
            <a:ext uri="{FF2B5EF4-FFF2-40B4-BE49-F238E27FC236}">
              <a16:creationId xmlns:a16="http://schemas.microsoft.com/office/drawing/2014/main" xmlns="" id="{AD5F54BF-5DE5-4E7B-996E-1C017C8799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4379" y="16671423"/>
          <a:ext cx="129202" cy="135689"/>
        </a:xfrm>
        <a:prstGeom prst="rect">
          <a:avLst/>
        </a:prstGeom>
      </xdr:spPr>
    </xdr:pic>
    <xdr:clientData/>
  </xdr:twoCellAnchor>
  <xdr:twoCellAnchor>
    <xdr:from>
      <xdr:col>1</xdr:col>
      <xdr:colOff>15040</xdr:colOff>
      <xdr:row>34</xdr:row>
      <xdr:rowOff>35089</xdr:rowOff>
    </xdr:from>
    <xdr:to>
      <xdr:col>1</xdr:col>
      <xdr:colOff>181814</xdr:colOff>
      <xdr:row>34</xdr:row>
      <xdr:rowOff>200526</xdr:rowOff>
    </xdr:to>
    <xdr:pic>
      <xdr:nvPicPr>
        <xdr:cNvPr id="12" name="Image 11" descr="warning.png">
          <a:extLst>
            <a:ext uri="{FF2B5EF4-FFF2-40B4-BE49-F238E27FC236}">
              <a16:creationId xmlns:a16="http://schemas.microsoft.com/office/drawing/2014/main" xmlns="" id="{B68738A6-1398-415B-A3CF-1BC4FCF2FF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29340" y="16875289"/>
          <a:ext cx="166774" cy="165437"/>
        </a:xfrm>
        <a:prstGeom prst="rect">
          <a:avLst/>
        </a:prstGeom>
      </xdr:spPr>
    </xdr:pic>
    <xdr:clientData/>
  </xdr:twoCellAnchor>
  <xdr:twoCellAnchor>
    <xdr:from>
      <xdr:col>6</xdr:col>
      <xdr:colOff>30079</xdr:colOff>
      <xdr:row>33</xdr:row>
      <xdr:rowOff>59823</xdr:rowOff>
    </xdr:from>
    <xdr:to>
      <xdr:col>6</xdr:col>
      <xdr:colOff>159281</xdr:colOff>
      <xdr:row>33</xdr:row>
      <xdr:rowOff>195512</xdr:rowOff>
    </xdr:to>
    <xdr:pic>
      <xdr:nvPicPr>
        <xdr:cNvPr id="13" name="Image 12" descr="cancel.png">
          <a:extLst>
            <a:ext uri="{FF2B5EF4-FFF2-40B4-BE49-F238E27FC236}">
              <a16:creationId xmlns:a16="http://schemas.microsoft.com/office/drawing/2014/main" xmlns="" id="{FDD0BEFD-5ECF-4CD2-8B1B-9E009978FF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592429" y="16671423"/>
          <a:ext cx="129202" cy="135689"/>
        </a:xfrm>
        <a:prstGeom prst="rect">
          <a:avLst/>
        </a:prstGeom>
      </xdr:spPr>
    </xdr:pic>
    <xdr:clientData/>
  </xdr:twoCellAnchor>
  <xdr:twoCellAnchor>
    <xdr:from>
      <xdr:col>6</xdr:col>
      <xdr:colOff>15040</xdr:colOff>
      <xdr:row>34</xdr:row>
      <xdr:rowOff>35089</xdr:rowOff>
    </xdr:from>
    <xdr:to>
      <xdr:col>6</xdr:col>
      <xdr:colOff>181814</xdr:colOff>
      <xdr:row>34</xdr:row>
      <xdr:rowOff>200526</xdr:rowOff>
    </xdr:to>
    <xdr:pic>
      <xdr:nvPicPr>
        <xdr:cNvPr id="14" name="Image 13" descr="warning.png">
          <a:extLst>
            <a:ext uri="{FF2B5EF4-FFF2-40B4-BE49-F238E27FC236}">
              <a16:creationId xmlns:a16="http://schemas.microsoft.com/office/drawing/2014/main" xmlns="" id="{90F9FD69-1AF1-4DC3-90FE-FB46948A46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577390" y="16875289"/>
          <a:ext cx="166774" cy="165437"/>
        </a:xfrm>
        <a:prstGeom prst="rect">
          <a:avLst/>
        </a:prstGeom>
      </xdr:spPr>
    </xdr:pic>
    <xdr:clientData/>
  </xdr:twoCellAnchor>
  <xdr:twoCellAnchor>
    <xdr:from>
      <xdr:col>6</xdr:col>
      <xdr:colOff>0</xdr:colOff>
      <xdr:row>13</xdr:row>
      <xdr:rowOff>0</xdr:rowOff>
    </xdr:from>
    <xdr:to>
      <xdr:col>10</xdr:col>
      <xdr:colOff>0</xdr:colOff>
      <xdr:row>14</xdr:row>
      <xdr:rowOff>0</xdr:rowOff>
    </xdr:to>
    <xdr:graphicFrame macro="">
      <xdr:nvGraphicFramePr>
        <xdr:cNvPr id="15" name="Graphique 14">
          <a:extLst>
            <a:ext uri="{FF2B5EF4-FFF2-40B4-BE49-F238E27FC236}">
              <a16:creationId xmlns:a16="http://schemas.microsoft.com/office/drawing/2014/main" xmlns="" id="{A15E73CD-FEE6-4FC0-8FEB-3E5C25228CE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1</xdr:colOff>
      <xdr:row>13</xdr:row>
      <xdr:rowOff>-1</xdr:rowOff>
    </xdr:from>
    <xdr:to>
      <xdr:col>15</xdr:col>
      <xdr:colOff>1</xdr:colOff>
      <xdr:row>14</xdr:row>
      <xdr:rowOff>-1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xmlns="" id="{8DCFE515-1EAC-4089-ADE9-6C10572BC21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0</xdr:colOff>
      <xdr:row>13</xdr:row>
      <xdr:rowOff>-1</xdr:rowOff>
    </xdr:from>
    <xdr:to>
      <xdr:col>20</xdr:col>
      <xdr:colOff>0</xdr:colOff>
      <xdr:row>14</xdr:row>
      <xdr:rowOff>-1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xmlns="" id="{2E7CA3FF-F5F3-4981-BBA9-589A9184D97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28</xdr:row>
      <xdr:rowOff>225135</xdr:rowOff>
    </xdr:from>
    <xdr:to>
      <xdr:col>5</xdr:col>
      <xdr:colOff>0</xdr:colOff>
      <xdr:row>29</xdr:row>
      <xdr:rowOff>3342408</xdr:rowOff>
    </xdr:to>
    <xdr:graphicFrame macro="">
      <xdr:nvGraphicFramePr>
        <xdr:cNvPr id="18" name="Graphique 17">
          <a:extLst>
            <a:ext uri="{FF2B5EF4-FFF2-40B4-BE49-F238E27FC236}">
              <a16:creationId xmlns:a16="http://schemas.microsoft.com/office/drawing/2014/main" xmlns="" id="{DC6CB371-F739-4188-B46D-FBD68B4C121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0</xdr:colOff>
      <xdr:row>28</xdr:row>
      <xdr:rowOff>225135</xdr:rowOff>
    </xdr:from>
    <xdr:to>
      <xdr:col>9</xdr:col>
      <xdr:colOff>475383</xdr:colOff>
      <xdr:row>29</xdr:row>
      <xdr:rowOff>3332883</xdr:rowOff>
    </xdr:to>
    <xdr:graphicFrame macro="">
      <xdr:nvGraphicFramePr>
        <xdr:cNvPr id="19" name="Graphique 18">
          <a:extLst>
            <a:ext uri="{FF2B5EF4-FFF2-40B4-BE49-F238E27FC236}">
              <a16:creationId xmlns:a16="http://schemas.microsoft.com/office/drawing/2014/main" xmlns="" id="{17BF4852-AA9C-40BA-BFE4-0CD09D63869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207020</xdr:colOff>
      <xdr:row>15</xdr:row>
      <xdr:rowOff>69479</xdr:rowOff>
    </xdr:from>
    <xdr:to>
      <xdr:col>4</xdr:col>
      <xdr:colOff>14037</xdr:colOff>
      <xdr:row>15</xdr:row>
      <xdr:rowOff>789479</xdr:rowOff>
    </xdr:to>
    <xdr:graphicFrame macro="">
      <xdr:nvGraphicFramePr>
        <xdr:cNvPr id="20" name="Graphique 19">
          <a:extLst>
            <a:ext uri="{FF2B5EF4-FFF2-40B4-BE49-F238E27FC236}">
              <a16:creationId xmlns:a16="http://schemas.microsoft.com/office/drawing/2014/main" xmlns="" id="{98E4DA41-F66A-4B0C-B38D-5961586F4CE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136071</xdr:colOff>
      <xdr:row>15</xdr:row>
      <xdr:rowOff>149679</xdr:rowOff>
    </xdr:from>
    <xdr:to>
      <xdr:col>1</xdr:col>
      <xdr:colOff>206728</xdr:colOff>
      <xdr:row>15</xdr:row>
      <xdr:rowOff>1003188</xdr:rowOff>
    </xdr:to>
    <xdr:sp macro="" textlink="">
      <xdr:nvSpPr>
        <xdr:cNvPr id="21" name="Parenthèse fermante 20">
          <a:extLst>
            <a:ext uri="{FF2B5EF4-FFF2-40B4-BE49-F238E27FC236}">
              <a16:creationId xmlns:a16="http://schemas.microsoft.com/office/drawing/2014/main" xmlns="" id="{D3F9F93B-BFD9-4C3D-A997-5993B01D3FBE}"/>
            </a:ext>
          </a:extLst>
        </xdr:cNvPr>
        <xdr:cNvSpPr/>
      </xdr:nvSpPr>
      <xdr:spPr bwMode="auto">
        <a:xfrm>
          <a:off x="250371" y="6693354"/>
          <a:ext cx="70657" cy="853509"/>
        </a:xfrm>
        <a:prstGeom prst="rightBracket">
          <a:avLst>
            <a:gd name="adj" fmla="val 0"/>
          </a:avLst>
        </a:prstGeom>
        <a:noFill/>
        <a:ln w="12700" cap="flat" cmpd="sng" algn="ctr">
          <a:solidFill>
            <a:srgbClr val="373743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none" lIns="0" tIns="0" rIns="0" bIns="0" numCol="1" rtlCol="0" anchor="ctr" anchorCtr="0" compatLnSpc="1">
          <a:prstTxWarp prst="textNoShape">
            <a:avLst/>
          </a:prstTxWarp>
        </a:bodyPr>
        <a:lstStyle/>
        <a:p>
          <a:pPr marL="0" marR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endParaRPr kumimoji="0" lang="fr-FR" sz="1800" b="0" i="0" u="none" strike="noStrike" cap="none" normalizeH="0" baseline="0">
            <a:ln>
              <a:noFill/>
            </a:ln>
            <a:solidFill>
              <a:srgbClr val="000000"/>
            </a:solidFill>
            <a:effectLst/>
            <a:latin typeface="Arial" charset="0"/>
            <a:cs typeface="Arial" charset="0"/>
          </a:endParaRPr>
        </a:p>
      </xdr:txBody>
    </xdr:sp>
    <xdr:clientData/>
  </xdr:twoCellAnchor>
  <xdr:twoCellAnchor>
    <xdr:from>
      <xdr:col>1</xdr:col>
      <xdr:colOff>212754</xdr:colOff>
      <xdr:row>15</xdr:row>
      <xdr:rowOff>456609</xdr:rowOff>
    </xdr:from>
    <xdr:to>
      <xdr:col>4</xdr:col>
      <xdr:colOff>19771</xdr:colOff>
      <xdr:row>15</xdr:row>
      <xdr:rowOff>1042706</xdr:rowOff>
    </xdr:to>
    <xdr:graphicFrame macro="">
      <xdr:nvGraphicFramePr>
        <xdr:cNvPr id="22" name="Graphique 21">
          <a:extLst>
            <a:ext uri="{FF2B5EF4-FFF2-40B4-BE49-F238E27FC236}">
              <a16:creationId xmlns:a16="http://schemas.microsoft.com/office/drawing/2014/main" xmlns="" id="{546A2AB2-6C8F-488C-BBFF-FD539B9B6B0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6</xdr:col>
      <xdr:colOff>207020</xdr:colOff>
      <xdr:row>15</xdr:row>
      <xdr:rowOff>69479</xdr:rowOff>
    </xdr:from>
    <xdr:to>
      <xdr:col>9</xdr:col>
      <xdr:colOff>14037</xdr:colOff>
      <xdr:row>15</xdr:row>
      <xdr:rowOff>789479</xdr:rowOff>
    </xdr:to>
    <xdr:graphicFrame macro="">
      <xdr:nvGraphicFramePr>
        <xdr:cNvPr id="23" name="Graphique 22">
          <a:extLst>
            <a:ext uri="{FF2B5EF4-FFF2-40B4-BE49-F238E27FC236}">
              <a16:creationId xmlns:a16="http://schemas.microsoft.com/office/drawing/2014/main" xmlns="" id="{A1722934-27A4-4DD1-8CF7-013ACE2D663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6</xdr:col>
      <xdr:colOff>136071</xdr:colOff>
      <xdr:row>15</xdr:row>
      <xdr:rowOff>149679</xdr:rowOff>
    </xdr:from>
    <xdr:to>
      <xdr:col>6</xdr:col>
      <xdr:colOff>206728</xdr:colOff>
      <xdr:row>15</xdr:row>
      <xdr:rowOff>1003188</xdr:rowOff>
    </xdr:to>
    <xdr:sp macro="" textlink="">
      <xdr:nvSpPr>
        <xdr:cNvPr id="24" name="Parenthèse fermante 23">
          <a:extLst>
            <a:ext uri="{FF2B5EF4-FFF2-40B4-BE49-F238E27FC236}">
              <a16:creationId xmlns:a16="http://schemas.microsoft.com/office/drawing/2014/main" xmlns="" id="{5E02E7FF-8B9E-4A46-8BCF-03D31130B0B5}"/>
            </a:ext>
          </a:extLst>
        </xdr:cNvPr>
        <xdr:cNvSpPr/>
      </xdr:nvSpPr>
      <xdr:spPr bwMode="auto">
        <a:xfrm>
          <a:off x="3698421" y="6693354"/>
          <a:ext cx="70657" cy="853509"/>
        </a:xfrm>
        <a:prstGeom prst="rightBracket">
          <a:avLst>
            <a:gd name="adj" fmla="val 0"/>
          </a:avLst>
        </a:prstGeom>
        <a:noFill/>
        <a:ln w="12700" cap="flat" cmpd="sng" algn="ctr">
          <a:solidFill>
            <a:srgbClr val="373743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none" lIns="0" tIns="0" rIns="0" bIns="0" numCol="1" rtlCol="0" anchor="ctr" anchorCtr="0" compatLnSpc="1">
          <a:prstTxWarp prst="textNoShape">
            <a:avLst/>
          </a:prstTxWarp>
        </a:bodyPr>
        <a:lstStyle/>
        <a:p>
          <a:pPr marL="0" marR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endParaRPr kumimoji="0" lang="fr-FR" sz="1800" b="0" i="0" u="none" strike="noStrike" cap="none" normalizeH="0" baseline="0">
            <a:ln>
              <a:noFill/>
            </a:ln>
            <a:solidFill>
              <a:srgbClr val="000000"/>
            </a:solidFill>
            <a:effectLst/>
            <a:latin typeface="Arial" charset="0"/>
            <a:cs typeface="Arial" charset="0"/>
          </a:endParaRPr>
        </a:p>
      </xdr:txBody>
    </xdr:sp>
    <xdr:clientData/>
  </xdr:twoCellAnchor>
  <xdr:twoCellAnchor>
    <xdr:from>
      <xdr:col>6</xdr:col>
      <xdr:colOff>212754</xdr:colOff>
      <xdr:row>15</xdr:row>
      <xdr:rowOff>456609</xdr:rowOff>
    </xdr:from>
    <xdr:to>
      <xdr:col>9</xdr:col>
      <xdr:colOff>19771</xdr:colOff>
      <xdr:row>15</xdr:row>
      <xdr:rowOff>1042706</xdr:rowOff>
    </xdr:to>
    <xdr:graphicFrame macro="">
      <xdr:nvGraphicFramePr>
        <xdr:cNvPr id="25" name="Graphique 24">
          <a:extLst>
            <a:ext uri="{FF2B5EF4-FFF2-40B4-BE49-F238E27FC236}">
              <a16:creationId xmlns:a16="http://schemas.microsoft.com/office/drawing/2014/main" xmlns="" id="{D75688E4-DAAF-4244-8B86-9B3AAC4FC2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11</xdr:col>
      <xdr:colOff>207020</xdr:colOff>
      <xdr:row>15</xdr:row>
      <xdr:rowOff>69479</xdr:rowOff>
    </xdr:from>
    <xdr:to>
      <xdr:col>14</xdr:col>
      <xdr:colOff>14037</xdr:colOff>
      <xdr:row>15</xdr:row>
      <xdr:rowOff>789479</xdr:rowOff>
    </xdr:to>
    <xdr:graphicFrame macro="">
      <xdr:nvGraphicFramePr>
        <xdr:cNvPr id="26" name="Graphique 25">
          <a:extLst>
            <a:ext uri="{FF2B5EF4-FFF2-40B4-BE49-F238E27FC236}">
              <a16:creationId xmlns:a16="http://schemas.microsoft.com/office/drawing/2014/main" xmlns="" id="{B96FA300-F946-445C-B7B3-380A0C6C62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11</xdr:col>
      <xdr:colOff>136071</xdr:colOff>
      <xdr:row>15</xdr:row>
      <xdr:rowOff>149679</xdr:rowOff>
    </xdr:from>
    <xdr:to>
      <xdr:col>11</xdr:col>
      <xdr:colOff>206728</xdr:colOff>
      <xdr:row>15</xdr:row>
      <xdr:rowOff>1003188</xdr:rowOff>
    </xdr:to>
    <xdr:sp macro="" textlink="">
      <xdr:nvSpPr>
        <xdr:cNvPr id="27" name="Parenthèse fermante 26">
          <a:extLst>
            <a:ext uri="{FF2B5EF4-FFF2-40B4-BE49-F238E27FC236}">
              <a16:creationId xmlns:a16="http://schemas.microsoft.com/office/drawing/2014/main" xmlns="" id="{11124F84-17BE-44FB-8E8A-85FB6F914E89}"/>
            </a:ext>
          </a:extLst>
        </xdr:cNvPr>
        <xdr:cNvSpPr/>
      </xdr:nvSpPr>
      <xdr:spPr bwMode="auto">
        <a:xfrm>
          <a:off x="7108371" y="6693354"/>
          <a:ext cx="70657" cy="853509"/>
        </a:xfrm>
        <a:prstGeom prst="rightBracket">
          <a:avLst>
            <a:gd name="adj" fmla="val 0"/>
          </a:avLst>
        </a:prstGeom>
        <a:noFill/>
        <a:ln w="12700" cap="flat" cmpd="sng" algn="ctr">
          <a:solidFill>
            <a:srgbClr val="373743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none" lIns="0" tIns="0" rIns="0" bIns="0" numCol="1" rtlCol="0" anchor="ctr" anchorCtr="0" compatLnSpc="1">
          <a:prstTxWarp prst="textNoShape">
            <a:avLst/>
          </a:prstTxWarp>
        </a:bodyPr>
        <a:lstStyle/>
        <a:p>
          <a:pPr marL="0" marR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endParaRPr kumimoji="0" lang="fr-FR" sz="1800" b="0" i="0" u="none" strike="noStrike" cap="none" normalizeH="0" baseline="0">
            <a:ln>
              <a:noFill/>
            </a:ln>
            <a:solidFill>
              <a:srgbClr val="000000"/>
            </a:solidFill>
            <a:effectLst/>
            <a:latin typeface="Arial" charset="0"/>
            <a:cs typeface="Arial" charset="0"/>
          </a:endParaRPr>
        </a:p>
      </xdr:txBody>
    </xdr:sp>
    <xdr:clientData/>
  </xdr:twoCellAnchor>
  <xdr:twoCellAnchor>
    <xdr:from>
      <xdr:col>11</xdr:col>
      <xdr:colOff>212754</xdr:colOff>
      <xdr:row>15</xdr:row>
      <xdr:rowOff>456609</xdr:rowOff>
    </xdr:from>
    <xdr:to>
      <xdr:col>14</xdr:col>
      <xdr:colOff>19771</xdr:colOff>
      <xdr:row>15</xdr:row>
      <xdr:rowOff>1042706</xdr:rowOff>
    </xdr:to>
    <xdr:graphicFrame macro="">
      <xdr:nvGraphicFramePr>
        <xdr:cNvPr id="28" name="Graphique 27">
          <a:extLst>
            <a:ext uri="{FF2B5EF4-FFF2-40B4-BE49-F238E27FC236}">
              <a16:creationId xmlns:a16="http://schemas.microsoft.com/office/drawing/2014/main" xmlns="" id="{9A4EE501-711A-422A-9818-0FE03964D96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16</xdr:col>
      <xdr:colOff>207020</xdr:colOff>
      <xdr:row>15</xdr:row>
      <xdr:rowOff>69479</xdr:rowOff>
    </xdr:from>
    <xdr:to>
      <xdr:col>19</xdr:col>
      <xdr:colOff>14037</xdr:colOff>
      <xdr:row>15</xdr:row>
      <xdr:rowOff>789479</xdr:rowOff>
    </xdr:to>
    <xdr:graphicFrame macro="">
      <xdr:nvGraphicFramePr>
        <xdr:cNvPr id="29" name="Graphique 28">
          <a:extLst>
            <a:ext uri="{FF2B5EF4-FFF2-40B4-BE49-F238E27FC236}">
              <a16:creationId xmlns:a16="http://schemas.microsoft.com/office/drawing/2014/main" xmlns="" id="{4FC50223-4103-4AE7-897A-DF26E2737F0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16</xdr:col>
      <xdr:colOff>136071</xdr:colOff>
      <xdr:row>15</xdr:row>
      <xdr:rowOff>149679</xdr:rowOff>
    </xdr:from>
    <xdr:to>
      <xdr:col>16</xdr:col>
      <xdr:colOff>206728</xdr:colOff>
      <xdr:row>15</xdr:row>
      <xdr:rowOff>1003188</xdr:rowOff>
    </xdr:to>
    <xdr:sp macro="" textlink="">
      <xdr:nvSpPr>
        <xdr:cNvPr id="30" name="Parenthèse fermante 29">
          <a:extLst>
            <a:ext uri="{FF2B5EF4-FFF2-40B4-BE49-F238E27FC236}">
              <a16:creationId xmlns:a16="http://schemas.microsoft.com/office/drawing/2014/main" xmlns="" id="{E7752AAB-CA17-4F60-B8D4-2BE404397E53}"/>
            </a:ext>
          </a:extLst>
        </xdr:cNvPr>
        <xdr:cNvSpPr/>
      </xdr:nvSpPr>
      <xdr:spPr bwMode="auto">
        <a:xfrm>
          <a:off x="10565946" y="6693354"/>
          <a:ext cx="70657" cy="853509"/>
        </a:xfrm>
        <a:prstGeom prst="rightBracket">
          <a:avLst>
            <a:gd name="adj" fmla="val 0"/>
          </a:avLst>
        </a:prstGeom>
        <a:noFill/>
        <a:ln w="12700" cap="flat" cmpd="sng" algn="ctr">
          <a:solidFill>
            <a:srgbClr val="373743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none" lIns="0" tIns="0" rIns="0" bIns="0" numCol="1" rtlCol="0" anchor="ctr" anchorCtr="0" compatLnSpc="1">
          <a:prstTxWarp prst="textNoShape">
            <a:avLst/>
          </a:prstTxWarp>
        </a:bodyPr>
        <a:lstStyle/>
        <a:p>
          <a:pPr marL="0" marR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endParaRPr kumimoji="0" lang="fr-FR" sz="1800" b="0" i="0" u="none" strike="noStrike" cap="none" normalizeH="0" baseline="0">
            <a:ln>
              <a:noFill/>
            </a:ln>
            <a:solidFill>
              <a:srgbClr val="000000"/>
            </a:solidFill>
            <a:effectLst/>
            <a:latin typeface="Arial" charset="0"/>
            <a:cs typeface="Arial" charset="0"/>
          </a:endParaRPr>
        </a:p>
      </xdr:txBody>
    </xdr:sp>
    <xdr:clientData/>
  </xdr:twoCellAnchor>
  <xdr:twoCellAnchor>
    <xdr:from>
      <xdr:col>16</xdr:col>
      <xdr:colOff>212754</xdr:colOff>
      <xdr:row>15</xdr:row>
      <xdr:rowOff>456609</xdr:rowOff>
    </xdr:from>
    <xdr:to>
      <xdr:col>19</xdr:col>
      <xdr:colOff>19771</xdr:colOff>
      <xdr:row>15</xdr:row>
      <xdr:rowOff>1042706</xdr:rowOff>
    </xdr:to>
    <xdr:graphicFrame macro="">
      <xdr:nvGraphicFramePr>
        <xdr:cNvPr id="31" name="Graphique 30">
          <a:extLst>
            <a:ext uri="{FF2B5EF4-FFF2-40B4-BE49-F238E27FC236}">
              <a16:creationId xmlns:a16="http://schemas.microsoft.com/office/drawing/2014/main" xmlns="" id="{A2F1F468-0F8F-4DAB-B733-9B3A887BD5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207020</xdr:colOff>
      <xdr:row>31</xdr:row>
      <xdr:rowOff>69479</xdr:rowOff>
    </xdr:from>
    <xdr:to>
      <xdr:col>4</xdr:col>
      <xdr:colOff>14037</xdr:colOff>
      <xdr:row>31</xdr:row>
      <xdr:rowOff>789479</xdr:rowOff>
    </xdr:to>
    <xdr:graphicFrame macro="">
      <xdr:nvGraphicFramePr>
        <xdr:cNvPr id="32" name="Graphique 31">
          <a:extLst>
            <a:ext uri="{FF2B5EF4-FFF2-40B4-BE49-F238E27FC236}">
              <a16:creationId xmlns:a16="http://schemas.microsoft.com/office/drawing/2014/main" xmlns="" id="{BC24593D-7A77-4594-B271-1E4646731F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</xdr:col>
      <xdr:colOff>136071</xdr:colOff>
      <xdr:row>31</xdr:row>
      <xdr:rowOff>149679</xdr:rowOff>
    </xdr:from>
    <xdr:to>
      <xdr:col>1</xdr:col>
      <xdr:colOff>206728</xdr:colOff>
      <xdr:row>31</xdr:row>
      <xdr:rowOff>1003188</xdr:rowOff>
    </xdr:to>
    <xdr:sp macro="" textlink="">
      <xdr:nvSpPr>
        <xdr:cNvPr id="33" name="Parenthèse fermante 32">
          <a:extLst>
            <a:ext uri="{FF2B5EF4-FFF2-40B4-BE49-F238E27FC236}">
              <a16:creationId xmlns:a16="http://schemas.microsoft.com/office/drawing/2014/main" xmlns="" id="{5F229E58-5B16-48EF-8D7D-82884C7DF597}"/>
            </a:ext>
          </a:extLst>
        </xdr:cNvPr>
        <xdr:cNvSpPr/>
      </xdr:nvSpPr>
      <xdr:spPr bwMode="auto">
        <a:xfrm>
          <a:off x="250371" y="15294429"/>
          <a:ext cx="70657" cy="853509"/>
        </a:xfrm>
        <a:prstGeom prst="rightBracket">
          <a:avLst>
            <a:gd name="adj" fmla="val 0"/>
          </a:avLst>
        </a:prstGeom>
        <a:noFill/>
        <a:ln w="12700" cap="flat" cmpd="sng" algn="ctr">
          <a:solidFill>
            <a:srgbClr val="373743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none" lIns="0" tIns="0" rIns="0" bIns="0" numCol="1" rtlCol="0" anchor="ctr" anchorCtr="0" compatLnSpc="1">
          <a:prstTxWarp prst="textNoShape">
            <a:avLst/>
          </a:prstTxWarp>
        </a:bodyPr>
        <a:lstStyle/>
        <a:p>
          <a:pPr marL="0" marR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endParaRPr kumimoji="0" lang="fr-FR" sz="1800" b="0" i="0" u="none" strike="noStrike" cap="none" normalizeH="0" baseline="0">
            <a:ln>
              <a:noFill/>
            </a:ln>
            <a:solidFill>
              <a:srgbClr val="000000"/>
            </a:solidFill>
            <a:effectLst/>
            <a:latin typeface="Arial" charset="0"/>
            <a:cs typeface="Arial" charset="0"/>
          </a:endParaRPr>
        </a:p>
      </xdr:txBody>
    </xdr:sp>
    <xdr:clientData/>
  </xdr:twoCellAnchor>
  <xdr:twoCellAnchor>
    <xdr:from>
      <xdr:col>1</xdr:col>
      <xdr:colOff>212754</xdr:colOff>
      <xdr:row>31</xdr:row>
      <xdr:rowOff>456609</xdr:rowOff>
    </xdr:from>
    <xdr:to>
      <xdr:col>4</xdr:col>
      <xdr:colOff>19771</xdr:colOff>
      <xdr:row>31</xdr:row>
      <xdr:rowOff>1042706</xdr:rowOff>
    </xdr:to>
    <xdr:graphicFrame macro="">
      <xdr:nvGraphicFramePr>
        <xdr:cNvPr id="34" name="Graphique 33">
          <a:extLst>
            <a:ext uri="{FF2B5EF4-FFF2-40B4-BE49-F238E27FC236}">
              <a16:creationId xmlns:a16="http://schemas.microsoft.com/office/drawing/2014/main" xmlns="" id="{03695B51-5842-41E7-B7B1-97022C1CC36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6</xdr:col>
      <xdr:colOff>207020</xdr:colOff>
      <xdr:row>31</xdr:row>
      <xdr:rowOff>69479</xdr:rowOff>
    </xdr:from>
    <xdr:to>
      <xdr:col>9</xdr:col>
      <xdr:colOff>14037</xdr:colOff>
      <xdr:row>31</xdr:row>
      <xdr:rowOff>789479</xdr:rowOff>
    </xdr:to>
    <xdr:graphicFrame macro="">
      <xdr:nvGraphicFramePr>
        <xdr:cNvPr id="35" name="Graphique 34">
          <a:extLst>
            <a:ext uri="{FF2B5EF4-FFF2-40B4-BE49-F238E27FC236}">
              <a16:creationId xmlns:a16="http://schemas.microsoft.com/office/drawing/2014/main" xmlns="" id="{04D9369F-138F-4B4B-AE3A-F5996BEA6D4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6</xdr:col>
      <xdr:colOff>136071</xdr:colOff>
      <xdr:row>31</xdr:row>
      <xdr:rowOff>149679</xdr:rowOff>
    </xdr:from>
    <xdr:to>
      <xdr:col>6</xdr:col>
      <xdr:colOff>206728</xdr:colOff>
      <xdr:row>31</xdr:row>
      <xdr:rowOff>1003188</xdr:rowOff>
    </xdr:to>
    <xdr:sp macro="" textlink="">
      <xdr:nvSpPr>
        <xdr:cNvPr id="36" name="Parenthèse fermante 35">
          <a:extLst>
            <a:ext uri="{FF2B5EF4-FFF2-40B4-BE49-F238E27FC236}">
              <a16:creationId xmlns:a16="http://schemas.microsoft.com/office/drawing/2014/main" xmlns="" id="{DC5B3429-0058-485F-9D95-FECB421C1CC3}"/>
            </a:ext>
          </a:extLst>
        </xdr:cNvPr>
        <xdr:cNvSpPr/>
      </xdr:nvSpPr>
      <xdr:spPr bwMode="auto">
        <a:xfrm>
          <a:off x="3698421" y="15294429"/>
          <a:ext cx="70657" cy="853509"/>
        </a:xfrm>
        <a:prstGeom prst="rightBracket">
          <a:avLst>
            <a:gd name="adj" fmla="val 0"/>
          </a:avLst>
        </a:prstGeom>
        <a:noFill/>
        <a:ln w="12700" cap="flat" cmpd="sng" algn="ctr">
          <a:solidFill>
            <a:srgbClr val="373743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none" lIns="0" tIns="0" rIns="0" bIns="0" numCol="1" rtlCol="0" anchor="ctr" anchorCtr="0" compatLnSpc="1">
          <a:prstTxWarp prst="textNoShape">
            <a:avLst/>
          </a:prstTxWarp>
        </a:bodyPr>
        <a:lstStyle/>
        <a:p>
          <a:pPr marL="0" marR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endParaRPr kumimoji="0" lang="fr-FR" sz="1800" b="0" i="0" u="none" strike="noStrike" cap="none" normalizeH="0" baseline="0">
            <a:ln>
              <a:noFill/>
            </a:ln>
            <a:solidFill>
              <a:srgbClr val="000000"/>
            </a:solidFill>
            <a:effectLst/>
            <a:latin typeface="Arial" charset="0"/>
            <a:cs typeface="Arial" charset="0"/>
          </a:endParaRPr>
        </a:p>
      </xdr:txBody>
    </xdr:sp>
    <xdr:clientData/>
  </xdr:twoCellAnchor>
  <xdr:twoCellAnchor>
    <xdr:from>
      <xdr:col>6</xdr:col>
      <xdr:colOff>212754</xdr:colOff>
      <xdr:row>31</xdr:row>
      <xdr:rowOff>456609</xdr:rowOff>
    </xdr:from>
    <xdr:to>
      <xdr:col>9</xdr:col>
      <xdr:colOff>19771</xdr:colOff>
      <xdr:row>31</xdr:row>
      <xdr:rowOff>1042706</xdr:rowOff>
    </xdr:to>
    <xdr:graphicFrame macro="">
      <xdr:nvGraphicFramePr>
        <xdr:cNvPr id="37" name="Graphique 36">
          <a:extLst>
            <a:ext uri="{FF2B5EF4-FFF2-40B4-BE49-F238E27FC236}">
              <a16:creationId xmlns:a16="http://schemas.microsoft.com/office/drawing/2014/main" xmlns="" id="{7CE57B43-21A0-4FB2-85C0-3893505A62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19</xdr:col>
      <xdr:colOff>154391</xdr:colOff>
      <xdr:row>9</xdr:row>
      <xdr:rowOff>0</xdr:rowOff>
    </xdr:from>
    <xdr:to>
      <xdr:col>25</xdr:col>
      <xdr:colOff>330518</xdr:colOff>
      <xdr:row>15</xdr:row>
      <xdr:rowOff>571476</xdr:rowOff>
    </xdr:to>
    <xdr:graphicFrame macro="">
      <xdr:nvGraphicFramePr>
        <xdr:cNvPr id="38" name="Graphique 37">
          <a:extLst>
            <a:ext uri="{FF2B5EF4-FFF2-40B4-BE49-F238E27FC236}">
              <a16:creationId xmlns:a16="http://schemas.microsoft.com/office/drawing/2014/main" xmlns="" id="{0AFF43F5-FEB2-4CF0-9F97-896A75679D7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oneCellAnchor>
    <xdr:from>
      <xdr:col>22</xdr:col>
      <xdr:colOff>0</xdr:colOff>
      <xdr:row>21</xdr:row>
      <xdr:rowOff>0</xdr:rowOff>
    </xdr:from>
    <xdr:ext cx="3399692" cy="2315308"/>
    <xdr:pic>
      <xdr:nvPicPr>
        <xdr:cNvPr id="39" name="Image 38">
          <a:extLst>
            <a:ext uri="{FF2B5EF4-FFF2-40B4-BE49-F238E27FC236}">
              <a16:creationId xmlns:a16="http://schemas.microsoft.com/office/drawing/2014/main" xmlns="" id="{4C7353F7-2F38-49E3-93B3-CB5AB926FD15}"/>
            </a:ext>
          </a:extLst>
        </xdr:cNvPr>
        <xdr:cNvPicPr>
          <a:picLocks noChangeAspect="1" noChangeArrowheads="1"/>
          <a:extLst/>
        </xdr:cNvPicPr>
      </xdr:nvPicPr>
      <xdr:blipFill>
        <a:blip xmlns:r="http://schemas.openxmlformats.org/officeDocument/2006/relationships" r:embed="rId22"/>
        <a:srcRect/>
        <a:stretch>
          <a:fillRect/>
        </a:stretch>
      </xdr:blipFill>
      <xdr:spPr bwMode="auto">
        <a:xfrm>
          <a:off x="14601825" y="9667875"/>
          <a:ext cx="3399692" cy="23153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</xdr:row>
      <xdr:rowOff>0</xdr:rowOff>
    </xdr:from>
    <xdr:ext cx="1386840" cy="319604"/>
    <xdr:pic>
      <xdr:nvPicPr>
        <xdr:cNvPr id="40" name="Image 39">
          <a:extLst>
            <a:ext uri="{FF2B5EF4-FFF2-40B4-BE49-F238E27FC236}">
              <a16:creationId xmlns:a16="http://schemas.microsoft.com/office/drawing/2014/main" xmlns="" id="{1A2FFA40-A30D-4C8C-8FA8-287CAEC694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14300" y="190500"/>
          <a:ext cx="1386840" cy="319604"/>
        </a:xfrm>
        <a:prstGeom prst="rect">
          <a:avLst/>
        </a:prstGeom>
      </xdr:spPr>
    </xdr:pic>
    <xdr:clientData/>
  </xdr:oneCellAnchor>
  <xdr:twoCellAnchor>
    <xdr:from>
      <xdr:col>11</xdr:col>
      <xdr:colOff>30079</xdr:colOff>
      <xdr:row>33</xdr:row>
      <xdr:rowOff>59823</xdr:rowOff>
    </xdr:from>
    <xdr:to>
      <xdr:col>11</xdr:col>
      <xdr:colOff>159281</xdr:colOff>
      <xdr:row>33</xdr:row>
      <xdr:rowOff>195512</xdr:rowOff>
    </xdr:to>
    <xdr:pic>
      <xdr:nvPicPr>
        <xdr:cNvPr id="41" name="Image 40" descr="cancel.png">
          <a:extLst>
            <a:ext uri="{FF2B5EF4-FFF2-40B4-BE49-F238E27FC236}">
              <a16:creationId xmlns:a16="http://schemas.microsoft.com/office/drawing/2014/main" xmlns="" id="{168A0F26-C901-498B-A661-4AAF1551AC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002379" y="16671423"/>
          <a:ext cx="129202" cy="135689"/>
        </a:xfrm>
        <a:prstGeom prst="rect">
          <a:avLst/>
        </a:prstGeom>
      </xdr:spPr>
    </xdr:pic>
    <xdr:clientData/>
  </xdr:twoCellAnchor>
  <xdr:twoCellAnchor>
    <xdr:from>
      <xdr:col>11</xdr:col>
      <xdr:colOff>15040</xdr:colOff>
      <xdr:row>34</xdr:row>
      <xdr:rowOff>35089</xdr:rowOff>
    </xdr:from>
    <xdr:to>
      <xdr:col>11</xdr:col>
      <xdr:colOff>181814</xdr:colOff>
      <xdr:row>34</xdr:row>
      <xdr:rowOff>200526</xdr:rowOff>
    </xdr:to>
    <xdr:pic>
      <xdr:nvPicPr>
        <xdr:cNvPr id="42" name="Image 41" descr="warning.png">
          <a:extLst>
            <a:ext uri="{FF2B5EF4-FFF2-40B4-BE49-F238E27FC236}">
              <a16:creationId xmlns:a16="http://schemas.microsoft.com/office/drawing/2014/main" xmlns="" id="{28DF67A7-7454-45D7-9F12-E8C47C83AB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987340" y="16875289"/>
          <a:ext cx="166774" cy="165437"/>
        </a:xfrm>
        <a:prstGeom prst="rect">
          <a:avLst/>
        </a:prstGeom>
      </xdr:spPr>
    </xdr:pic>
    <xdr:clientData/>
  </xdr:twoCellAnchor>
  <xdr:twoCellAnchor>
    <xdr:from>
      <xdr:col>11</xdr:col>
      <xdr:colOff>1</xdr:colOff>
      <xdr:row>28</xdr:row>
      <xdr:rowOff>225135</xdr:rowOff>
    </xdr:from>
    <xdr:to>
      <xdr:col>15</xdr:col>
      <xdr:colOff>1</xdr:colOff>
      <xdr:row>29</xdr:row>
      <xdr:rowOff>3342408</xdr:rowOff>
    </xdr:to>
    <xdr:graphicFrame macro="">
      <xdr:nvGraphicFramePr>
        <xdr:cNvPr id="43" name="Graphique 42">
          <a:extLst>
            <a:ext uri="{FF2B5EF4-FFF2-40B4-BE49-F238E27FC236}">
              <a16:creationId xmlns:a16="http://schemas.microsoft.com/office/drawing/2014/main" xmlns="" id="{41EE0F05-77EB-4658-A4FD-7874626626A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11</xdr:col>
      <xdr:colOff>207020</xdr:colOff>
      <xdr:row>31</xdr:row>
      <xdr:rowOff>69479</xdr:rowOff>
    </xdr:from>
    <xdr:to>
      <xdr:col>14</xdr:col>
      <xdr:colOff>14037</xdr:colOff>
      <xdr:row>31</xdr:row>
      <xdr:rowOff>789479</xdr:rowOff>
    </xdr:to>
    <xdr:graphicFrame macro="">
      <xdr:nvGraphicFramePr>
        <xdr:cNvPr id="44" name="Graphique 43">
          <a:extLst>
            <a:ext uri="{FF2B5EF4-FFF2-40B4-BE49-F238E27FC236}">
              <a16:creationId xmlns:a16="http://schemas.microsoft.com/office/drawing/2014/main" xmlns="" id="{B5659CFF-A701-4987-86E6-41BCB9FB4F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11</xdr:col>
      <xdr:colOff>136071</xdr:colOff>
      <xdr:row>31</xdr:row>
      <xdr:rowOff>149679</xdr:rowOff>
    </xdr:from>
    <xdr:to>
      <xdr:col>11</xdr:col>
      <xdr:colOff>206728</xdr:colOff>
      <xdr:row>31</xdr:row>
      <xdr:rowOff>1003188</xdr:rowOff>
    </xdr:to>
    <xdr:sp macro="" textlink="">
      <xdr:nvSpPr>
        <xdr:cNvPr id="45" name="Parenthèse fermante 44">
          <a:extLst>
            <a:ext uri="{FF2B5EF4-FFF2-40B4-BE49-F238E27FC236}">
              <a16:creationId xmlns:a16="http://schemas.microsoft.com/office/drawing/2014/main" xmlns="" id="{3DA112AA-EED7-44E8-8E45-4BF27B828017}"/>
            </a:ext>
          </a:extLst>
        </xdr:cNvPr>
        <xdr:cNvSpPr/>
      </xdr:nvSpPr>
      <xdr:spPr bwMode="auto">
        <a:xfrm>
          <a:off x="7108371" y="15294429"/>
          <a:ext cx="70657" cy="853509"/>
        </a:xfrm>
        <a:prstGeom prst="rightBracket">
          <a:avLst>
            <a:gd name="adj" fmla="val 0"/>
          </a:avLst>
        </a:prstGeom>
        <a:noFill/>
        <a:ln w="12700" cap="flat" cmpd="sng" algn="ctr">
          <a:solidFill>
            <a:srgbClr val="373743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none" lIns="0" tIns="0" rIns="0" bIns="0" numCol="1" rtlCol="0" anchor="ctr" anchorCtr="0" compatLnSpc="1">
          <a:prstTxWarp prst="textNoShape">
            <a:avLst/>
          </a:prstTxWarp>
        </a:bodyPr>
        <a:lstStyle/>
        <a:p>
          <a:pPr marL="0" marR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endParaRPr kumimoji="0" lang="fr-FR" sz="1800" b="0" i="0" u="none" strike="noStrike" cap="none" normalizeH="0" baseline="0">
            <a:ln>
              <a:noFill/>
            </a:ln>
            <a:solidFill>
              <a:srgbClr val="000000"/>
            </a:solidFill>
            <a:effectLst/>
            <a:latin typeface="Arial" charset="0"/>
            <a:cs typeface="Arial" charset="0"/>
          </a:endParaRPr>
        </a:p>
      </xdr:txBody>
    </xdr:sp>
    <xdr:clientData/>
  </xdr:twoCellAnchor>
  <xdr:twoCellAnchor>
    <xdr:from>
      <xdr:col>11</xdr:col>
      <xdr:colOff>212754</xdr:colOff>
      <xdr:row>31</xdr:row>
      <xdr:rowOff>456609</xdr:rowOff>
    </xdr:from>
    <xdr:to>
      <xdr:col>14</xdr:col>
      <xdr:colOff>19771</xdr:colOff>
      <xdr:row>31</xdr:row>
      <xdr:rowOff>1042706</xdr:rowOff>
    </xdr:to>
    <xdr:graphicFrame macro="">
      <xdr:nvGraphicFramePr>
        <xdr:cNvPr id="46" name="Graphique 45">
          <a:extLst>
            <a:ext uri="{FF2B5EF4-FFF2-40B4-BE49-F238E27FC236}">
              <a16:creationId xmlns:a16="http://schemas.microsoft.com/office/drawing/2014/main" xmlns="" id="{0C1698AD-9545-4026-90A4-E551DFDD374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 editAs="oneCell">
    <xdr:from>
      <xdr:col>22</xdr:col>
      <xdr:colOff>3680313</xdr:colOff>
      <xdr:row>21</xdr:row>
      <xdr:rowOff>0</xdr:rowOff>
    </xdr:from>
    <xdr:to>
      <xdr:col>23</xdr:col>
      <xdr:colOff>0</xdr:colOff>
      <xdr:row>25</xdr:row>
      <xdr:rowOff>33704</xdr:rowOff>
    </xdr:to>
    <xdr:pic>
      <xdr:nvPicPr>
        <xdr:cNvPr id="47" name="Image 46">
          <a:extLst>
            <a:ext uri="{FF2B5EF4-FFF2-40B4-BE49-F238E27FC236}">
              <a16:creationId xmlns:a16="http://schemas.microsoft.com/office/drawing/2014/main" xmlns="" id="{DA58BA8E-B2F1-4C15-80CA-A29D73F5696C}"/>
            </a:ext>
          </a:extLst>
        </xdr:cNvPr>
        <xdr:cNvPicPr>
          <a:picLocks noChangeAspect="1" noChangeArrowheads="1"/>
          <a:extLst/>
        </xdr:cNvPicPr>
      </xdr:nvPicPr>
      <xdr:blipFill>
        <a:blip xmlns:r="http://schemas.openxmlformats.org/officeDocument/2006/relationships" r:embed="rId27"/>
        <a:srcRect/>
        <a:stretch>
          <a:fillRect/>
        </a:stretch>
      </xdr:blipFill>
      <xdr:spPr bwMode="auto">
        <a:xfrm>
          <a:off x="18282138" y="9667875"/>
          <a:ext cx="3034812" cy="9481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4702548</xdr:colOff>
      <xdr:row>34</xdr:row>
      <xdr:rowOff>0</xdr:rowOff>
    </xdr:from>
    <xdr:to>
      <xdr:col>22</xdr:col>
      <xdr:colOff>6702798</xdr:colOff>
      <xdr:row>35</xdr:row>
      <xdr:rowOff>461384</xdr:rowOff>
    </xdr:to>
    <xdr:pic>
      <xdr:nvPicPr>
        <xdr:cNvPr id="48" name="Image 47">
          <a:extLst>
            <a:ext uri="{FF2B5EF4-FFF2-40B4-BE49-F238E27FC236}">
              <a16:creationId xmlns:a16="http://schemas.microsoft.com/office/drawing/2014/main" xmlns="" id="{B3CCA1E7-60B4-4F06-9355-09173F112141}"/>
            </a:ext>
          </a:extLst>
        </xdr:cNvPr>
        <xdr:cNvPicPr>
          <a:picLocks noChangeAspect="1" noChangeArrowheads="1"/>
          <a:extLst/>
        </xdr:cNvPicPr>
      </xdr:nvPicPr>
      <xdr:blipFill>
        <a:blip xmlns:r="http://schemas.openxmlformats.org/officeDocument/2006/relationships" r:embed="rId28"/>
        <a:srcRect/>
        <a:stretch>
          <a:fillRect/>
        </a:stretch>
      </xdr:blipFill>
      <xdr:spPr bwMode="auto">
        <a:xfrm>
          <a:off x="19304373" y="16840200"/>
          <a:ext cx="2000250" cy="6899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30079</xdr:colOff>
      <xdr:row>33</xdr:row>
      <xdr:rowOff>59823</xdr:rowOff>
    </xdr:from>
    <xdr:to>
      <xdr:col>16</xdr:col>
      <xdr:colOff>159281</xdr:colOff>
      <xdr:row>33</xdr:row>
      <xdr:rowOff>195512</xdr:rowOff>
    </xdr:to>
    <xdr:pic>
      <xdr:nvPicPr>
        <xdr:cNvPr id="49" name="Image 48" descr="cancel.png">
          <a:extLst>
            <a:ext uri="{FF2B5EF4-FFF2-40B4-BE49-F238E27FC236}">
              <a16:creationId xmlns:a16="http://schemas.microsoft.com/office/drawing/2014/main" xmlns="" id="{8763C5B2-2CD7-446A-BA13-075898792D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459954" y="16671423"/>
          <a:ext cx="129202" cy="135689"/>
        </a:xfrm>
        <a:prstGeom prst="rect">
          <a:avLst/>
        </a:prstGeom>
      </xdr:spPr>
    </xdr:pic>
    <xdr:clientData/>
  </xdr:twoCellAnchor>
  <xdr:twoCellAnchor>
    <xdr:from>
      <xdr:col>16</xdr:col>
      <xdr:colOff>15040</xdr:colOff>
      <xdr:row>34</xdr:row>
      <xdr:rowOff>35089</xdr:rowOff>
    </xdr:from>
    <xdr:to>
      <xdr:col>16</xdr:col>
      <xdr:colOff>181814</xdr:colOff>
      <xdr:row>34</xdr:row>
      <xdr:rowOff>200526</xdr:rowOff>
    </xdr:to>
    <xdr:pic>
      <xdr:nvPicPr>
        <xdr:cNvPr id="50" name="Image 49" descr="warning.png">
          <a:extLst>
            <a:ext uri="{FF2B5EF4-FFF2-40B4-BE49-F238E27FC236}">
              <a16:creationId xmlns:a16="http://schemas.microsoft.com/office/drawing/2014/main" xmlns="" id="{0C3C57C0-FFE9-47DA-8C24-022D7E7DB7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0444915" y="16875289"/>
          <a:ext cx="166774" cy="165437"/>
        </a:xfrm>
        <a:prstGeom prst="rect">
          <a:avLst/>
        </a:prstGeom>
      </xdr:spPr>
    </xdr:pic>
    <xdr:clientData/>
  </xdr:twoCellAnchor>
  <xdr:twoCellAnchor>
    <xdr:from>
      <xdr:col>16</xdr:col>
      <xdr:colOff>1</xdr:colOff>
      <xdr:row>28</xdr:row>
      <xdr:rowOff>225135</xdr:rowOff>
    </xdr:from>
    <xdr:to>
      <xdr:col>20</xdr:col>
      <xdr:colOff>1</xdr:colOff>
      <xdr:row>29</xdr:row>
      <xdr:rowOff>3342408</xdr:rowOff>
    </xdr:to>
    <xdr:graphicFrame macro="">
      <xdr:nvGraphicFramePr>
        <xdr:cNvPr id="51" name="Graphique 50">
          <a:extLst>
            <a:ext uri="{FF2B5EF4-FFF2-40B4-BE49-F238E27FC236}">
              <a16:creationId xmlns:a16="http://schemas.microsoft.com/office/drawing/2014/main" xmlns="" id="{977E5A3D-3B00-4F80-9B9A-1A1E7E4994B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16</xdr:col>
      <xdr:colOff>207020</xdr:colOff>
      <xdr:row>31</xdr:row>
      <xdr:rowOff>69479</xdr:rowOff>
    </xdr:from>
    <xdr:to>
      <xdr:col>19</xdr:col>
      <xdr:colOff>14037</xdr:colOff>
      <xdr:row>31</xdr:row>
      <xdr:rowOff>789479</xdr:rowOff>
    </xdr:to>
    <xdr:graphicFrame macro="">
      <xdr:nvGraphicFramePr>
        <xdr:cNvPr id="52" name="Graphique 51">
          <a:extLst>
            <a:ext uri="{FF2B5EF4-FFF2-40B4-BE49-F238E27FC236}">
              <a16:creationId xmlns:a16="http://schemas.microsoft.com/office/drawing/2014/main" xmlns="" id="{F841B317-0817-4AA0-BF9A-484DE659F06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16</xdr:col>
      <xdr:colOff>136071</xdr:colOff>
      <xdr:row>31</xdr:row>
      <xdr:rowOff>149679</xdr:rowOff>
    </xdr:from>
    <xdr:to>
      <xdr:col>16</xdr:col>
      <xdr:colOff>206728</xdr:colOff>
      <xdr:row>31</xdr:row>
      <xdr:rowOff>1003188</xdr:rowOff>
    </xdr:to>
    <xdr:sp macro="" textlink="">
      <xdr:nvSpPr>
        <xdr:cNvPr id="53" name="Parenthèse fermante 52">
          <a:extLst>
            <a:ext uri="{FF2B5EF4-FFF2-40B4-BE49-F238E27FC236}">
              <a16:creationId xmlns:a16="http://schemas.microsoft.com/office/drawing/2014/main" xmlns="" id="{00287BE9-BCD5-48EE-B301-975419342CF0}"/>
            </a:ext>
          </a:extLst>
        </xdr:cNvPr>
        <xdr:cNvSpPr/>
      </xdr:nvSpPr>
      <xdr:spPr bwMode="auto">
        <a:xfrm>
          <a:off x="10565946" y="15294429"/>
          <a:ext cx="70657" cy="853509"/>
        </a:xfrm>
        <a:prstGeom prst="rightBracket">
          <a:avLst>
            <a:gd name="adj" fmla="val 0"/>
          </a:avLst>
        </a:prstGeom>
        <a:noFill/>
        <a:ln w="12700" cap="flat" cmpd="sng" algn="ctr">
          <a:solidFill>
            <a:srgbClr val="373743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vert="horz" wrap="none" lIns="0" tIns="0" rIns="0" bIns="0" numCol="1" rtlCol="0" anchor="ctr" anchorCtr="0" compatLnSpc="1">
          <a:prstTxWarp prst="textNoShape">
            <a:avLst/>
          </a:prstTxWarp>
        </a:bodyPr>
        <a:lstStyle/>
        <a:p>
          <a:pPr marL="0" marR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endParaRPr kumimoji="0" lang="fr-FR" sz="1800" b="0" i="0" u="none" strike="noStrike" cap="none" normalizeH="0" baseline="0">
            <a:ln>
              <a:noFill/>
            </a:ln>
            <a:solidFill>
              <a:srgbClr val="000000"/>
            </a:solidFill>
            <a:effectLst/>
            <a:latin typeface="Arial" charset="0"/>
            <a:cs typeface="Arial" charset="0"/>
          </a:endParaRPr>
        </a:p>
      </xdr:txBody>
    </xdr:sp>
    <xdr:clientData/>
  </xdr:twoCellAnchor>
  <xdr:twoCellAnchor>
    <xdr:from>
      <xdr:col>16</xdr:col>
      <xdr:colOff>212754</xdr:colOff>
      <xdr:row>31</xdr:row>
      <xdr:rowOff>456609</xdr:rowOff>
    </xdr:from>
    <xdr:to>
      <xdr:col>19</xdr:col>
      <xdr:colOff>19771</xdr:colOff>
      <xdr:row>31</xdr:row>
      <xdr:rowOff>1042706</xdr:rowOff>
    </xdr:to>
    <xdr:graphicFrame macro="">
      <xdr:nvGraphicFramePr>
        <xdr:cNvPr id="54" name="Graphique 53">
          <a:extLst>
            <a:ext uri="{FF2B5EF4-FFF2-40B4-BE49-F238E27FC236}">
              <a16:creationId xmlns:a16="http://schemas.microsoft.com/office/drawing/2014/main" xmlns="" id="{BBE957D7-CB50-4D9E-B5AD-457094E78D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UR.MSD.WORLD.SOCGEN\groupdir\Users\A134396\AppData\Local\Microsoft\Windows\INetCache\Content.Outlook\6KGF5R7D\SKB%20-%20IT%20Security%20Master%20Plan%20-%20Reporting%20v4.4-February2019_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curity Measures"/>
      <sheetName val="Post-audit review"/>
      <sheetName val="Sensitive applications"/>
      <sheetName val="Dashboard"/>
      <sheetName val="Vision"/>
      <sheetName val="Budget"/>
      <sheetName val="Planning"/>
      <sheetName val="Audit &amp; Account"/>
      <sheetName val="Projects (optional)"/>
      <sheetName val="Calculation"/>
      <sheetName val="DATA"/>
      <sheetName val="Free space 1 (for entity use)"/>
      <sheetName val="Free space 2 (for entity use)"/>
      <sheetName val="SKB - IT Security Master Plan -"/>
    </sheetNames>
    <sheetDataSet>
      <sheetData sheetId="0">
        <row r="4">
          <cell r="B4" t="str">
            <v>SKB</v>
          </cell>
          <cell r="C4" t="str">
            <v>- EURO</v>
          </cell>
        </row>
        <row r="5">
          <cell r="C5" t="str">
            <v>Uroš Štefe</v>
          </cell>
        </row>
        <row r="6">
          <cell r="C6">
            <v>43894</v>
          </cell>
        </row>
      </sheetData>
      <sheetData sheetId="1"/>
      <sheetData sheetId="2"/>
      <sheetData sheetId="3"/>
      <sheetData sheetId="4"/>
      <sheetData sheetId="5">
        <row r="26">
          <cell r="AD26">
            <v>456.70999999999992</v>
          </cell>
          <cell r="AE26">
            <v>0.196137339055794</v>
          </cell>
        </row>
      </sheetData>
      <sheetData sheetId="6"/>
      <sheetData sheetId="7"/>
      <sheetData sheetId="8"/>
      <sheetData sheetId="9">
        <row r="1">
          <cell r="G1" t="str">
            <v>RISK ACCEPTED BY ENTITY</v>
          </cell>
        </row>
      </sheetData>
      <sheetData sheetId="10">
        <row r="2">
          <cell r="C2" t="str">
            <v>Basics</v>
          </cell>
          <cell r="E2" t="str">
            <v>Please choose</v>
          </cell>
          <cell r="O2" t="str">
            <v>TO BE STARTED and progress &gt; 0%</v>
          </cell>
          <cell r="Q2" t="str">
            <v>Budget execution exceed progress by 50%</v>
          </cell>
          <cell r="W2">
            <v>42369</v>
          </cell>
          <cell r="Z2" t="str">
            <v>Anti-Fraud</v>
          </cell>
        </row>
        <row r="3">
          <cell r="C3" t="str">
            <v>Anti-DDoS</v>
          </cell>
          <cell r="E3" t="str">
            <v>RISK ACCEPTED BY ENTITY</v>
          </cell>
          <cell r="O3" t="str">
            <v>IN PROGRESS and progress = 100%</v>
          </cell>
          <cell r="Q3" t="str">
            <v>Progress exceed budget execution by 50%</v>
          </cell>
          <cell r="W3">
            <v>42735</v>
          </cell>
          <cell r="X3">
            <v>366</v>
          </cell>
          <cell r="Z3" t="str">
            <v>Anti-APT</v>
          </cell>
        </row>
        <row r="4">
          <cell r="C4" t="str">
            <v>Anti-Fraud Med.</v>
          </cell>
          <cell r="E4" t="str">
            <v>NOT APPLICABLE</v>
          </cell>
          <cell r="O4" t="str">
            <v>IN PROGRESS and progress = 0%</v>
          </cell>
          <cell r="Q4" t="str">
            <v>Time consumed rate exceed progress by 50%</v>
          </cell>
          <cell r="W4">
            <v>43100</v>
          </cell>
          <cell r="X4">
            <v>365</v>
          </cell>
          <cell r="Z4" t="str">
            <v>ATM Security</v>
          </cell>
        </row>
        <row r="5">
          <cell r="C5" t="str">
            <v>Anti-Fraud Adv.</v>
          </cell>
          <cell r="E5" t="str">
            <v>TO BE STARTED</v>
          </cell>
          <cell r="O5" t="str">
            <v>DONE and progress &lt; 100%</v>
          </cell>
          <cell r="Q5" t="str">
            <v>Time consumed rate exceed budget spent rate by 50%</v>
          </cell>
          <cell r="W5">
            <v>43465</v>
          </cell>
          <cell r="X5">
            <v>365</v>
          </cell>
        </row>
        <row r="6">
          <cell r="C6" t="str">
            <v>DLP</v>
          </cell>
          <cell r="E6" t="str">
            <v>IN PROGRESS</v>
          </cell>
          <cell r="O6" t="str">
            <v>Inconsistent status with Budget, Planning or Progress</v>
          </cell>
          <cell r="Q6" t="str">
            <v>Budget execution exceed time consumed rate by 50%</v>
          </cell>
          <cell r="W6">
            <v>43830</v>
          </cell>
          <cell r="X6">
            <v>365</v>
          </cell>
        </row>
        <row r="7">
          <cell r="C7" t="str">
            <v>Anti-APT Med.</v>
          </cell>
          <cell r="E7" t="str">
            <v>DONE - To be certified</v>
          </cell>
          <cell r="O7" t="str">
            <v>Status = Please choose</v>
          </cell>
          <cell r="Q7" t="str">
            <v>Budget spent exceed reestimated by  15%</v>
          </cell>
        </row>
        <row r="8">
          <cell r="C8" t="str">
            <v>Anti-APT Adv.</v>
          </cell>
          <cell r="E8" t="str">
            <v>DONE - Post-audit mitigation</v>
          </cell>
          <cell r="O8" t="str">
            <v>No status selected</v>
          </cell>
          <cell r="Q8" t="str">
            <v>Reestimated budget to be validated by local management</v>
          </cell>
        </row>
        <row r="9">
          <cell r="C9" t="str">
            <v>ATM Security Bas.</v>
          </cell>
          <cell r="E9" t="str">
            <v>CERTIFIED</v>
          </cell>
          <cell r="O9" t="str">
            <v>DONE but wrong Reestimated end</v>
          </cell>
          <cell r="Q9" t="str">
            <v>Action to be started but no planning defined</v>
          </cell>
        </row>
        <row r="10">
          <cell r="O10" t="str">
            <v>Warning only but no remarks</v>
          </cell>
          <cell r="Q10" t="str">
            <v>Action to be started but no budget</v>
          </cell>
        </row>
        <row r="11">
          <cell r="C11" t="str">
            <v>ATM Security Adv.</v>
          </cell>
          <cell r="O11" t="str">
            <v>Alert but no remarks</v>
          </cell>
        </row>
        <row r="12">
          <cell r="C12" t="str">
            <v>Card Data Security</v>
          </cell>
          <cell r="O12" t="str">
            <v>IN PROGRESS but no budget</v>
          </cell>
        </row>
        <row r="13">
          <cell r="C13" t="str">
            <v>Certif. Audit</v>
          </cell>
          <cell r="O13" t="str">
            <v>IN PROGRESS but no planning defined</v>
          </cell>
        </row>
        <row r="14">
          <cell r="C14" t="str">
            <v>Local package</v>
          </cell>
          <cell r="O14" t="str">
            <v>TO BE STARTED but no planning defined</v>
          </cell>
        </row>
        <row r="15">
          <cell r="O15" t="str">
            <v>Kick-off scheduled after reestimated or initial end</v>
          </cell>
        </row>
        <row r="17">
          <cell r="O17" t="str">
            <v>Budget but no Kick-off date</v>
          </cell>
        </row>
        <row r="18">
          <cell r="O18" t="str">
            <v>Budget but no end date</v>
          </cell>
        </row>
        <row r="19">
          <cell r="O19" t="str">
            <v>Ending date &lt; today's date and status is not DONE</v>
          </cell>
        </row>
        <row r="20">
          <cell r="O20" t="str">
            <v>Kick-off &lt; today's date and status is not IN PROGRESS</v>
          </cell>
        </row>
      </sheetData>
      <sheetData sheetId="11"/>
      <sheetData sheetId="12"/>
      <sheetData sheetId="13" refreshError="1"/>
    </sheetDataSet>
  </externalBook>
</externalLink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20">
    <queryTableFields count="19">
      <queryTableField id="1" name="Measure ID" tableColumnId="20"/>
      <queryTableField id="2" name="Target status" tableColumnId="21"/>
      <queryTableField id="3" name="Target scope" tableColumnId="22"/>
      <queryTableField id="4" name="Target justification (if&lt;100%)" tableColumnId="23"/>
      <queryTableField id="5" name="Status" tableColumnId="24"/>
      <queryTableField id="6" name="Implementation progress rate" tableColumnId="25"/>
      <queryTableField id="7" name="CISO assessment" tableColumnId="26"/>
      <queryTableField id="8" name="CISO Comments" tableColumnId="27"/>
      <queryTableField id="9" name="Main actor" tableColumnId="28"/>
      <queryTableField id="10" name="Re-estimated end" tableColumnId="29"/>
      <queryTableField id="11" name="&lt;Local use 1&gt;" tableColumnId="30"/>
      <queryTableField id="12" name="&lt;Local use 2&gt;" tableColumnId="31"/>
      <queryTableField id="13" name="Resource allocated" tableColumnId="32"/>
      <queryTableField id="14" name="Kick-off" tableColumnId="33"/>
      <queryTableField id="15" name="Initial end" tableColumnId="34"/>
      <queryTableField id="16" name="BU" tableColumnId="35"/>
      <queryTableField id="17" name="Region" tableColumnId="36"/>
      <queryTableField id="18" name="Entity" tableColumnId="37"/>
      <queryTableField id="19" name="Priority" tableColumnId="38"/>
    </queryTableFields>
  </queryTableRefresh>
</queryTable>
</file>

<file path=xl/tables/_rels/table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3" name="GLOBAL_DATA_01" displayName="GLOBAL_DATA_01" ref="A1:S99" totalsRowShown="0" headerRowDxfId="220" dataDxfId="219">
  <autoFilter ref="A1:S99"/>
  <tableColumns count="19">
    <tableColumn id="31" name="BU" dataDxfId="218"/>
    <tableColumn id="2" name="Region" dataDxfId="217"/>
    <tableColumn id="32" name="Entity" dataDxfId="216"/>
    <tableColumn id="6" name="Measure ID" dataDxfId="215"/>
    <tableColumn id="7" name="Priority" dataDxfId="214"/>
    <tableColumn id="21" name="Target status" dataDxfId="213" dataCellStyle="Pourcentage">
      <calculatedColumnFormula>IF(GLOBAL_DATA_01[[#This Row],[Target scope]]="","",INDEX(DATA_TargetStatusChoice[Target_Status_Choice],MATCH(GLOBAL_DATA_01[[#This Row],[Target scope]],DATA_TargetStatusChoice[Value],1)))</calculatedColumnFormula>
    </tableColumn>
    <tableColumn id="33" name="Target scope" dataDxfId="212" dataCellStyle="Pourcentage"/>
    <tableColumn id="1" name="Target justification (if&lt;100%)" dataDxfId="211" dataCellStyle="Pourcentage"/>
    <tableColumn id="20" name="Status" dataDxfId="210"/>
    <tableColumn id="65" name="Implementation progress rate" dataDxfId="209"/>
    <tableColumn id="8" name="CISO assessment" dataDxfId="208"/>
    <tableColumn id="34" name="CISO Comments" dataDxfId="207"/>
    <tableColumn id="9" name="Resource allocated" dataDxfId="206"/>
    <tableColumn id="17" name="Main actor" dataDxfId="205"/>
    <tableColumn id="23" name="Kick-off" dataDxfId="204" totalsRowDxfId="203"/>
    <tableColumn id="24" name="Initial end" dataDxfId="202" totalsRowDxfId="201"/>
    <tableColumn id="25" name="Re-estimated end" dataDxfId="200" totalsRowDxfId="199"/>
    <tableColumn id="10" name="&lt;Local use 1&gt;" dataDxfId="198" totalsRowDxfId="197"/>
    <tableColumn id="13" name="&lt;Local use 2&gt;" dataDxfId="196" totalsRowDxfId="195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11" name="GLOBAL_DATA_02" displayName="GLOBAL_DATA_02" ref="A1:S100" totalsRowShown="0" headerRowDxfId="193" dataDxfId="192">
  <autoFilter ref="A1:S100"/>
  <tableColumns count="19">
    <tableColumn id="31" name="BU" dataDxfId="191"/>
    <tableColumn id="2" name="Region" dataDxfId="190"/>
    <tableColumn id="32" name="Entity" dataDxfId="189"/>
    <tableColumn id="6" name="Measure ID" dataDxfId="188"/>
    <tableColumn id="7" name="Priority" dataDxfId="187"/>
    <tableColumn id="21" name="Target status" dataDxfId="186" dataCellStyle="Pourcentage">
      <calculatedColumnFormula>IF(GLOBAL_DATA_02[[#This Row],[Target scope]]="","",INDEX(DATA_TargetStatusChoice[Target_Status_Choice],MATCH(GLOBAL_DATA_02[[#This Row],[Target scope]],DATA_TargetStatusChoice[Value],1)))</calculatedColumnFormula>
    </tableColumn>
    <tableColumn id="33" name="Target scope" dataDxfId="185" dataCellStyle="Pourcentage"/>
    <tableColumn id="1" name="Target justification (if&lt;100%)" dataDxfId="184" dataCellStyle="Pourcentage">
      <calculatedColumnFormula>IF(GLOBAL_DATA_02[[#This Row],[Target status]]&lt;&gt;"FULL IMPLEMENTATION", "&lt;required&gt;"," -")</calculatedColumnFormula>
    </tableColumn>
    <tableColumn id="20" name="Status" dataDxfId="183"/>
    <tableColumn id="65" name="Implementation progress rate" dataDxfId="182"/>
    <tableColumn id="8" name="CISO assessment" dataDxfId="181"/>
    <tableColumn id="34" name="CISO Comments" dataDxfId="180"/>
    <tableColumn id="9" name="Resource allocated" dataDxfId="179"/>
    <tableColumn id="17" name="Main actor" dataDxfId="178"/>
    <tableColumn id="23" name="Kick-off" dataDxfId="177" totalsRowDxfId="176"/>
    <tableColumn id="24" name="Initial end" dataDxfId="175" totalsRowDxfId="174"/>
    <tableColumn id="25" name="Re-estimated end" dataDxfId="173" totalsRowDxfId="172"/>
    <tableColumn id="10" name="&lt;Local use 1&gt;" dataDxfId="171" totalsRowDxfId="170"/>
    <tableColumn id="13" name="&lt;Local use 2&gt;" dataDxfId="169" totalsRowDxfId="168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4" name="DATA_SecurityPacks" displayName="DATA_SecurityPacks" ref="E2:G11" totalsRowShown="0" headerRowDxfId="167" dataDxfId="166">
  <autoFilter ref="E2:G11"/>
  <tableColumns count="3">
    <tableColumn id="1" name="Security packs EN" dataDxfId="165" totalsRowDxfId="164"/>
    <tableColumn id="2" name="Security packs FR" dataDxfId="163" totalsRowDxfId="162"/>
    <tableColumn id="3" name="Acronym / Acronyme" dataDxfId="161" totalsRowDxfId="160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id="5" name="DATA_Overdelay" displayName="DATA_Overdelay" ref="L2:L3" totalsRowShown="0" headerRowDxfId="159" dataDxfId="158" tableBorderDxfId="157">
  <autoFilter ref="L2:L3"/>
  <tableColumns count="1">
    <tableColumn id="1" name="Months overdelay" dataDxfId="156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id="6" name="DATA_StatusChoice" displayName="DATA_StatusChoice" ref="I2:J8" totalsRowShown="0" headerRowDxfId="155" dataDxfId="154">
  <autoFilter ref="I2:J8"/>
  <sortState ref="I3:J8">
    <sortCondition ref="J3:J8"/>
  </sortState>
  <tableColumns count="2">
    <tableColumn id="1" name="Status_Choice" dataDxfId="153"/>
    <tableColumn id="2" name="Rank" dataDxfId="152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id="8" name="DATA_EntityRegion" displayName="DATA_EntityRegion" ref="N2:T34" totalsRowShown="0" headerRowDxfId="151" dataDxfId="150">
  <autoFilter ref="N2:T34"/>
  <sortState ref="N3:T34">
    <sortCondition ref="O3:O34"/>
  </sortState>
  <tableColumns count="7">
    <tableColumn id="1" name="#" dataDxfId="149"/>
    <tableColumn id="2" name="Entity" dataDxfId="148"/>
    <tableColumn id="5" name="BU " dataDxfId="147"/>
    <tableColumn id="4" name="Region" dataDxfId="146"/>
    <tableColumn id="6" name="Country" dataDxfId="145"/>
    <tableColumn id="7" name="Level" dataDxfId="144"/>
    <tableColumn id="3" name="Language" dataDxfId="143"/>
  </tableColumns>
  <tableStyleInfo name="TableStyleLight10" showFirstColumn="0" showLastColumn="0" showRowStripes="1" showColumnStripes="0"/>
</table>
</file>

<file path=xl/tables/table7.xml><?xml version="1.0" encoding="utf-8"?>
<table xmlns="http://schemas.openxmlformats.org/spreadsheetml/2006/main" id="10" name="DATA_Target" displayName="DATA_Target" ref="L11:L18" totalsRowShown="0" headerRowDxfId="142" dataDxfId="141">
  <autoFilter ref="L11:L18"/>
  <tableColumns count="1">
    <tableColumn id="1" name="Target of scope" dataDxfId="140"/>
  </tableColumns>
  <tableStyleInfo name="TableStyleLight10" showFirstColumn="0" showLastColumn="0" showRowStripes="1" showColumnStripes="0"/>
</table>
</file>

<file path=xl/tables/table8.xml><?xml version="1.0" encoding="utf-8"?>
<table xmlns="http://schemas.openxmlformats.org/spreadsheetml/2006/main" id="9" name="DATA_ID" displayName="DATA_ID" ref="V2:AB60" totalsRowCount="1" headerRowDxfId="139" dataDxfId="138">
  <autoFilter ref="V2:AB59"/>
  <sortState ref="V3:AB59">
    <sortCondition ref="V3:V59"/>
  </sortState>
  <tableColumns count="7">
    <tableColumn id="1" name="Pack EN" totalsRowFunction="custom" dataDxfId="137" totalsRowDxfId="136">
      <totalsRowFormula>SUMPRODUCT((DATA_ID[Pack EN]&lt;&gt;"")/(COUNTIF(DATA_ID[Pack EN],DATA_ID[Pack EN])))</totalsRowFormula>
    </tableColumn>
    <tableColumn id="14" name="Pack FR" dataDxfId="135" totalsRowDxfId="134"/>
    <tableColumn id="2" name="Theme EN" totalsRowFunction="custom" dataDxfId="133" totalsRowDxfId="132">
      <totalsRowFormula>COUNTA(DATA_ID[Theme EN])</totalsRowFormula>
    </tableColumn>
    <tableColumn id="15" name="Theme FR" dataDxfId="131" totalsRowDxfId="130"/>
    <tableColumn id="3" name="Acronym theme" dataDxfId="129" totalsRowDxfId="128"/>
    <tableColumn id="4" name="Acronym combined" dataDxfId="127" totalsRowDxfId="126"/>
    <tableColumn id="5" name="ID" dataDxfId="125" totalsRowDxfId="124"/>
  </tableColumns>
  <tableStyleInfo name="TableStyleLight10" showFirstColumn="0" showLastColumn="0" showRowStripes="1" showColumnStripes="0"/>
</table>
</file>

<file path=xl/tables/table9.xml><?xml version="1.0" encoding="utf-8"?>
<table xmlns="http://schemas.openxmlformats.org/spreadsheetml/2006/main" id="14" name="DATA_CISOassessment" displayName="DATA_CISOassessment" ref="A14:A17" totalsRowShown="0" headerRowDxfId="123" dataDxfId="122">
  <autoFilter ref="A14:A17"/>
  <tableColumns count="1">
    <tableColumn id="1" name="CISO assessment" dataDxfId="121"/>
  </tableColumns>
  <tableStyleInfo name="TableStyleLight10" showFirstColumn="0" showLastColumn="0" showRowStripes="1" showColumnStripes="0"/>
</table>
</file>

<file path=xl/tables/table10.xml><?xml version="1.0" encoding="utf-8"?>
<table xmlns="http://schemas.openxmlformats.org/spreadsheetml/2006/main" id="16" name="DATA_SecPack" displayName="DATA_SecPack" ref="E14:G23" totalsRowShown="0" headerRowDxfId="120" dataDxfId="119">
  <autoFilter ref="E14:G23"/>
  <sortState ref="E15:G23">
    <sortCondition ref="G3"/>
  </sortState>
  <tableColumns count="3">
    <tableColumn id="1" name="Pack" dataDxfId="118"/>
    <tableColumn id="3" name="Acronyme" dataDxfId="117"/>
    <tableColumn id="2" name="Order index" dataDxfId="116"/>
  </tableColumns>
  <tableStyleInfo name="TableStyleLight10" showFirstColumn="0" showLastColumn="0" showRowStripes="1" showColumnStripes="0"/>
</table>
</file>

<file path=xl/tables/table11.xml><?xml version="1.0" encoding="utf-8"?>
<table xmlns="http://schemas.openxmlformats.org/spreadsheetml/2006/main" id="13" name="DATA_TargetStatusChoice" displayName="DATA_TargetStatusChoice" ref="I11:J15" totalsRowShown="0" headerRowDxfId="115" tableBorderDxfId="114">
  <autoFilter ref="I11:J15"/>
  <sortState ref="I12:J15">
    <sortCondition ref="J11:J15"/>
  </sortState>
  <tableColumns count="2">
    <tableColumn id="1" name="Target_Status_Choice" dataDxfId="113"/>
    <tableColumn id="2" name="Value" dataDxfId="112"/>
  </tableColumns>
  <tableStyleInfo name="TableStyleLight10" showFirstColumn="0" showLastColumn="0" showRowStripes="1" showColumnStripes="0"/>
</table>
</file>

<file path=xl/tables/table12.xml><?xml version="1.0" encoding="utf-8"?>
<table xmlns="http://schemas.openxmlformats.org/spreadsheetml/2006/main" id="15" name="DATA_RAFStatusChoice" displayName="DATA_RAFStatusChoice" ref="I17:J23" totalsRowShown="0" tableBorderDxfId="111">
  <autoFilter ref="I17:J23"/>
  <tableColumns count="2">
    <tableColumn id="1" name="RAF_Status_Choice" dataDxfId="110"/>
    <tableColumn id="2" name="Rank" dataDxfId="109"/>
  </tableColumns>
  <tableStyleInfo name="TableStyleLight10" showFirstColumn="0" showLastColumn="0" showRowStripes="1" showColumnStripes="0"/>
</table>
</file>

<file path=xl/tables/table13.xml><?xml version="1.0" encoding="utf-8"?>
<table xmlns="http://schemas.openxmlformats.org/spreadsheetml/2006/main" id="17" name="DATA_Ressources" displayName="DATA_Ressources" ref="L5:L7" totalsRowShown="0" headerRowDxfId="108" dataDxfId="107">
  <autoFilter ref="L5:L7"/>
  <tableColumns count="1">
    <tableColumn id="1" name="Ressources" dataDxfId="106"/>
  </tableColumns>
  <tableStyleInfo name="TableStyleLight10" showFirstColumn="0" showLastColumn="0" showRowStripes="1" showColumnStripes="0"/>
</table>
</file>

<file path=xl/tables/table14.xml><?xml version="1.0" encoding="utf-8"?>
<table xmlns="http://schemas.openxmlformats.org/spreadsheetml/2006/main" id="21" name="CALCULATION" displayName="CALCULATION" ref="A2:BW11" totalsRowShown="0" headerRowDxfId="104" dataDxfId="102" headerRowBorderDxfId="103">
  <autoFilter ref="A2:BW11"/>
  <tableColumns count="75">
    <tableColumn id="1" name="PACK" dataDxfId="101"/>
    <tableColumn id="75" name="END" dataDxfId="100" dataCellStyle="Pourcentage"/>
    <tableColumn id="73" name="Before DARWIN²" dataDxfId="99" dataCellStyle="Pourcentage"/>
    <tableColumn id="33" name="NO PROJECT P0" dataDxfId="98">
      <calculatedColumnFormula>COUNTIFS(#REF!,CALCULATION[[#This Row],[PACK]],GLOBAL_DATA_01[Priority],"P0",GLOBAL_DATA_01[Status],Status_No_Project)</calculatedColumnFormula>
    </tableColumn>
    <tableColumn id="34" name="NO PROJECT P1" dataDxfId="97">
      <calculatedColumnFormula>COUNTIFS(#REF!,CALCULATION[[#This Row],[PACK]],GLOBAL_DATA_01[Priority],"P1",GLOBAL_DATA_01[Status],Status_No_Project)</calculatedColumnFormula>
    </tableColumn>
    <tableColumn id="7" name="NO PROJECT P2&amp;P3" dataDxfId="96">
      <calculatedColumnFormula>COUNTIFS(#REF!,CALCULATION[[#This Row],[PACK]],GLOBAL_DATA_01[Priority],"&gt;=P2",GLOBAL_DATA_01[Status],Status_No_Project)</calculatedColumnFormula>
    </tableColumn>
    <tableColumn id="35" name="NO PROJECT" dataDxfId="95">
      <calculatedColumnFormula>COUNTIFS(#REF!,CALCULATION[[#This Row],[PACK]],GLOBAL_DATA_01[Status],CALCULATION[[#Headers],[NO PROJECT]])</calculatedColumnFormula>
    </tableColumn>
    <tableColumn id="38" name="TO BE STARTED P0" dataDxfId="94">
      <calculatedColumnFormula>COUNTIFS(#REF!,CALCULATION[[#This Row],[PACK]],GLOBAL_DATA_01[Priority],"P0",GLOBAL_DATA_01[Status],DATA!$I$4)</calculatedColumnFormula>
    </tableColumn>
    <tableColumn id="37" name="TO BE STARTED P1" dataDxfId="93"/>
    <tableColumn id="36" name="TO BE STARTED P2&amp;P3" dataDxfId="92"/>
    <tableColumn id="21" name="TO BE STARTED" dataDxfId="91">
      <calculatedColumnFormula>COUNTIFS(#REF!,CALCULATION[[#This Row],[PACK]],GLOBAL_DATA_01[Status],CALCULATION[[#Headers],[TO BE STARTED]])</calculatedColumnFormula>
    </tableColumn>
    <tableColumn id="28" name="IN PROGRESS P0" dataDxfId="90"/>
    <tableColumn id="27" name="IN PROGRESS P1" dataDxfId="89"/>
    <tableColumn id="26" name="IN PROGRESS P2&amp;P3" dataDxfId="88"/>
    <tableColumn id="19" name="IN PROGRESS" dataDxfId="87"/>
    <tableColumn id="31" name="DONE P0" dataDxfId="86"/>
    <tableColumn id="30" name="DONE P1" dataDxfId="85"/>
    <tableColumn id="29" name="DONE P2&amp;P3" dataDxfId="84"/>
    <tableColumn id="18" name="DONE" dataDxfId="83"/>
    <tableColumn id="40" name="CHECKED CISO P0" dataDxfId="82"/>
    <tableColumn id="39" name="CHECKED CISO P1" dataDxfId="81"/>
    <tableColumn id="32" name="CHECKED CISO P2&amp;P3" dataDxfId="80"/>
    <tableColumn id="13" name="CHECKED CISO" dataDxfId="79"/>
    <tableColumn id="43" name="VERIFIED P0" dataDxfId="78"/>
    <tableColumn id="42" name="VERIFIED P1" dataDxfId="77"/>
    <tableColumn id="41" name="VERIFIED P2&amp;P3" dataDxfId="76"/>
    <tableColumn id="22" name="VERIFIED" dataDxfId="75"/>
    <tableColumn id="52" name="PR_EX P0" dataDxfId="74"/>
    <tableColumn id="51" name="PR_EX P1" dataDxfId="73"/>
    <tableColumn id="50" name="PR_EX P2&amp;P3" dataDxfId="72"/>
    <tableColumn id="23" name="TOTAL PR_EX" dataDxfId="71"/>
    <tableColumn id="68" name="RISK ACCEPTED P0" dataDxfId="70">
      <calculatedColumnFormula>COUNTIFS(#REF!,CALCULATION[[#This Row],[PACK]],GLOBAL_DATA_01[Priority],"P0",GLOBAL_DATA_01[Target status],DATA!$I$12)</calculatedColumnFormula>
    </tableColumn>
    <tableColumn id="67" name="RISK ACCEPTED P1" dataDxfId="69">
      <calculatedColumnFormula>COUNTIFS(#REF!,CALCULATION[[#This Row],[PACK]],GLOBAL_DATA_01[Priority],"P1",GLOBAL_DATA_01[Target status],DATA!$I$12)</calculatedColumnFormula>
    </tableColumn>
    <tableColumn id="66" name="RISK ACCEPTED P2&amp;3" dataDxfId="68">
      <calculatedColumnFormula>COUNTIFS(#REF!,CALCULATION[[#This Row],[PACK]],GLOBAL_DATA_01[Priority],"&gt;P1",GLOBAL_DATA_01[Target status],DATA!$I$12)</calculatedColumnFormula>
    </tableColumn>
    <tableColumn id="3" name="RISK ACCEPTED (FULL MEASURE)" dataDxfId="67">
      <calculatedColumnFormula>COUNTIFS(#REF!,CALCULATION[[#This Row],[PACK]],GLOBAL_DATA_01[Target status],DATA!$I$12)</calculatedColumnFormula>
    </tableColumn>
    <tableColumn id="72" name="PARTIAL IMPLEMENTATION + RA P0" dataDxfId="66">
      <calculatedColumnFormula>COUNTIFS(#REF!,CALCULATION[[#This Row],[PACK]],GLOBAL_DATA_01[Target status],DATA!I13,GLOBAL_DATA_01[Priority],"P0")</calculatedColumnFormula>
    </tableColumn>
    <tableColumn id="71" name="PARTIAL IMPLEMENTATION + RA P1" dataDxfId="65">
      <calculatedColumnFormula>COUNTIFS(#REF!,CALCULATION[[#This Row],[PACK]],GLOBAL_DATA_01[Target status],DATA!I13,GLOBAL_DATA_01[Priority],"P1")</calculatedColumnFormula>
    </tableColumn>
    <tableColumn id="70" name="PARTIAL IMPLEMENTATION + RA P2&amp;P3" dataDxfId="64">
      <calculatedColumnFormula>COUNTIFS(#REF!,CALCULATION[[#This Row],[PACK]],GLOBAL_DATA_01[Target status],DATA!I13,GLOBAL_DATA_01[Priority],"&gt;P1")</calculatedColumnFormula>
    </tableColumn>
    <tableColumn id="4" name="PARTIAL IMPLEMENTATION + RA" dataDxfId="63"/>
    <tableColumn id="2" name="RISK ACCEPTANCE" dataDxfId="62" dataCellStyle="Pourcentage">
      <calculatedColumnFormula>1-CALCULATION[[#This Row],[IN SCOPE %]]</calculatedColumnFormula>
    </tableColumn>
    <tableColumn id="5" name="FULL IMPLEMENTATION" dataDxfId="61"/>
    <tableColumn id="8" name="NOT APPLICABLE" dataDxfId="60"/>
    <tableColumn id="49" name="LEFT P0" dataDxfId="59">
      <calculatedColumnFormula>COUNTIFS(#REF!,CALCULATION[[#This Row],[PACK]],GLOBAL_DATA_01[Priority],"P0",GLOBAL_DATA_01[Target status],DATA!$I$13)+COUNTIFS(#REF!,CALCULATION[[#This Row],[PACK]],GLOBAL_DATA_01[Priority],"P0",GLOBAL_DATA_01[Target status],DATA!$I$14)-CALCULATION[[#This Row],[COMPLETED P0]]</calculatedColumnFormula>
    </tableColumn>
    <tableColumn id="48" name="LEFT P1" dataDxfId="58">
      <calculatedColumnFormula>COUNTIFS(#REF!,CALCULATION[[#This Row],[PACK]],GLOBAL_DATA_01[Priority],"P1",GLOBAL_DATA_01[Target status],DATA!$I$13)+COUNTIFS(#REF!,CALCULATION[[#This Row],[PACK]],GLOBAL_DATA_01[Priority],"P1",GLOBAL_DATA_01[Target status],DATA!$I$14)-CALCULATION[[#This Row],[COMPLETED P1]]</calculatedColumnFormula>
    </tableColumn>
    <tableColumn id="47" name="LEFT P2&amp;3" dataDxfId="57">
      <calculatedColumnFormula>COUNTIFS(#REF!,CALCULATION[[#This Row],[PACK]],GLOBAL_DATA_01[Priority],"&gt;P1",GLOBAL_DATA_01[Target status],DATA!$I$13)+COUNTIFS(#REF!,CALCULATION[[#This Row],[PACK]],GLOBAL_DATA_01[Priority],"&gt;P1",GLOBAL_DATA_01[Target status],DATA!$I$14)-CALCULATION[[#This Row],[COMPLETED P2&amp;3]]</calculatedColumnFormula>
    </tableColumn>
    <tableColumn id="10" name="TOTAL Impl" dataDxfId="56">
      <calculatedColumnFormula>CALCULATION[[#This Row],[PARTIAL IMPLEMENTATION + RA]]+CALCULATION[[#This Row],[FULL IMPLEMENTATION]]</calculatedColumnFormula>
    </tableColumn>
    <tableColumn id="54" name="WIP" dataDxfId="55">
      <calculatedColumnFormula>CALCULATION[[#This Row],[IN PROGRESS]]+CALCULATION[[#This Row],[TO BE STARTED]]</calculatedColumnFormula>
    </tableColumn>
    <tableColumn id="58" name="COMPLETED P0" dataDxfId="54">
      <calculatedColumnFormula>COUNTIFS(#REF!,CALCULATION[[#This Row],[PACK]],GLOBAL_DATA_01[Priority],"P0",#REF!,1)</calculatedColumnFormula>
    </tableColumn>
    <tableColumn id="57" name="COMPLETED P1" dataDxfId="53">
      <calculatedColumnFormula>CALCULATION[[#This Row],[DONE P1]]+CALCULATION[[#This Row],[CHECKED CISO P1]]+CALCULATION[[#This Row],[VERIFIED P1]]</calculatedColumnFormula>
    </tableColumn>
    <tableColumn id="56" name="COMPLETED P2&amp;3" dataDxfId="52">
      <calculatedColumnFormula>CALCULATION[[#This Row],[DONE P2&amp;P3]]+CALCULATION[[#This Row],[CHECKED CISO P2&amp;P3]]+CALCULATION[[#This Row],[VERIFIED P2&amp;P3]]</calculatedColumnFormula>
    </tableColumn>
    <tableColumn id="11" name="COMPLETED" dataDxfId="51">
      <calculatedColumnFormula>CALCULATION[[#This Row],[DONE]]+CALCULATION[[#This Row],[CHECKED CISO]]+CALCULATION[[#This Row],[VERIFIED]]</calculatedColumnFormula>
    </tableColumn>
    <tableColumn id="12" name="COMPLETED %" dataDxfId="50">
      <calculatedColumnFormula>IFERROR(CALCULATION[[#This Row],[COMPLETED]]/CALCULATION[[#This Row],[IN SCOPE]],0)</calculatedColumnFormula>
    </tableColumn>
    <tableColumn id="14" name="IN SCOPE" dataDxfId="49">
      <calculatedColumnFormula>COUNTIFS(#REF!,CALCULATION[[#This Row],[PACK]],GLOBAL_DATA_01[Target status],"&lt;&gt;"&amp;DATA!$I$15)</calculatedColumnFormula>
    </tableColumn>
    <tableColumn id="55" name="IN SCOPE %" dataDxfId="48" dataCellStyle="Pourcentage">
      <calculatedColumnFormula>IFERROR(ROUND(SUMIFS(GLOBAL_DATA_01[Target scope],#REF!,CALCULATION[[#This Row],[PACK]],GLOBAL_DATA_01[Target status],"&lt;&gt;"&amp;DATA!$I$15)/CALCULATION[[#This Row],[IN SCOPE]],4),0)</calculatedColumnFormula>
    </tableColumn>
    <tableColumn id="15" name="% RISK ACCEPTED" dataDxfId="47">
      <calculatedColumnFormula>IFERROR(ROUND(CALCULATION[[#This Row],[RISK ACCEPTED (FULL MEASURE)]]/CALCULATION[[#This Row],[IN SCOPE]],4),0)</calculatedColumnFormula>
    </tableColumn>
    <tableColumn id="16" name="Risk situation comment" dataDxfId="46"/>
    <tableColumn id="20" name="RISK STATUS (Alert/Warning)" dataDxfId="45"/>
    <tableColumn id="17" name="DELTA (No risk/empty)" dataDxfId="44"/>
    <tableColumn id="45" name="TARGET IMPL" dataDxfId="43">
      <calculatedColumnFormula>IFERROR(ROUND(SUMIF(#REF!,CALCULATION[[#This Row],[PACK]],GLOBAL_DATA_01[Target scope])/CALCULATION[[#This Row],[IN SCOPE]],4),0)</calculatedColumnFormula>
    </tableColumn>
    <tableColumn id="74" name="CURRENT IMPL DONE " dataDxfId="42">
      <calculatedColumnFormula>IFERROR(ROUND(SUMIFS(#REF!,#REF!,CALCULATION[[#This Row],[PACK]],GLOBAL_DATA_01[Status],DATA!$I$6)/CALCULATION[[#This Row],[IN SCOPE]],4),0)</calculatedColumnFormula>
    </tableColumn>
    <tableColumn id="65" name="CURRENT IMPL CHECKED CISO &amp; VERIFIED" dataDxfId="41">
      <calculatedColumnFormula>IFERROR(ROUND(SUMIFS(#REF!,#REF!,CALCULATION[[#This Row],[PACK]],#REF!,1)/CALCULATION[[#This Row],[IN SCOPE]],4),0)-CALCULATION[[#This Row],[CURRENT IMPL DONE ]]</calculatedColumnFormula>
    </tableColumn>
    <tableColumn id="53" name="WIP %" dataDxfId="40">
      <calculatedColumnFormula>CALCULATION[[#This Row],[CURRENT IMPL]]-CALCULATION[[#This Row],[CURRENT IMPL DONE ]]-CALCULATION[[#This Row],[CURRENT IMPL CHECKED CISO &amp; VERIFIED]]</calculatedColumnFormula>
    </tableColumn>
    <tableColumn id="44" name="CURRENT IMPL" dataDxfId="39">
      <calculatedColumnFormula>IFERROR(ROUND(SUMIF(#REF!,CALCULATION[[#This Row],[PACK]],#REF!)/CALCULATION[[#This Row],[IN SCOPE]],4),0)</calculatedColumnFormula>
    </tableColumn>
    <tableColumn id="62" name="2020 IMLP" dataDxfId="38">
      <calculatedColumnFormula>COUNTIFS(#REF!,CALCULATION[[#This Row],[PACK]],GLOBAL_DATA_01[Re-estimated end],"&gt;31/12/2019",GLOBAL_DATA_01[Re-estimated end],"&lt;01/01/2021",#REF!,1)</calculatedColumnFormula>
    </tableColumn>
    <tableColumn id="59" name="2020 COMMITTED" dataDxfId="37"/>
    <tableColumn id="24" name="% 2020 COMMITTED" dataDxfId="36" dataCellStyle="Pourcentage">
      <calculatedColumnFormula>IFERROR(ROUND(SUMIFS(GLOBAL_DATA_01[Target scope],#REF!,CALCULATION[PACK],GLOBAL_DATA_01[Re-estimated end],"&gt;31/12/2019",GLOBAL_DATA_01[Re-estimated end],"&lt;01/01/2021")/CALCULATION[[#This Row],[IN SCOPE]],4),0)</calculatedColumnFormula>
    </tableColumn>
    <tableColumn id="63" name="2021 IMPL" dataDxfId="35">
      <calculatedColumnFormula>COUNTIFS(#REF!,CALCULATION[[#This Row],[PACK]],GLOBAL_DATA_01[Re-estimated end],"&gt;31/12/2020",GLOBAL_DATA_01[Re-estimated end],"&lt;01/01/2022",#REF!,1)</calculatedColumnFormula>
    </tableColumn>
    <tableColumn id="60" name="2021 COMMITTED" dataDxfId="34">
      <calculatedColumnFormula>COUNTIFS(#REF!,CALCULATION[[#This Row],[PACK]],GLOBAL_DATA_01[Re-estimated end],"&gt;31/12/2020",GLOBAL_DATA_01[Re-estimated end],"&lt;01/01/2022")</calculatedColumnFormula>
    </tableColumn>
    <tableColumn id="25" name="% 2021 COMMITTED" dataDxfId="33" dataCellStyle="Pourcentage">
      <calculatedColumnFormula>IFERROR(ROUND(SUMIFS(GLOBAL_DATA_01[Target scope],#REF!,CALCULATION[PACK],GLOBAL_DATA_01[Re-estimated end],"&gt;31/12/2020",GLOBAL_DATA_01[Re-estimated end],"&lt;01/01/2022")/CALCULATION[[#This Row],[IN SCOPE]],4),0)</calculatedColumnFormula>
    </tableColumn>
    <tableColumn id="64" name="2022 IMPL" dataDxfId="32">
      <calculatedColumnFormula>COUNTIFS(#REF!,CALCULATION[[#This Row],[PACK]],GLOBAL_DATA_01[Re-estimated end],"&gt;31/12/2021",#REF!,"&lt;01/01/2023",#REF!,1)</calculatedColumnFormula>
    </tableColumn>
    <tableColumn id="46" name="2022 COMMITTED" dataDxfId="31">
      <calculatedColumnFormula>COUNTIFS(#REF!,CALCULATION[[#This Row],[PACK]],GLOBAL_DATA_01[Re-estimated end],"&gt;31/12/2021",GLOBAL_DATA_01[Re-estimated end],"&lt;01/01/2023")</calculatedColumnFormula>
    </tableColumn>
    <tableColumn id="61" name="% 2022 COMMITTED" dataDxfId="30" dataCellStyle="Pourcentage">
      <calculatedColumnFormula>IFERROR(ROUND(SUMIFS(GLOBAL_DATA_01[Target scope],#REF!,CALCULATION[PACK],GLOBAL_DATA_01[Re-estimated end],"&gt;31/12/2021",GLOBAL_DATA_01[Re-estimated end],"&lt;01/01/2023")/CALCULATION[[#This Row],[IN SCOPE]],4),0)</calculatedColumnFormula>
    </tableColumn>
    <tableColumn id="9" name="COMMITTED" dataDxfId="29" dataCellStyle="Pourcentage">
      <calculatedColumnFormula>CALCULATION[[#This Row],[% 2020 COMMITTED]]+CALCULATION[[#This Row],[% 2021 COMMITTED]]+CALCULATION[[#This Row],[% 2022 COMMITTED]]</calculatedColumnFormula>
    </tableColumn>
    <tableColumn id="69" name="Total IMPLEMENTED " dataDxfId="28" dataCellStyle="Pourcentage">
      <calculatedColumnFormula>BK3</calculatedColumnFormula>
    </tableColumn>
    <tableColumn id="6" name="DELTA" dataDxfId="27">
      <calculatedColumnFormula>CALCULATION[[#This Row],[% 2020 COMMITTED]]+CALCULATION[[#This Row],[% 2021 COMMITTED]]+CALCULATION[[#This Row],[% 2022 COMMITTED]]-CALCULATION[[#This Row],[CURRENT IMPL]]</calculatedColumnFormula>
    </tableColumn>
  </tableColumns>
  <tableStyleInfo name="TableStyleLight18" showFirstColumn="0" showLastColumn="0" showRowStripes="1" showColumnStripes="0"/>
</table>
</file>

<file path=xl/tables/table15.xml><?xml version="1.0" encoding="utf-8"?>
<table xmlns="http://schemas.openxmlformats.org/spreadsheetml/2006/main" id="1" name="Data_Mois1" displayName="Data_Mois1" ref="A1:S11" tableType="queryTable" totalsRowShown="0" headerRowDxfId="1" dataDxfId="0">
  <autoFilter ref="A1:S11"/>
  <tableColumns count="19">
    <tableColumn id="20" uniqueName="20" name="Measure ID" queryTableFieldId="1" dataDxfId="20"/>
    <tableColumn id="21" uniqueName="21" name="Target status" queryTableFieldId="2" dataDxfId="19"/>
    <tableColumn id="22" uniqueName="22" name="Target scope" queryTableFieldId="3" dataDxfId="18"/>
    <tableColumn id="23" uniqueName="23" name="Target justification (if&lt;100%)" queryTableFieldId="4" dataDxfId="17"/>
    <tableColumn id="24" uniqueName="24" name="Status" queryTableFieldId="5" dataDxfId="16"/>
    <tableColumn id="25" uniqueName="25" name="Implementation progress rate" queryTableFieldId="6" dataDxfId="15"/>
    <tableColumn id="26" uniqueName="26" name="CISO assessment" queryTableFieldId="7" dataDxfId="14"/>
    <tableColumn id="27" uniqueName="27" name="CISO Comments" queryTableFieldId="8" dataDxfId="13"/>
    <tableColumn id="28" uniqueName="28" name="Main actor" queryTableFieldId="9" dataDxfId="12"/>
    <tableColumn id="29" uniqueName="29" name="Re-estimated end" queryTableFieldId="10" dataDxfId="11"/>
    <tableColumn id="30" uniqueName="30" name="&lt;Local use 1&gt;" queryTableFieldId="11" dataDxfId="10"/>
    <tableColumn id="31" uniqueName="31" name="&lt;Local use 2&gt;" queryTableFieldId="12" dataDxfId="9"/>
    <tableColumn id="32" uniqueName="32" name="Resource allocated" queryTableFieldId="13" dataDxfId="8"/>
    <tableColumn id="33" uniqueName="33" name="Kick-off" queryTableFieldId="14" dataDxfId="7"/>
    <tableColumn id="34" uniqueName="34" name="Initial end" queryTableFieldId="15" dataDxfId="6"/>
    <tableColumn id="35" uniqueName="35" name="BU" queryTableFieldId="16" dataDxfId="5"/>
    <tableColumn id="36" uniqueName="36" name="Region" queryTableFieldId="17" dataDxfId="4"/>
    <tableColumn id="37" uniqueName="37" name="Entity" queryTableFieldId="18" dataDxfId="3"/>
    <tableColumn id="38" uniqueName="38" name="Priority" queryTableFieldId="19" dataDxfId="2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12" Type="http://schemas.openxmlformats.org/officeDocument/2006/relationships/table" Target="../tables/table13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7.xml"/><Relationship Id="rId11" Type="http://schemas.openxmlformats.org/officeDocument/2006/relationships/table" Target="../tables/table12.xml"/><Relationship Id="rId5" Type="http://schemas.openxmlformats.org/officeDocument/2006/relationships/table" Target="../tables/table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8"/>
  </sheetPr>
  <dimension ref="A1:V99"/>
  <sheetViews>
    <sheetView showGridLines="0" zoomScale="86" zoomScaleNormal="86" workbookViewId="0">
      <pane xSplit="5" ySplit="1" topLeftCell="F2" activePane="bottomRight" state="frozenSplit"/>
      <selection activeCell="B10" sqref="B10:F10"/>
      <selection pane="topRight" activeCell="B10" sqref="B10:F10"/>
      <selection pane="bottomLeft" activeCell="B10" sqref="B10:F10"/>
      <selection pane="bottomRight" activeCell="E10" sqref="E10"/>
    </sheetView>
  </sheetViews>
  <sheetFormatPr baseColWidth="10" defaultColWidth="11.42578125" defaultRowHeight="15" x14ac:dyDescent="0.25"/>
  <cols>
    <col min="1" max="1" width="5.85546875" style="50" customWidth="1"/>
    <col min="2" max="2" width="10.85546875" style="50" customWidth="1"/>
    <col min="3" max="3" width="12.28515625" style="50" customWidth="1"/>
    <col min="4" max="4" width="12.5703125" style="50" customWidth="1"/>
    <col min="5" max="5" width="6.85546875" style="50" customWidth="1"/>
    <col min="6" max="6" width="11.42578125" style="1"/>
    <col min="7" max="7" width="15" style="52" customWidth="1"/>
    <col min="8" max="8" width="28" style="52" customWidth="1"/>
    <col min="9" max="9" width="11.7109375" style="52" customWidth="1"/>
    <col min="10" max="10" width="15.140625" style="50" customWidth="1"/>
    <col min="11" max="11" width="8.28515625" style="50" customWidth="1"/>
    <col min="12" max="12" width="50.7109375" style="50" customWidth="1"/>
    <col min="13" max="14" width="8.85546875" style="50" customWidth="1"/>
    <col min="15" max="15" width="14.85546875" style="50" customWidth="1"/>
    <col min="16" max="17" width="11.5703125" style="50" customWidth="1"/>
    <col min="18" max="18" width="25.7109375" style="50" customWidth="1"/>
    <col min="19" max="19" width="25.7109375" style="51" customWidth="1" collapsed="1"/>
    <col min="20" max="20" width="10.7109375" style="64" customWidth="1"/>
    <col min="21" max="21" width="9.140625" style="64" customWidth="1"/>
    <col min="22" max="22" width="11.42578125" style="1"/>
    <col min="23" max="23" width="15" style="50" customWidth="1"/>
    <col min="24" max="47" width="12.5703125" style="50" customWidth="1"/>
    <col min="48" max="16384" width="11.42578125" style="50"/>
  </cols>
  <sheetData>
    <row r="1" spans="1:22" s="12" customFormat="1" ht="24" customHeight="1" x14ac:dyDescent="0.25">
      <c r="A1" s="68" t="s">
        <v>510</v>
      </c>
      <c r="B1" s="68" t="s">
        <v>38</v>
      </c>
      <c r="C1" s="68" t="s">
        <v>37</v>
      </c>
      <c r="D1" s="68" t="s">
        <v>521</v>
      </c>
      <c r="E1" s="68" t="s">
        <v>520</v>
      </c>
      <c r="F1" s="69" t="s">
        <v>527</v>
      </c>
      <c r="G1" s="70" t="s">
        <v>539</v>
      </c>
      <c r="H1" s="70" t="s">
        <v>540</v>
      </c>
      <c r="I1" s="73" t="s">
        <v>522</v>
      </c>
      <c r="J1" s="74" t="s">
        <v>526</v>
      </c>
      <c r="K1" s="74" t="s">
        <v>383</v>
      </c>
      <c r="L1" s="74" t="s">
        <v>545</v>
      </c>
      <c r="M1" s="75" t="s">
        <v>553</v>
      </c>
      <c r="N1" s="76" t="s">
        <v>536</v>
      </c>
      <c r="O1" s="76" t="s">
        <v>523</v>
      </c>
      <c r="P1" s="76" t="s">
        <v>524</v>
      </c>
      <c r="Q1" s="76" t="s">
        <v>542</v>
      </c>
      <c r="R1" s="77" t="s">
        <v>537</v>
      </c>
      <c r="S1" s="82" t="s">
        <v>538</v>
      </c>
    </row>
    <row r="2" spans="1:22" ht="42" customHeight="1" x14ac:dyDescent="0.25">
      <c r="A2" s="96" t="s">
        <v>40</v>
      </c>
      <c r="B2" s="97" t="s">
        <v>82</v>
      </c>
      <c r="C2" s="97" t="s">
        <v>513</v>
      </c>
      <c r="D2" s="79" t="s">
        <v>388</v>
      </c>
      <c r="E2" s="78" t="s">
        <v>518</v>
      </c>
      <c r="F2" s="80" t="str">
        <f>IF(GLOBAL_DATA_01[[#This Row],[Target scope]]="","",INDEX(DATA_TargetStatusChoice[Target_Status_Choice],MATCH(GLOBAL_DATA_01[[#This Row],[Target scope]],DATA_TargetStatusChoice[Value],1)))</f>
        <v>NOT APPLICABLE</v>
      </c>
      <c r="G2" s="72" t="s">
        <v>75</v>
      </c>
      <c r="H2" s="81" t="str">
        <f>IF(GLOBAL_DATA_01[[#This Row],[Target status]]&lt;&gt;"FULL IMPLEMENTATION", "&lt;required&gt;"," -")</f>
        <v>&lt;required&gt;</v>
      </c>
      <c r="I2" s="59" t="s">
        <v>550</v>
      </c>
      <c r="J2" s="60">
        <v>0</v>
      </c>
      <c r="K2" s="54" t="s">
        <v>384</v>
      </c>
      <c r="L2" s="61"/>
      <c r="M2" s="62" t="s">
        <v>534</v>
      </c>
      <c r="N2" s="65" t="s">
        <v>490</v>
      </c>
      <c r="O2" s="71">
        <v>43922</v>
      </c>
      <c r="P2" s="71">
        <v>43936</v>
      </c>
      <c r="Q2" s="71"/>
      <c r="R2" s="53"/>
      <c r="S2" s="55"/>
      <c r="T2" s="50"/>
      <c r="U2" s="50"/>
      <c r="V2" s="50"/>
    </row>
    <row r="3" spans="1:22" ht="42" customHeight="1" x14ac:dyDescent="0.25">
      <c r="A3" s="96" t="s">
        <v>40</v>
      </c>
      <c r="B3" s="97" t="s">
        <v>82</v>
      </c>
      <c r="C3" s="97" t="s">
        <v>513</v>
      </c>
      <c r="D3" s="79" t="s">
        <v>389</v>
      </c>
      <c r="E3" s="78" t="s">
        <v>486</v>
      </c>
      <c r="F3" s="80" t="str">
        <f>IF(GLOBAL_DATA_01[[#This Row],[Target scope]]="","",INDEX(DATA_TargetStatusChoice[Target_Status_Choice],MATCH(GLOBAL_DATA_01[[#This Row],[Target scope]],DATA_TargetStatusChoice[Value],1)))</f>
        <v>FULL IMPLEMENTATION</v>
      </c>
      <c r="G3" s="72">
        <v>1</v>
      </c>
      <c r="H3" s="81" t="str">
        <f>IF(GLOBAL_DATA_01[[#This Row],[Target status]]&lt;&gt;"FULL IMPLEMENTATION", "&lt;required&gt;"," -")</f>
        <v xml:space="preserve"> -</v>
      </c>
      <c r="I3" s="59" t="s">
        <v>33</v>
      </c>
      <c r="J3" s="60">
        <v>1</v>
      </c>
      <c r="K3" s="54" t="s">
        <v>384</v>
      </c>
      <c r="L3" s="61"/>
      <c r="M3" s="62" t="s">
        <v>534</v>
      </c>
      <c r="N3" s="65" t="s">
        <v>489</v>
      </c>
      <c r="O3" s="71"/>
      <c r="P3" s="71"/>
      <c r="Q3" s="71">
        <v>43943</v>
      </c>
      <c r="R3" s="53"/>
      <c r="S3" s="55"/>
      <c r="T3" s="50"/>
      <c r="U3" s="50"/>
      <c r="V3" s="50"/>
    </row>
    <row r="4" spans="1:22" ht="42" customHeight="1" x14ac:dyDescent="0.25">
      <c r="A4" s="96" t="s">
        <v>40</v>
      </c>
      <c r="B4" s="97" t="s">
        <v>82</v>
      </c>
      <c r="C4" s="97" t="s">
        <v>513</v>
      </c>
      <c r="D4" s="79" t="s">
        <v>390</v>
      </c>
      <c r="E4" s="78" t="s">
        <v>518</v>
      </c>
      <c r="F4" s="80" t="str">
        <f>IF(GLOBAL_DATA_01[[#This Row],[Target scope]]="","",INDEX(DATA_TargetStatusChoice[Target_Status_Choice],MATCH(GLOBAL_DATA_01[[#This Row],[Target scope]],DATA_TargetStatusChoice[Value],1)))</f>
        <v>FULL IMPLEMENTATION</v>
      </c>
      <c r="G4" s="72">
        <v>1</v>
      </c>
      <c r="H4" s="81" t="str">
        <f>IF(GLOBAL_DATA_01[[#This Row],[Target status]]&lt;&gt;"FULL IMPLEMENTATION", "&lt;required&gt;"," -")</f>
        <v xml:space="preserve"> -</v>
      </c>
      <c r="I4" s="59" t="s">
        <v>382</v>
      </c>
      <c r="J4" s="60">
        <v>1</v>
      </c>
      <c r="K4" s="54" t="s">
        <v>385</v>
      </c>
      <c r="L4" s="61"/>
      <c r="M4" s="62"/>
      <c r="N4" s="65" t="s">
        <v>491</v>
      </c>
      <c r="O4" s="71"/>
      <c r="P4" s="71"/>
      <c r="Q4" s="71">
        <v>43944</v>
      </c>
      <c r="R4" s="53"/>
      <c r="S4" s="55"/>
      <c r="T4" s="50"/>
      <c r="U4" s="50"/>
      <c r="V4" s="50"/>
    </row>
    <row r="5" spans="1:22" ht="42" customHeight="1" x14ac:dyDescent="0.25">
      <c r="A5" s="96" t="s">
        <v>40</v>
      </c>
      <c r="B5" s="97" t="s">
        <v>82</v>
      </c>
      <c r="C5" s="97" t="s">
        <v>513</v>
      </c>
      <c r="D5" s="79" t="s">
        <v>391</v>
      </c>
      <c r="E5" s="78" t="s">
        <v>518</v>
      </c>
      <c r="F5" s="80" t="str">
        <f>IF(GLOBAL_DATA_01[[#This Row],[Target scope]]="","",INDEX(DATA_TargetStatusChoice[Target_Status_Choice],MATCH(GLOBAL_DATA_01[[#This Row],[Target scope]],DATA_TargetStatusChoice[Value],1)))</f>
        <v>FULL IMPLEMENTATION</v>
      </c>
      <c r="G5" s="72">
        <v>1</v>
      </c>
      <c r="H5" s="81" t="str">
        <f>IF(GLOBAL_DATA_01[[#This Row],[Target status]]&lt;&gt;"FULL IMPLEMENTATION", "&lt;required&gt;"," -")</f>
        <v xml:space="preserve"> -</v>
      </c>
      <c r="I5" s="59" t="s">
        <v>31</v>
      </c>
      <c r="J5" s="60">
        <v>0</v>
      </c>
      <c r="K5" s="54" t="s">
        <v>385</v>
      </c>
      <c r="L5" s="61" t="s">
        <v>531</v>
      </c>
      <c r="M5" s="62"/>
      <c r="N5" s="65" t="s">
        <v>491</v>
      </c>
      <c r="O5" s="71"/>
      <c r="P5" s="71"/>
      <c r="Q5" s="71">
        <v>43945</v>
      </c>
      <c r="R5" s="53"/>
      <c r="S5" s="55"/>
      <c r="T5" s="50"/>
      <c r="U5" s="50"/>
      <c r="V5" s="50"/>
    </row>
    <row r="6" spans="1:22" ht="42" customHeight="1" x14ac:dyDescent="0.25">
      <c r="A6" s="96" t="s">
        <v>40</v>
      </c>
      <c r="B6" s="97" t="s">
        <v>82</v>
      </c>
      <c r="C6" s="97" t="s">
        <v>513</v>
      </c>
      <c r="D6" s="79" t="s">
        <v>392</v>
      </c>
      <c r="E6" s="78" t="s">
        <v>518</v>
      </c>
      <c r="F6" s="80" t="str">
        <f>IF(GLOBAL_DATA_01[[#This Row],[Target scope]]="","",INDEX(DATA_TargetStatusChoice[Target_Status_Choice],MATCH(GLOBAL_DATA_01[[#This Row],[Target scope]],DATA_TargetStatusChoice[Value],1)))</f>
        <v>PARTIAL IMPLEMENTATION + RA</v>
      </c>
      <c r="G6" s="72">
        <v>0.8</v>
      </c>
      <c r="H6" s="81" t="str">
        <f>IF(GLOBAL_DATA_01[[#This Row],[Target status]]&lt;&gt;"FULL IMPLEMENTATION", "&lt;required&gt;"," -")</f>
        <v>&lt;required&gt;</v>
      </c>
      <c r="I6" s="59" t="s">
        <v>32</v>
      </c>
      <c r="J6" s="60">
        <v>0.9</v>
      </c>
      <c r="K6" s="54" t="s">
        <v>511</v>
      </c>
      <c r="L6" s="61" t="s">
        <v>532</v>
      </c>
      <c r="M6" s="62"/>
      <c r="N6" s="65" t="s">
        <v>490</v>
      </c>
      <c r="O6" s="71"/>
      <c r="P6" s="71"/>
      <c r="Q6" s="71">
        <v>43946</v>
      </c>
      <c r="R6" s="53"/>
      <c r="S6" s="55"/>
      <c r="T6" s="50"/>
      <c r="U6" s="50"/>
      <c r="V6" s="50"/>
    </row>
    <row r="7" spans="1:22" ht="42" customHeight="1" x14ac:dyDescent="0.25">
      <c r="A7" s="96" t="s">
        <v>40</v>
      </c>
      <c r="B7" s="97" t="s">
        <v>82</v>
      </c>
      <c r="C7" s="97" t="s">
        <v>513</v>
      </c>
      <c r="D7" s="79" t="s">
        <v>393</v>
      </c>
      <c r="E7" s="78" t="s">
        <v>518</v>
      </c>
      <c r="F7" s="80" t="str">
        <f>IF(GLOBAL_DATA_01[[#This Row],[Target scope]]="","",INDEX(DATA_TargetStatusChoice[Target_Status_Choice],MATCH(GLOBAL_DATA_01[[#This Row],[Target scope]],DATA_TargetStatusChoice[Value],1)))</f>
        <v>NOT APPLICABLE</v>
      </c>
      <c r="G7" s="72" t="s">
        <v>75</v>
      </c>
      <c r="H7" s="81" t="str">
        <f>IF(GLOBAL_DATA_01[[#This Row],[Target status]]&lt;&gt;"FULL IMPLEMENTATION", "&lt;required&gt;"," -")</f>
        <v>&lt;required&gt;</v>
      </c>
      <c r="I7" s="59" t="s">
        <v>31</v>
      </c>
      <c r="J7" s="60">
        <v>0</v>
      </c>
      <c r="K7" s="54" t="s">
        <v>511</v>
      </c>
      <c r="L7" s="61" t="s">
        <v>532</v>
      </c>
      <c r="M7" s="62"/>
      <c r="N7" s="65" t="s">
        <v>490</v>
      </c>
      <c r="O7" s="71"/>
      <c r="P7" s="71"/>
      <c r="Q7" s="71">
        <v>43946</v>
      </c>
      <c r="R7" s="53"/>
      <c r="S7" s="55"/>
      <c r="T7" s="50"/>
      <c r="U7" s="50"/>
      <c r="V7" s="50"/>
    </row>
    <row r="8" spans="1:22" ht="42" customHeight="1" x14ac:dyDescent="0.25">
      <c r="A8" s="96" t="s">
        <v>40</v>
      </c>
      <c r="B8" s="97" t="s">
        <v>82</v>
      </c>
      <c r="C8" s="97" t="s">
        <v>513</v>
      </c>
      <c r="D8" s="79" t="s">
        <v>394</v>
      </c>
      <c r="E8" s="78" t="s">
        <v>486</v>
      </c>
      <c r="F8" s="80" t="str">
        <f>IF(GLOBAL_DATA_01[[#This Row],[Target scope]]="","",INDEX(DATA_TargetStatusChoice[Target_Status_Choice],MATCH(GLOBAL_DATA_01[[#This Row],[Target scope]],DATA_TargetStatusChoice[Value],1)))</f>
        <v>PARTIAL IMPLEMENTATION + RA</v>
      </c>
      <c r="G8" s="72">
        <v>0.8</v>
      </c>
      <c r="H8" s="81" t="str">
        <f>IF(GLOBAL_DATA_01[[#This Row],[Target status]]&lt;&gt;"FULL IMPLEMENTATION", "&lt;required&gt;"," -")</f>
        <v>&lt;required&gt;</v>
      </c>
      <c r="I8" s="59" t="s">
        <v>32</v>
      </c>
      <c r="J8" s="60">
        <v>0.8</v>
      </c>
      <c r="K8" s="54"/>
      <c r="L8" s="61" t="s">
        <v>532</v>
      </c>
      <c r="M8" s="62"/>
      <c r="N8" s="65" t="s">
        <v>489</v>
      </c>
      <c r="O8" s="71"/>
      <c r="P8" s="71"/>
      <c r="Q8" s="71">
        <v>43948</v>
      </c>
      <c r="R8" s="53"/>
      <c r="S8" s="55"/>
      <c r="T8" s="50"/>
      <c r="U8" s="50"/>
      <c r="V8" s="50"/>
    </row>
    <row r="9" spans="1:22" ht="42" customHeight="1" x14ac:dyDescent="0.25">
      <c r="A9" s="96" t="s">
        <v>40</v>
      </c>
      <c r="B9" s="97" t="s">
        <v>82</v>
      </c>
      <c r="C9" s="97" t="s">
        <v>513</v>
      </c>
      <c r="D9" s="79" t="s">
        <v>395</v>
      </c>
      <c r="E9" s="78" t="s">
        <v>487</v>
      </c>
      <c r="F9" s="80" t="str">
        <f>IF(GLOBAL_DATA_01[[#This Row],[Target scope]]="","",INDEX(DATA_TargetStatusChoice[Target_Status_Choice],MATCH(GLOBAL_DATA_01[[#This Row],[Target scope]],DATA_TargetStatusChoice[Value],1)))</f>
        <v>PARTIAL IMPLEMENTATION + RA</v>
      </c>
      <c r="G9" s="72">
        <v>0.2</v>
      </c>
      <c r="H9" s="81" t="str">
        <f>IF(GLOBAL_DATA_01[[#This Row],[Target status]]&lt;&gt;"FULL IMPLEMENTATION", "&lt;required&gt;"," -")</f>
        <v>&lt;required&gt;</v>
      </c>
      <c r="I9" s="59" t="s">
        <v>32</v>
      </c>
      <c r="J9" s="60">
        <v>0</v>
      </c>
      <c r="K9" s="54"/>
      <c r="L9" s="61"/>
      <c r="M9" s="62"/>
      <c r="N9" s="65" t="s">
        <v>489</v>
      </c>
      <c r="O9" s="71"/>
      <c r="P9" s="71"/>
      <c r="Q9" s="71">
        <v>43948</v>
      </c>
      <c r="R9" s="53"/>
      <c r="S9" s="55"/>
      <c r="T9" s="50"/>
      <c r="U9" s="50"/>
      <c r="V9" s="50"/>
    </row>
    <row r="10" spans="1:22" ht="42" customHeight="1" x14ac:dyDescent="0.25">
      <c r="A10" s="96" t="s">
        <v>40</v>
      </c>
      <c r="B10" s="97" t="s">
        <v>82</v>
      </c>
      <c r="C10" s="97" t="s">
        <v>513</v>
      </c>
      <c r="D10" s="79" t="s">
        <v>396</v>
      </c>
      <c r="E10" s="78" t="s">
        <v>486</v>
      </c>
      <c r="F10" s="80" t="str">
        <f>IF(GLOBAL_DATA_01[[#This Row],[Target scope]]="","",INDEX(DATA_TargetStatusChoice[Target_Status_Choice],MATCH(GLOBAL_DATA_01[[#This Row],[Target scope]],DATA_TargetStatusChoice[Value],1)))</f>
        <v>PARTIAL IMPLEMENTATION + RA</v>
      </c>
      <c r="G10" s="72">
        <v>0.8</v>
      </c>
      <c r="H10" s="81" t="str">
        <f>IF(GLOBAL_DATA_01[[#This Row],[Target status]]&lt;&gt;"FULL IMPLEMENTATION", "&lt;required&gt;"," -")</f>
        <v>&lt;required&gt;</v>
      </c>
      <c r="I10" s="59" t="s">
        <v>33</v>
      </c>
      <c r="J10" s="60">
        <v>1</v>
      </c>
      <c r="K10" s="54"/>
      <c r="L10" s="61"/>
      <c r="M10" s="62"/>
      <c r="N10" s="65" t="s">
        <v>489</v>
      </c>
      <c r="O10" s="71"/>
      <c r="P10" s="71"/>
      <c r="Q10" s="71">
        <v>43950</v>
      </c>
      <c r="R10" s="53"/>
      <c r="S10" s="55"/>
      <c r="T10" s="50"/>
      <c r="U10" s="50"/>
      <c r="V10" s="50"/>
    </row>
    <row r="11" spans="1:22" ht="42" customHeight="1" x14ac:dyDescent="0.25">
      <c r="A11" s="96" t="s">
        <v>40</v>
      </c>
      <c r="B11" s="97" t="s">
        <v>82</v>
      </c>
      <c r="C11" s="97" t="s">
        <v>513</v>
      </c>
      <c r="D11" s="79" t="s">
        <v>397</v>
      </c>
      <c r="E11" s="78" t="s">
        <v>486</v>
      </c>
      <c r="F11" s="80" t="str">
        <f>IF(GLOBAL_DATA_01[[#This Row],[Target scope]]="","",INDEX(DATA_TargetStatusChoice[Target_Status_Choice],MATCH(GLOBAL_DATA_01[[#This Row],[Target scope]],DATA_TargetStatusChoice[Value],1)))</f>
        <v>PARTIAL IMPLEMENTATION + RA</v>
      </c>
      <c r="G11" s="72">
        <v>0.8</v>
      </c>
      <c r="H11" s="81" t="str">
        <f>IF(GLOBAL_DATA_01[[#This Row],[Target status]]&lt;&gt;"FULL IMPLEMENTATION", "&lt;required&gt;"," -")</f>
        <v>&lt;required&gt;</v>
      </c>
      <c r="I11" s="59" t="s">
        <v>35</v>
      </c>
      <c r="J11" s="60">
        <v>1</v>
      </c>
      <c r="K11" s="54"/>
      <c r="L11" s="61"/>
      <c r="M11" s="62"/>
      <c r="N11" s="65" t="s">
        <v>489</v>
      </c>
      <c r="O11" s="71"/>
      <c r="P11" s="71"/>
      <c r="Q11" s="71">
        <v>43951</v>
      </c>
      <c r="R11" s="53"/>
      <c r="S11" s="55"/>
      <c r="T11" s="50"/>
      <c r="U11" s="50"/>
      <c r="V11" s="50"/>
    </row>
    <row r="12" spans="1:22" ht="42" customHeight="1" x14ac:dyDescent="0.25">
      <c r="A12" s="96" t="s">
        <v>40</v>
      </c>
      <c r="B12" s="97" t="s">
        <v>82</v>
      </c>
      <c r="C12" s="97" t="s">
        <v>513</v>
      </c>
      <c r="D12" s="79" t="s">
        <v>398</v>
      </c>
      <c r="E12" s="78" t="s">
        <v>518</v>
      </c>
      <c r="F12" s="80" t="str">
        <f>IF(GLOBAL_DATA_01[[#This Row],[Target scope]]="","",INDEX(DATA_TargetStatusChoice[Target_Status_Choice],MATCH(GLOBAL_DATA_01[[#This Row],[Target scope]],DATA_TargetStatusChoice[Value],1)))</f>
        <v>NOT APPLICABLE</v>
      </c>
      <c r="G12" s="72" t="s">
        <v>75</v>
      </c>
      <c r="H12" s="81" t="str">
        <f>IF(GLOBAL_DATA_01[[#This Row],[Target status]]&lt;&gt;"FULL IMPLEMENTATION", "&lt;required&gt;"," -")</f>
        <v>&lt;required&gt;</v>
      </c>
      <c r="I12" s="59" t="s">
        <v>550</v>
      </c>
      <c r="J12" s="60">
        <v>0</v>
      </c>
      <c r="K12" s="54"/>
      <c r="L12" s="61"/>
      <c r="M12" s="62"/>
      <c r="N12" s="65" t="s">
        <v>490</v>
      </c>
      <c r="O12" s="71"/>
      <c r="P12" s="71"/>
      <c r="Q12" s="71"/>
      <c r="R12" s="53"/>
      <c r="S12" s="55"/>
      <c r="T12" s="50"/>
      <c r="U12" s="50"/>
      <c r="V12" s="50"/>
    </row>
    <row r="13" spans="1:22" ht="42" customHeight="1" x14ac:dyDescent="0.25">
      <c r="A13" s="96" t="s">
        <v>40</v>
      </c>
      <c r="B13" s="97" t="s">
        <v>82</v>
      </c>
      <c r="C13" s="97" t="s">
        <v>513</v>
      </c>
      <c r="D13" s="79" t="s">
        <v>399</v>
      </c>
      <c r="E13" s="78" t="s">
        <v>518</v>
      </c>
      <c r="F13" s="80" t="str">
        <f>IF(GLOBAL_DATA_01[[#This Row],[Target scope]]="","",INDEX(DATA_TargetStatusChoice[Target_Status_Choice],MATCH(GLOBAL_DATA_01[[#This Row],[Target scope]],DATA_TargetStatusChoice[Value],1)))</f>
        <v>FULL IMPLEMENTATION</v>
      </c>
      <c r="G13" s="72">
        <v>1</v>
      </c>
      <c r="H13" s="81" t="str">
        <f>IF(GLOBAL_DATA_01[[#This Row],[Target status]]&lt;&gt;"FULL IMPLEMENTATION", "&lt;required&gt;"," -")</f>
        <v xml:space="preserve"> -</v>
      </c>
      <c r="I13" s="59" t="s">
        <v>33</v>
      </c>
      <c r="J13" s="60">
        <v>1</v>
      </c>
      <c r="K13" s="54"/>
      <c r="L13" s="61"/>
      <c r="M13" s="62"/>
      <c r="N13" s="65" t="s">
        <v>490</v>
      </c>
      <c r="O13" s="71"/>
      <c r="P13" s="71"/>
      <c r="Q13" s="71">
        <v>44317</v>
      </c>
      <c r="R13" s="53"/>
      <c r="S13" s="55"/>
      <c r="T13" s="50"/>
      <c r="U13" s="50"/>
      <c r="V13" s="50"/>
    </row>
    <row r="14" spans="1:22" ht="42" customHeight="1" x14ac:dyDescent="0.25">
      <c r="A14" s="96" t="s">
        <v>40</v>
      </c>
      <c r="B14" s="97" t="s">
        <v>82</v>
      </c>
      <c r="C14" s="97" t="s">
        <v>513</v>
      </c>
      <c r="D14" s="79" t="s">
        <v>400</v>
      </c>
      <c r="E14" s="78" t="s">
        <v>487</v>
      </c>
      <c r="F14" s="80" t="str">
        <f>IF(GLOBAL_DATA_01[[#This Row],[Target scope]]="","",INDEX(DATA_TargetStatusChoice[Target_Status_Choice],MATCH(GLOBAL_DATA_01[[#This Row],[Target scope]],DATA_TargetStatusChoice[Value],1)))</f>
        <v>RISK ACCEPTED</v>
      </c>
      <c r="G14" s="72">
        <v>0</v>
      </c>
      <c r="H14" s="81" t="str">
        <f>IF(GLOBAL_DATA_01[[#This Row],[Target status]]&lt;&gt;"FULL IMPLEMENTATION", "&lt;required&gt;"," -")</f>
        <v>&lt;required&gt;</v>
      </c>
      <c r="I14" s="59" t="s">
        <v>550</v>
      </c>
      <c r="J14" s="60">
        <v>0</v>
      </c>
      <c r="K14" s="54"/>
      <c r="L14" s="61"/>
      <c r="M14" s="62"/>
      <c r="N14" s="65" t="s">
        <v>489</v>
      </c>
      <c r="O14" s="71"/>
      <c r="P14" s="71"/>
      <c r="Q14" s="71"/>
      <c r="R14" s="53"/>
      <c r="S14" s="55"/>
      <c r="T14" s="50"/>
      <c r="U14" s="50"/>
      <c r="V14" s="50"/>
    </row>
    <row r="15" spans="1:22" ht="42" customHeight="1" x14ac:dyDescent="0.25">
      <c r="A15" s="96" t="s">
        <v>40</v>
      </c>
      <c r="B15" s="97" t="s">
        <v>82</v>
      </c>
      <c r="C15" s="97" t="s">
        <v>513</v>
      </c>
      <c r="D15" s="79" t="s">
        <v>401</v>
      </c>
      <c r="E15" s="78" t="s">
        <v>518</v>
      </c>
      <c r="F15" s="80" t="str">
        <f>IF(GLOBAL_DATA_01[[#This Row],[Target scope]]="","",INDEX(DATA_TargetStatusChoice[Target_Status_Choice],MATCH(GLOBAL_DATA_01[[#This Row],[Target scope]],DATA_TargetStatusChoice[Value],1)))</f>
        <v>NOT APPLICABLE</v>
      </c>
      <c r="G15" s="72" t="s">
        <v>75</v>
      </c>
      <c r="H15" s="81" t="str">
        <f>IF(GLOBAL_DATA_01[[#This Row],[Target status]]&lt;&gt;"FULL IMPLEMENTATION", "&lt;required&gt;"," -")</f>
        <v>&lt;required&gt;</v>
      </c>
      <c r="I15" s="59" t="s">
        <v>550</v>
      </c>
      <c r="J15" s="60">
        <v>0</v>
      </c>
      <c r="K15" s="54"/>
      <c r="L15" s="61"/>
      <c r="M15" s="62"/>
      <c r="N15" s="65" t="s">
        <v>490</v>
      </c>
      <c r="O15" s="71"/>
      <c r="P15" s="71"/>
      <c r="Q15" s="71"/>
      <c r="R15" s="53"/>
      <c r="S15" s="55"/>
      <c r="T15" s="50"/>
      <c r="U15" s="50"/>
      <c r="V15" s="50"/>
    </row>
    <row r="16" spans="1:22" ht="42" customHeight="1" x14ac:dyDescent="0.25">
      <c r="A16" s="96" t="s">
        <v>40</v>
      </c>
      <c r="B16" s="97" t="s">
        <v>82</v>
      </c>
      <c r="C16" s="97" t="s">
        <v>513</v>
      </c>
      <c r="D16" s="79" t="s">
        <v>402</v>
      </c>
      <c r="E16" s="78" t="s">
        <v>518</v>
      </c>
      <c r="F16" s="80" t="str">
        <f>IF(GLOBAL_DATA_01[[#This Row],[Target scope]]="","",INDEX(DATA_TargetStatusChoice[Target_Status_Choice],MATCH(GLOBAL_DATA_01[[#This Row],[Target scope]],DATA_TargetStatusChoice[Value],1)))</f>
        <v>PARTIAL IMPLEMENTATION + RA</v>
      </c>
      <c r="G16" s="72">
        <v>0.8</v>
      </c>
      <c r="H16" s="81" t="str">
        <f>IF(GLOBAL_DATA_01[[#This Row],[Target status]]&lt;&gt;"FULL IMPLEMENTATION", "&lt;required&gt;"," -")</f>
        <v>&lt;required&gt;</v>
      </c>
      <c r="I16" s="59" t="s">
        <v>382</v>
      </c>
      <c r="J16" s="60">
        <v>1</v>
      </c>
      <c r="K16" s="54"/>
      <c r="L16" s="61"/>
      <c r="M16" s="62"/>
      <c r="N16" s="65" t="s">
        <v>491</v>
      </c>
      <c r="O16" s="71"/>
      <c r="P16" s="71"/>
      <c r="Q16" s="71">
        <v>44317</v>
      </c>
      <c r="R16" s="53"/>
      <c r="S16" s="55"/>
      <c r="T16" s="50"/>
      <c r="U16" s="50"/>
      <c r="V16" s="50"/>
    </row>
    <row r="17" spans="1:22" ht="42" customHeight="1" x14ac:dyDescent="0.25">
      <c r="A17" s="96" t="s">
        <v>40</v>
      </c>
      <c r="B17" s="97" t="s">
        <v>82</v>
      </c>
      <c r="C17" s="97" t="s">
        <v>513</v>
      </c>
      <c r="D17" s="79" t="s">
        <v>403</v>
      </c>
      <c r="E17" s="78" t="s">
        <v>518</v>
      </c>
      <c r="F17" s="80" t="str">
        <f>IF(GLOBAL_DATA_01[[#This Row],[Target scope]]="","",INDEX(DATA_TargetStatusChoice[Target_Status_Choice],MATCH(GLOBAL_DATA_01[[#This Row],[Target scope]],DATA_TargetStatusChoice[Value],1)))</f>
        <v>PARTIAL IMPLEMENTATION + RA</v>
      </c>
      <c r="G17" s="72">
        <v>0.8</v>
      </c>
      <c r="H17" s="81" t="str">
        <f>IF(GLOBAL_DATA_01[[#This Row],[Target status]]&lt;&gt;"FULL IMPLEMENTATION", "&lt;required&gt;"," -")</f>
        <v>&lt;required&gt;</v>
      </c>
      <c r="I17" s="59" t="s">
        <v>32</v>
      </c>
      <c r="J17" s="60">
        <v>0.8</v>
      </c>
      <c r="K17" s="54"/>
      <c r="L17" s="61"/>
      <c r="M17" s="62"/>
      <c r="N17" s="65" t="s">
        <v>490</v>
      </c>
      <c r="O17" s="71"/>
      <c r="P17" s="71"/>
      <c r="Q17" s="71">
        <v>44317</v>
      </c>
      <c r="R17" s="53"/>
      <c r="S17" s="55"/>
      <c r="T17" s="50"/>
      <c r="U17" s="50"/>
      <c r="V17" s="50"/>
    </row>
    <row r="18" spans="1:22" ht="42" customHeight="1" x14ac:dyDescent="0.25">
      <c r="A18" s="96" t="s">
        <v>40</v>
      </c>
      <c r="B18" s="97" t="s">
        <v>82</v>
      </c>
      <c r="C18" s="97" t="s">
        <v>513</v>
      </c>
      <c r="D18" s="79" t="s">
        <v>404</v>
      </c>
      <c r="E18" s="78" t="s">
        <v>518</v>
      </c>
      <c r="F18" s="80" t="str">
        <f>IF(GLOBAL_DATA_01[[#This Row],[Target scope]]="","",INDEX(DATA_TargetStatusChoice[Target_Status_Choice],MATCH(GLOBAL_DATA_01[[#This Row],[Target scope]],DATA_TargetStatusChoice[Value],1)))</f>
        <v>PARTIAL IMPLEMENTATION + RA</v>
      </c>
      <c r="G18" s="72">
        <v>0.6</v>
      </c>
      <c r="H18" s="81" t="str">
        <f>IF(GLOBAL_DATA_01[[#This Row],[Target status]]&lt;&gt;"FULL IMPLEMENTATION", "&lt;required&gt;"," -")</f>
        <v>&lt;required&gt;</v>
      </c>
      <c r="I18" s="59" t="s">
        <v>31</v>
      </c>
      <c r="J18" s="60">
        <v>0</v>
      </c>
      <c r="K18" s="54"/>
      <c r="L18" s="61"/>
      <c r="M18" s="62"/>
      <c r="N18" s="65" t="s">
        <v>490</v>
      </c>
      <c r="O18" s="71"/>
      <c r="P18" s="71"/>
      <c r="Q18" s="71">
        <v>44317</v>
      </c>
      <c r="R18" s="53"/>
      <c r="S18" s="55"/>
      <c r="T18" s="50"/>
      <c r="U18" s="50"/>
      <c r="V18" s="50"/>
    </row>
    <row r="19" spans="1:22" ht="42" customHeight="1" x14ac:dyDescent="0.25">
      <c r="A19" s="96" t="s">
        <v>40</v>
      </c>
      <c r="B19" s="97" t="s">
        <v>82</v>
      </c>
      <c r="C19" s="97" t="s">
        <v>513</v>
      </c>
      <c r="D19" s="79" t="s">
        <v>405</v>
      </c>
      <c r="E19" s="78" t="s">
        <v>518</v>
      </c>
      <c r="F19" s="80" t="str">
        <f>IF(GLOBAL_DATA_01[[#This Row],[Target scope]]="","",INDEX(DATA_TargetStatusChoice[Target_Status_Choice],MATCH(GLOBAL_DATA_01[[#This Row],[Target scope]],DATA_TargetStatusChoice[Value],1)))</f>
        <v>FULL IMPLEMENTATION</v>
      </c>
      <c r="G19" s="72">
        <v>1</v>
      </c>
      <c r="H19" s="81" t="str">
        <f>IF(GLOBAL_DATA_01[[#This Row],[Target status]]&lt;&gt;"FULL IMPLEMENTATION", "&lt;required&gt;"," -")</f>
        <v xml:space="preserve"> -</v>
      </c>
      <c r="I19" s="59" t="s">
        <v>31</v>
      </c>
      <c r="J19" s="60">
        <v>0</v>
      </c>
      <c r="K19" s="54"/>
      <c r="L19" s="61"/>
      <c r="M19" s="62"/>
      <c r="N19" s="65" t="s">
        <v>492</v>
      </c>
      <c r="O19" s="71"/>
      <c r="P19" s="71"/>
      <c r="Q19" s="71">
        <v>44317</v>
      </c>
      <c r="R19" s="53"/>
      <c r="S19" s="55"/>
      <c r="T19" s="50"/>
      <c r="U19" s="50"/>
      <c r="V19" s="50"/>
    </row>
    <row r="20" spans="1:22" ht="42" customHeight="1" x14ac:dyDescent="0.25">
      <c r="A20" s="96" t="s">
        <v>40</v>
      </c>
      <c r="B20" s="97" t="s">
        <v>82</v>
      </c>
      <c r="C20" s="97" t="s">
        <v>513</v>
      </c>
      <c r="D20" s="79" t="s">
        <v>406</v>
      </c>
      <c r="E20" s="78" t="s">
        <v>518</v>
      </c>
      <c r="F20" s="80" t="str">
        <f>IF(GLOBAL_DATA_01[[#This Row],[Target scope]]="","",INDEX(DATA_TargetStatusChoice[Target_Status_Choice],MATCH(GLOBAL_DATA_01[[#This Row],[Target scope]],DATA_TargetStatusChoice[Value],1)))</f>
        <v>PARTIAL IMPLEMENTATION + RA</v>
      </c>
      <c r="G20" s="72">
        <v>0.6</v>
      </c>
      <c r="H20" s="81" t="str">
        <f>IF(GLOBAL_DATA_01[[#This Row],[Target status]]&lt;&gt;"FULL IMPLEMENTATION", "&lt;required&gt;"," -")</f>
        <v>&lt;required&gt;</v>
      </c>
      <c r="I20" s="59" t="s">
        <v>31</v>
      </c>
      <c r="J20" s="60">
        <v>0</v>
      </c>
      <c r="K20" s="54"/>
      <c r="L20" s="61"/>
      <c r="M20" s="62"/>
      <c r="N20" s="65" t="s">
        <v>492</v>
      </c>
      <c r="O20" s="71"/>
      <c r="P20" s="71"/>
      <c r="Q20" s="71">
        <v>44317</v>
      </c>
      <c r="R20" s="53"/>
      <c r="S20" s="55"/>
      <c r="T20" s="50"/>
      <c r="U20" s="50"/>
      <c r="V20" s="50"/>
    </row>
    <row r="21" spans="1:22" ht="42" customHeight="1" x14ac:dyDescent="0.25">
      <c r="A21" s="96" t="s">
        <v>40</v>
      </c>
      <c r="B21" s="97" t="s">
        <v>82</v>
      </c>
      <c r="C21" s="97" t="s">
        <v>513</v>
      </c>
      <c r="D21" s="79" t="s">
        <v>407</v>
      </c>
      <c r="E21" s="78" t="s">
        <v>518</v>
      </c>
      <c r="F21" s="80" t="str">
        <f>IF(GLOBAL_DATA_01[[#This Row],[Target scope]]="","",INDEX(DATA_TargetStatusChoice[Target_Status_Choice],MATCH(GLOBAL_DATA_01[[#This Row],[Target scope]],DATA_TargetStatusChoice[Value],1)))</f>
        <v>PARTIAL IMPLEMENTATION + RA</v>
      </c>
      <c r="G21" s="72">
        <v>0.6</v>
      </c>
      <c r="H21" s="81" t="str">
        <f>IF(GLOBAL_DATA_01[[#This Row],[Target status]]&lt;&gt;"FULL IMPLEMENTATION", "&lt;required&gt;"," -")</f>
        <v>&lt;required&gt;</v>
      </c>
      <c r="I21" s="59" t="s">
        <v>31</v>
      </c>
      <c r="J21" s="60">
        <v>0</v>
      </c>
      <c r="K21" s="54"/>
      <c r="L21" s="61"/>
      <c r="M21" s="62"/>
      <c r="N21" s="65" t="s">
        <v>490</v>
      </c>
      <c r="O21" s="71"/>
      <c r="P21" s="71"/>
      <c r="Q21" s="71">
        <v>44317</v>
      </c>
      <c r="R21" s="53"/>
      <c r="S21" s="55"/>
      <c r="T21" s="50"/>
      <c r="U21" s="50"/>
      <c r="V21" s="50"/>
    </row>
    <row r="22" spans="1:22" ht="42" customHeight="1" x14ac:dyDescent="0.25">
      <c r="A22" s="96" t="s">
        <v>40</v>
      </c>
      <c r="B22" s="97" t="s">
        <v>82</v>
      </c>
      <c r="C22" s="97" t="s">
        <v>513</v>
      </c>
      <c r="D22" s="79" t="s">
        <v>408</v>
      </c>
      <c r="E22" s="78" t="s">
        <v>518</v>
      </c>
      <c r="F22" s="80" t="str">
        <f>IF(GLOBAL_DATA_01[[#This Row],[Target scope]]="","",INDEX(DATA_TargetStatusChoice[Target_Status_Choice],MATCH(GLOBAL_DATA_01[[#This Row],[Target scope]],DATA_TargetStatusChoice[Value],1)))</f>
        <v>PARTIAL IMPLEMENTATION + RA</v>
      </c>
      <c r="G22" s="72">
        <v>0.8</v>
      </c>
      <c r="H22" s="81" t="str">
        <f>IF(GLOBAL_DATA_01[[#This Row],[Target status]]&lt;&gt;"FULL IMPLEMENTATION", "&lt;required&gt;"," -")</f>
        <v>&lt;required&gt;</v>
      </c>
      <c r="I22" s="59" t="s">
        <v>31</v>
      </c>
      <c r="J22" s="60">
        <v>0</v>
      </c>
      <c r="K22" s="54"/>
      <c r="L22" s="61"/>
      <c r="M22" s="62"/>
      <c r="N22" s="65" t="s">
        <v>490</v>
      </c>
      <c r="O22" s="71"/>
      <c r="P22" s="71"/>
      <c r="Q22" s="71">
        <v>44317</v>
      </c>
      <c r="R22" s="53"/>
      <c r="S22" s="55"/>
      <c r="T22" s="50"/>
      <c r="U22" s="50"/>
      <c r="V22" s="50"/>
    </row>
    <row r="23" spans="1:22" ht="42" customHeight="1" x14ac:dyDescent="0.25">
      <c r="A23" s="96" t="s">
        <v>40</v>
      </c>
      <c r="B23" s="97" t="s">
        <v>82</v>
      </c>
      <c r="C23" s="97" t="s">
        <v>513</v>
      </c>
      <c r="D23" s="79" t="s">
        <v>409</v>
      </c>
      <c r="E23" s="78" t="s">
        <v>518</v>
      </c>
      <c r="F23" s="80" t="str">
        <f>IF(GLOBAL_DATA_01[[#This Row],[Target scope]]="","",INDEX(DATA_TargetStatusChoice[Target_Status_Choice],MATCH(GLOBAL_DATA_01[[#This Row],[Target scope]],DATA_TargetStatusChoice[Value],1)))</f>
        <v>FULL IMPLEMENTATION</v>
      </c>
      <c r="G23" s="72">
        <v>1</v>
      </c>
      <c r="H23" s="81" t="str">
        <f>IF(GLOBAL_DATA_01[[#This Row],[Target status]]&lt;&gt;"FULL IMPLEMENTATION", "&lt;required&gt;"," -")</f>
        <v xml:space="preserve"> -</v>
      </c>
      <c r="I23" s="59" t="s">
        <v>31</v>
      </c>
      <c r="J23" s="60">
        <v>0</v>
      </c>
      <c r="K23" s="54"/>
      <c r="L23" s="61"/>
      <c r="M23" s="62"/>
      <c r="N23" s="65" t="s">
        <v>491</v>
      </c>
      <c r="O23" s="71"/>
      <c r="P23" s="71"/>
      <c r="Q23" s="71">
        <v>44317</v>
      </c>
      <c r="R23" s="53"/>
      <c r="S23" s="55"/>
      <c r="T23" s="50"/>
      <c r="U23" s="50"/>
      <c r="V23" s="50"/>
    </row>
    <row r="24" spans="1:22" ht="42" customHeight="1" x14ac:dyDescent="0.25">
      <c r="A24" s="96" t="s">
        <v>40</v>
      </c>
      <c r="B24" s="97" t="s">
        <v>82</v>
      </c>
      <c r="C24" s="97" t="s">
        <v>513</v>
      </c>
      <c r="D24" s="79" t="s">
        <v>410</v>
      </c>
      <c r="E24" s="78" t="s">
        <v>518</v>
      </c>
      <c r="F24" s="80" t="str">
        <f>IF(GLOBAL_DATA_01[[#This Row],[Target scope]]="","",INDEX(DATA_TargetStatusChoice[Target_Status_Choice],MATCH(GLOBAL_DATA_01[[#This Row],[Target scope]],DATA_TargetStatusChoice[Value],1)))</f>
        <v>PARTIAL IMPLEMENTATION + RA</v>
      </c>
      <c r="G24" s="72">
        <v>0.8</v>
      </c>
      <c r="H24" s="81" t="str">
        <f>IF(GLOBAL_DATA_01[[#This Row],[Target status]]&lt;&gt;"FULL IMPLEMENTATION", "&lt;required&gt;"," -")</f>
        <v>&lt;required&gt;</v>
      </c>
      <c r="I24" s="59" t="s">
        <v>35</v>
      </c>
      <c r="J24" s="60">
        <v>1</v>
      </c>
      <c r="K24" s="54"/>
      <c r="L24" s="61"/>
      <c r="M24" s="62"/>
      <c r="N24" s="65" t="s">
        <v>490</v>
      </c>
      <c r="O24" s="71"/>
      <c r="P24" s="71"/>
      <c r="Q24" s="71">
        <v>44317</v>
      </c>
      <c r="R24" s="53"/>
      <c r="S24" s="55"/>
      <c r="T24" s="50"/>
      <c r="U24" s="50"/>
      <c r="V24" s="50"/>
    </row>
    <row r="25" spans="1:22" ht="42" customHeight="1" x14ac:dyDescent="0.25">
      <c r="A25" s="96" t="s">
        <v>40</v>
      </c>
      <c r="B25" s="97" t="s">
        <v>82</v>
      </c>
      <c r="C25" s="97" t="s">
        <v>513</v>
      </c>
      <c r="D25" s="79" t="s">
        <v>411</v>
      </c>
      <c r="E25" s="78" t="s">
        <v>518</v>
      </c>
      <c r="F25" s="80" t="str">
        <f>IF(GLOBAL_DATA_01[[#This Row],[Target scope]]="","",INDEX(DATA_TargetStatusChoice[Target_Status_Choice],MATCH(GLOBAL_DATA_01[[#This Row],[Target scope]],DATA_TargetStatusChoice[Value],1)))</f>
        <v>FULL IMPLEMENTATION</v>
      </c>
      <c r="G25" s="72">
        <v>1</v>
      </c>
      <c r="H25" s="81" t="str">
        <f>IF(GLOBAL_DATA_01[[#This Row],[Target status]]&lt;&gt;"FULL IMPLEMENTATION", "&lt;required&gt;"," -")</f>
        <v xml:space="preserve"> -</v>
      </c>
      <c r="I25" s="59" t="s">
        <v>33</v>
      </c>
      <c r="J25" s="60">
        <v>1</v>
      </c>
      <c r="K25" s="54"/>
      <c r="L25" s="61"/>
      <c r="M25" s="62"/>
      <c r="N25" s="65" t="s">
        <v>491</v>
      </c>
      <c r="O25" s="71"/>
      <c r="P25" s="71"/>
      <c r="Q25" s="71">
        <v>44317</v>
      </c>
      <c r="R25" s="53"/>
      <c r="S25" s="55"/>
      <c r="T25" s="50"/>
      <c r="U25" s="50"/>
      <c r="V25" s="50"/>
    </row>
    <row r="26" spans="1:22" ht="42" customHeight="1" x14ac:dyDescent="0.25">
      <c r="A26" s="96" t="s">
        <v>40</v>
      </c>
      <c r="B26" s="97" t="s">
        <v>82</v>
      </c>
      <c r="C26" s="97" t="s">
        <v>513</v>
      </c>
      <c r="D26" s="79" t="s">
        <v>412</v>
      </c>
      <c r="E26" s="78" t="s">
        <v>518</v>
      </c>
      <c r="F26" s="80" t="str">
        <f>IF(GLOBAL_DATA_01[[#This Row],[Target scope]]="","",INDEX(DATA_TargetStatusChoice[Target_Status_Choice],MATCH(GLOBAL_DATA_01[[#This Row],[Target scope]],DATA_TargetStatusChoice[Value],1)))</f>
        <v>FULL IMPLEMENTATION</v>
      </c>
      <c r="G26" s="72">
        <v>1</v>
      </c>
      <c r="H26" s="81" t="str">
        <f>IF(GLOBAL_DATA_01[[#This Row],[Target status]]&lt;&gt;"FULL IMPLEMENTATION", "&lt;required&gt;"," -")</f>
        <v xml:space="preserve"> -</v>
      </c>
      <c r="I26" s="59" t="s">
        <v>33</v>
      </c>
      <c r="J26" s="60">
        <v>1</v>
      </c>
      <c r="K26" s="54"/>
      <c r="L26" s="61"/>
      <c r="M26" s="62"/>
      <c r="N26" s="65" t="s">
        <v>490</v>
      </c>
      <c r="O26" s="71"/>
      <c r="P26" s="71"/>
      <c r="Q26" s="71">
        <v>44317</v>
      </c>
      <c r="R26" s="53"/>
      <c r="S26" s="55"/>
      <c r="T26" s="50"/>
      <c r="U26" s="50"/>
      <c r="V26" s="50"/>
    </row>
    <row r="27" spans="1:22" ht="42" customHeight="1" x14ac:dyDescent="0.25">
      <c r="A27" s="96" t="s">
        <v>40</v>
      </c>
      <c r="B27" s="97" t="s">
        <v>82</v>
      </c>
      <c r="C27" s="97" t="s">
        <v>513</v>
      </c>
      <c r="D27" s="79" t="s">
        <v>413</v>
      </c>
      <c r="E27" s="78" t="s">
        <v>487</v>
      </c>
      <c r="F27" s="80" t="str">
        <f>IF(GLOBAL_DATA_01[[#This Row],[Target scope]]="","",INDEX(DATA_TargetStatusChoice[Target_Status_Choice],MATCH(GLOBAL_DATA_01[[#This Row],[Target scope]],DATA_TargetStatusChoice[Value],1)))</f>
        <v>FULL IMPLEMENTATION</v>
      </c>
      <c r="G27" s="72">
        <v>1</v>
      </c>
      <c r="H27" s="81" t="str">
        <f>IF(GLOBAL_DATA_01[[#This Row],[Target status]]&lt;&gt;"FULL IMPLEMENTATION", "&lt;required&gt;"," -")</f>
        <v xml:space="preserve"> -</v>
      </c>
      <c r="I27" s="59" t="s">
        <v>33</v>
      </c>
      <c r="J27" s="60">
        <v>1</v>
      </c>
      <c r="K27" s="54"/>
      <c r="L27" s="61"/>
      <c r="M27" s="62"/>
      <c r="N27" s="65" t="s">
        <v>489</v>
      </c>
      <c r="O27" s="71"/>
      <c r="P27" s="71"/>
      <c r="Q27" s="71">
        <v>44317</v>
      </c>
      <c r="R27" s="53"/>
      <c r="S27" s="55"/>
      <c r="T27" s="50"/>
      <c r="U27" s="50"/>
      <c r="V27" s="50"/>
    </row>
    <row r="28" spans="1:22" ht="42" customHeight="1" x14ac:dyDescent="0.25">
      <c r="A28" s="96" t="s">
        <v>40</v>
      </c>
      <c r="B28" s="97" t="s">
        <v>82</v>
      </c>
      <c r="C28" s="97" t="s">
        <v>513</v>
      </c>
      <c r="D28" s="79" t="s">
        <v>414</v>
      </c>
      <c r="E28" s="78" t="s">
        <v>486</v>
      </c>
      <c r="F28" s="80" t="str">
        <f>IF(GLOBAL_DATA_01[[#This Row],[Target scope]]="","",INDEX(DATA_TargetStatusChoice[Target_Status_Choice],MATCH(GLOBAL_DATA_01[[#This Row],[Target scope]],DATA_TargetStatusChoice[Value],1)))</f>
        <v>PARTIAL IMPLEMENTATION + RA</v>
      </c>
      <c r="G28" s="72">
        <v>0.8</v>
      </c>
      <c r="H28" s="81" t="str">
        <f>IF(GLOBAL_DATA_01[[#This Row],[Target status]]&lt;&gt;"FULL IMPLEMENTATION", "&lt;required&gt;"," -")</f>
        <v>&lt;required&gt;</v>
      </c>
      <c r="I28" s="59" t="s">
        <v>32</v>
      </c>
      <c r="J28" s="60">
        <v>0.8</v>
      </c>
      <c r="K28" s="54"/>
      <c r="L28" s="61"/>
      <c r="M28" s="62"/>
      <c r="N28" s="65" t="s">
        <v>489</v>
      </c>
      <c r="O28" s="71"/>
      <c r="P28" s="71"/>
      <c r="Q28" s="71">
        <v>44317</v>
      </c>
      <c r="R28" s="53"/>
      <c r="S28" s="55"/>
      <c r="T28" s="50"/>
      <c r="U28" s="50"/>
      <c r="V28" s="50"/>
    </row>
    <row r="29" spans="1:22" ht="42" customHeight="1" x14ac:dyDescent="0.25">
      <c r="A29" s="96" t="s">
        <v>40</v>
      </c>
      <c r="B29" s="97" t="s">
        <v>82</v>
      </c>
      <c r="C29" s="97" t="s">
        <v>513</v>
      </c>
      <c r="D29" s="79" t="s">
        <v>415</v>
      </c>
      <c r="E29" s="78" t="s">
        <v>486</v>
      </c>
      <c r="F29" s="80" t="str">
        <f>IF(GLOBAL_DATA_01[[#This Row],[Target scope]]="","",INDEX(DATA_TargetStatusChoice[Target_Status_Choice],MATCH(GLOBAL_DATA_01[[#This Row],[Target scope]],DATA_TargetStatusChoice[Value],1)))</f>
        <v>PARTIAL IMPLEMENTATION + RA</v>
      </c>
      <c r="G29" s="72">
        <v>0.8</v>
      </c>
      <c r="H29" s="81" t="str">
        <f>IF(GLOBAL_DATA_01[[#This Row],[Target status]]&lt;&gt;"FULL IMPLEMENTATION", "&lt;required&gt;"," -")</f>
        <v>&lt;required&gt;</v>
      </c>
      <c r="I29" s="59" t="s">
        <v>382</v>
      </c>
      <c r="J29" s="60">
        <v>1</v>
      </c>
      <c r="K29" s="54"/>
      <c r="L29" s="61"/>
      <c r="M29" s="62"/>
      <c r="N29" s="65" t="s">
        <v>489</v>
      </c>
      <c r="O29" s="71"/>
      <c r="P29" s="71"/>
      <c r="Q29" s="71">
        <v>44317</v>
      </c>
      <c r="R29" s="53"/>
      <c r="S29" s="55"/>
      <c r="T29" s="50"/>
      <c r="U29" s="50"/>
      <c r="V29" s="50"/>
    </row>
    <row r="30" spans="1:22" ht="42" customHeight="1" x14ac:dyDescent="0.25">
      <c r="A30" s="96" t="s">
        <v>40</v>
      </c>
      <c r="B30" s="97" t="s">
        <v>82</v>
      </c>
      <c r="C30" s="97" t="s">
        <v>513</v>
      </c>
      <c r="D30" s="79" t="s">
        <v>416</v>
      </c>
      <c r="E30" s="78" t="s">
        <v>518</v>
      </c>
      <c r="F30" s="80" t="str">
        <f>IF(GLOBAL_DATA_01[[#This Row],[Target scope]]="","",INDEX(DATA_TargetStatusChoice[Target_Status_Choice],MATCH(GLOBAL_DATA_01[[#This Row],[Target scope]],DATA_TargetStatusChoice[Value],1)))</f>
        <v>FULL IMPLEMENTATION</v>
      </c>
      <c r="G30" s="72">
        <v>1</v>
      </c>
      <c r="H30" s="81" t="str">
        <f>IF(GLOBAL_DATA_01[[#This Row],[Target status]]&lt;&gt;"FULL IMPLEMENTATION", "&lt;required&gt;"," -")</f>
        <v xml:space="preserve"> -</v>
      </c>
      <c r="I30" s="59" t="s">
        <v>32</v>
      </c>
      <c r="J30" s="60">
        <v>0.8</v>
      </c>
      <c r="K30" s="54"/>
      <c r="L30" s="61"/>
      <c r="M30" s="62"/>
      <c r="N30" s="65" t="s">
        <v>492</v>
      </c>
      <c r="O30" s="71"/>
      <c r="P30" s="71"/>
      <c r="Q30" s="71">
        <v>44317</v>
      </c>
      <c r="R30" s="53"/>
      <c r="S30" s="55"/>
      <c r="T30" s="50"/>
      <c r="U30" s="50"/>
      <c r="V30" s="50"/>
    </row>
    <row r="31" spans="1:22" ht="42" customHeight="1" x14ac:dyDescent="0.25">
      <c r="A31" s="96" t="s">
        <v>40</v>
      </c>
      <c r="B31" s="97" t="s">
        <v>82</v>
      </c>
      <c r="C31" s="97" t="s">
        <v>513</v>
      </c>
      <c r="D31" s="79" t="s">
        <v>417</v>
      </c>
      <c r="E31" s="78" t="s">
        <v>487</v>
      </c>
      <c r="F31" s="80" t="str">
        <f>IF(GLOBAL_DATA_01[[#This Row],[Target scope]]="","",INDEX(DATA_TargetStatusChoice[Target_Status_Choice],MATCH(GLOBAL_DATA_01[[#This Row],[Target scope]],DATA_TargetStatusChoice[Value],1)))</f>
        <v>FULL IMPLEMENTATION</v>
      </c>
      <c r="G31" s="72">
        <v>1</v>
      </c>
      <c r="H31" s="81" t="str">
        <f>IF(GLOBAL_DATA_01[[#This Row],[Target status]]&lt;&gt;"FULL IMPLEMENTATION", "&lt;required&gt;"," -")</f>
        <v xml:space="preserve"> -</v>
      </c>
      <c r="I31" s="59" t="s">
        <v>33</v>
      </c>
      <c r="J31" s="60">
        <v>1</v>
      </c>
      <c r="K31" s="54"/>
      <c r="L31" s="61"/>
      <c r="M31" s="62"/>
      <c r="N31" s="65" t="s">
        <v>489</v>
      </c>
      <c r="O31" s="71"/>
      <c r="P31" s="71"/>
      <c r="Q31" s="71">
        <v>44317</v>
      </c>
      <c r="R31" s="53"/>
      <c r="S31" s="55"/>
      <c r="T31" s="50"/>
      <c r="U31" s="50"/>
      <c r="V31" s="50"/>
    </row>
    <row r="32" spans="1:22" ht="42" customHeight="1" x14ac:dyDescent="0.25">
      <c r="A32" s="96" t="s">
        <v>40</v>
      </c>
      <c r="B32" s="97" t="s">
        <v>82</v>
      </c>
      <c r="C32" s="97" t="s">
        <v>513</v>
      </c>
      <c r="D32" s="79" t="s">
        <v>418</v>
      </c>
      <c r="E32" s="78" t="s">
        <v>486</v>
      </c>
      <c r="F32" s="80" t="str">
        <f>IF(GLOBAL_DATA_01[[#This Row],[Target scope]]="","",INDEX(DATA_TargetStatusChoice[Target_Status_Choice],MATCH(GLOBAL_DATA_01[[#This Row],[Target scope]],DATA_TargetStatusChoice[Value],1)))</f>
        <v>PARTIAL IMPLEMENTATION + RA</v>
      </c>
      <c r="G32" s="72">
        <v>0.8</v>
      </c>
      <c r="H32" s="81" t="str">
        <f>IF(GLOBAL_DATA_01[[#This Row],[Target status]]&lt;&gt;"FULL IMPLEMENTATION", "&lt;required&gt;"," -")</f>
        <v>&lt;required&gt;</v>
      </c>
      <c r="I32" s="59" t="s">
        <v>31</v>
      </c>
      <c r="J32" s="60">
        <v>0</v>
      </c>
      <c r="K32" s="54"/>
      <c r="L32" s="61"/>
      <c r="M32" s="62"/>
      <c r="N32" s="65" t="s">
        <v>489</v>
      </c>
      <c r="O32" s="71"/>
      <c r="P32" s="71"/>
      <c r="Q32" s="71">
        <v>44317</v>
      </c>
      <c r="R32" s="53"/>
      <c r="S32" s="55"/>
      <c r="T32" s="50"/>
      <c r="U32" s="50"/>
      <c r="V32" s="50"/>
    </row>
    <row r="33" spans="1:22" ht="42" customHeight="1" x14ac:dyDescent="0.25">
      <c r="A33" s="96" t="s">
        <v>40</v>
      </c>
      <c r="B33" s="97" t="s">
        <v>82</v>
      </c>
      <c r="C33" s="97" t="s">
        <v>513</v>
      </c>
      <c r="D33" s="79" t="s">
        <v>419</v>
      </c>
      <c r="E33" s="78" t="s">
        <v>518</v>
      </c>
      <c r="F33" s="80" t="str">
        <f>IF(GLOBAL_DATA_01[[#This Row],[Target scope]]="","",INDEX(DATA_TargetStatusChoice[Target_Status_Choice],MATCH(GLOBAL_DATA_01[[#This Row],[Target scope]],DATA_TargetStatusChoice[Value],1)))</f>
        <v>FULL IMPLEMENTATION</v>
      </c>
      <c r="G33" s="72">
        <v>1</v>
      </c>
      <c r="H33" s="81" t="str">
        <f>IF(GLOBAL_DATA_01[[#This Row],[Target status]]&lt;&gt;"FULL IMPLEMENTATION", "&lt;required&gt;"," -")</f>
        <v xml:space="preserve"> -</v>
      </c>
      <c r="I33" s="59" t="s">
        <v>31</v>
      </c>
      <c r="J33" s="60">
        <v>0</v>
      </c>
      <c r="K33" s="54"/>
      <c r="L33" s="61"/>
      <c r="M33" s="62"/>
      <c r="N33" s="65" t="s">
        <v>491</v>
      </c>
      <c r="O33" s="71"/>
      <c r="P33" s="71"/>
      <c r="Q33" s="71">
        <v>44317</v>
      </c>
      <c r="R33" s="53"/>
      <c r="S33" s="55"/>
      <c r="T33" s="50"/>
      <c r="U33" s="50"/>
      <c r="V33" s="50"/>
    </row>
    <row r="34" spans="1:22" ht="42" customHeight="1" x14ac:dyDescent="0.25">
      <c r="A34" s="96" t="s">
        <v>40</v>
      </c>
      <c r="B34" s="97" t="s">
        <v>82</v>
      </c>
      <c r="C34" s="97" t="s">
        <v>513</v>
      </c>
      <c r="D34" s="79" t="s">
        <v>420</v>
      </c>
      <c r="E34" s="78" t="s">
        <v>518</v>
      </c>
      <c r="F34" s="80" t="str">
        <f>IF(GLOBAL_DATA_01[[#This Row],[Target scope]]="","",INDEX(DATA_TargetStatusChoice[Target_Status_Choice],MATCH(GLOBAL_DATA_01[[#This Row],[Target scope]],DATA_TargetStatusChoice[Value],1)))</f>
        <v>FULL IMPLEMENTATION</v>
      </c>
      <c r="G34" s="72">
        <v>1</v>
      </c>
      <c r="H34" s="81" t="str">
        <f>IF(GLOBAL_DATA_01[[#This Row],[Target status]]&lt;&gt;"FULL IMPLEMENTATION", "&lt;required&gt;"," -")</f>
        <v xml:space="preserve"> -</v>
      </c>
      <c r="I34" s="59" t="s">
        <v>31</v>
      </c>
      <c r="J34" s="60">
        <v>0</v>
      </c>
      <c r="K34" s="54"/>
      <c r="L34" s="61"/>
      <c r="M34" s="62"/>
      <c r="N34" s="65" t="s">
        <v>490</v>
      </c>
      <c r="O34" s="71"/>
      <c r="P34" s="71"/>
      <c r="Q34" s="71">
        <v>44317</v>
      </c>
      <c r="R34" s="53"/>
      <c r="S34" s="55"/>
      <c r="T34" s="50"/>
      <c r="U34" s="50"/>
      <c r="V34" s="50"/>
    </row>
    <row r="35" spans="1:22" ht="42" customHeight="1" x14ac:dyDescent="0.25">
      <c r="A35" s="96" t="s">
        <v>40</v>
      </c>
      <c r="B35" s="97" t="s">
        <v>82</v>
      </c>
      <c r="C35" s="97" t="s">
        <v>513</v>
      </c>
      <c r="D35" s="79" t="s">
        <v>421</v>
      </c>
      <c r="E35" s="78" t="s">
        <v>518</v>
      </c>
      <c r="F35" s="80" t="str">
        <f>IF(GLOBAL_DATA_01[[#This Row],[Target scope]]="","",INDEX(DATA_TargetStatusChoice[Target_Status_Choice],MATCH(GLOBAL_DATA_01[[#This Row],[Target scope]],DATA_TargetStatusChoice[Value],1)))</f>
        <v>FULL IMPLEMENTATION</v>
      </c>
      <c r="G35" s="72">
        <v>1</v>
      </c>
      <c r="H35" s="81" t="str">
        <f>IF(GLOBAL_DATA_01[[#This Row],[Target status]]&lt;&gt;"FULL IMPLEMENTATION", "&lt;required&gt;"," -")</f>
        <v xml:space="preserve"> -</v>
      </c>
      <c r="I35" s="59" t="s">
        <v>31</v>
      </c>
      <c r="J35" s="60">
        <v>0</v>
      </c>
      <c r="K35" s="54"/>
      <c r="L35" s="61"/>
      <c r="M35" s="62"/>
      <c r="N35" s="65" t="s">
        <v>492</v>
      </c>
      <c r="O35" s="71"/>
      <c r="P35" s="71"/>
      <c r="Q35" s="71">
        <v>44317</v>
      </c>
      <c r="R35" s="53"/>
      <c r="S35" s="55"/>
      <c r="T35" s="50"/>
      <c r="U35" s="50"/>
      <c r="V35" s="50"/>
    </row>
    <row r="36" spans="1:22" ht="42" customHeight="1" x14ac:dyDescent="0.25">
      <c r="A36" s="96" t="s">
        <v>40</v>
      </c>
      <c r="B36" s="97" t="s">
        <v>82</v>
      </c>
      <c r="C36" s="97" t="s">
        <v>513</v>
      </c>
      <c r="D36" s="79" t="s">
        <v>422</v>
      </c>
      <c r="E36" s="78" t="s">
        <v>518</v>
      </c>
      <c r="F36" s="80" t="str">
        <f>IF(GLOBAL_DATA_01[[#This Row],[Target scope]]="","",INDEX(DATA_TargetStatusChoice[Target_Status_Choice],MATCH(GLOBAL_DATA_01[[#This Row],[Target scope]],DATA_TargetStatusChoice[Value],1)))</f>
        <v>FULL IMPLEMENTATION</v>
      </c>
      <c r="G36" s="72">
        <v>1</v>
      </c>
      <c r="H36" s="81" t="str">
        <f>IF(GLOBAL_DATA_01[[#This Row],[Target status]]&lt;&gt;"FULL IMPLEMENTATION", "&lt;required&gt;"," -")</f>
        <v xml:space="preserve"> -</v>
      </c>
      <c r="I36" s="59" t="s">
        <v>31</v>
      </c>
      <c r="J36" s="60">
        <v>0</v>
      </c>
      <c r="K36" s="54"/>
      <c r="L36" s="61"/>
      <c r="M36" s="62"/>
      <c r="N36" s="65" t="s">
        <v>492</v>
      </c>
      <c r="O36" s="71"/>
      <c r="P36" s="71"/>
      <c r="Q36" s="71">
        <v>44706</v>
      </c>
      <c r="R36" s="53"/>
      <c r="S36" s="55"/>
      <c r="T36" s="50"/>
      <c r="U36" s="50"/>
      <c r="V36" s="50"/>
    </row>
    <row r="37" spans="1:22" ht="42" customHeight="1" x14ac:dyDescent="0.25">
      <c r="A37" s="96" t="s">
        <v>40</v>
      </c>
      <c r="B37" s="97" t="s">
        <v>82</v>
      </c>
      <c r="C37" s="97" t="s">
        <v>513</v>
      </c>
      <c r="D37" s="79" t="s">
        <v>423</v>
      </c>
      <c r="E37" s="78" t="s">
        <v>518</v>
      </c>
      <c r="F37" s="80" t="str">
        <f>IF(GLOBAL_DATA_01[[#This Row],[Target scope]]="","",INDEX(DATA_TargetStatusChoice[Target_Status_Choice],MATCH(GLOBAL_DATA_01[[#This Row],[Target scope]],DATA_TargetStatusChoice[Value],1)))</f>
        <v>FULL IMPLEMENTATION</v>
      </c>
      <c r="G37" s="72">
        <v>1</v>
      </c>
      <c r="H37" s="81" t="str">
        <f>IF(GLOBAL_DATA_01[[#This Row],[Target status]]&lt;&gt;"FULL IMPLEMENTATION", "&lt;required&gt;"," -")</f>
        <v xml:space="preserve"> -</v>
      </c>
      <c r="I37" s="59" t="s">
        <v>35</v>
      </c>
      <c r="J37" s="60">
        <v>1</v>
      </c>
      <c r="K37" s="54"/>
      <c r="L37" s="61"/>
      <c r="M37" s="62"/>
      <c r="N37" s="65" t="s">
        <v>490</v>
      </c>
      <c r="O37" s="71"/>
      <c r="P37" s="71"/>
      <c r="Q37" s="71">
        <v>44706</v>
      </c>
      <c r="R37" s="53"/>
      <c r="S37" s="55"/>
      <c r="T37" s="50"/>
      <c r="U37" s="50"/>
      <c r="V37" s="50"/>
    </row>
    <row r="38" spans="1:22" ht="42" customHeight="1" x14ac:dyDescent="0.25">
      <c r="A38" s="96" t="s">
        <v>40</v>
      </c>
      <c r="B38" s="97" t="s">
        <v>82</v>
      </c>
      <c r="C38" s="97" t="s">
        <v>513</v>
      </c>
      <c r="D38" s="79" t="s">
        <v>424</v>
      </c>
      <c r="E38" s="78" t="s">
        <v>486</v>
      </c>
      <c r="F38" s="80" t="str">
        <f>IF(GLOBAL_DATA_01[[#This Row],[Target scope]]="","",INDEX(DATA_TargetStatusChoice[Target_Status_Choice],MATCH(GLOBAL_DATA_01[[#This Row],[Target scope]],DATA_TargetStatusChoice[Value],1)))</f>
        <v>PARTIAL IMPLEMENTATION + RA</v>
      </c>
      <c r="G38" s="72">
        <v>0.8</v>
      </c>
      <c r="H38" s="81" t="str">
        <f>IF(GLOBAL_DATA_01[[#This Row],[Target status]]&lt;&gt;"FULL IMPLEMENTATION", "&lt;required&gt;"," -")</f>
        <v>&lt;required&gt;</v>
      </c>
      <c r="I38" s="59" t="s">
        <v>33</v>
      </c>
      <c r="J38" s="60">
        <v>1</v>
      </c>
      <c r="K38" s="54"/>
      <c r="L38" s="61"/>
      <c r="M38" s="62"/>
      <c r="N38" s="65" t="s">
        <v>489</v>
      </c>
      <c r="O38" s="71"/>
      <c r="P38" s="71"/>
      <c r="Q38" s="71">
        <v>44706</v>
      </c>
      <c r="R38" s="53"/>
      <c r="S38" s="55"/>
      <c r="T38" s="50"/>
      <c r="U38" s="50"/>
      <c r="V38" s="50"/>
    </row>
    <row r="39" spans="1:22" ht="42" customHeight="1" x14ac:dyDescent="0.25">
      <c r="A39" s="96" t="s">
        <v>40</v>
      </c>
      <c r="B39" s="97" t="s">
        <v>82</v>
      </c>
      <c r="C39" s="97" t="s">
        <v>513</v>
      </c>
      <c r="D39" s="79" t="s">
        <v>425</v>
      </c>
      <c r="E39" s="78" t="s">
        <v>518</v>
      </c>
      <c r="F39" s="80" t="str">
        <f>IF(GLOBAL_DATA_01[[#This Row],[Target scope]]="","",INDEX(DATA_TargetStatusChoice[Target_Status_Choice],MATCH(GLOBAL_DATA_01[[#This Row],[Target scope]],DATA_TargetStatusChoice[Value],1)))</f>
        <v>FULL IMPLEMENTATION</v>
      </c>
      <c r="G39" s="72">
        <v>1</v>
      </c>
      <c r="H39" s="81" t="str">
        <f>IF(GLOBAL_DATA_01[[#This Row],[Target status]]&lt;&gt;"FULL IMPLEMENTATION", "&lt;required&gt;"," -")</f>
        <v xml:space="preserve"> -</v>
      </c>
      <c r="I39" s="59" t="s">
        <v>33</v>
      </c>
      <c r="J39" s="60">
        <v>1</v>
      </c>
      <c r="K39" s="54"/>
      <c r="L39" s="61"/>
      <c r="M39" s="62"/>
      <c r="N39" s="65" t="s">
        <v>492</v>
      </c>
      <c r="O39" s="71"/>
      <c r="P39" s="71"/>
      <c r="Q39" s="71">
        <v>44706</v>
      </c>
      <c r="R39" s="53"/>
      <c r="S39" s="55"/>
      <c r="T39" s="50"/>
      <c r="U39" s="50"/>
      <c r="V39" s="50"/>
    </row>
    <row r="40" spans="1:22" ht="42" customHeight="1" x14ac:dyDescent="0.25">
      <c r="A40" s="96" t="s">
        <v>40</v>
      </c>
      <c r="B40" s="97" t="s">
        <v>82</v>
      </c>
      <c r="C40" s="97" t="s">
        <v>513</v>
      </c>
      <c r="D40" s="79" t="s">
        <v>426</v>
      </c>
      <c r="E40" s="78" t="s">
        <v>486</v>
      </c>
      <c r="F40" s="80" t="str">
        <f>IF(GLOBAL_DATA_01[[#This Row],[Target scope]]="","",INDEX(DATA_TargetStatusChoice[Target_Status_Choice],MATCH(GLOBAL_DATA_01[[#This Row],[Target scope]],DATA_TargetStatusChoice[Value],1)))</f>
        <v>PARTIAL IMPLEMENTATION + RA</v>
      </c>
      <c r="G40" s="72">
        <v>0.8</v>
      </c>
      <c r="H40" s="81" t="str">
        <f>IF(GLOBAL_DATA_01[[#This Row],[Target status]]&lt;&gt;"FULL IMPLEMENTATION", "&lt;required&gt;"," -")</f>
        <v>&lt;required&gt;</v>
      </c>
      <c r="I40" s="59" t="s">
        <v>33</v>
      </c>
      <c r="J40" s="60">
        <v>1</v>
      </c>
      <c r="K40" s="54"/>
      <c r="L40" s="61"/>
      <c r="M40" s="62"/>
      <c r="N40" s="65" t="s">
        <v>489</v>
      </c>
      <c r="O40" s="71"/>
      <c r="P40" s="71"/>
      <c r="Q40" s="71">
        <v>44706</v>
      </c>
      <c r="R40" s="53"/>
      <c r="S40" s="55"/>
      <c r="T40" s="50"/>
      <c r="U40" s="50"/>
      <c r="V40" s="50"/>
    </row>
    <row r="41" spans="1:22" ht="42" customHeight="1" x14ac:dyDescent="0.25">
      <c r="A41" s="96" t="s">
        <v>40</v>
      </c>
      <c r="B41" s="97" t="s">
        <v>82</v>
      </c>
      <c r="C41" s="97" t="s">
        <v>513</v>
      </c>
      <c r="D41" s="79" t="s">
        <v>427</v>
      </c>
      <c r="E41" s="78" t="s">
        <v>518</v>
      </c>
      <c r="F41" s="80" t="str">
        <f>IF(GLOBAL_DATA_01[[#This Row],[Target scope]]="","",INDEX(DATA_TargetStatusChoice[Target_Status_Choice],MATCH(GLOBAL_DATA_01[[#This Row],[Target scope]],DATA_TargetStatusChoice[Value],1)))</f>
        <v>FULL IMPLEMENTATION</v>
      </c>
      <c r="G41" s="72">
        <v>1</v>
      </c>
      <c r="H41" s="81" t="str">
        <f>IF(GLOBAL_DATA_01[[#This Row],[Target status]]&lt;&gt;"FULL IMPLEMENTATION", "&lt;required&gt;"," -")</f>
        <v xml:space="preserve"> -</v>
      </c>
      <c r="I41" s="59" t="s">
        <v>32</v>
      </c>
      <c r="J41" s="60">
        <v>0.7</v>
      </c>
      <c r="K41" s="54"/>
      <c r="L41" s="61"/>
      <c r="M41" s="62"/>
      <c r="N41" s="65" t="s">
        <v>492</v>
      </c>
      <c r="O41" s="71"/>
      <c r="P41" s="71"/>
      <c r="Q41" s="71">
        <v>44706</v>
      </c>
      <c r="R41" s="53"/>
      <c r="S41" s="55"/>
      <c r="T41" s="50"/>
      <c r="U41" s="50"/>
      <c r="V41" s="50"/>
    </row>
    <row r="42" spans="1:22" ht="42" customHeight="1" x14ac:dyDescent="0.25">
      <c r="A42" s="96" t="s">
        <v>40</v>
      </c>
      <c r="B42" s="97" t="s">
        <v>82</v>
      </c>
      <c r="C42" s="97" t="s">
        <v>513</v>
      </c>
      <c r="D42" s="79" t="s">
        <v>428</v>
      </c>
      <c r="E42" s="78" t="s">
        <v>518</v>
      </c>
      <c r="F42" s="80" t="str">
        <f>IF(GLOBAL_DATA_01[[#This Row],[Target scope]]="","",INDEX(DATA_TargetStatusChoice[Target_Status_Choice],MATCH(GLOBAL_DATA_01[[#This Row],[Target scope]],DATA_TargetStatusChoice[Value],1)))</f>
        <v>FULL IMPLEMENTATION</v>
      </c>
      <c r="G42" s="72">
        <v>1</v>
      </c>
      <c r="H42" s="81" t="str">
        <f>IF(GLOBAL_DATA_01[[#This Row],[Target status]]&lt;&gt;"FULL IMPLEMENTATION", "&lt;required&gt;"," -")</f>
        <v xml:space="preserve"> -</v>
      </c>
      <c r="I42" s="59" t="s">
        <v>382</v>
      </c>
      <c r="J42" s="60">
        <v>1</v>
      </c>
      <c r="K42" s="54"/>
      <c r="L42" s="61"/>
      <c r="M42" s="62"/>
      <c r="N42" s="65" t="s">
        <v>490</v>
      </c>
      <c r="O42" s="71"/>
      <c r="P42" s="71"/>
      <c r="Q42" s="71">
        <v>44706</v>
      </c>
      <c r="R42" s="53"/>
      <c r="S42" s="55"/>
      <c r="T42" s="50"/>
      <c r="U42" s="50"/>
      <c r="V42" s="50"/>
    </row>
    <row r="43" spans="1:22" ht="42" customHeight="1" x14ac:dyDescent="0.25">
      <c r="A43" s="96" t="s">
        <v>40</v>
      </c>
      <c r="B43" s="97" t="s">
        <v>82</v>
      </c>
      <c r="C43" s="97" t="s">
        <v>513</v>
      </c>
      <c r="D43" s="79" t="s">
        <v>429</v>
      </c>
      <c r="E43" s="78" t="s">
        <v>518</v>
      </c>
      <c r="F43" s="80" t="str">
        <f>IF(GLOBAL_DATA_01[[#This Row],[Target scope]]="","",INDEX(DATA_TargetStatusChoice[Target_Status_Choice],MATCH(GLOBAL_DATA_01[[#This Row],[Target scope]],DATA_TargetStatusChoice[Value],1)))</f>
        <v>FULL IMPLEMENTATION</v>
      </c>
      <c r="G43" s="72">
        <v>1</v>
      </c>
      <c r="H43" s="81" t="str">
        <f>IF(GLOBAL_DATA_01[[#This Row],[Target status]]&lt;&gt;"FULL IMPLEMENTATION", "&lt;required&gt;"," -")</f>
        <v xml:space="preserve"> -</v>
      </c>
      <c r="I43" s="59" t="s">
        <v>32</v>
      </c>
      <c r="J43" s="60">
        <v>0.8</v>
      </c>
      <c r="K43" s="54"/>
      <c r="L43" s="61"/>
      <c r="M43" s="62"/>
      <c r="N43" s="65" t="s">
        <v>492</v>
      </c>
      <c r="O43" s="71"/>
      <c r="P43" s="71"/>
      <c r="Q43" s="71">
        <v>44706</v>
      </c>
      <c r="R43" s="53"/>
      <c r="S43" s="55"/>
      <c r="T43" s="50"/>
      <c r="U43" s="50"/>
      <c r="V43" s="50"/>
    </row>
    <row r="44" spans="1:22" ht="42" customHeight="1" x14ac:dyDescent="0.25">
      <c r="A44" s="96" t="s">
        <v>40</v>
      </c>
      <c r="B44" s="97" t="s">
        <v>82</v>
      </c>
      <c r="C44" s="97" t="s">
        <v>513</v>
      </c>
      <c r="D44" s="79" t="s">
        <v>430</v>
      </c>
      <c r="E44" s="78" t="s">
        <v>487</v>
      </c>
      <c r="F44" s="80" t="str">
        <f>IF(GLOBAL_DATA_01[[#This Row],[Target scope]]="","",INDEX(DATA_TargetStatusChoice[Target_Status_Choice],MATCH(GLOBAL_DATA_01[[#This Row],[Target scope]],DATA_TargetStatusChoice[Value],1)))</f>
        <v>PARTIAL IMPLEMENTATION + RA</v>
      </c>
      <c r="G44" s="72">
        <v>0.4</v>
      </c>
      <c r="H44" s="81" t="str">
        <f>IF(GLOBAL_DATA_01[[#This Row],[Target status]]&lt;&gt;"FULL IMPLEMENTATION", "&lt;required&gt;"," -")</f>
        <v>&lt;required&gt;</v>
      </c>
      <c r="I44" s="59" t="s">
        <v>32</v>
      </c>
      <c r="J44" s="60">
        <v>0</v>
      </c>
      <c r="K44" s="54"/>
      <c r="L44" s="61"/>
      <c r="M44" s="62"/>
      <c r="N44" s="65" t="s">
        <v>489</v>
      </c>
      <c r="O44" s="71"/>
      <c r="P44" s="71"/>
      <c r="Q44" s="71">
        <v>44706</v>
      </c>
      <c r="R44" s="53"/>
      <c r="S44" s="55"/>
      <c r="T44" s="50"/>
      <c r="U44" s="50"/>
      <c r="V44" s="50"/>
    </row>
    <row r="45" spans="1:22" ht="42" customHeight="1" x14ac:dyDescent="0.25">
      <c r="A45" s="96" t="s">
        <v>40</v>
      </c>
      <c r="B45" s="97" t="s">
        <v>82</v>
      </c>
      <c r="C45" s="97" t="s">
        <v>513</v>
      </c>
      <c r="D45" s="79" t="s">
        <v>431</v>
      </c>
      <c r="E45" s="78" t="s">
        <v>487</v>
      </c>
      <c r="F45" s="80" t="str">
        <f>IF(GLOBAL_DATA_01[[#This Row],[Target scope]]="","",INDEX(DATA_TargetStatusChoice[Target_Status_Choice],MATCH(GLOBAL_DATA_01[[#This Row],[Target scope]],DATA_TargetStatusChoice[Value],1)))</f>
        <v>PARTIAL IMPLEMENTATION + RA</v>
      </c>
      <c r="G45" s="72">
        <v>0.2</v>
      </c>
      <c r="H45" s="81" t="str">
        <f>IF(GLOBAL_DATA_01[[#This Row],[Target status]]&lt;&gt;"FULL IMPLEMENTATION", "&lt;required&gt;"," -")</f>
        <v>&lt;required&gt;</v>
      </c>
      <c r="I45" s="59" t="s">
        <v>32</v>
      </c>
      <c r="J45" s="60">
        <v>0</v>
      </c>
      <c r="K45" s="54"/>
      <c r="L45" s="61"/>
      <c r="M45" s="62"/>
      <c r="N45" s="65" t="s">
        <v>489</v>
      </c>
      <c r="O45" s="71"/>
      <c r="P45" s="71"/>
      <c r="Q45" s="71">
        <v>44706</v>
      </c>
      <c r="R45" s="53"/>
      <c r="S45" s="55"/>
      <c r="T45" s="50"/>
      <c r="U45" s="50"/>
      <c r="V45" s="50"/>
    </row>
    <row r="46" spans="1:22" ht="42" customHeight="1" x14ac:dyDescent="0.25">
      <c r="A46" s="96" t="s">
        <v>40</v>
      </c>
      <c r="B46" s="97" t="s">
        <v>82</v>
      </c>
      <c r="C46" s="97" t="s">
        <v>513</v>
      </c>
      <c r="D46" s="79" t="s">
        <v>432</v>
      </c>
      <c r="E46" s="78" t="s">
        <v>487</v>
      </c>
      <c r="F46" s="80" t="str">
        <f>IF(GLOBAL_DATA_01[[#This Row],[Target scope]]="","",INDEX(DATA_TargetStatusChoice[Target_Status_Choice],MATCH(GLOBAL_DATA_01[[#This Row],[Target scope]],DATA_TargetStatusChoice[Value],1)))</f>
        <v>PARTIAL IMPLEMENTATION + RA</v>
      </c>
      <c r="G46" s="72">
        <v>0.6</v>
      </c>
      <c r="H46" s="81" t="str">
        <f>IF(GLOBAL_DATA_01[[#This Row],[Target status]]&lt;&gt;"FULL IMPLEMENTATION", "&lt;required&gt;"," -")</f>
        <v>&lt;required&gt;</v>
      </c>
      <c r="I46" s="59" t="s">
        <v>32</v>
      </c>
      <c r="J46" s="60">
        <v>0</v>
      </c>
      <c r="K46" s="54"/>
      <c r="L46" s="61"/>
      <c r="M46" s="62"/>
      <c r="N46" s="65" t="s">
        <v>489</v>
      </c>
      <c r="O46" s="71"/>
      <c r="P46" s="71"/>
      <c r="Q46" s="71">
        <v>44706</v>
      </c>
      <c r="R46" s="53"/>
      <c r="S46" s="55"/>
      <c r="T46" s="50"/>
      <c r="U46" s="50"/>
      <c r="V46" s="50"/>
    </row>
    <row r="47" spans="1:22" ht="42" customHeight="1" x14ac:dyDescent="0.25">
      <c r="A47" s="96" t="s">
        <v>40</v>
      </c>
      <c r="B47" s="97" t="s">
        <v>82</v>
      </c>
      <c r="C47" s="97" t="s">
        <v>513</v>
      </c>
      <c r="D47" s="79" t="s">
        <v>433</v>
      </c>
      <c r="E47" s="78" t="s">
        <v>518</v>
      </c>
      <c r="F47" s="80" t="str">
        <f>IF(GLOBAL_DATA_01[[#This Row],[Target scope]]="","",INDEX(DATA_TargetStatusChoice[Target_Status_Choice],MATCH(GLOBAL_DATA_01[[#This Row],[Target scope]],DATA_TargetStatusChoice[Value],1)))</f>
        <v>FULL IMPLEMENTATION</v>
      </c>
      <c r="G47" s="72">
        <v>1</v>
      </c>
      <c r="H47" s="81" t="str">
        <f>IF(GLOBAL_DATA_01[[#This Row],[Target status]]&lt;&gt;"FULL IMPLEMENTATION", "&lt;required&gt;"," -")</f>
        <v xml:space="preserve"> -</v>
      </c>
      <c r="I47" s="59" t="s">
        <v>31</v>
      </c>
      <c r="J47" s="60">
        <v>0</v>
      </c>
      <c r="K47" s="54"/>
      <c r="L47" s="61"/>
      <c r="M47" s="62"/>
      <c r="N47" s="65" t="s">
        <v>492</v>
      </c>
      <c r="O47" s="71"/>
      <c r="P47" s="71"/>
      <c r="Q47" s="71">
        <v>44706</v>
      </c>
      <c r="R47" s="53"/>
      <c r="S47" s="55"/>
      <c r="T47" s="50"/>
      <c r="U47" s="50"/>
      <c r="V47" s="50"/>
    </row>
    <row r="48" spans="1:22" ht="42" customHeight="1" x14ac:dyDescent="0.25">
      <c r="A48" s="96" t="s">
        <v>40</v>
      </c>
      <c r="B48" s="97" t="s">
        <v>82</v>
      </c>
      <c r="C48" s="97" t="s">
        <v>513</v>
      </c>
      <c r="D48" s="79" t="s">
        <v>434</v>
      </c>
      <c r="E48" s="78" t="s">
        <v>518</v>
      </c>
      <c r="F48" s="80" t="str">
        <f>IF(GLOBAL_DATA_01[[#This Row],[Target scope]]="","",INDEX(DATA_TargetStatusChoice[Target_Status_Choice],MATCH(GLOBAL_DATA_01[[#This Row],[Target scope]],DATA_TargetStatusChoice[Value],1)))</f>
        <v>FULL IMPLEMENTATION</v>
      </c>
      <c r="G48" s="72">
        <v>1</v>
      </c>
      <c r="H48" s="81" t="str">
        <f>IF(GLOBAL_DATA_01[[#This Row],[Target status]]&lt;&gt;"FULL IMPLEMENTATION", "&lt;required&gt;"," -")</f>
        <v xml:space="preserve"> -</v>
      </c>
      <c r="I48" s="59" t="s">
        <v>31</v>
      </c>
      <c r="J48" s="60">
        <v>0</v>
      </c>
      <c r="K48" s="54"/>
      <c r="L48" s="61"/>
      <c r="M48" s="62"/>
      <c r="N48" s="65" t="s">
        <v>490</v>
      </c>
      <c r="O48" s="71"/>
      <c r="P48" s="71"/>
      <c r="Q48" s="71">
        <v>44706</v>
      </c>
      <c r="R48" s="53"/>
      <c r="S48" s="55"/>
      <c r="T48" s="50"/>
      <c r="U48" s="50"/>
      <c r="V48" s="50"/>
    </row>
    <row r="49" spans="1:22" ht="42" customHeight="1" x14ac:dyDescent="0.25">
      <c r="A49" s="96" t="s">
        <v>40</v>
      </c>
      <c r="B49" s="97" t="s">
        <v>82</v>
      </c>
      <c r="C49" s="97" t="s">
        <v>513</v>
      </c>
      <c r="D49" s="79" t="s">
        <v>435</v>
      </c>
      <c r="E49" s="78" t="s">
        <v>518</v>
      </c>
      <c r="F49" s="80" t="str">
        <f>IF(GLOBAL_DATA_01[[#This Row],[Target scope]]="","",INDEX(DATA_TargetStatusChoice[Target_Status_Choice],MATCH(GLOBAL_DATA_01[[#This Row],[Target scope]],DATA_TargetStatusChoice[Value],1)))</f>
        <v>FULL IMPLEMENTATION</v>
      </c>
      <c r="G49" s="72">
        <v>1</v>
      </c>
      <c r="H49" s="81" t="str">
        <f>IF(GLOBAL_DATA_01[[#This Row],[Target status]]&lt;&gt;"FULL IMPLEMENTATION", "&lt;required&gt;"," -")</f>
        <v xml:space="preserve"> -</v>
      </c>
      <c r="I49" s="59" t="s">
        <v>31</v>
      </c>
      <c r="J49" s="60">
        <v>0</v>
      </c>
      <c r="K49" s="54"/>
      <c r="L49" s="61"/>
      <c r="M49" s="62"/>
      <c r="N49" s="65" t="s">
        <v>492</v>
      </c>
      <c r="O49" s="71"/>
      <c r="P49" s="71"/>
      <c r="Q49" s="71">
        <v>44706</v>
      </c>
      <c r="R49" s="53"/>
      <c r="S49" s="55"/>
      <c r="T49" s="50"/>
      <c r="U49" s="50"/>
      <c r="V49" s="50"/>
    </row>
    <row r="50" spans="1:22" ht="42" customHeight="1" x14ac:dyDescent="0.25">
      <c r="A50" s="96" t="s">
        <v>40</v>
      </c>
      <c r="B50" s="97" t="s">
        <v>82</v>
      </c>
      <c r="C50" s="97" t="s">
        <v>513</v>
      </c>
      <c r="D50" s="79" t="s">
        <v>436</v>
      </c>
      <c r="E50" s="78" t="s">
        <v>488</v>
      </c>
      <c r="F50" s="80" t="str">
        <f>IF(GLOBAL_DATA_01[[#This Row],[Target scope]]="","",INDEX(DATA_TargetStatusChoice[Target_Status_Choice],MATCH(GLOBAL_DATA_01[[#This Row],[Target scope]],DATA_TargetStatusChoice[Value],1)))</f>
        <v>RISK ACCEPTED</v>
      </c>
      <c r="G50" s="72">
        <v>0</v>
      </c>
      <c r="H50" s="81" t="str">
        <f>IF(GLOBAL_DATA_01[[#This Row],[Target status]]&lt;&gt;"FULL IMPLEMENTATION", "&lt;required&gt;"," -")</f>
        <v>&lt;required&gt;</v>
      </c>
      <c r="I50" s="59" t="s">
        <v>550</v>
      </c>
      <c r="J50" s="60">
        <v>0</v>
      </c>
      <c r="K50" s="54"/>
      <c r="L50" s="61"/>
      <c r="M50" s="62"/>
      <c r="N50" s="65" t="s">
        <v>489</v>
      </c>
      <c r="O50" s="71"/>
      <c r="P50" s="71"/>
      <c r="Q50" s="71"/>
      <c r="R50" s="53"/>
      <c r="S50" s="55"/>
      <c r="T50" s="50"/>
      <c r="U50" s="50"/>
      <c r="V50" s="50"/>
    </row>
    <row r="51" spans="1:22" ht="42" customHeight="1" x14ac:dyDescent="0.25">
      <c r="A51" s="96" t="s">
        <v>40</v>
      </c>
      <c r="B51" s="97" t="s">
        <v>82</v>
      </c>
      <c r="C51" s="97" t="s">
        <v>513</v>
      </c>
      <c r="D51" s="79" t="s">
        <v>437</v>
      </c>
      <c r="E51" s="78" t="s">
        <v>518</v>
      </c>
      <c r="F51" s="80" t="str">
        <f>IF(GLOBAL_DATA_01[[#This Row],[Target scope]]="","",INDEX(DATA_TargetStatusChoice[Target_Status_Choice],MATCH(GLOBAL_DATA_01[[#This Row],[Target scope]],DATA_TargetStatusChoice[Value],1)))</f>
        <v>FULL IMPLEMENTATION</v>
      </c>
      <c r="G51" s="72">
        <v>1</v>
      </c>
      <c r="H51" s="81" t="str">
        <f>IF(GLOBAL_DATA_01[[#This Row],[Target status]]&lt;&gt;"FULL IMPLEMENTATION", "&lt;required&gt;"," -")</f>
        <v xml:space="preserve"> -</v>
      </c>
      <c r="I51" s="59" t="s">
        <v>33</v>
      </c>
      <c r="J51" s="60">
        <v>1</v>
      </c>
      <c r="K51" s="54"/>
      <c r="L51" s="61"/>
      <c r="M51" s="62"/>
      <c r="N51" s="65" t="s">
        <v>491</v>
      </c>
      <c r="O51" s="71"/>
      <c r="P51" s="71"/>
      <c r="Q51" s="71">
        <v>44356</v>
      </c>
      <c r="R51" s="53"/>
      <c r="S51" s="55"/>
      <c r="T51" s="50"/>
      <c r="U51" s="50"/>
      <c r="V51" s="50"/>
    </row>
    <row r="52" spans="1:22" ht="42" customHeight="1" x14ac:dyDescent="0.25">
      <c r="A52" s="96" t="s">
        <v>40</v>
      </c>
      <c r="B52" s="97" t="s">
        <v>82</v>
      </c>
      <c r="C52" s="97" t="s">
        <v>513</v>
      </c>
      <c r="D52" s="79" t="s">
        <v>438</v>
      </c>
      <c r="E52" s="78" t="s">
        <v>518</v>
      </c>
      <c r="F52" s="80" t="str">
        <f>IF(GLOBAL_DATA_01[[#This Row],[Target scope]]="","",INDEX(DATA_TargetStatusChoice[Target_Status_Choice],MATCH(GLOBAL_DATA_01[[#This Row],[Target scope]],DATA_TargetStatusChoice[Value],1)))</f>
        <v>NOT APPLICABLE</v>
      </c>
      <c r="G52" s="72" t="s">
        <v>75</v>
      </c>
      <c r="H52" s="81" t="str">
        <f>IF(GLOBAL_DATA_01[[#This Row],[Target status]]&lt;&gt;"FULL IMPLEMENTATION", "&lt;required&gt;"," -")</f>
        <v>&lt;required&gt;</v>
      </c>
      <c r="I52" s="59" t="s">
        <v>550</v>
      </c>
      <c r="J52" s="60">
        <v>0</v>
      </c>
      <c r="K52" s="54"/>
      <c r="L52" s="61"/>
      <c r="M52" s="62"/>
      <c r="N52" s="65" t="s">
        <v>491</v>
      </c>
      <c r="O52" s="71"/>
      <c r="P52" s="71"/>
      <c r="Q52" s="71"/>
      <c r="R52" s="53"/>
      <c r="S52" s="55"/>
      <c r="T52" s="50"/>
      <c r="U52" s="50"/>
      <c r="V52" s="50"/>
    </row>
    <row r="53" spans="1:22" ht="42" customHeight="1" x14ac:dyDescent="0.25">
      <c r="A53" s="96" t="s">
        <v>40</v>
      </c>
      <c r="B53" s="97" t="s">
        <v>82</v>
      </c>
      <c r="C53" s="97" t="s">
        <v>513</v>
      </c>
      <c r="D53" s="79" t="s">
        <v>439</v>
      </c>
      <c r="E53" s="78" t="s">
        <v>487</v>
      </c>
      <c r="F53" s="80" t="str">
        <f>IF(GLOBAL_DATA_01[[#This Row],[Target scope]]="","",INDEX(DATA_TargetStatusChoice[Target_Status_Choice],MATCH(GLOBAL_DATA_01[[#This Row],[Target scope]],DATA_TargetStatusChoice[Value],1)))</f>
        <v>FULL IMPLEMENTATION</v>
      </c>
      <c r="G53" s="72">
        <v>1</v>
      </c>
      <c r="H53" s="81" t="str">
        <f>IF(GLOBAL_DATA_01[[#This Row],[Target status]]&lt;&gt;"FULL IMPLEMENTATION", "&lt;required&gt;"," -")</f>
        <v xml:space="preserve"> -</v>
      </c>
      <c r="I53" s="59" t="s">
        <v>35</v>
      </c>
      <c r="J53" s="60">
        <v>1</v>
      </c>
      <c r="K53" s="54"/>
      <c r="L53" s="61"/>
      <c r="M53" s="62"/>
      <c r="N53" s="65" t="s">
        <v>489</v>
      </c>
      <c r="O53" s="71"/>
      <c r="P53" s="71"/>
      <c r="Q53" s="71">
        <v>44356</v>
      </c>
      <c r="R53" s="53"/>
      <c r="S53" s="55"/>
      <c r="T53" s="50"/>
      <c r="U53" s="50"/>
      <c r="V53" s="50"/>
    </row>
    <row r="54" spans="1:22" ht="42" customHeight="1" x14ac:dyDescent="0.25">
      <c r="A54" s="96" t="s">
        <v>40</v>
      </c>
      <c r="B54" s="97" t="s">
        <v>82</v>
      </c>
      <c r="C54" s="97" t="s">
        <v>513</v>
      </c>
      <c r="D54" s="79" t="s">
        <v>440</v>
      </c>
      <c r="E54" s="78" t="s">
        <v>518</v>
      </c>
      <c r="F54" s="80" t="str">
        <f>IF(GLOBAL_DATA_01[[#This Row],[Target scope]]="","",INDEX(DATA_TargetStatusChoice[Target_Status_Choice],MATCH(GLOBAL_DATA_01[[#This Row],[Target scope]],DATA_TargetStatusChoice[Value],1)))</f>
        <v>PARTIAL IMPLEMENTATION + RA</v>
      </c>
      <c r="G54" s="72">
        <v>0.2</v>
      </c>
      <c r="H54" s="81" t="str">
        <f>IF(GLOBAL_DATA_01[[#This Row],[Target status]]&lt;&gt;"FULL IMPLEMENTATION", "&lt;required&gt;"," -")</f>
        <v>&lt;required&gt;</v>
      </c>
      <c r="I54" s="59" t="s">
        <v>32</v>
      </c>
      <c r="J54" s="60">
        <v>0.4</v>
      </c>
      <c r="K54" s="54"/>
      <c r="L54" s="61"/>
      <c r="M54" s="62"/>
      <c r="N54" s="65" t="s">
        <v>490</v>
      </c>
      <c r="O54" s="71"/>
      <c r="P54" s="71"/>
      <c r="Q54" s="71">
        <v>43991</v>
      </c>
      <c r="R54" s="53"/>
      <c r="S54" s="55"/>
      <c r="T54" s="50"/>
      <c r="U54" s="50"/>
      <c r="V54" s="50"/>
    </row>
    <row r="55" spans="1:22" ht="42" customHeight="1" x14ac:dyDescent="0.25">
      <c r="A55" s="96" t="s">
        <v>40</v>
      </c>
      <c r="B55" s="97" t="s">
        <v>82</v>
      </c>
      <c r="C55" s="97" t="s">
        <v>513</v>
      </c>
      <c r="D55" s="79" t="s">
        <v>441</v>
      </c>
      <c r="E55" s="78" t="s">
        <v>518</v>
      </c>
      <c r="F55" s="80" t="str">
        <f>IF(GLOBAL_DATA_01[[#This Row],[Target scope]]="","",INDEX(DATA_TargetStatusChoice[Target_Status_Choice],MATCH(GLOBAL_DATA_01[[#This Row],[Target scope]],DATA_TargetStatusChoice[Value],1)))</f>
        <v>NOT APPLICABLE</v>
      </c>
      <c r="G55" s="72" t="s">
        <v>75</v>
      </c>
      <c r="H55" s="81" t="str">
        <f>IF(GLOBAL_DATA_01[[#This Row],[Target status]]&lt;&gt;"FULL IMPLEMENTATION", "&lt;required&gt;"," -")</f>
        <v>&lt;required&gt;</v>
      </c>
      <c r="I55" s="59" t="s">
        <v>382</v>
      </c>
      <c r="J55" s="60">
        <v>1</v>
      </c>
      <c r="K55" s="54"/>
      <c r="L55" s="61"/>
      <c r="M55" s="62"/>
      <c r="N55" s="65" t="s">
        <v>491</v>
      </c>
      <c r="O55" s="71"/>
      <c r="P55" s="71"/>
      <c r="Q55" s="71">
        <v>43991</v>
      </c>
      <c r="R55" s="53"/>
      <c r="S55" s="55"/>
      <c r="T55" s="50"/>
      <c r="U55" s="50"/>
      <c r="V55" s="50"/>
    </row>
    <row r="56" spans="1:22" ht="42" customHeight="1" x14ac:dyDescent="0.25">
      <c r="A56" s="96" t="s">
        <v>40</v>
      </c>
      <c r="B56" s="97" t="s">
        <v>82</v>
      </c>
      <c r="C56" s="97" t="s">
        <v>513</v>
      </c>
      <c r="D56" s="79" t="s">
        <v>442</v>
      </c>
      <c r="E56" s="78" t="s">
        <v>486</v>
      </c>
      <c r="F56" s="80" t="str">
        <f>IF(GLOBAL_DATA_01[[#This Row],[Target scope]]="","",INDEX(DATA_TargetStatusChoice[Target_Status_Choice],MATCH(GLOBAL_DATA_01[[#This Row],[Target scope]],DATA_TargetStatusChoice[Value],1)))</f>
        <v>PARTIAL IMPLEMENTATION + RA</v>
      </c>
      <c r="G56" s="72">
        <v>0.8</v>
      </c>
      <c r="H56" s="81" t="str">
        <f>IF(GLOBAL_DATA_01[[#This Row],[Target status]]&lt;&gt;"FULL IMPLEMENTATION", "&lt;required&gt;"," -")</f>
        <v>&lt;required&gt;</v>
      </c>
      <c r="I56" s="59" t="s">
        <v>33</v>
      </c>
      <c r="J56" s="60">
        <v>1</v>
      </c>
      <c r="K56" s="54"/>
      <c r="L56" s="61"/>
      <c r="M56" s="62"/>
      <c r="N56" s="65" t="s">
        <v>489</v>
      </c>
      <c r="O56" s="71"/>
      <c r="P56" s="71"/>
      <c r="Q56" s="71">
        <v>43991</v>
      </c>
      <c r="R56" s="53"/>
      <c r="S56" s="55"/>
      <c r="T56" s="50"/>
      <c r="U56" s="50"/>
      <c r="V56" s="50"/>
    </row>
    <row r="57" spans="1:22" ht="42" customHeight="1" x14ac:dyDescent="0.25">
      <c r="A57" s="96" t="s">
        <v>40</v>
      </c>
      <c r="B57" s="97" t="s">
        <v>82</v>
      </c>
      <c r="C57" s="97" t="s">
        <v>513</v>
      </c>
      <c r="D57" s="79" t="s">
        <v>443</v>
      </c>
      <c r="E57" s="78" t="s">
        <v>518</v>
      </c>
      <c r="F57" s="80" t="str">
        <f>IF(GLOBAL_DATA_01[[#This Row],[Target scope]]="","",INDEX(DATA_TargetStatusChoice[Target_Status_Choice],MATCH(GLOBAL_DATA_01[[#This Row],[Target scope]],DATA_TargetStatusChoice[Value],1)))</f>
        <v>RISK ACCEPTED</v>
      </c>
      <c r="G57" s="72">
        <v>0</v>
      </c>
      <c r="H57" s="81" t="str">
        <f>IF(GLOBAL_DATA_01[[#This Row],[Target status]]&lt;&gt;"FULL IMPLEMENTATION", "&lt;required&gt;"," -")</f>
        <v>&lt;required&gt;</v>
      </c>
      <c r="I57" s="59" t="s">
        <v>550</v>
      </c>
      <c r="J57" s="60">
        <v>0</v>
      </c>
      <c r="K57" s="54"/>
      <c r="L57" s="61"/>
      <c r="M57" s="62"/>
      <c r="N57" s="65" t="s">
        <v>491</v>
      </c>
      <c r="O57" s="71"/>
      <c r="P57" s="71"/>
      <c r="Q57" s="71"/>
      <c r="R57" s="53"/>
      <c r="S57" s="55"/>
      <c r="T57" s="50"/>
      <c r="U57" s="50"/>
      <c r="V57" s="50"/>
    </row>
    <row r="58" spans="1:22" ht="42" customHeight="1" x14ac:dyDescent="0.25">
      <c r="A58" s="96" t="s">
        <v>40</v>
      </c>
      <c r="B58" s="97" t="s">
        <v>82</v>
      </c>
      <c r="C58" s="97" t="s">
        <v>513</v>
      </c>
      <c r="D58" s="79" t="s">
        <v>444</v>
      </c>
      <c r="E58" s="78" t="s">
        <v>518</v>
      </c>
      <c r="F58" s="80" t="str">
        <f>IF(GLOBAL_DATA_01[[#This Row],[Target scope]]="","",INDEX(DATA_TargetStatusChoice[Target_Status_Choice],MATCH(GLOBAL_DATA_01[[#This Row],[Target scope]],DATA_TargetStatusChoice[Value],1)))</f>
        <v>RISK ACCEPTED</v>
      </c>
      <c r="G58" s="72">
        <v>0</v>
      </c>
      <c r="H58" s="81" t="str">
        <f>IF(GLOBAL_DATA_01[[#This Row],[Target status]]&lt;&gt;"FULL IMPLEMENTATION", "&lt;required&gt;"," -")</f>
        <v>&lt;required&gt;</v>
      </c>
      <c r="I58" s="59" t="s">
        <v>550</v>
      </c>
      <c r="J58" s="60">
        <v>0</v>
      </c>
      <c r="K58" s="54"/>
      <c r="L58" s="61"/>
      <c r="M58" s="62"/>
      <c r="N58" s="65" t="s">
        <v>490</v>
      </c>
      <c r="O58" s="71"/>
      <c r="P58" s="71"/>
      <c r="Q58" s="71"/>
      <c r="R58" s="53"/>
      <c r="S58" s="55"/>
      <c r="T58" s="50"/>
      <c r="U58" s="50"/>
      <c r="V58" s="50"/>
    </row>
    <row r="59" spans="1:22" ht="42" customHeight="1" x14ac:dyDescent="0.25">
      <c r="A59" s="96" t="s">
        <v>40</v>
      </c>
      <c r="B59" s="97" t="s">
        <v>82</v>
      </c>
      <c r="C59" s="97" t="s">
        <v>513</v>
      </c>
      <c r="D59" s="79" t="s">
        <v>445</v>
      </c>
      <c r="E59" s="78" t="s">
        <v>487</v>
      </c>
      <c r="F59" s="80" t="str">
        <f>IF(GLOBAL_DATA_01[[#This Row],[Target scope]]="","",INDEX(DATA_TargetStatusChoice[Target_Status_Choice],MATCH(GLOBAL_DATA_01[[#This Row],[Target scope]],DATA_TargetStatusChoice[Value],1)))</f>
        <v>PARTIAL IMPLEMENTATION + RA</v>
      </c>
      <c r="G59" s="72">
        <v>0.8</v>
      </c>
      <c r="H59" s="81" t="str">
        <f>IF(GLOBAL_DATA_01[[#This Row],[Target status]]&lt;&gt;"FULL IMPLEMENTATION", "&lt;required&gt;"," -")</f>
        <v>&lt;required&gt;</v>
      </c>
      <c r="I59" s="59" t="s">
        <v>32</v>
      </c>
      <c r="J59" s="60">
        <v>0.6</v>
      </c>
      <c r="K59" s="54"/>
      <c r="L59" s="61"/>
      <c r="M59" s="62"/>
      <c r="N59" s="65" t="s">
        <v>489</v>
      </c>
      <c r="O59" s="71"/>
      <c r="P59" s="71"/>
      <c r="Q59" s="71">
        <v>44356</v>
      </c>
      <c r="R59" s="53"/>
      <c r="S59" s="55"/>
      <c r="T59" s="50"/>
      <c r="U59" s="50"/>
      <c r="V59" s="50"/>
    </row>
    <row r="60" spans="1:22" ht="42" customHeight="1" x14ac:dyDescent="0.25">
      <c r="A60" s="96" t="s">
        <v>40</v>
      </c>
      <c r="B60" s="97" t="s">
        <v>82</v>
      </c>
      <c r="C60" s="97" t="s">
        <v>513</v>
      </c>
      <c r="D60" s="79" t="s">
        <v>446</v>
      </c>
      <c r="E60" s="78" t="s">
        <v>518</v>
      </c>
      <c r="F60" s="80" t="str">
        <f>IF(GLOBAL_DATA_01[[#This Row],[Target scope]]="","",INDEX(DATA_TargetStatusChoice[Target_Status_Choice],MATCH(GLOBAL_DATA_01[[#This Row],[Target scope]],DATA_TargetStatusChoice[Value],1)))</f>
        <v>PARTIAL IMPLEMENTATION + RA</v>
      </c>
      <c r="G60" s="72">
        <v>0.8</v>
      </c>
      <c r="H60" s="81" t="str">
        <f>IF(GLOBAL_DATA_01[[#This Row],[Target status]]&lt;&gt;"FULL IMPLEMENTATION", "&lt;required&gt;"," -")</f>
        <v>&lt;required&gt;</v>
      </c>
      <c r="I60" s="59" t="s">
        <v>32</v>
      </c>
      <c r="J60" s="60">
        <v>0.6</v>
      </c>
      <c r="K60" s="54"/>
      <c r="L60" s="61"/>
      <c r="M60" s="62"/>
      <c r="N60" s="65" t="s">
        <v>491</v>
      </c>
      <c r="O60" s="71"/>
      <c r="P60" s="71"/>
      <c r="Q60" s="71">
        <v>44721</v>
      </c>
      <c r="R60" s="53"/>
      <c r="S60" s="55"/>
      <c r="T60" s="50"/>
      <c r="U60" s="50"/>
      <c r="V60" s="50"/>
    </row>
    <row r="61" spans="1:22" ht="42" customHeight="1" x14ac:dyDescent="0.25">
      <c r="A61" s="96" t="s">
        <v>40</v>
      </c>
      <c r="B61" s="97" t="s">
        <v>82</v>
      </c>
      <c r="C61" s="97" t="s">
        <v>513</v>
      </c>
      <c r="D61" s="79" t="s">
        <v>447</v>
      </c>
      <c r="E61" s="78" t="s">
        <v>518</v>
      </c>
      <c r="F61" s="80" t="str">
        <f>IF(GLOBAL_DATA_01[[#This Row],[Target scope]]="","",INDEX(DATA_TargetStatusChoice[Target_Status_Choice],MATCH(GLOBAL_DATA_01[[#This Row],[Target scope]],DATA_TargetStatusChoice[Value],1)))</f>
        <v>RISK ACCEPTED</v>
      </c>
      <c r="G61" s="72">
        <v>0</v>
      </c>
      <c r="H61" s="81" t="str">
        <f>IF(GLOBAL_DATA_01[[#This Row],[Target status]]&lt;&gt;"FULL IMPLEMENTATION", "&lt;required&gt;"," -")</f>
        <v>&lt;required&gt;</v>
      </c>
      <c r="I61" s="59" t="s">
        <v>550</v>
      </c>
      <c r="J61" s="60">
        <v>0</v>
      </c>
      <c r="K61" s="54"/>
      <c r="L61" s="61"/>
      <c r="M61" s="62"/>
      <c r="N61" s="65" t="s">
        <v>491</v>
      </c>
      <c r="O61" s="71"/>
      <c r="P61" s="71"/>
      <c r="Q61" s="71"/>
      <c r="R61" s="53"/>
      <c r="S61" s="55"/>
      <c r="T61" s="50"/>
      <c r="U61" s="50"/>
      <c r="V61" s="50"/>
    </row>
    <row r="62" spans="1:22" ht="42" customHeight="1" x14ac:dyDescent="0.25">
      <c r="A62" s="96" t="s">
        <v>40</v>
      </c>
      <c r="B62" s="97" t="s">
        <v>82</v>
      </c>
      <c r="C62" s="97" t="s">
        <v>513</v>
      </c>
      <c r="D62" s="79" t="s">
        <v>448</v>
      </c>
      <c r="E62" s="78" t="s">
        <v>518</v>
      </c>
      <c r="F62" s="80" t="str">
        <f>IF(GLOBAL_DATA_01[[#This Row],[Target scope]]="","",INDEX(DATA_TargetStatusChoice[Target_Status_Choice],MATCH(GLOBAL_DATA_01[[#This Row],[Target scope]],DATA_TargetStatusChoice[Value],1)))</f>
        <v>RISK ACCEPTED</v>
      </c>
      <c r="G62" s="72">
        <v>0</v>
      </c>
      <c r="H62" s="81" t="str">
        <f>IF(GLOBAL_DATA_01[[#This Row],[Target status]]&lt;&gt;"FULL IMPLEMENTATION", "&lt;required&gt;"," -")</f>
        <v>&lt;required&gt;</v>
      </c>
      <c r="I62" s="59" t="s">
        <v>550</v>
      </c>
      <c r="J62" s="60">
        <v>0</v>
      </c>
      <c r="K62" s="54"/>
      <c r="L62" s="61"/>
      <c r="M62" s="62"/>
      <c r="N62" s="65" t="s">
        <v>492</v>
      </c>
      <c r="O62" s="71"/>
      <c r="P62" s="71"/>
      <c r="Q62" s="71"/>
      <c r="R62" s="53"/>
      <c r="S62" s="55"/>
      <c r="T62" s="50"/>
      <c r="U62" s="50"/>
      <c r="V62" s="50"/>
    </row>
    <row r="63" spans="1:22" ht="42" customHeight="1" x14ac:dyDescent="0.25">
      <c r="A63" s="96" t="s">
        <v>40</v>
      </c>
      <c r="B63" s="97" t="s">
        <v>82</v>
      </c>
      <c r="C63" s="97" t="s">
        <v>513</v>
      </c>
      <c r="D63" s="79" t="s">
        <v>449</v>
      </c>
      <c r="E63" s="78" t="s">
        <v>487</v>
      </c>
      <c r="F63" s="80" t="str">
        <f>IF(GLOBAL_DATA_01[[#This Row],[Target scope]]="","",INDEX(DATA_TargetStatusChoice[Target_Status_Choice],MATCH(GLOBAL_DATA_01[[#This Row],[Target scope]],DATA_TargetStatusChoice[Value],1)))</f>
        <v>NOT APPLICABLE</v>
      </c>
      <c r="G63" s="72" t="s">
        <v>75</v>
      </c>
      <c r="H63" s="81" t="str">
        <f>IF(GLOBAL_DATA_01[[#This Row],[Target status]]&lt;&gt;"FULL IMPLEMENTATION", "&lt;required&gt;"," -")</f>
        <v>&lt;required&gt;</v>
      </c>
      <c r="I63" s="59" t="s">
        <v>550</v>
      </c>
      <c r="J63" s="60">
        <v>0</v>
      </c>
      <c r="K63" s="54"/>
      <c r="L63" s="61"/>
      <c r="M63" s="62"/>
      <c r="N63" s="65" t="s">
        <v>489</v>
      </c>
      <c r="O63" s="71"/>
      <c r="P63" s="71"/>
      <c r="Q63" s="71"/>
      <c r="R63" s="53"/>
      <c r="S63" s="55"/>
      <c r="T63" s="50"/>
      <c r="U63" s="50"/>
      <c r="V63" s="50"/>
    </row>
    <row r="64" spans="1:22" ht="42" customHeight="1" x14ac:dyDescent="0.25">
      <c r="A64" s="96" t="s">
        <v>40</v>
      </c>
      <c r="B64" s="97" t="s">
        <v>82</v>
      </c>
      <c r="C64" s="97" t="s">
        <v>513</v>
      </c>
      <c r="D64" s="79" t="s">
        <v>450</v>
      </c>
      <c r="E64" s="78" t="s">
        <v>486</v>
      </c>
      <c r="F64" s="80" t="str">
        <f>IF(GLOBAL_DATA_01[[#This Row],[Target scope]]="","",INDEX(DATA_TargetStatusChoice[Target_Status_Choice],MATCH(GLOBAL_DATA_01[[#This Row],[Target scope]],DATA_TargetStatusChoice[Value],1)))</f>
        <v>PARTIAL IMPLEMENTATION + RA</v>
      </c>
      <c r="G64" s="72">
        <v>0.8</v>
      </c>
      <c r="H64" s="81" t="str">
        <f>IF(GLOBAL_DATA_01[[#This Row],[Target status]]&lt;&gt;"FULL IMPLEMENTATION", "&lt;required&gt;"," -")</f>
        <v>&lt;required&gt;</v>
      </c>
      <c r="I64" s="59" t="s">
        <v>33</v>
      </c>
      <c r="J64" s="60">
        <v>1</v>
      </c>
      <c r="K64" s="54"/>
      <c r="L64" s="61"/>
      <c r="M64" s="62"/>
      <c r="N64" s="65" t="s">
        <v>489</v>
      </c>
      <c r="O64" s="71"/>
      <c r="P64" s="71"/>
      <c r="Q64" s="71">
        <v>43991</v>
      </c>
      <c r="R64" s="53"/>
      <c r="S64" s="55"/>
      <c r="T64" s="50"/>
      <c r="U64" s="50"/>
      <c r="V64" s="50"/>
    </row>
    <row r="65" spans="1:22" ht="42" customHeight="1" x14ac:dyDescent="0.25">
      <c r="A65" s="96" t="s">
        <v>40</v>
      </c>
      <c r="B65" s="97" t="s">
        <v>82</v>
      </c>
      <c r="C65" s="97" t="s">
        <v>513</v>
      </c>
      <c r="D65" s="79" t="s">
        <v>451</v>
      </c>
      <c r="E65" s="78" t="s">
        <v>486</v>
      </c>
      <c r="F65" s="80" t="str">
        <f>IF(GLOBAL_DATA_01[[#This Row],[Target scope]]="","",INDEX(DATA_TargetStatusChoice[Target_Status_Choice],MATCH(GLOBAL_DATA_01[[#This Row],[Target scope]],DATA_TargetStatusChoice[Value],1)))</f>
        <v>NOT APPLICABLE</v>
      </c>
      <c r="G65" s="72" t="s">
        <v>75</v>
      </c>
      <c r="H65" s="81" t="str">
        <f>IF(GLOBAL_DATA_01[[#This Row],[Target status]]&lt;&gt;"FULL IMPLEMENTATION", "&lt;required&gt;"," -")</f>
        <v>&lt;required&gt;</v>
      </c>
      <c r="I65" s="59" t="s">
        <v>33</v>
      </c>
      <c r="J65" s="60">
        <v>1</v>
      </c>
      <c r="K65" s="54"/>
      <c r="L65" s="61"/>
      <c r="M65" s="62"/>
      <c r="N65" s="65" t="s">
        <v>489</v>
      </c>
      <c r="O65" s="71"/>
      <c r="P65" s="71"/>
      <c r="Q65" s="71">
        <v>43991</v>
      </c>
      <c r="R65" s="53"/>
      <c r="S65" s="55"/>
      <c r="T65" s="50"/>
      <c r="U65" s="50"/>
      <c r="V65" s="50"/>
    </row>
    <row r="66" spans="1:22" ht="42" customHeight="1" x14ac:dyDescent="0.25">
      <c r="A66" s="96" t="s">
        <v>40</v>
      </c>
      <c r="B66" s="97" t="s">
        <v>82</v>
      </c>
      <c r="C66" s="97" t="s">
        <v>513</v>
      </c>
      <c r="D66" s="79" t="s">
        <v>452</v>
      </c>
      <c r="E66" s="78" t="s">
        <v>486</v>
      </c>
      <c r="F66" s="80" t="str">
        <f>IF(GLOBAL_DATA_01[[#This Row],[Target scope]]="","",INDEX(DATA_TargetStatusChoice[Target_Status_Choice],MATCH(GLOBAL_DATA_01[[#This Row],[Target scope]],DATA_TargetStatusChoice[Value],1)))</f>
        <v>PARTIAL IMPLEMENTATION + RA</v>
      </c>
      <c r="G66" s="72">
        <v>0.8</v>
      </c>
      <c r="H66" s="81" t="str">
        <f>IF(GLOBAL_DATA_01[[#This Row],[Target status]]&lt;&gt;"FULL IMPLEMENTATION", "&lt;required&gt;"," -")</f>
        <v>&lt;required&gt;</v>
      </c>
      <c r="I66" s="59" t="s">
        <v>33</v>
      </c>
      <c r="J66" s="60">
        <v>1</v>
      </c>
      <c r="K66" s="54"/>
      <c r="L66" s="61"/>
      <c r="M66" s="62"/>
      <c r="N66" s="65" t="s">
        <v>489</v>
      </c>
      <c r="O66" s="71"/>
      <c r="P66" s="71"/>
      <c r="Q66" s="71">
        <v>44356</v>
      </c>
      <c r="R66" s="53"/>
      <c r="S66" s="55"/>
      <c r="T66" s="50"/>
      <c r="U66" s="50"/>
      <c r="V66" s="50"/>
    </row>
    <row r="67" spans="1:22" ht="42" customHeight="1" x14ac:dyDescent="0.25">
      <c r="A67" s="96" t="s">
        <v>40</v>
      </c>
      <c r="B67" s="97" t="s">
        <v>82</v>
      </c>
      <c r="C67" s="97" t="s">
        <v>513</v>
      </c>
      <c r="D67" s="79" t="s">
        <v>453</v>
      </c>
      <c r="E67" s="78" t="s">
        <v>486</v>
      </c>
      <c r="F67" s="80" t="str">
        <f>IF(GLOBAL_DATA_01[[#This Row],[Target scope]]="","",INDEX(DATA_TargetStatusChoice[Target_Status_Choice],MATCH(GLOBAL_DATA_01[[#This Row],[Target scope]],DATA_TargetStatusChoice[Value],1)))</f>
        <v>FULL IMPLEMENTATION</v>
      </c>
      <c r="G67" s="72">
        <v>1</v>
      </c>
      <c r="H67" s="81" t="str">
        <f>IF(GLOBAL_DATA_01[[#This Row],[Target status]]&lt;&gt;"FULL IMPLEMENTATION", "&lt;required&gt;"," -")</f>
        <v xml:space="preserve"> -</v>
      </c>
      <c r="I67" s="59" t="s">
        <v>35</v>
      </c>
      <c r="J67" s="60">
        <v>1</v>
      </c>
      <c r="K67" s="54"/>
      <c r="L67" s="61"/>
      <c r="M67" s="62"/>
      <c r="N67" s="65" t="s">
        <v>489</v>
      </c>
      <c r="O67" s="71"/>
      <c r="P67" s="71"/>
      <c r="Q67" s="71">
        <v>44356</v>
      </c>
      <c r="R67" s="53"/>
      <c r="S67" s="55"/>
      <c r="T67" s="50"/>
      <c r="U67" s="50"/>
      <c r="V67" s="50"/>
    </row>
    <row r="68" spans="1:22" ht="42" customHeight="1" x14ac:dyDescent="0.25">
      <c r="A68" s="96" t="s">
        <v>40</v>
      </c>
      <c r="B68" s="97" t="s">
        <v>82</v>
      </c>
      <c r="C68" s="97" t="s">
        <v>513</v>
      </c>
      <c r="D68" s="79" t="s">
        <v>454</v>
      </c>
      <c r="E68" s="78" t="s">
        <v>486</v>
      </c>
      <c r="F68" s="80" t="str">
        <f>IF(GLOBAL_DATA_01[[#This Row],[Target scope]]="","",INDEX(DATA_TargetStatusChoice[Target_Status_Choice],MATCH(GLOBAL_DATA_01[[#This Row],[Target scope]],DATA_TargetStatusChoice[Value],1)))</f>
        <v>NOT APPLICABLE</v>
      </c>
      <c r="G68" s="72" t="s">
        <v>75</v>
      </c>
      <c r="H68" s="81" t="str">
        <f>IF(GLOBAL_DATA_01[[#This Row],[Target status]]&lt;&gt;"FULL IMPLEMENTATION", "&lt;required&gt;"," -")</f>
        <v>&lt;required&gt;</v>
      </c>
      <c r="I68" s="59" t="s">
        <v>35</v>
      </c>
      <c r="J68" s="60">
        <v>1</v>
      </c>
      <c r="K68" s="54"/>
      <c r="L68" s="61"/>
      <c r="M68" s="62"/>
      <c r="N68" s="65" t="s">
        <v>489</v>
      </c>
      <c r="O68" s="71"/>
      <c r="P68" s="71"/>
      <c r="Q68" s="71"/>
      <c r="R68" s="53"/>
      <c r="S68" s="55"/>
      <c r="T68" s="50"/>
      <c r="U68" s="50"/>
      <c r="V68" s="50"/>
    </row>
    <row r="69" spans="1:22" ht="42" customHeight="1" x14ac:dyDescent="0.25">
      <c r="A69" s="96" t="s">
        <v>40</v>
      </c>
      <c r="B69" s="97" t="s">
        <v>82</v>
      </c>
      <c r="C69" s="97" t="s">
        <v>513</v>
      </c>
      <c r="D69" s="79" t="s">
        <v>455</v>
      </c>
      <c r="E69" s="78" t="s">
        <v>486</v>
      </c>
      <c r="F69" s="80" t="str">
        <f>IF(GLOBAL_DATA_01[[#This Row],[Target scope]]="","",INDEX(DATA_TargetStatusChoice[Target_Status_Choice],MATCH(GLOBAL_DATA_01[[#This Row],[Target scope]],DATA_TargetStatusChoice[Value],1)))</f>
        <v>PARTIAL IMPLEMENTATION + RA</v>
      </c>
      <c r="G69" s="72">
        <v>0.6</v>
      </c>
      <c r="H69" s="81" t="str">
        <f>IF(GLOBAL_DATA_01[[#This Row],[Target status]]&lt;&gt;"FULL IMPLEMENTATION", "&lt;required&gt;"," -")</f>
        <v>&lt;required&gt;</v>
      </c>
      <c r="I69" s="59" t="s">
        <v>35</v>
      </c>
      <c r="J69" s="60">
        <v>1</v>
      </c>
      <c r="K69" s="54"/>
      <c r="L69" s="61"/>
      <c r="M69" s="62"/>
      <c r="N69" s="65" t="s">
        <v>489</v>
      </c>
      <c r="O69" s="71"/>
      <c r="P69" s="71"/>
      <c r="Q69" s="71">
        <v>44356</v>
      </c>
      <c r="R69" s="53"/>
      <c r="S69" s="55"/>
      <c r="T69" s="50"/>
      <c r="U69" s="50"/>
      <c r="V69" s="50"/>
    </row>
    <row r="70" spans="1:22" ht="42" customHeight="1" x14ac:dyDescent="0.25">
      <c r="A70" s="96" t="s">
        <v>40</v>
      </c>
      <c r="B70" s="97" t="s">
        <v>82</v>
      </c>
      <c r="C70" s="97" t="s">
        <v>513</v>
      </c>
      <c r="D70" s="79" t="s">
        <v>456</v>
      </c>
      <c r="E70" s="78" t="s">
        <v>518</v>
      </c>
      <c r="F70" s="80" t="str">
        <f>IF(GLOBAL_DATA_01[[#This Row],[Target scope]]="","",INDEX(DATA_TargetStatusChoice[Target_Status_Choice],MATCH(GLOBAL_DATA_01[[#This Row],[Target scope]],DATA_TargetStatusChoice[Value],1)))</f>
        <v>FULL IMPLEMENTATION</v>
      </c>
      <c r="G70" s="72">
        <v>1</v>
      </c>
      <c r="H70" s="81" t="str">
        <f>IF(GLOBAL_DATA_01[[#This Row],[Target status]]&lt;&gt;"FULL IMPLEMENTATION", "&lt;required&gt;"," -")</f>
        <v xml:space="preserve"> -</v>
      </c>
      <c r="I70" s="59" t="s">
        <v>382</v>
      </c>
      <c r="J70" s="60">
        <v>1</v>
      </c>
      <c r="K70" s="54"/>
      <c r="L70" s="61"/>
      <c r="M70" s="62"/>
      <c r="N70" s="65" t="s">
        <v>490</v>
      </c>
      <c r="O70" s="71"/>
      <c r="P70" s="71"/>
      <c r="Q70" s="71">
        <v>44356</v>
      </c>
      <c r="R70" s="53"/>
      <c r="S70" s="55"/>
      <c r="T70" s="50"/>
      <c r="U70" s="50"/>
      <c r="V70" s="50"/>
    </row>
    <row r="71" spans="1:22" ht="42" customHeight="1" x14ac:dyDescent="0.25">
      <c r="A71" s="96" t="s">
        <v>40</v>
      </c>
      <c r="B71" s="97" t="s">
        <v>82</v>
      </c>
      <c r="C71" s="97" t="s">
        <v>513</v>
      </c>
      <c r="D71" s="79" t="s">
        <v>457</v>
      </c>
      <c r="E71" s="78" t="s">
        <v>487</v>
      </c>
      <c r="F71" s="80" t="str">
        <f>IF(GLOBAL_DATA_01[[#This Row],[Target scope]]="","",INDEX(DATA_TargetStatusChoice[Target_Status_Choice],MATCH(GLOBAL_DATA_01[[#This Row],[Target scope]],DATA_TargetStatusChoice[Value],1)))</f>
        <v>RISK ACCEPTED</v>
      </c>
      <c r="G71" s="72">
        <v>0</v>
      </c>
      <c r="H71" s="81" t="str">
        <f>IF(GLOBAL_DATA_01[[#This Row],[Target status]]&lt;&gt;"FULL IMPLEMENTATION", "&lt;required&gt;"," -")</f>
        <v>&lt;required&gt;</v>
      </c>
      <c r="I71" s="59" t="s">
        <v>550</v>
      </c>
      <c r="J71" s="60">
        <v>0</v>
      </c>
      <c r="K71" s="54"/>
      <c r="L71" s="61"/>
      <c r="M71" s="62"/>
      <c r="N71" s="65" t="s">
        <v>489</v>
      </c>
      <c r="O71" s="71"/>
      <c r="P71" s="71"/>
      <c r="Q71" s="71"/>
      <c r="R71" s="53"/>
      <c r="S71" s="55"/>
      <c r="T71" s="50"/>
      <c r="U71" s="50"/>
      <c r="V71" s="50"/>
    </row>
    <row r="72" spans="1:22" ht="42" customHeight="1" x14ac:dyDescent="0.25">
      <c r="A72" s="96" t="s">
        <v>40</v>
      </c>
      <c r="B72" s="97" t="s">
        <v>82</v>
      </c>
      <c r="C72" s="97" t="s">
        <v>513</v>
      </c>
      <c r="D72" s="79" t="s">
        <v>458</v>
      </c>
      <c r="E72" s="78" t="s">
        <v>518</v>
      </c>
      <c r="F72" s="80" t="str">
        <f>IF(GLOBAL_DATA_01[[#This Row],[Target scope]]="","",INDEX(DATA_TargetStatusChoice[Target_Status_Choice],MATCH(GLOBAL_DATA_01[[#This Row],[Target scope]],DATA_TargetStatusChoice[Value],1)))</f>
        <v>NOT APPLICABLE</v>
      </c>
      <c r="G72" s="72" t="s">
        <v>75</v>
      </c>
      <c r="H72" s="81" t="str">
        <f>IF(GLOBAL_DATA_01[[#This Row],[Target status]]&lt;&gt;"FULL IMPLEMENTATION", "&lt;required&gt;"," -")</f>
        <v>&lt;required&gt;</v>
      </c>
      <c r="I72" s="59" t="s">
        <v>550</v>
      </c>
      <c r="J72" s="60">
        <v>0</v>
      </c>
      <c r="K72" s="54"/>
      <c r="L72" s="61"/>
      <c r="M72" s="62"/>
      <c r="N72" s="65" t="s">
        <v>491</v>
      </c>
      <c r="O72" s="71"/>
      <c r="P72" s="71"/>
      <c r="Q72" s="71"/>
      <c r="R72" s="53"/>
      <c r="S72" s="55"/>
      <c r="T72" s="50"/>
      <c r="U72" s="50"/>
      <c r="V72" s="50"/>
    </row>
    <row r="73" spans="1:22" ht="42" customHeight="1" x14ac:dyDescent="0.25">
      <c r="A73" s="96" t="s">
        <v>40</v>
      </c>
      <c r="B73" s="97" t="s">
        <v>82</v>
      </c>
      <c r="C73" s="97" t="s">
        <v>513</v>
      </c>
      <c r="D73" s="79" t="s">
        <v>459</v>
      </c>
      <c r="E73" s="78" t="s">
        <v>487</v>
      </c>
      <c r="F73" s="80" t="str">
        <f>IF(GLOBAL_DATA_01[[#This Row],[Target scope]]="","",INDEX(DATA_TargetStatusChoice[Target_Status_Choice],MATCH(GLOBAL_DATA_01[[#This Row],[Target scope]],DATA_TargetStatusChoice[Value],1)))</f>
        <v>PARTIAL IMPLEMENTATION + RA</v>
      </c>
      <c r="G73" s="72">
        <v>0.8</v>
      </c>
      <c r="H73" s="81" t="str">
        <f>IF(GLOBAL_DATA_01[[#This Row],[Target status]]&lt;&gt;"FULL IMPLEMENTATION", "&lt;required&gt;"," -")</f>
        <v>&lt;required&gt;</v>
      </c>
      <c r="I73" s="59" t="s">
        <v>31</v>
      </c>
      <c r="J73" s="60">
        <v>0</v>
      </c>
      <c r="K73" s="54"/>
      <c r="L73" s="61"/>
      <c r="M73" s="62"/>
      <c r="N73" s="65" t="s">
        <v>489</v>
      </c>
      <c r="O73" s="71"/>
      <c r="P73" s="71"/>
      <c r="Q73" s="71">
        <v>44356</v>
      </c>
      <c r="R73" s="53"/>
      <c r="S73" s="55"/>
      <c r="T73" s="50"/>
      <c r="U73" s="50"/>
      <c r="V73" s="50"/>
    </row>
    <row r="74" spans="1:22" ht="42" customHeight="1" x14ac:dyDescent="0.25">
      <c r="A74" s="96" t="s">
        <v>40</v>
      </c>
      <c r="B74" s="97" t="s">
        <v>82</v>
      </c>
      <c r="C74" s="97" t="s">
        <v>513</v>
      </c>
      <c r="D74" s="79" t="s">
        <v>460</v>
      </c>
      <c r="E74" s="78" t="s">
        <v>518</v>
      </c>
      <c r="F74" s="80" t="str">
        <f>IF(GLOBAL_DATA_01[[#This Row],[Target scope]]="","",INDEX(DATA_TargetStatusChoice[Target_Status_Choice],MATCH(GLOBAL_DATA_01[[#This Row],[Target scope]],DATA_TargetStatusChoice[Value],1)))</f>
        <v>PARTIAL IMPLEMENTATION + RA</v>
      </c>
      <c r="G74" s="72">
        <v>0.6</v>
      </c>
      <c r="H74" s="81" t="str">
        <f>IF(GLOBAL_DATA_01[[#This Row],[Target status]]&lt;&gt;"FULL IMPLEMENTATION", "&lt;required&gt;"," -")</f>
        <v>&lt;required&gt;</v>
      </c>
      <c r="I74" s="59" t="s">
        <v>31</v>
      </c>
      <c r="J74" s="60">
        <v>0</v>
      </c>
      <c r="K74" s="54"/>
      <c r="L74" s="61"/>
      <c r="M74" s="62"/>
      <c r="N74" s="65" t="s">
        <v>490</v>
      </c>
      <c r="O74" s="71"/>
      <c r="P74" s="71"/>
      <c r="Q74" s="71">
        <v>44721</v>
      </c>
      <c r="R74" s="53"/>
      <c r="S74" s="55"/>
      <c r="T74" s="50"/>
      <c r="U74" s="50"/>
      <c r="V74" s="50"/>
    </row>
    <row r="75" spans="1:22" ht="42" customHeight="1" x14ac:dyDescent="0.25">
      <c r="A75" s="96" t="s">
        <v>40</v>
      </c>
      <c r="B75" s="97" t="s">
        <v>82</v>
      </c>
      <c r="C75" s="97" t="s">
        <v>513</v>
      </c>
      <c r="D75" s="79" t="s">
        <v>461</v>
      </c>
      <c r="E75" s="78" t="s">
        <v>486</v>
      </c>
      <c r="F75" s="80" t="str">
        <f>IF(GLOBAL_DATA_01[[#This Row],[Target scope]]="","",INDEX(DATA_TargetStatusChoice[Target_Status_Choice],MATCH(GLOBAL_DATA_01[[#This Row],[Target scope]],DATA_TargetStatusChoice[Value],1)))</f>
        <v>PARTIAL IMPLEMENTATION + RA</v>
      </c>
      <c r="G75" s="72">
        <v>0.8</v>
      </c>
      <c r="H75" s="81" t="str">
        <f>IF(GLOBAL_DATA_01[[#This Row],[Target status]]&lt;&gt;"FULL IMPLEMENTATION", "&lt;required&gt;"," -")</f>
        <v>&lt;required&gt;</v>
      </c>
      <c r="I75" s="59" t="s">
        <v>31</v>
      </c>
      <c r="J75" s="60">
        <v>0</v>
      </c>
      <c r="K75" s="54"/>
      <c r="L75" s="61"/>
      <c r="M75" s="62"/>
      <c r="N75" s="65" t="s">
        <v>492</v>
      </c>
      <c r="O75" s="71"/>
      <c r="P75" s="71"/>
      <c r="Q75" s="71">
        <v>44721</v>
      </c>
      <c r="R75" s="53"/>
      <c r="S75" s="55"/>
      <c r="T75" s="50"/>
      <c r="U75" s="50"/>
      <c r="V75" s="50"/>
    </row>
    <row r="76" spans="1:22" ht="42" customHeight="1" x14ac:dyDescent="0.25">
      <c r="A76" s="96" t="s">
        <v>40</v>
      </c>
      <c r="B76" s="97" t="s">
        <v>82</v>
      </c>
      <c r="C76" s="97" t="s">
        <v>513</v>
      </c>
      <c r="D76" s="79" t="s">
        <v>462</v>
      </c>
      <c r="E76" s="78" t="s">
        <v>487</v>
      </c>
      <c r="F76" s="80" t="str">
        <f>IF(GLOBAL_DATA_01[[#This Row],[Target scope]]="","",INDEX(DATA_TargetStatusChoice[Target_Status_Choice],MATCH(GLOBAL_DATA_01[[#This Row],[Target scope]],DATA_TargetStatusChoice[Value],1)))</f>
        <v>FULL IMPLEMENTATION</v>
      </c>
      <c r="G76" s="72">
        <v>1</v>
      </c>
      <c r="H76" s="81" t="str">
        <f>IF(GLOBAL_DATA_01[[#This Row],[Target status]]&lt;&gt;"FULL IMPLEMENTATION", "&lt;required&gt;"," -")</f>
        <v xml:space="preserve"> -</v>
      </c>
      <c r="I76" s="59" t="s">
        <v>31</v>
      </c>
      <c r="J76" s="60">
        <v>0</v>
      </c>
      <c r="K76" s="54"/>
      <c r="L76" s="61"/>
      <c r="M76" s="62"/>
      <c r="N76" s="65" t="s">
        <v>489</v>
      </c>
      <c r="O76" s="71"/>
      <c r="P76" s="71"/>
      <c r="Q76" s="71">
        <v>44721</v>
      </c>
      <c r="R76" s="53"/>
      <c r="S76" s="55"/>
      <c r="T76" s="50"/>
      <c r="U76" s="50"/>
      <c r="V76" s="50"/>
    </row>
    <row r="77" spans="1:22" ht="42" customHeight="1" x14ac:dyDescent="0.25">
      <c r="A77" s="96" t="s">
        <v>40</v>
      </c>
      <c r="B77" s="97" t="s">
        <v>82</v>
      </c>
      <c r="C77" s="97" t="s">
        <v>513</v>
      </c>
      <c r="D77" s="79" t="s">
        <v>463</v>
      </c>
      <c r="E77" s="78" t="s">
        <v>518</v>
      </c>
      <c r="F77" s="80" t="str">
        <f>IF(GLOBAL_DATA_01[[#This Row],[Target scope]]="","",INDEX(DATA_TargetStatusChoice[Target_Status_Choice],MATCH(GLOBAL_DATA_01[[#This Row],[Target scope]],DATA_TargetStatusChoice[Value],1)))</f>
        <v>NOT APPLICABLE</v>
      </c>
      <c r="G77" s="72" t="s">
        <v>75</v>
      </c>
      <c r="H77" s="81" t="str">
        <f>IF(GLOBAL_DATA_01[[#This Row],[Target status]]&lt;&gt;"FULL IMPLEMENTATION", "&lt;required&gt;"," -")</f>
        <v>&lt;required&gt;</v>
      </c>
      <c r="I77" s="59" t="s">
        <v>550</v>
      </c>
      <c r="J77" s="60">
        <v>0</v>
      </c>
      <c r="K77" s="54"/>
      <c r="L77" s="61"/>
      <c r="M77" s="62"/>
      <c r="N77" s="65" t="s">
        <v>490</v>
      </c>
      <c r="O77" s="71"/>
      <c r="P77" s="71"/>
      <c r="Q77" s="71"/>
      <c r="R77" s="53"/>
      <c r="S77" s="55"/>
      <c r="T77" s="50"/>
      <c r="U77" s="50"/>
      <c r="V77" s="50"/>
    </row>
    <row r="78" spans="1:22" ht="42" customHeight="1" x14ac:dyDescent="0.25">
      <c r="A78" s="96" t="s">
        <v>40</v>
      </c>
      <c r="B78" s="97" t="s">
        <v>82</v>
      </c>
      <c r="C78" s="97" t="s">
        <v>513</v>
      </c>
      <c r="D78" s="79" t="s">
        <v>464</v>
      </c>
      <c r="E78" s="78" t="s">
        <v>518</v>
      </c>
      <c r="F78" s="80" t="str">
        <f>IF(GLOBAL_DATA_01[[#This Row],[Target scope]]="","",INDEX(DATA_TargetStatusChoice[Target_Status_Choice],MATCH(GLOBAL_DATA_01[[#This Row],[Target scope]],DATA_TargetStatusChoice[Value],1)))</f>
        <v>PARTIAL IMPLEMENTATION + RA</v>
      </c>
      <c r="G78" s="72">
        <v>0.6</v>
      </c>
      <c r="H78" s="81" t="str">
        <f>IF(GLOBAL_DATA_01[[#This Row],[Target status]]&lt;&gt;"FULL IMPLEMENTATION", "&lt;required&gt;"," -")</f>
        <v>&lt;required&gt;</v>
      </c>
      <c r="I78" s="59" t="s">
        <v>32</v>
      </c>
      <c r="J78" s="60">
        <v>0.6</v>
      </c>
      <c r="K78" s="54"/>
      <c r="L78" s="61"/>
      <c r="M78" s="62"/>
      <c r="N78" s="65" t="s">
        <v>490</v>
      </c>
      <c r="O78" s="71"/>
      <c r="P78" s="71"/>
      <c r="Q78" s="71">
        <v>44721</v>
      </c>
      <c r="R78" s="53"/>
      <c r="S78" s="55"/>
      <c r="T78" s="50"/>
      <c r="U78" s="50"/>
      <c r="V78" s="50"/>
    </row>
    <row r="79" spans="1:22" ht="42" customHeight="1" x14ac:dyDescent="0.25">
      <c r="A79" s="96" t="s">
        <v>40</v>
      </c>
      <c r="B79" s="97" t="s">
        <v>82</v>
      </c>
      <c r="C79" s="97" t="s">
        <v>513</v>
      </c>
      <c r="D79" s="79" t="s">
        <v>465</v>
      </c>
      <c r="E79" s="78" t="s">
        <v>518</v>
      </c>
      <c r="F79" s="80" t="str">
        <f>IF(GLOBAL_DATA_01[[#This Row],[Target scope]]="","",INDEX(DATA_TargetStatusChoice[Target_Status_Choice],MATCH(GLOBAL_DATA_01[[#This Row],[Target scope]],DATA_TargetStatusChoice[Value],1)))</f>
        <v>FULL IMPLEMENTATION</v>
      </c>
      <c r="G79" s="72">
        <v>1</v>
      </c>
      <c r="H79" s="81" t="str">
        <f>IF(GLOBAL_DATA_01[[#This Row],[Target status]]&lt;&gt;"FULL IMPLEMENTATION", "&lt;required&gt;"," -")</f>
        <v xml:space="preserve"> -</v>
      </c>
      <c r="I79" s="59" t="s">
        <v>32</v>
      </c>
      <c r="J79" s="60">
        <v>0.6</v>
      </c>
      <c r="K79" s="54"/>
      <c r="L79" s="61"/>
      <c r="M79" s="62"/>
      <c r="N79" s="65" t="s">
        <v>490</v>
      </c>
      <c r="O79" s="71"/>
      <c r="P79" s="71"/>
      <c r="Q79" s="71">
        <v>44721</v>
      </c>
      <c r="R79" s="53"/>
      <c r="S79" s="55"/>
      <c r="T79" s="50"/>
      <c r="U79" s="50"/>
      <c r="V79" s="50"/>
    </row>
    <row r="80" spans="1:22" ht="42" customHeight="1" x14ac:dyDescent="0.25">
      <c r="A80" s="96" t="s">
        <v>40</v>
      </c>
      <c r="B80" s="97" t="s">
        <v>82</v>
      </c>
      <c r="C80" s="97" t="s">
        <v>513</v>
      </c>
      <c r="D80" s="79" t="s">
        <v>466</v>
      </c>
      <c r="E80" s="78" t="s">
        <v>518</v>
      </c>
      <c r="F80" s="80" t="str">
        <f>IF(GLOBAL_DATA_01[[#This Row],[Target scope]]="","",INDEX(DATA_TargetStatusChoice[Target_Status_Choice],MATCH(GLOBAL_DATA_01[[#This Row],[Target scope]],DATA_TargetStatusChoice[Value],1)))</f>
        <v>PARTIAL IMPLEMENTATION + RA</v>
      </c>
      <c r="G80" s="72">
        <v>0.8</v>
      </c>
      <c r="H80" s="81" t="str">
        <f>IF(GLOBAL_DATA_01[[#This Row],[Target status]]&lt;&gt;"FULL IMPLEMENTATION", "&lt;required&gt;"," -")</f>
        <v>&lt;required&gt;</v>
      </c>
      <c r="I80" s="59" t="s">
        <v>32</v>
      </c>
      <c r="J80" s="60">
        <v>0.6</v>
      </c>
      <c r="K80" s="54"/>
      <c r="L80" s="61"/>
      <c r="M80" s="62"/>
      <c r="N80" s="65" t="s">
        <v>491</v>
      </c>
      <c r="O80" s="71"/>
      <c r="P80" s="71"/>
      <c r="Q80" s="71">
        <v>44721</v>
      </c>
      <c r="R80" s="53"/>
      <c r="S80" s="55"/>
      <c r="T80" s="50"/>
      <c r="U80" s="50"/>
      <c r="V80" s="50"/>
    </row>
    <row r="81" spans="1:22" ht="42" customHeight="1" x14ac:dyDescent="0.25">
      <c r="A81" s="96" t="s">
        <v>40</v>
      </c>
      <c r="B81" s="97" t="s">
        <v>82</v>
      </c>
      <c r="C81" s="97" t="s">
        <v>513</v>
      </c>
      <c r="D81" s="79" t="s">
        <v>467</v>
      </c>
      <c r="E81" s="78" t="s">
        <v>486</v>
      </c>
      <c r="F81" s="80" t="str">
        <f>IF(GLOBAL_DATA_01[[#This Row],[Target scope]]="","",INDEX(DATA_TargetStatusChoice[Target_Status_Choice],MATCH(GLOBAL_DATA_01[[#This Row],[Target scope]],DATA_TargetStatusChoice[Value],1)))</f>
        <v>FULL IMPLEMENTATION</v>
      </c>
      <c r="G81" s="72">
        <v>1</v>
      </c>
      <c r="H81" s="81" t="str">
        <f>IF(GLOBAL_DATA_01[[#This Row],[Target status]]&lt;&gt;"FULL IMPLEMENTATION", "&lt;required&gt;"," -")</f>
        <v xml:space="preserve"> -</v>
      </c>
      <c r="I81" s="59" t="s">
        <v>32</v>
      </c>
      <c r="J81" s="60">
        <v>0.6</v>
      </c>
      <c r="K81" s="54"/>
      <c r="L81" s="61"/>
      <c r="M81" s="62"/>
      <c r="N81" s="65" t="s">
        <v>489</v>
      </c>
      <c r="O81" s="71"/>
      <c r="P81" s="71"/>
      <c r="Q81" s="71">
        <v>44721</v>
      </c>
      <c r="R81" s="53"/>
      <c r="S81" s="55"/>
      <c r="T81" s="50"/>
      <c r="U81" s="50"/>
      <c r="V81" s="50"/>
    </row>
    <row r="82" spans="1:22" ht="42" customHeight="1" x14ac:dyDescent="0.25">
      <c r="A82" s="96" t="s">
        <v>40</v>
      </c>
      <c r="B82" s="97" t="s">
        <v>82</v>
      </c>
      <c r="C82" s="97" t="s">
        <v>513</v>
      </c>
      <c r="D82" s="79" t="s">
        <v>468</v>
      </c>
      <c r="E82" s="78" t="s">
        <v>488</v>
      </c>
      <c r="F82" s="80" t="str">
        <f>IF(GLOBAL_DATA_01[[#This Row],[Target scope]]="","",INDEX(DATA_TargetStatusChoice[Target_Status_Choice],MATCH(GLOBAL_DATA_01[[#This Row],[Target scope]],DATA_TargetStatusChoice[Value],1)))</f>
        <v>NOT APPLICABLE</v>
      </c>
      <c r="G82" s="72" t="s">
        <v>75</v>
      </c>
      <c r="H82" s="81" t="str">
        <f>IF(GLOBAL_DATA_01[[#This Row],[Target status]]&lt;&gt;"FULL IMPLEMENTATION", "&lt;required&gt;"," -")</f>
        <v>&lt;required&gt;</v>
      </c>
      <c r="I82" s="59" t="s">
        <v>550</v>
      </c>
      <c r="J82" s="60">
        <v>0</v>
      </c>
      <c r="K82" s="54"/>
      <c r="L82" s="61"/>
      <c r="M82" s="62"/>
      <c r="N82" s="65" t="s">
        <v>489</v>
      </c>
      <c r="O82" s="71"/>
      <c r="P82" s="71"/>
      <c r="Q82" s="71"/>
      <c r="R82" s="53"/>
      <c r="S82" s="55"/>
      <c r="T82" s="50"/>
      <c r="U82" s="50"/>
      <c r="V82" s="50"/>
    </row>
    <row r="83" spans="1:22" ht="42" customHeight="1" x14ac:dyDescent="0.25">
      <c r="A83" s="96" t="s">
        <v>40</v>
      </c>
      <c r="B83" s="97" t="s">
        <v>82</v>
      </c>
      <c r="C83" s="97" t="s">
        <v>513</v>
      </c>
      <c r="D83" s="79" t="s">
        <v>469</v>
      </c>
      <c r="E83" s="78" t="s">
        <v>487</v>
      </c>
      <c r="F83" s="80" t="str">
        <f>IF(GLOBAL_DATA_01[[#This Row],[Target scope]]="","",INDEX(DATA_TargetStatusChoice[Target_Status_Choice],MATCH(GLOBAL_DATA_01[[#This Row],[Target scope]],DATA_TargetStatusChoice[Value],1)))</f>
        <v>PARTIAL IMPLEMENTATION + RA</v>
      </c>
      <c r="G83" s="72">
        <v>0.6</v>
      </c>
      <c r="H83" s="81" t="str">
        <f>IF(GLOBAL_DATA_01[[#This Row],[Target status]]&lt;&gt;"FULL IMPLEMENTATION", "&lt;required&gt;"," -")</f>
        <v>&lt;required&gt;</v>
      </c>
      <c r="I83" s="59" t="s">
        <v>35</v>
      </c>
      <c r="J83" s="60">
        <v>1</v>
      </c>
      <c r="K83" s="54"/>
      <c r="L83" s="61"/>
      <c r="M83" s="62"/>
      <c r="N83" s="65" t="s">
        <v>489</v>
      </c>
      <c r="O83" s="71"/>
      <c r="P83" s="71"/>
      <c r="Q83" s="71">
        <v>44721</v>
      </c>
      <c r="R83" s="53"/>
      <c r="S83" s="55"/>
      <c r="T83" s="50"/>
      <c r="U83" s="50"/>
      <c r="V83" s="50"/>
    </row>
    <row r="84" spans="1:22" ht="42" customHeight="1" x14ac:dyDescent="0.25">
      <c r="A84" s="96" t="s">
        <v>40</v>
      </c>
      <c r="B84" s="97" t="s">
        <v>82</v>
      </c>
      <c r="C84" s="97" t="s">
        <v>513</v>
      </c>
      <c r="D84" s="79" t="s">
        <v>470</v>
      </c>
      <c r="E84" s="78" t="s">
        <v>518</v>
      </c>
      <c r="F84" s="80" t="str">
        <f>IF(GLOBAL_DATA_01[[#This Row],[Target scope]]="","",INDEX(DATA_TargetStatusChoice[Target_Status_Choice],MATCH(GLOBAL_DATA_01[[#This Row],[Target scope]],DATA_TargetStatusChoice[Value],1)))</f>
        <v>FULL IMPLEMENTATION</v>
      </c>
      <c r="G84" s="72">
        <v>1</v>
      </c>
      <c r="H84" s="81" t="str">
        <f>IF(GLOBAL_DATA_01[[#This Row],[Target status]]&lt;&gt;"FULL IMPLEMENTATION", "&lt;required&gt;"," -")</f>
        <v xml:space="preserve"> -</v>
      </c>
      <c r="I84" s="59" t="s">
        <v>35</v>
      </c>
      <c r="J84" s="60">
        <v>1</v>
      </c>
      <c r="K84" s="54"/>
      <c r="L84" s="61"/>
      <c r="M84" s="62"/>
      <c r="N84" s="65" t="s">
        <v>492</v>
      </c>
      <c r="O84" s="71"/>
      <c r="P84" s="71"/>
      <c r="Q84" s="71">
        <v>44721</v>
      </c>
      <c r="R84" s="53"/>
      <c r="S84" s="55"/>
      <c r="T84" s="50"/>
      <c r="U84" s="50"/>
      <c r="V84" s="50"/>
    </row>
    <row r="85" spans="1:22" ht="42" customHeight="1" x14ac:dyDescent="0.25">
      <c r="A85" s="96" t="s">
        <v>40</v>
      </c>
      <c r="B85" s="97" t="s">
        <v>82</v>
      </c>
      <c r="C85" s="97" t="s">
        <v>513</v>
      </c>
      <c r="D85" s="79" t="s">
        <v>471</v>
      </c>
      <c r="E85" s="78" t="s">
        <v>518</v>
      </c>
      <c r="F85" s="80" t="str">
        <f>IF(GLOBAL_DATA_01[[#This Row],[Target scope]]="","",INDEX(DATA_TargetStatusChoice[Target_Status_Choice],MATCH(GLOBAL_DATA_01[[#This Row],[Target scope]],DATA_TargetStatusChoice[Value],1)))</f>
        <v>FULL IMPLEMENTATION</v>
      </c>
      <c r="G85" s="72">
        <v>1</v>
      </c>
      <c r="H85" s="81" t="str">
        <f>IF(GLOBAL_DATA_01[[#This Row],[Target status]]&lt;&gt;"FULL IMPLEMENTATION", "&lt;required&gt;"," -")</f>
        <v xml:space="preserve"> -</v>
      </c>
      <c r="I85" s="59" t="s">
        <v>35</v>
      </c>
      <c r="J85" s="60">
        <v>1</v>
      </c>
      <c r="K85" s="54"/>
      <c r="L85" s="61"/>
      <c r="M85" s="62"/>
      <c r="N85" s="65" t="s">
        <v>490</v>
      </c>
      <c r="O85" s="71"/>
      <c r="P85" s="71"/>
      <c r="Q85" s="71">
        <v>44721</v>
      </c>
      <c r="R85" s="53"/>
      <c r="S85" s="55"/>
      <c r="T85" s="50"/>
      <c r="U85" s="50"/>
      <c r="V85" s="50"/>
    </row>
    <row r="86" spans="1:22" ht="42" customHeight="1" x14ac:dyDescent="0.25">
      <c r="A86" s="96" t="s">
        <v>40</v>
      </c>
      <c r="B86" s="97" t="s">
        <v>82</v>
      </c>
      <c r="C86" s="97" t="s">
        <v>513</v>
      </c>
      <c r="D86" s="79" t="s">
        <v>472</v>
      </c>
      <c r="E86" s="78" t="s">
        <v>518</v>
      </c>
      <c r="F86" s="80" t="str">
        <f>IF(GLOBAL_DATA_01[[#This Row],[Target scope]]="","",INDEX(DATA_TargetStatusChoice[Target_Status_Choice],MATCH(GLOBAL_DATA_01[[#This Row],[Target scope]],DATA_TargetStatusChoice[Value],1)))</f>
        <v>PARTIAL IMPLEMENTATION + RA</v>
      </c>
      <c r="G86" s="72">
        <v>0.8</v>
      </c>
      <c r="H86" s="81" t="str">
        <f>IF(GLOBAL_DATA_01[[#This Row],[Target status]]&lt;&gt;"FULL IMPLEMENTATION", "&lt;required&gt;"," -")</f>
        <v>&lt;required&gt;</v>
      </c>
      <c r="I86" s="59" t="s">
        <v>35</v>
      </c>
      <c r="J86" s="60">
        <v>1</v>
      </c>
      <c r="K86" s="54"/>
      <c r="L86" s="61"/>
      <c r="M86" s="62"/>
      <c r="N86" s="65" t="s">
        <v>490</v>
      </c>
      <c r="O86" s="71"/>
      <c r="P86" s="71"/>
      <c r="Q86" s="71">
        <v>44721</v>
      </c>
      <c r="R86" s="53"/>
      <c r="S86" s="55"/>
      <c r="T86" s="50"/>
      <c r="U86" s="50"/>
      <c r="V86" s="50"/>
    </row>
    <row r="87" spans="1:22" ht="42" customHeight="1" x14ac:dyDescent="0.25">
      <c r="A87" s="96" t="s">
        <v>40</v>
      </c>
      <c r="B87" s="97" t="s">
        <v>82</v>
      </c>
      <c r="C87" s="97" t="s">
        <v>513</v>
      </c>
      <c r="D87" s="79" t="s">
        <v>473</v>
      </c>
      <c r="E87" s="78" t="s">
        <v>518</v>
      </c>
      <c r="F87" s="80" t="str">
        <f>IF(GLOBAL_DATA_01[[#This Row],[Target scope]]="","",INDEX(DATA_TargetStatusChoice[Target_Status_Choice],MATCH(GLOBAL_DATA_01[[#This Row],[Target scope]],DATA_TargetStatusChoice[Value],1)))</f>
        <v>FULL IMPLEMENTATION</v>
      </c>
      <c r="G87" s="72">
        <v>1</v>
      </c>
      <c r="H87" s="81" t="str">
        <f>IF(GLOBAL_DATA_01[[#This Row],[Target status]]&lt;&gt;"FULL IMPLEMENTATION", "&lt;required&gt;"," -")</f>
        <v xml:space="preserve"> -</v>
      </c>
      <c r="I87" s="59" t="s">
        <v>35</v>
      </c>
      <c r="J87" s="60">
        <v>1</v>
      </c>
      <c r="K87" s="54"/>
      <c r="L87" s="61"/>
      <c r="M87" s="62"/>
      <c r="N87" s="65" t="s">
        <v>492</v>
      </c>
      <c r="O87" s="71"/>
      <c r="P87" s="71"/>
      <c r="Q87" s="71">
        <v>44721</v>
      </c>
      <c r="R87" s="53"/>
      <c r="S87" s="55"/>
      <c r="T87" s="50"/>
      <c r="U87" s="50"/>
      <c r="V87" s="50"/>
    </row>
    <row r="88" spans="1:22" ht="42" customHeight="1" x14ac:dyDescent="0.25">
      <c r="A88" s="96" t="s">
        <v>40</v>
      </c>
      <c r="B88" s="97" t="s">
        <v>82</v>
      </c>
      <c r="C88" s="97" t="s">
        <v>513</v>
      </c>
      <c r="D88" s="79" t="s">
        <v>474</v>
      </c>
      <c r="E88" s="78" t="s">
        <v>518</v>
      </c>
      <c r="F88" s="80" t="str">
        <f>IF(GLOBAL_DATA_01[[#This Row],[Target scope]]="","",INDEX(DATA_TargetStatusChoice[Target_Status_Choice],MATCH(GLOBAL_DATA_01[[#This Row],[Target scope]],DATA_TargetStatusChoice[Value],1)))</f>
        <v>NOT APPLICABLE</v>
      </c>
      <c r="G88" s="72" t="s">
        <v>75</v>
      </c>
      <c r="H88" s="81" t="str">
        <f>IF(GLOBAL_DATA_01[[#This Row],[Target status]]&lt;&gt;"FULL IMPLEMENTATION", "&lt;required&gt;"," -")</f>
        <v>&lt;required&gt;</v>
      </c>
      <c r="I88" s="59" t="s">
        <v>550</v>
      </c>
      <c r="J88" s="60">
        <v>0</v>
      </c>
      <c r="K88" s="54"/>
      <c r="L88" s="61"/>
      <c r="M88" s="62"/>
      <c r="N88" s="65" t="s">
        <v>490</v>
      </c>
      <c r="O88" s="71"/>
      <c r="P88" s="71"/>
      <c r="Q88" s="71"/>
      <c r="R88" s="53"/>
      <c r="S88" s="55"/>
      <c r="T88" s="50"/>
      <c r="U88" s="50"/>
      <c r="V88" s="50"/>
    </row>
    <row r="89" spans="1:22" ht="42" customHeight="1" x14ac:dyDescent="0.25">
      <c r="A89" s="96" t="s">
        <v>40</v>
      </c>
      <c r="B89" s="97" t="s">
        <v>82</v>
      </c>
      <c r="C89" s="97" t="s">
        <v>513</v>
      </c>
      <c r="D89" s="79" t="s">
        <v>475</v>
      </c>
      <c r="E89" s="78" t="s">
        <v>518</v>
      </c>
      <c r="F89" s="80" t="str">
        <f>IF(GLOBAL_DATA_01[[#This Row],[Target scope]]="","",INDEX(DATA_TargetStatusChoice[Target_Status_Choice],MATCH(GLOBAL_DATA_01[[#This Row],[Target scope]],DATA_TargetStatusChoice[Value],1)))</f>
        <v>PARTIAL IMPLEMENTATION + RA</v>
      </c>
      <c r="G89" s="72">
        <v>0.6</v>
      </c>
      <c r="H89" s="81" t="str">
        <f>IF(GLOBAL_DATA_01[[#This Row],[Target status]]&lt;&gt;"FULL IMPLEMENTATION", "&lt;required&gt;"," -")</f>
        <v>&lt;required&gt;</v>
      </c>
      <c r="I89" s="59" t="s">
        <v>35</v>
      </c>
      <c r="J89" s="60">
        <v>1</v>
      </c>
      <c r="K89" s="54"/>
      <c r="L89" s="61"/>
      <c r="M89" s="62"/>
      <c r="N89" s="65" t="s">
        <v>490</v>
      </c>
      <c r="O89" s="71"/>
      <c r="P89" s="71"/>
      <c r="Q89" s="71">
        <v>44721</v>
      </c>
      <c r="R89" s="53"/>
      <c r="S89" s="55"/>
      <c r="T89" s="50"/>
      <c r="U89" s="50"/>
      <c r="V89" s="50"/>
    </row>
    <row r="90" spans="1:22" ht="42" customHeight="1" x14ac:dyDescent="0.25">
      <c r="A90" s="96" t="s">
        <v>40</v>
      </c>
      <c r="B90" s="97" t="s">
        <v>82</v>
      </c>
      <c r="C90" s="97" t="s">
        <v>513</v>
      </c>
      <c r="D90" s="79" t="s">
        <v>476</v>
      </c>
      <c r="E90" s="78" t="s">
        <v>486</v>
      </c>
      <c r="F90" s="80" t="str">
        <f>IF(GLOBAL_DATA_01[[#This Row],[Target scope]]="","",INDEX(DATA_TargetStatusChoice[Target_Status_Choice],MATCH(GLOBAL_DATA_01[[#This Row],[Target scope]],DATA_TargetStatusChoice[Value],1)))</f>
        <v>FULL IMPLEMENTATION</v>
      </c>
      <c r="G90" s="72">
        <v>1</v>
      </c>
      <c r="H90" s="81" t="str">
        <f>IF(GLOBAL_DATA_01[[#This Row],[Target status]]&lt;&gt;"FULL IMPLEMENTATION", "&lt;required&gt;"," -")</f>
        <v xml:space="preserve"> -</v>
      </c>
      <c r="I90" s="59" t="s">
        <v>31</v>
      </c>
      <c r="J90" s="60">
        <v>0</v>
      </c>
      <c r="K90" s="54"/>
      <c r="L90" s="61"/>
      <c r="M90" s="62"/>
      <c r="N90" s="65" t="s">
        <v>489</v>
      </c>
      <c r="O90" s="71"/>
      <c r="P90" s="71"/>
      <c r="Q90" s="71">
        <v>44721</v>
      </c>
      <c r="R90" s="53"/>
      <c r="S90" s="55"/>
      <c r="T90" s="50"/>
      <c r="U90" s="50"/>
      <c r="V90" s="50"/>
    </row>
    <row r="91" spans="1:22" ht="42" customHeight="1" x14ac:dyDescent="0.25">
      <c r="A91" s="96" t="s">
        <v>40</v>
      </c>
      <c r="B91" s="97" t="s">
        <v>82</v>
      </c>
      <c r="C91" s="97" t="s">
        <v>513</v>
      </c>
      <c r="D91" s="79" t="s">
        <v>477</v>
      </c>
      <c r="E91" s="78" t="s">
        <v>518</v>
      </c>
      <c r="F91" s="80" t="str">
        <f>IF(GLOBAL_DATA_01[[#This Row],[Target scope]]="","",INDEX(DATA_TargetStatusChoice[Target_Status_Choice],MATCH(GLOBAL_DATA_01[[#This Row],[Target scope]],DATA_TargetStatusChoice[Value],1)))</f>
        <v>FULL IMPLEMENTATION</v>
      </c>
      <c r="G91" s="72">
        <v>1</v>
      </c>
      <c r="H91" s="81" t="str">
        <f>IF(GLOBAL_DATA_01[[#This Row],[Target status]]&lt;&gt;"FULL IMPLEMENTATION", "&lt;required&gt;"," -")</f>
        <v xml:space="preserve"> -</v>
      </c>
      <c r="I91" s="59" t="s">
        <v>32</v>
      </c>
      <c r="J91" s="60">
        <v>0.4</v>
      </c>
      <c r="K91" s="54"/>
      <c r="L91" s="61"/>
      <c r="M91" s="62"/>
      <c r="N91" s="65" t="s">
        <v>492</v>
      </c>
      <c r="O91" s="71"/>
      <c r="P91" s="71"/>
      <c r="Q91" s="71">
        <v>44721</v>
      </c>
      <c r="R91" s="53"/>
      <c r="S91" s="55"/>
      <c r="T91" s="50"/>
      <c r="U91" s="50"/>
      <c r="V91" s="50"/>
    </row>
    <row r="92" spans="1:22" ht="42" customHeight="1" x14ac:dyDescent="0.25">
      <c r="A92" s="96" t="s">
        <v>40</v>
      </c>
      <c r="B92" s="97" t="s">
        <v>82</v>
      </c>
      <c r="C92" s="97" t="s">
        <v>513</v>
      </c>
      <c r="D92" s="79" t="s">
        <v>478</v>
      </c>
      <c r="E92" s="78" t="s">
        <v>518</v>
      </c>
      <c r="F92" s="80" t="str">
        <f>IF(GLOBAL_DATA_01[[#This Row],[Target scope]]="","",INDEX(DATA_TargetStatusChoice[Target_Status_Choice],MATCH(GLOBAL_DATA_01[[#This Row],[Target scope]],DATA_TargetStatusChoice[Value],1)))</f>
        <v>RISK ACCEPTED</v>
      </c>
      <c r="G92" s="72">
        <v>0</v>
      </c>
      <c r="H92" s="81" t="str">
        <f>IF(GLOBAL_DATA_01[[#This Row],[Target status]]&lt;&gt;"FULL IMPLEMENTATION", "&lt;required&gt;"," -")</f>
        <v>&lt;required&gt;</v>
      </c>
      <c r="I92" s="59" t="s">
        <v>550</v>
      </c>
      <c r="J92" s="60">
        <v>0</v>
      </c>
      <c r="K92" s="54"/>
      <c r="L92" s="61"/>
      <c r="M92" s="62"/>
      <c r="N92" s="65" t="s">
        <v>491</v>
      </c>
      <c r="O92" s="71"/>
      <c r="P92" s="71"/>
      <c r="Q92" s="71"/>
      <c r="R92" s="53"/>
      <c r="S92" s="55"/>
      <c r="T92" s="50"/>
      <c r="U92" s="50"/>
      <c r="V92" s="50"/>
    </row>
    <row r="93" spans="1:22" ht="42" customHeight="1" x14ac:dyDescent="0.25">
      <c r="A93" s="96" t="s">
        <v>40</v>
      </c>
      <c r="B93" s="97" t="s">
        <v>82</v>
      </c>
      <c r="C93" s="97" t="s">
        <v>513</v>
      </c>
      <c r="D93" s="79" t="s">
        <v>479</v>
      </c>
      <c r="E93" s="78" t="s">
        <v>487</v>
      </c>
      <c r="F93" s="80" t="str">
        <f>IF(GLOBAL_DATA_01[[#This Row],[Target scope]]="","",INDEX(DATA_TargetStatusChoice[Target_Status_Choice],MATCH(GLOBAL_DATA_01[[#This Row],[Target scope]],DATA_TargetStatusChoice[Value],1)))</f>
        <v>FULL IMPLEMENTATION</v>
      </c>
      <c r="G93" s="72">
        <v>1</v>
      </c>
      <c r="H93" s="81" t="str">
        <f>IF(GLOBAL_DATA_01[[#This Row],[Target status]]&lt;&gt;"FULL IMPLEMENTATION", "&lt;required&gt;"," -")</f>
        <v xml:space="preserve"> -</v>
      </c>
      <c r="I93" s="59" t="s">
        <v>31</v>
      </c>
      <c r="J93" s="60">
        <v>0</v>
      </c>
      <c r="K93" s="54"/>
      <c r="L93" s="61"/>
      <c r="M93" s="62"/>
      <c r="N93" s="65" t="s">
        <v>489</v>
      </c>
      <c r="O93" s="71"/>
      <c r="P93" s="71"/>
      <c r="Q93" s="71">
        <v>43991</v>
      </c>
      <c r="R93" s="53"/>
      <c r="S93" s="55"/>
      <c r="T93" s="50"/>
      <c r="U93" s="50"/>
      <c r="V93" s="50"/>
    </row>
    <row r="94" spans="1:22" ht="42" customHeight="1" x14ac:dyDescent="0.25">
      <c r="A94" s="96" t="s">
        <v>40</v>
      </c>
      <c r="B94" s="97" t="s">
        <v>82</v>
      </c>
      <c r="C94" s="97" t="s">
        <v>513</v>
      </c>
      <c r="D94" s="79" t="s">
        <v>480</v>
      </c>
      <c r="E94" s="78" t="s">
        <v>518</v>
      </c>
      <c r="F94" s="80" t="str">
        <f>IF(GLOBAL_DATA_01[[#This Row],[Target scope]]="","",INDEX(DATA_TargetStatusChoice[Target_Status_Choice],MATCH(GLOBAL_DATA_01[[#This Row],[Target scope]],DATA_TargetStatusChoice[Value],1)))</f>
        <v>PARTIAL IMPLEMENTATION + RA</v>
      </c>
      <c r="G94" s="72">
        <v>0.8</v>
      </c>
      <c r="H94" s="81" t="str">
        <f>IF(GLOBAL_DATA_01[[#This Row],[Target status]]&lt;&gt;"FULL IMPLEMENTATION", "&lt;required&gt;"," -")</f>
        <v>&lt;required&gt;</v>
      </c>
      <c r="I94" s="59" t="s">
        <v>33</v>
      </c>
      <c r="J94" s="60">
        <v>1</v>
      </c>
      <c r="K94" s="54"/>
      <c r="L94" s="61"/>
      <c r="M94" s="62"/>
      <c r="N94" s="65" t="s">
        <v>491</v>
      </c>
      <c r="O94" s="71"/>
      <c r="P94" s="71"/>
      <c r="Q94" s="71">
        <v>43991</v>
      </c>
      <c r="R94" s="53"/>
      <c r="S94" s="55"/>
      <c r="T94" s="50"/>
      <c r="U94" s="50"/>
      <c r="V94" s="50"/>
    </row>
    <row r="95" spans="1:22" ht="42" customHeight="1" x14ac:dyDescent="0.25">
      <c r="A95" s="96" t="s">
        <v>40</v>
      </c>
      <c r="B95" s="97" t="s">
        <v>82</v>
      </c>
      <c r="C95" s="97" t="s">
        <v>513</v>
      </c>
      <c r="D95" s="79" t="s">
        <v>481</v>
      </c>
      <c r="E95" s="78" t="s">
        <v>518</v>
      </c>
      <c r="F95" s="80" t="str">
        <f>IF(GLOBAL_DATA_01[[#This Row],[Target scope]]="","",INDEX(DATA_TargetStatusChoice[Target_Status_Choice],MATCH(GLOBAL_DATA_01[[#This Row],[Target scope]],DATA_TargetStatusChoice[Value],1)))</f>
        <v>PARTIAL IMPLEMENTATION + RA</v>
      </c>
      <c r="G95" s="72">
        <v>0.8</v>
      </c>
      <c r="H95" s="81" t="str">
        <f>IF(GLOBAL_DATA_01[[#This Row],[Target status]]&lt;&gt;"FULL IMPLEMENTATION", "&lt;required&gt;"," -")</f>
        <v>&lt;required&gt;</v>
      </c>
      <c r="I95" s="59" t="s">
        <v>35</v>
      </c>
      <c r="J95" s="60">
        <v>1</v>
      </c>
      <c r="K95" s="54"/>
      <c r="L95" s="61"/>
      <c r="M95" s="62"/>
      <c r="N95" s="65" t="s">
        <v>491</v>
      </c>
      <c r="O95" s="71"/>
      <c r="P95" s="71"/>
      <c r="Q95" s="71">
        <v>44356</v>
      </c>
      <c r="R95" s="53"/>
      <c r="S95" s="55"/>
      <c r="T95" s="50"/>
      <c r="U95" s="50"/>
      <c r="V95" s="50"/>
    </row>
    <row r="96" spans="1:22" ht="42" customHeight="1" x14ac:dyDescent="0.25">
      <c r="A96" s="96" t="s">
        <v>40</v>
      </c>
      <c r="B96" s="97" t="s">
        <v>82</v>
      </c>
      <c r="C96" s="97" t="s">
        <v>513</v>
      </c>
      <c r="D96" s="79" t="s">
        <v>482</v>
      </c>
      <c r="E96" s="78" t="s">
        <v>518</v>
      </c>
      <c r="F96" s="80" t="str">
        <f>IF(GLOBAL_DATA_01[[#This Row],[Target scope]]="","",INDEX(DATA_TargetStatusChoice[Target_Status_Choice],MATCH(GLOBAL_DATA_01[[#This Row],[Target scope]],DATA_TargetStatusChoice[Value],1)))</f>
        <v>PARTIAL IMPLEMENTATION + RA</v>
      </c>
      <c r="G96" s="72">
        <v>0.6</v>
      </c>
      <c r="H96" s="81" t="str">
        <f>IF(GLOBAL_DATA_01[[#This Row],[Target status]]&lt;&gt;"FULL IMPLEMENTATION", "&lt;required&gt;"," -")</f>
        <v>&lt;required&gt;</v>
      </c>
      <c r="I96" s="59" t="s">
        <v>32</v>
      </c>
      <c r="J96" s="60">
        <v>0.8</v>
      </c>
      <c r="K96" s="54"/>
      <c r="L96" s="61"/>
      <c r="M96" s="62"/>
      <c r="N96" s="65" t="s">
        <v>491</v>
      </c>
      <c r="O96" s="71"/>
      <c r="P96" s="71"/>
      <c r="Q96" s="71">
        <v>44356</v>
      </c>
      <c r="R96" s="53"/>
      <c r="S96" s="55"/>
      <c r="T96" s="50"/>
      <c r="U96" s="50"/>
      <c r="V96" s="50"/>
    </row>
    <row r="97" spans="1:22" ht="42" customHeight="1" x14ac:dyDescent="0.25">
      <c r="A97" s="96" t="s">
        <v>40</v>
      </c>
      <c r="B97" s="97" t="s">
        <v>82</v>
      </c>
      <c r="C97" s="97" t="s">
        <v>513</v>
      </c>
      <c r="D97" s="79" t="s">
        <v>483</v>
      </c>
      <c r="E97" s="78" t="s">
        <v>518</v>
      </c>
      <c r="F97" s="80" t="str">
        <f>IF(GLOBAL_DATA_01[[#This Row],[Target scope]]="","",INDEX(DATA_TargetStatusChoice[Target_Status_Choice],MATCH(GLOBAL_DATA_01[[#This Row],[Target scope]],DATA_TargetStatusChoice[Value],1)))</f>
        <v>PARTIAL IMPLEMENTATION + RA</v>
      </c>
      <c r="G97" s="72">
        <v>0.6</v>
      </c>
      <c r="H97" s="81" t="str">
        <f>IF(GLOBAL_DATA_01[[#This Row],[Target status]]&lt;&gt;"FULL IMPLEMENTATION", "&lt;required&gt;"," -")</f>
        <v>&lt;required&gt;</v>
      </c>
      <c r="I97" s="59" t="s">
        <v>31</v>
      </c>
      <c r="J97" s="60">
        <v>0</v>
      </c>
      <c r="K97" s="54"/>
      <c r="L97" s="61"/>
      <c r="M97" s="62"/>
      <c r="N97" s="65" t="s">
        <v>491</v>
      </c>
      <c r="O97" s="71"/>
      <c r="P97" s="71"/>
      <c r="Q97" s="71">
        <v>44356</v>
      </c>
      <c r="R97" s="53"/>
      <c r="S97" s="55"/>
      <c r="T97" s="50"/>
      <c r="U97" s="50"/>
      <c r="V97" s="50"/>
    </row>
    <row r="98" spans="1:22" ht="42" customHeight="1" x14ac:dyDescent="0.25">
      <c r="A98" s="96" t="s">
        <v>40</v>
      </c>
      <c r="B98" s="97" t="s">
        <v>82</v>
      </c>
      <c r="C98" s="97" t="s">
        <v>513</v>
      </c>
      <c r="D98" s="79" t="s">
        <v>484</v>
      </c>
      <c r="E98" s="78" t="s">
        <v>518</v>
      </c>
      <c r="F98" s="80" t="str">
        <f>IF(GLOBAL_DATA_01[[#This Row],[Target scope]]="","",INDEX(DATA_TargetStatusChoice[Target_Status_Choice],MATCH(GLOBAL_DATA_01[[#This Row],[Target scope]],DATA_TargetStatusChoice[Value],1)))</f>
        <v>PARTIAL IMPLEMENTATION + RA</v>
      </c>
      <c r="G98" s="72">
        <v>0.6</v>
      </c>
      <c r="H98" s="81" t="str">
        <f>IF(GLOBAL_DATA_01[[#This Row],[Target status]]&lt;&gt;"FULL IMPLEMENTATION", "&lt;required&gt;"," -")</f>
        <v>&lt;required&gt;</v>
      </c>
      <c r="I98" s="59" t="s">
        <v>32</v>
      </c>
      <c r="J98" s="60">
        <v>0.4</v>
      </c>
      <c r="K98" s="54"/>
      <c r="L98" s="61"/>
      <c r="M98" s="62"/>
      <c r="N98" s="65" t="s">
        <v>491</v>
      </c>
      <c r="O98" s="71"/>
      <c r="P98" s="71"/>
      <c r="Q98" s="71">
        <v>44721</v>
      </c>
      <c r="R98" s="53"/>
      <c r="S98" s="55"/>
      <c r="T98" s="50"/>
      <c r="U98" s="50"/>
      <c r="V98" s="50"/>
    </row>
    <row r="99" spans="1:22" ht="42" customHeight="1" x14ac:dyDescent="0.25">
      <c r="A99" s="96" t="s">
        <v>40</v>
      </c>
      <c r="B99" s="97" t="s">
        <v>82</v>
      </c>
      <c r="C99" s="97" t="s">
        <v>513</v>
      </c>
      <c r="D99" s="79" t="s">
        <v>485</v>
      </c>
      <c r="E99" s="78" t="s">
        <v>518</v>
      </c>
      <c r="F99" s="80" t="str">
        <f>IF(GLOBAL_DATA_01[[#This Row],[Target scope]]="","",INDEX(DATA_TargetStatusChoice[Target_Status_Choice],MATCH(GLOBAL_DATA_01[[#This Row],[Target scope]],DATA_TargetStatusChoice[Value],1)))</f>
        <v>FULL IMPLEMENTATION</v>
      </c>
      <c r="G99" s="72">
        <v>1</v>
      </c>
      <c r="H99" s="81" t="str">
        <f>IF(GLOBAL_DATA_01[[#This Row],[Target status]]&lt;&gt;"FULL IMPLEMENTATION", "&lt;required&gt;"," -")</f>
        <v xml:space="preserve"> -</v>
      </c>
      <c r="I99" s="59" t="s">
        <v>32</v>
      </c>
      <c r="J99" s="60">
        <v>0.3</v>
      </c>
      <c r="K99" s="54"/>
      <c r="L99" s="61"/>
      <c r="M99" s="62"/>
      <c r="N99" s="65" t="s">
        <v>491</v>
      </c>
      <c r="O99" s="71"/>
      <c r="P99" s="71"/>
      <c r="Q99" s="71">
        <v>44356</v>
      </c>
      <c r="R99" s="53"/>
      <c r="S99" s="55"/>
      <c r="T99" s="50"/>
      <c r="U99" s="50"/>
      <c r="V99" s="50"/>
    </row>
  </sheetData>
  <sheetProtection formatColumns="0" formatRows="0" insertColumns="0" insertRows="0" sort="0" autoFilter="0" pivotTables="0"/>
  <protectedRanges>
    <protectedRange sqref="G2:G8" name="Plage1"/>
  </protectedRanges>
  <conditionalFormatting sqref="J2:J50">
    <cfRule type="expression" dxfId="221" priority="1">
      <formula>OR((AND(J2&gt;0,G2="Not applicable")),(AND(J2&gt;0,I2="NO PROJECT")))</formula>
    </cfRule>
  </conditionalFormatting>
  <dataValidations count="7">
    <dataValidation type="date" allowBlank="1" showInputMessage="1" showErrorMessage="1" errorTitle="Date" error="A date is expected." promptTitle="Date" prompt="A date is expected." sqref="O2:O99 Q2:Q99">
      <formula1>43831</formula1>
      <formula2>45291</formula2>
    </dataValidation>
    <dataValidation type="list" allowBlank="1" showInputMessage="1" showErrorMessage="1" sqref="M2:M99">
      <formula1>INDIRECT("DATA_Ressources[Ressources]")</formula1>
    </dataValidation>
    <dataValidation type="list" allowBlank="1" showInputMessage="1" showErrorMessage="1" sqref="I2:I8 I18:I21 I31:I34 I44:I47">
      <formula1>INDIRECT("DATA_StatusChoice[Status_Choice]")</formula1>
    </dataValidation>
    <dataValidation type="list" allowBlank="1" showInputMessage="1" showErrorMessage="1" sqref="G2:G99">
      <formula1>INDIRECT("DATA_Target[Target of scope]")</formula1>
    </dataValidation>
    <dataValidation type="list" allowBlank="1" showInputMessage="1" showErrorMessage="1" sqref="K2:K99">
      <formula1>INDIRECT("DATA_CISOassessment[CISO assessment]")</formula1>
    </dataValidation>
    <dataValidation allowBlank="1" showInputMessage="1" showErrorMessage="1" errorTitle="Date" error="A date is expected." promptTitle="Date" prompt="A date is expected." sqref="P2:P99"/>
    <dataValidation type="decimal" allowBlank="1" showInputMessage="1" showErrorMessage="1" errorTitle="Figures" error="Figures are expected." sqref="J2:J99">
      <formula1>0</formula1>
      <formula2>1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DATA!$I$3:$I$8</xm:f>
          </x14:formula1>
          <xm:sqref>I9:I17 I22:I30 I35:I43 I48:I99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tabColor theme="8"/>
  </sheetPr>
  <dimension ref="A1:V100"/>
  <sheetViews>
    <sheetView showGridLines="0" zoomScale="86" zoomScaleNormal="86" workbookViewId="0">
      <pane xSplit="5" ySplit="1" topLeftCell="F2" activePane="bottomRight" state="frozenSplit"/>
      <selection activeCell="B10" sqref="B10:F10"/>
      <selection pane="topRight" activeCell="B10" sqref="B10:F10"/>
      <selection pane="bottomLeft" activeCell="B10" sqref="B10:F10"/>
      <selection pane="bottomRight" activeCell="A4" sqref="A4"/>
    </sheetView>
  </sheetViews>
  <sheetFormatPr baseColWidth="10" defaultColWidth="11.42578125" defaultRowHeight="15" x14ac:dyDescent="0.25"/>
  <cols>
    <col min="1" max="1" width="5.85546875" style="50" customWidth="1"/>
    <col min="2" max="2" width="10.85546875" style="50" customWidth="1"/>
    <col min="3" max="3" width="12.28515625" style="50" customWidth="1"/>
    <col min="4" max="4" width="12.5703125" style="50" customWidth="1"/>
    <col min="5" max="5" width="6.85546875" style="50" customWidth="1"/>
    <col min="6" max="6" width="11.42578125" style="1"/>
    <col min="7" max="7" width="15" style="52" customWidth="1"/>
    <col min="8" max="8" width="28" style="52" customWidth="1"/>
    <col min="9" max="9" width="11.7109375" style="52" customWidth="1"/>
    <col min="10" max="10" width="15.140625" style="50" customWidth="1"/>
    <col min="11" max="11" width="8.28515625" style="50" customWidth="1"/>
    <col min="12" max="12" width="50.7109375" style="50" customWidth="1"/>
    <col min="13" max="14" width="8.85546875" style="50" customWidth="1"/>
    <col min="15" max="15" width="14.85546875" style="50" customWidth="1"/>
    <col min="16" max="17" width="11.5703125" style="50" customWidth="1"/>
    <col min="18" max="18" width="25.7109375" style="50" customWidth="1"/>
    <col min="19" max="19" width="25.7109375" style="51" customWidth="1" collapsed="1"/>
    <col min="20" max="20" width="10.7109375" style="64" customWidth="1"/>
    <col min="21" max="21" width="9.140625" style="64" customWidth="1"/>
    <col min="22" max="22" width="11.42578125" style="1"/>
    <col min="23" max="23" width="15" style="50" customWidth="1"/>
    <col min="24" max="47" width="12.5703125" style="50" customWidth="1"/>
    <col min="48" max="16384" width="11.42578125" style="50"/>
  </cols>
  <sheetData>
    <row r="1" spans="1:22" s="12" customFormat="1" ht="24" customHeight="1" x14ac:dyDescent="0.25">
      <c r="A1" s="68" t="s">
        <v>510</v>
      </c>
      <c r="B1" s="68" t="s">
        <v>38</v>
      </c>
      <c r="C1" s="68" t="s">
        <v>37</v>
      </c>
      <c r="D1" s="68" t="s">
        <v>521</v>
      </c>
      <c r="E1" s="68" t="s">
        <v>520</v>
      </c>
      <c r="F1" s="69" t="s">
        <v>527</v>
      </c>
      <c r="G1" s="70" t="s">
        <v>539</v>
      </c>
      <c r="H1" s="70" t="s">
        <v>540</v>
      </c>
      <c r="I1" s="73" t="s">
        <v>522</v>
      </c>
      <c r="J1" s="74" t="s">
        <v>526</v>
      </c>
      <c r="K1" s="74" t="s">
        <v>383</v>
      </c>
      <c r="L1" s="74" t="s">
        <v>545</v>
      </c>
      <c r="M1" s="75" t="s">
        <v>553</v>
      </c>
      <c r="N1" s="76" t="s">
        <v>536</v>
      </c>
      <c r="O1" s="76" t="s">
        <v>523</v>
      </c>
      <c r="P1" s="76" t="s">
        <v>524</v>
      </c>
      <c r="Q1" s="76" t="s">
        <v>542</v>
      </c>
      <c r="R1" s="77" t="s">
        <v>537</v>
      </c>
      <c r="S1" s="82" t="s">
        <v>538</v>
      </c>
    </row>
    <row r="2" spans="1:22" ht="42" customHeight="1" x14ac:dyDescent="0.25">
      <c r="A2" s="96" t="s">
        <v>40</v>
      </c>
      <c r="B2" s="97" t="s">
        <v>82</v>
      </c>
      <c r="C2" s="97" t="s">
        <v>513</v>
      </c>
      <c r="D2" s="79" t="s">
        <v>388</v>
      </c>
      <c r="E2" s="78" t="s">
        <v>518</v>
      </c>
      <c r="F2" s="147" t="str">
        <f>IF(GLOBAL_DATA_02[[#This Row],[Target scope]]="","",INDEX(DATA_TargetStatusChoice[Target_Status_Choice],MATCH(GLOBAL_DATA_02[[#This Row],[Target scope]],DATA_TargetStatusChoice[Value],1)))</f>
        <v>PARTIAL IMPLEMENTATION + RA</v>
      </c>
      <c r="G2" s="148">
        <v>0.4</v>
      </c>
      <c r="H2" s="149" t="s">
        <v>617</v>
      </c>
      <c r="I2" s="150" t="s">
        <v>32</v>
      </c>
      <c r="J2" s="151">
        <v>0.2</v>
      </c>
      <c r="K2" s="152" t="s">
        <v>511</v>
      </c>
      <c r="L2" s="153" t="s">
        <v>533</v>
      </c>
      <c r="M2" s="62" t="s">
        <v>534</v>
      </c>
      <c r="N2" s="155"/>
      <c r="O2" s="71">
        <v>43922</v>
      </c>
      <c r="P2" s="71">
        <v>43936</v>
      </c>
      <c r="Q2" s="146">
        <v>43946</v>
      </c>
      <c r="R2" s="154" t="s">
        <v>618</v>
      </c>
      <c r="S2" s="55"/>
      <c r="T2" s="50"/>
      <c r="U2" s="50"/>
      <c r="V2" s="50"/>
    </row>
    <row r="3" spans="1:22" ht="42" customHeight="1" x14ac:dyDescent="0.25">
      <c r="A3" s="96" t="s">
        <v>40</v>
      </c>
      <c r="B3" s="97" t="s">
        <v>82</v>
      </c>
      <c r="C3" s="97" t="s">
        <v>513</v>
      </c>
      <c r="D3" s="79" t="s">
        <v>389</v>
      </c>
      <c r="E3" s="78" t="s">
        <v>486</v>
      </c>
      <c r="F3" s="80" t="str">
        <f>IF(GLOBAL_DATA_02[[#This Row],[Target scope]]="","",INDEX(DATA_TargetStatusChoice[Target_Status_Choice],MATCH(GLOBAL_DATA_02[[#This Row],[Target scope]],DATA_TargetStatusChoice[Value],1)))</f>
        <v/>
      </c>
      <c r="G3" s="72"/>
      <c r="H3" s="81" t="str">
        <f>IF(GLOBAL_DATA_02[[#This Row],[Target status]]&lt;&gt;"FULL IMPLEMENTATION", "&lt;required&gt;"," -")</f>
        <v>&lt;required&gt;</v>
      </c>
      <c r="I3" s="59" t="s">
        <v>33</v>
      </c>
      <c r="J3" s="60">
        <v>1</v>
      </c>
      <c r="K3" s="54" t="s">
        <v>384</v>
      </c>
      <c r="L3" s="61"/>
      <c r="M3" s="62" t="s">
        <v>534</v>
      </c>
      <c r="N3" s="65" t="s">
        <v>489</v>
      </c>
      <c r="O3" s="71"/>
      <c r="P3" s="71"/>
      <c r="Q3" s="71">
        <v>43943</v>
      </c>
      <c r="R3" s="53"/>
      <c r="S3" s="154" t="s">
        <v>618</v>
      </c>
      <c r="T3" s="50"/>
      <c r="U3" s="50"/>
      <c r="V3" s="50"/>
    </row>
    <row r="4" spans="1:22" ht="42" customHeight="1" x14ac:dyDescent="0.25">
      <c r="A4" s="96" t="s">
        <v>40</v>
      </c>
      <c r="B4" s="97" t="s">
        <v>82</v>
      </c>
      <c r="C4" s="97" t="s">
        <v>513</v>
      </c>
      <c r="D4" s="79" t="s">
        <v>390</v>
      </c>
      <c r="E4" s="78" t="s">
        <v>518</v>
      </c>
      <c r="F4" s="80" t="str">
        <f>IF(GLOBAL_DATA_02[[#This Row],[Target scope]]="","",INDEX(DATA_TargetStatusChoice[Target_Status_Choice],MATCH(GLOBAL_DATA_02[[#This Row],[Target scope]],DATA_TargetStatusChoice[Value],1)))</f>
        <v>FULL IMPLEMENTATION</v>
      </c>
      <c r="G4" s="72">
        <v>1</v>
      </c>
      <c r="H4" s="81" t="str">
        <f>IF(GLOBAL_DATA_02[[#This Row],[Target status]]&lt;&gt;"FULL IMPLEMENTATION", "&lt;required&gt;"," -")</f>
        <v xml:space="preserve"> -</v>
      </c>
      <c r="I4" s="59" t="s">
        <v>382</v>
      </c>
      <c r="J4" s="60">
        <v>1</v>
      </c>
      <c r="K4" s="54" t="s">
        <v>385</v>
      </c>
      <c r="L4" s="61"/>
      <c r="M4" s="62"/>
      <c r="N4" s="65" t="s">
        <v>491</v>
      </c>
      <c r="O4" s="71"/>
      <c r="P4" s="71"/>
      <c r="Q4" s="71">
        <v>43944</v>
      </c>
      <c r="R4" s="53"/>
      <c r="S4" s="55"/>
      <c r="T4" s="50"/>
      <c r="U4" s="50"/>
      <c r="V4" s="50"/>
    </row>
    <row r="5" spans="1:22" ht="42" customHeight="1" x14ac:dyDescent="0.25">
      <c r="A5" s="96" t="s">
        <v>40</v>
      </c>
      <c r="B5" s="97" t="s">
        <v>82</v>
      </c>
      <c r="C5" s="97" t="s">
        <v>513</v>
      </c>
      <c r="D5" s="79" t="s">
        <v>391</v>
      </c>
      <c r="E5" s="78" t="s">
        <v>518</v>
      </c>
      <c r="F5" s="80" t="str">
        <f>IF(GLOBAL_DATA_02[[#This Row],[Target scope]]="","",INDEX(DATA_TargetStatusChoice[Target_Status_Choice],MATCH(GLOBAL_DATA_02[[#This Row],[Target scope]],DATA_TargetStatusChoice[Value],1)))</f>
        <v>FULL IMPLEMENTATION</v>
      </c>
      <c r="G5" s="72">
        <v>1</v>
      </c>
      <c r="H5" s="81" t="str">
        <f>IF(GLOBAL_DATA_02[[#This Row],[Target status]]&lt;&gt;"FULL IMPLEMENTATION", "&lt;required&gt;"," -")</f>
        <v xml:space="preserve"> -</v>
      </c>
      <c r="I5" s="59" t="s">
        <v>31</v>
      </c>
      <c r="J5" s="60">
        <v>0</v>
      </c>
      <c r="K5" s="54" t="s">
        <v>385</v>
      </c>
      <c r="L5" s="61" t="s">
        <v>531</v>
      </c>
      <c r="M5" s="62"/>
      <c r="N5" s="65" t="s">
        <v>491</v>
      </c>
      <c r="O5" s="71"/>
      <c r="P5" s="71"/>
      <c r="Q5" s="71">
        <v>43945</v>
      </c>
      <c r="R5" s="53"/>
      <c r="S5" s="55"/>
      <c r="T5" s="50"/>
      <c r="U5" s="50"/>
      <c r="V5" s="50"/>
    </row>
    <row r="6" spans="1:22" ht="42" customHeight="1" x14ac:dyDescent="0.25">
      <c r="A6" s="96" t="s">
        <v>40</v>
      </c>
      <c r="B6" s="97" t="s">
        <v>82</v>
      </c>
      <c r="C6" s="97" t="s">
        <v>513</v>
      </c>
      <c r="D6" s="79" t="s">
        <v>392</v>
      </c>
      <c r="E6" s="78" t="s">
        <v>518</v>
      </c>
      <c r="F6" s="147" t="str">
        <f>IF(GLOBAL_DATA_02[[#This Row],[Target scope]]="","",INDEX(DATA_TargetStatusChoice[Target_Status_Choice],MATCH(GLOBAL_DATA_02[[#This Row],[Target scope]],DATA_TargetStatusChoice[Value],1)))</f>
        <v>FULL IMPLEMENTATION</v>
      </c>
      <c r="G6" s="148">
        <v>1</v>
      </c>
      <c r="H6" s="149" t="str">
        <f>IF(GLOBAL_DATA_02[[#This Row],[Target status]]&lt;&gt;"FULL IMPLEMENTATION", "&lt;required&gt;"," -")</f>
        <v xml:space="preserve"> -</v>
      </c>
      <c r="I6" s="150" t="s">
        <v>33</v>
      </c>
      <c r="J6" s="60">
        <v>1</v>
      </c>
      <c r="K6" s="152" t="s">
        <v>384</v>
      </c>
      <c r="L6" s="153" t="s">
        <v>619</v>
      </c>
      <c r="M6" s="156" t="s">
        <v>535</v>
      </c>
      <c r="N6" s="65" t="s">
        <v>490</v>
      </c>
      <c r="O6" s="71"/>
      <c r="P6" s="71"/>
      <c r="Q6" s="71">
        <v>43946</v>
      </c>
      <c r="R6" s="53"/>
      <c r="S6" s="55"/>
      <c r="T6" s="50"/>
      <c r="U6" s="50"/>
      <c r="V6" s="50"/>
    </row>
    <row r="7" spans="1:22" ht="42" customHeight="1" x14ac:dyDescent="0.25">
      <c r="A7" s="96" t="s">
        <v>40</v>
      </c>
      <c r="B7" s="97" t="s">
        <v>82</v>
      </c>
      <c r="C7" s="97" t="s">
        <v>513</v>
      </c>
      <c r="D7" s="79" t="s">
        <v>393</v>
      </c>
      <c r="E7" s="78" t="s">
        <v>518</v>
      </c>
      <c r="F7" s="80" t="str">
        <f>IF(GLOBAL_DATA_02[[#This Row],[Target scope]]="","",INDEX(DATA_TargetStatusChoice[Target_Status_Choice],MATCH(GLOBAL_DATA_02[[#This Row],[Target scope]],DATA_TargetStatusChoice[Value],1)))</f>
        <v>NOT APPLICABLE</v>
      </c>
      <c r="G7" s="72" t="s">
        <v>75</v>
      </c>
      <c r="H7" s="81" t="str">
        <f>IF(GLOBAL_DATA_02[[#This Row],[Target status]]&lt;&gt;"FULL IMPLEMENTATION", "&lt;required&gt;"," -")</f>
        <v>&lt;required&gt;</v>
      </c>
      <c r="I7" s="59" t="s">
        <v>31</v>
      </c>
      <c r="J7" s="60">
        <v>0</v>
      </c>
      <c r="K7" s="54" t="s">
        <v>511</v>
      </c>
      <c r="L7" s="61" t="s">
        <v>532</v>
      </c>
      <c r="M7" s="62"/>
      <c r="N7" s="65" t="s">
        <v>490</v>
      </c>
      <c r="O7" s="71"/>
      <c r="P7" s="71"/>
      <c r="Q7" s="71">
        <v>43946</v>
      </c>
      <c r="R7" s="53"/>
      <c r="S7" s="55"/>
      <c r="T7" s="50"/>
      <c r="U7" s="50"/>
      <c r="V7" s="50"/>
    </row>
    <row r="8" spans="1:22" ht="42" customHeight="1" x14ac:dyDescent="0.25">
      <c r="A8" s="96" t="s">
        <v>40</v>
      </c>
      <c r="B8" s="97" t="s">
        <v>82</v>
      </c>
      <c r="C8" s="97" t="s">
        <v>513</v>
      </c>
      <c r="D8" s="79" t="s">
        <v>394</v>
      </c>
      <c r="E8" s="78" t="s">
        <v>486</v>
      </c>
      <c r="F8" s="80" t="str">
        <f>IF(GLOBAL_DATA_02[[#This Row],[Target scope]]="","",INDEX(DATA_TargetStatusChoice[Target_Status_Choice],MATCH(GLOBAL_DATA_02[[#This Row],[Target scope]],DATA_TargetStatusChoice[Value],1)))</f>
        <v>PARTIAL IMPLEMENTATION + RA</v>
      </c>
      <c r="G8" s="72">
        <v>0.8</v>
      </c>
      <c r="H8" s="81" t="str">
        <f>IF(GLOBAL_DATA_02[[#This Row],[Target status]]&lt;&gt;"FULL IMPLEMENTATION", "&lt;required&gt;"," -")</f>
        <v>&lt;required&gt;</v>
      </c>
      <c r="I8" s="59" t="s">
        <v>32</v>
      </c>
      <c r="J8" s="60">
        <v>0.8</v>
      </c>
      <c r="K8" s="54"/>
      <c r="L8" s="61" t="s">
        <v>532</v>
      </c>
      <c r="M8" s="62"/>
      <c r="N8" s="65" t="s">
        <v>489</v>
      </c>
      <c r="O8" s="71"/>
      <c r="P8" s="71"/>
      <c r="Q8" s="71">
        <v>43948</v>
      </c>
      <c r="R8" s="53"/>
      <c r="S8" s="55"/>
      <c r="T8" s="50"/>
      <c r="U8" s="50"/>
      <c r="V8" s="50"/>
    </row>
    <row r="9" spans="1:22" ht="42" customHeight="1" x14ac:dyDescent="0.25">
      <c r="A9" s="96" t="s">
        <v>40</v>
      </c>
      <c r="B9" s="97" t="s">
        <v>82</v>
      </c>
      <c r="C9" s="97" t="s">
        <v>513</v>
      </c>
      <c r="D9" s="79" t="s">
        <v>395</v>
      </c>
      <c r="E9" s="78" t="s">
        <v>487</v>
      </c>
      <c r="F9" s="80" t="str">
        <f>IF(GLOBAL_DATA_02[[#This Row],[Target scope]]="","",INDEX(DATA_TargetStatusChoice[Target_Status_Choice],MATCH(GLOBAL_DATA_02[[#This Row],[Target scope]],DATA_TargetStatusChoice[Value],1)))</f>
        <v>PARTIAL IMPLEMENTATION + RA</v>
      </c>
      <c r="G9" s="72">
        <v>0.2</v>
      </c>
      <c r="H9" s="81" t="str">
        <f>IF(GLOBAL_DATA_02[[#This Row],[Target status]]&lt;&gt;"FULL IMPLEMENTATION", "&lt;required&gt;"," -")</f>
        <v>&lt;required&gt;</v>
      </c>
      <c r="I9" s="59" t="s">
        <v>32</v>
      </c>
      <c r="J9" s="60">
        <v>0</v>
      </c>
      <c r="K9" s="54"/>
      <c r="L9" s="61"/>
      <c r="M9" s="62"/>
      <c r="N9" s="65" t="s">
        <v>489</v>
      </c>
      <c r="O9" s="71"/>
      <c r="P9" s="71"/>
      <c r="Q9" s="71">
        <v>43948</v>
      </c>
      <c r="R9" s="53"/>
      <c r="S9" s="55"/>
      <c r="T9" s="50"/>
      <c r="U9" s="50"/>
      <c r="V9" s="50"/>
    </row>
    <row r="10" spans="1:22" ht="42" customHeight="1" x14ac:dyDescent="0.25">
      <c r="A10" s="96" t="s">
        <v>40</v>
      </c>
      <c r="B10" s="97" t="s">
        <v>82</v>
      </c>
      <c r="C10" s="97" t="s">
        <v>513</v>
      </c>
      <c r="D10" s="79" t="s">
        <v>396</v>
      </c>
      <c r="E10" s="78" t="s">
        <v>486</v>
      </c>
      <c r="F10" s="80" t="str">
        <f>IF(GLOBAL_DATA_02[[#This Row],[Target scope]]="","",INDEX(DATA_TargetStatusChoice[Target_Status_Choice],MATCH(GLOBAL_DATA_02[[#This Row],[Target scope]],DATA_TargetStatusChoice[Value],1)))</f>
        <v>PARTIAL IMPLEMENTATION + RA</v>
      </c>
      <c r="G10" s="72">
        <v>0.8</v>
      </c>
      <c r="H10" s="81" t="str">
        <f>IF(GLOBAL_DATA_02[[#This Row],[Target status]]&lt;&gt;"FULL IMPLEMENTATION", "&lt;required&gt;"," -")</f>
        <v>&lt;required&gt;</v>
      </c>
      <c r="I10" s="59" t="s">
        <v>33</v>
      </c>
      <c r="J10" s="60">
        <v>1</v>
      </c>
      <c r="K10" s="54"/>
      <c r="L10" s="61"/>
      <c r="M10" s="62"/>
      <c r="N10" s="65" t="s">
        <v>489</v>
      </c>
      <c r="O10" s="71"/>
      <c r="P10" s="71"/>
      <c r="Q10" s="71">
        <v>43950</v>
      </c>
      <c r="R10" s="53"/>
      <c r="S10" s="55"/>
      <c r="T10" s="50"/>
      <c r="U10" s="50"/>
      <c r="V10" s="50"/>
    </row>
    <row r="11" spans="1:22" ht="42" customHeight="1" x14ac:dyDescent="0.25">
      <c r="A11" s="96" t="s">
        <v>40</v>
      </c>
      <c r="B11" s="97" t="s">
        <v>82</v>
      </c>
      <c r="C11" s="97" t="s">
        <v>513</v>
      </c>
      <c r="D11" s="79" t="s">
        <v>397</v>
      </c>
      <c r="E11" s="78" t="s">
        <v>486</v>
      </c>
      <c r="F11" s="80" t="str">
        <f>IF(GLOBAL_DATA_02[[#This Row],[Target scope]]="","",INDEX(DATA_TargetStatusChoice[Target_Status_Choice],MATCH(GLOBAL_DATA_02[[#This Row],[Target scope]],DATA_TargetStatusChoice[Value],1)))</f>
        <v>PARTIAL IMPLEMENTATION + RA</v>
      </c>
      <c r="G11" s="72">
        <v>0.8</v>
      </c>
      <c r="H11" s="81" t="str">
        <f>IF(GLOBAL_DATA_02[[#This Row],[Target status]]&lt;&gt;"FULL IMPLEMENTATION", "&lt;required&gt;"," -")</f>
        <v>&lt;required&gt;</v>
      </c>
      <c r="I11" s="59" t="s">
        <v>35</v>
      </c>
      <c r="J11" s="60">
        <v>1</v>
      </c>
      <c r="K11" s="54"/>
      <c r="L11" s="61"/>
      <c r="M11" s="62"/>
      <c r="N11" s="65" t="s">
        <v>489</v>
      </c>
      <c r="O11" s="71"/>
      <c r="P11" s="71"/>
      <c r="Q11" s="71">
        <v>43951</v>
      </c>
      <c r="R11" s="53"/>
      <c r="S11" s="55"/>
      <c r="T11" s="50"/>
      <c r="U11" s="50"/>
      <c r="V11" s="50"/>
    </row>
    <row r="12" spans="1:22" ht="42" customHeight="1" x14ac:dyDescent="0.25">
      <c r="A12" s="96" t="s">
        <v>40</v>
      </c>
      <c r="B12" s="97" t="s">
        <v>82</v>
      </c>
      <c r="C12" s="97" t="s">
        <v>513</v>
      </c>
      <c r="D12" s="79" t="s">
        <v>398</v>
      </c>
      <c r="E12" s="78" t="s">
        <v>518</v>
      </c>
      <c r="F12" s="147" t="str">
        <f>IF(GLOBAL_DATA_02[[#This Row],[Target scope]]="","",INDEX(DATA_TargetStatusChoice[Target_Status_Choice],MATCH(GLOBAL_DATA_02[[#This Row],[Target scope]],DATA_TargetStatusChoice[Value],1)))</f>
        <v>FULL IMPLEMENTATION</v>
      </c>
      <c r="G12" s="148">
        <v>1</v>
      </c>
      <c r="H12" s="149" t="str">
        <f>IF(GLOBAL_DATA_02[[#This Row],[Target status]]&lt;&gt;"FULL IMPLEMENTATION", "&lt;required&gt;"," -")</f>
        <v xml:space="preserve"> -</v>
      </c>
      <c r="I12" s="150" t="s">
        <v>32</v>
      </c>
      <c r="J12" s="151">
        <v>0.5</v>
      </c>
      <c r="K12" s="152" t="s">
        <v>384</v>
      </c>
      <c r="L12" s="61"/>
      <c r="M12" s="62"/>
      <c r="N12" s="65" t="s">
        <v>490</v>
      </c>
      <c r="O12" s="71"/>
      <c r="P12" s="71"/>
      <c r="Q12" s="71"/>
      <c r="R12" s="53"/>
      <c r="S12" s="55"/>
      <c r="T12" s="50"/>
      <c r="U12" s="50"/>
      <c r="V12" s="50"/>
    </row>
    <row r="13" spans="1:22" ht="42" customHeight="1" x14ac:dyDescent="0.25">
      <c r="A13" s="96" t="s">
        <v>40</v>
      </c>
      <c r="B13" s="97" t="s">
        <v>82</v>
      </c>
      <c r="C13" s="97" t="s">
        <v>513</v>
      </c>
      <c r="D13" s="79" t="s">
        <v>399</v>
      </c>
      <c r="E13" s="78" t="s">
        <v>518</v>
      </c>
      <c r="F13" s="80" t="str">
        <f>IF(GLOBAL_DATA_02[[#This Row],[Target scope]]="","",INDEX(DATA_TargetStatusChoice[Target_Status_Choice],MATCH(GLOBAL_DATA_02[[#This Row],[Target scope]],DATA_TargetStatusChoice[Value],1)))</f>
        <v>FULL IMPLEMENTATION</v>
      </c>
      <c r="G13" s="72">
        <v>1</v>
      </c>
      <c r="H13" s="81" t="str">
        <f>IF(GLOBAL_DATA_02[[#This Row],[Target status]]&lt;&gt;"FULL IMPLEMENTATION", "&lt;required&gt;"," -")</f>
        <v xml:space="preserve"> -</v>
      </c>
      <c r="I13" s="59" t="s">
        <v>33</v>
      </c>
      <c r="J13" s="60">
        <v>1</v>
      </c>
      <c r="K13" s="54"/>
      <c r="L13" s="61"/>
      <c r="M13" s="62"/>
      <c r="N13" s="65" t="s">
        <v>490</v>
      </c>
      <c r="O13" s="71"/>
      <c r="P13" s="71"/>
      <c r="Q13" s="71">
        <v>44317</v>
      </c>
      <c r="R13" s="53"/>
      <c r="S13" s="55"/>
      <c r="T13" s="50"/>
      <c r="U13" s="50"/>
      <c r="V13" s="50"/>
    </row>
    <row r="14" spans="1:22" ht="42" customHeight="1" x14ac:dyDescent="0.25">
      <c r="A14" s="96" t="s">
        <v>40</v>
      </c>
      <c r="B14" s="97" t="s">
        <v>82</v>
      </c>
      <c r="C14" s="97" t="s">
        <v>513</v>
      </c>
      <c r="D14" s="79" t="s">
        <v>400</v>
      </c>
      <c r="E14" s="78" t="s">
        <v>487</v>
      </c>
      <c r="F14" s="80" t="str">
        <f>IF(GLOBAL_DATA_02[[#This Row],[Target scope]]="","",INDEX(DATA_TargetStatusChoice[Target_Status_Choice],MATCH(GLOBAL_DATA_02[[#This Row],[Target scope]],DATA_TargetStatusChoice[Value],1)))</f>
        <v>RISK ACCEPTED</v>
      </c>
      <c r="G14" s="72">
        <v>0</v>
      </c>
      <c r="H14" s="81" t="str">
        <f>IF(GLOBAL_DATA_02[[#This Row],[Target status]]&lt;&gt;"FULL IMPLEMENTATION", "&lt;required&gt;"," -")</f>
        <v>&lt;required&gt;</v>
      </c>
      <c r="I14" s="59" t="s">
        <v>550</v>
      </c>
      <c r="J14" s="60">
        <v>0</v>
      </c>
      <c r="K14" s="54"/>
      <c r="L14" s="61"/>
      <c r="M14" s="62"/>
      <c r="N14" s="65" t="s">
        <v>489</v>
      </c>
      <c r="O14" s="71"/>
      <c r="P14" s="71"/>
      <c r="Q14" s="71"/>
      <c r="R14" s="53"/>
      <c r="S14" s="55"/>
      <c r="T14" s="50"/>
      <c r="U14" s="50"/>
      <c r="V14" s="50"/>
    </row>
    <row r="15" spans="1:22" ht="42" customHeight="1" x14ac:dyDescent="0.25">
      <c r="A15" s="96" t="s">
        <v>40</v>
      </c>
      <c r="B15" s="97" t="s">
        <v>82</v>
      </c>
      <c r="C15" s="97" t="s">
        <v>513</v>
      </c>
      <c r="D15" s="79" t="s">
        <v>401</v>
      </c>
      <c r="E15" s="78" t="s">
        <v>518</v>
      </c>
      <c r="F15" s="80" t="str">
        <f>IF(GLOBAL_DATA_02[[#This Row],[Target scope]]="","",INDEX(DATA_TargetStatusChoice[Target_Status_Choice],MATCH(GLOBAL_DATA_02[[#This Row],[Target scope]],DATA_TargetStatusChoice[Value],1)))</f>
        <v>NOT APPLICABLE</v>
      </c>
      <c r="G15" s="72" t="s">
        <v>75</v>
      </c>
      <c r="H15" s="81" t="str">
        <f>IF(GLOBAL_DATA_02[[#This Row],[Target status]]&lt;&gt;"FULL IMPLEMENTATION", "&lt;required&gt;"," -")</f>
        <v>&lt;required&gt;</v>
      </c>
      <c r="I15" s="59" t="s">
        <v>550</v>
      </c>
      <c r="J15" s="60">
        <v>0</v>
      </c>
      <c r="K15" s="54"/>
      <c r="L15" s="61"/>
      <c r="M15" s="62"/>
      <c r="N15" s="65" t="s">
        <v>490</v>
      </c>
      <c r="O15" s="71"/>
      <c r="P15" s="71"/>
      <c r="Q15" s="71"/>
      <c r="R15" s="53"/>
      <c r="S15" s="55"/>
      <c r="T15" s="50"/>
      <c r="U15" s="50"/>
      <c r="V15" s="50"/>
    </row>
    <row r="16" spans="1:22" ht="42" customHeight="1" x14ac:dyDescent="0.25">
      <c r="A16" s="96" t="s">
        <v>40</v>
      </c>
      <c r="B16" s="97" t="s">
        <v>82</v>
      </c>
      <c r="C16" s="97" t="s">
        <v>513</v>
      </c>
      <c r="D16" s="79" t="s">
        <v>402</v>
      </c>
      <c r="E16" s="78" t="s">
        <v>518</v>
      </c>
      <c r="F16" s="80" t="str">
        <f>IF(GLOBAL_DATA_02[[#This Row],[Target scope]]="","",INDEX(DATA_TargetStatusChoice[Target_Status_Choice],MATCH(GLOBAL_DATA_02[[#This Row],[Target scope]],DATA_TargetStatusChoice[Value],1)))</f>
        <v>PARTIAL IMPLEMENTATION + RA</v>
      </c>
      <c r="G16" s="72">
        <v>0.8</v>
      </c>
      <c r="H16" s="81" t="str">
        <f>IF(GLOBAL_DATA_02[[#This Row],[Target status]]&lt;&gt;"FULL IMPLEMENTATION", "&lt;required&gt;"," -")</f>
        <v>&lt;required&gt;</v>
      </c>
      <c r="I16" s="59" t="s">
        <v>382</v>
      </c>
      <c r="J16" s="60">
        <v>1</v>
      </c>
      <c r="K16" s="54"/>
      <c r="L16" s="61"/>
      <c r="M16" s="62"/>
      <c r="N16" s="65" t="s">
        <v>491</v>
      </c>
      <c r="O16" s="71"/>
      <c r="P16" s="71"/>
      <c r="Q16" s="71">
        <v>44317</v>
      </c>
      <c r="R16" s="53"/>
      <c r="S16" s="55"/>
      <c r="T16" s="50"/>
      <c r="U16" s="50"/>
      <c r="V16" s="50"/>
    </row>
    <row r="17" spans="1:22" ht="42" customHeight="1" x14ac:dyDescent="0.25">
      <c r="A17" s="96" t="s">
        <v>40</v>
      </c>
      <c r="B17" s="97" t="s">
        <v>82</v>
      </c>
      <c r="C17" s="97" t="s">
        <v>513</v>
      </c>
      <c r="D17" s="79" t="s">
        <v>403</v>
      </c>
      <c r="E17" s="78" t="s">
        <v>518</v>
      </c>
      <c r="F17" s="80" t="str">
        <f>IF(GLOBAL_DATA_02[[#This Row],[Target scope]]="","",INDEX(DATA_TargetStatusChoice[Target_Status_Choice],MATCH(GLOBAL_DATA_02[[#This Row],[Target scope]],DATA_TargetStatusChoice[Value],1)))</f>
        <v>PARTIAL IMPLEMENTATION + RA</v>
      </c>
      <c r="G17" s="72">
        <v>0.8</v>
      </c>
      <c r="H17" s="81" t="str">
        <f>IF(GLOBAL_DATA_02[[#This Row],[Target status]]&lt;&gt;"FULL IMPLEMENTATION", "&lt;required&gt;"," -")</f>
        <v>&lt;required&gt;</v>
      </c>
      <c r="I17" s="59" t="s">
        <v>32</v>
      </c>
      <c r="J17" s="60">
        <v>0.8</v>
      </c>
      <c r="K17" s="54"/>
      <c r="L17" s="61"/>
      <c r="M17" s="62"/>
      <c r="N17" s="65" t="s">
        <v>490</v>
      </c>
      <c r="O17" s="71"/>
      <c r="P17" s="71"/>
      <c r="Q17" s="71">
        <v>44317</v>
      </c>
      <c r="R17" s="53"/>
      <c r="S17" s="55"/>
      <c r="T17" s="50"/>
      <c r="U17" s="50"/>
      <c r="V17" s="50"/>
    </row>
    <row r="18" spans="1:22" ht="42" customHeight="1" x14ac:dyDescent="0.25">
      <c r="A18" s="96" t="s">
        <v>40</v>
      </c>
      <c r="B18" s="97" t="s">
        <v>82</v>
      </c>
      <c r="C18" s="97" t="s">
        <v>513</v>
      </c>
      <c r="D18" s="79" t="s">
        <v>404</v>
      </c>
      <c r="E18" s="78" t="s">
        <v>518</v>
      </c>
      <c r="F18" s="80" t="str">
        <f>IF(GLOBAL_DATA_02[[#This Row],[Target scope]]="","",INDEX(DATA_TargetStatusChoice[Target_Status_Choice],MATCH(GLOBAL_DATA_02[[#This Row],[Target scope]],DATA_TargetStatusChoice[Value],1)))</f>
        <v>PARTIAL IMPLEMENTATION + RA</v>
      </c>
      <c r="G18" s="72">
        <v>0.6</v>
      </c>
      <c r="H18" s="81" t="str">
        <f>IF(GLOBAL_DATA_02[[#This Row],[Target status]]&lt;&gt;"FULL IMPLEMENTATION", "&lt;required&gt;"," -")</f>
        <v>&lt;required&gt;</v>
      </c>
      <c r="I18" s="59" t="s">
        <v>31</v>
      </c>
      <c r="J18" s="60">
        <v>0</v>
      </c>
      <c r="K18" s="54"/>
      <c r="L18" s="61"/>
      <c r="M18" s="62"/>
      <c r="N18" s="65" t="s">
        <v>490</v>
      </c>
      <c r="O18" s="71"/>
      <c r="P18" s="71"/>
      <c r="Q18" s="71">
        <v>44317</v>
      </c>
      <c r="R18" s="53"/>
      <c r="S18" s="55"/>
      <c r="T18" s="50"/>
      <c r="U18" s="50"/>
      <c r="V18" s="50"/>
    </row>
    <row r="19" spans="1:22" ht="42" customHeight="1" x14ac:dyDescent="0.25">
      <c r="A19" s="96" t="s">
        <v>40</v>
      </c>
      <c r="B19" s="97" t="s">
        <v>82</v>
      </c>
      <c r="C19" s="97" t="s">
        <v>513</v>
      </c>
      <c r="D19" s="79" t="s">
        <v>405</v>
      </c>
      <c r="E19" s="78" t="s">
        <v>518</v>
      </c>
      <c r="F19" s="80" t="str">
        <f>IF(GLOBAL_DATA_02[[#This Row],[Target scope]]="","",INDEX(DATA_TargetStatusChoice[Target_Status_Choice],MATCH(GLOBAL_DATA_02[[#This Row],[Target scope]],DATA_TargetStatusChoice[Value],1)))</f>
        <v>FULL IMPLEMENTATION</v>
      </c>
      <c r="G19" s="72">
        <v>1</v>
      </c>
      <c r="H19" s="81" t="str">
        <f>IF(GLOBAL_DATA_02[[#This Row],[Target status]]&lt;&gt;"FULL IMPLEMENTATION", "&lt;required&gt;"," -")</f>
        <v xml:space="preserve"> -</v>
      </c>
      <c r="I19" s="59" t="s">
        <v>31</v>
      </c>
      <c r="J19" s="60">
        <v>0</v>
      </c>
      <c r="K19" s="54"/>
      <c r="L19" s="61"/>
      <c r="M19" s="62"/>
      <c r="N19" s="65" t="s">
        <v>492</v>
      </c>
      <c r="O19" s="71"/>
      <c r="P19" s="71"/>
      <c r="Q19" s="71">
        <v>44317</v>
      </c>
      <c r="R19" s="53"/>
      <c r="S19" s="55"/>
      <c r="T19" s="50"/>
      <c r="U19" s="50"/>
      <c r="V19" s="50"/>
    </row>
    <row r="20" spans="1:22" ht="42" customHeight="1" x14ac:dyDescent="0.25">
      <c r="A20" s="96" t="s">
        <v>40</v>
      </c>
      <c r="B20" s="97" t="s">
        <v>82</v>
      </c>
      <c r="C20" s="97" t="s">
        <v>513</v>
      </c>
      <c r="D20" s="79" t="s">
        <v>406</v>
      </c>
      <c r="E20" s="78" t="s">
        <v>518</v>
      </c>
      <c r="F20" s="80" t="str">
        <f>IF(GLOBAL_DATA_02[[#This Row],[Target scope]]="","",INDEX(DATA_TargetStatusChoice[Target_Status_Choice],MATCH(GLOBAL_DATA_02[[#This Row],[Target scope]],DATA_TargetStatusChoice[Value],1)))</f>
        <v>PARTIAL IMPLEMENTATION + RA</v>
      </c>
      <c r="G20" s="72">
        <v>0.6</v>
      </c>
      <c r="H20" s="81" t="str">
        <f>IF(GLOBAL_DATA_02[[#This Row],[Target status]]&lt;&gt;"FULL IMPLEMENTATION", "&lt;required&gt;"," -")</f>
        <v>&lt;required&gt;</v>
      </c>
      <c r="I20" s="59" t="s">
        <v>31</v>
      </c>
      <c r="J20" s="60">
        <v>0</v>
      </c>
      <c r="K20" s="54"/>
      <c r="L20" s="61"/>
      <c r="M20" s="62"/>
      <c r="N20" s="65" t="s">
        <v>492</v>
      </c>
      <c r="O20" s="71"/>
      <c r="P20" s="71"/>
      <c r="Q20" s="71">
        <v>44317</v>
      </c>
      <c r="R20" s="53"/>
      <c r="S20" s="55"/>
      <c r="T20" s="50"/>
      <c r="U20" s="50"/>
      <c r="V20" s="50"/>
    </row>
    <row r="21" spans="1:22" ht="42" customHeight="1" x14ac:dyDescent="0.25">
      <c r="A21" s="96" t="s">
        <v>40</v>
      </c>
      <c r="B21" s="97" t="s">
        <v>82</v>
      </c>
      <c r="C21" s="97" t="s">
        <v>513</v>
      </c>
      <c r="D21" s="79" t="s">
        <v>407</v>
      </c>
      <c r="E21" s="78" t="s">
        <v>518</v>
      </c>
      <c r="F21" s="80" t="str">
        <f>IF(GLOBAL_DATA_02[[#This Row],[Target scope]]="","",INDEX(DATA_TargetStatusChoice[Target_Status_Choice],MATCH(GLOBAL_DATA_02[[#This Row],[Target scope]],DATA_TargetStatusChoice[Value],1)))</f>
        <v>PARTIAL IMPLEMENTATION + RA</v>
      </c>
      <c r="G21" s="72">
        <v>0.6</v>
      </c>
      <c r="H21" s="81" t="str">
        <f>IF(GLOBAL_DATA_02[[#This Row],[Target status]]&lt;&gt;"FULL IMPLEMENTATION", "&lt;required&gt;"," -")</f>
        <v>&lt;required&gt;</v>
      </c>
      <c r="I21" s="59" t="s">
        <v>31</v>
      </c>
      <c r="J21" s="60">
        <v>0</v>
      </c>
      <c r="K21" s="54"/>
      <c r="L21" s="61"/>
      <c r="M21" s="62"/>
      <c r="N21" s="65" t="s">
        <v>490</v>
      </c>
      <c r="O21" s="71"/>
      <c r="P21" s="71"/>
      <c r="Q21" s="71">
        <v>44317</v>
      </c>
      <c r="R21" s="53"/>
      <c r="S21" s="55"/>
      <c r="T21" s="50"/>
      <c r="U21" s="50"/>
      <c r="V21" s="50"/>
    </row>
    <row r="22" spans="1:22" ht="42" customHeight="1" x14ac:dyDescent="0.25">
      <c r="A22" s="96" t="s">
        <v>40</v>
      </c>
      <c r="B22" s="97" t="s">
        <v>82</v>
      </c>
      <c r="C22" s="97" t="s">
        <v>513</v>
      </c>
      <c r="D22" s="79" t="s">
        <v>408</v>
      </c>
      <c r="E22" s="78" t="s">
        <v>518</v>
      </c>
      <c r="F22" s="80" t="str">
        <f>IF(GLOBAL_DATA_02[[#This Row],[Target scope]]="","",INDEX(DATA_TargetStatusChoice[Target_Status_Choice],MATCH(GLOBAL_DATA_02[[#This Row],[Target scope]],DATA_TargetStatusChoice[Value],1)))</f>
        <v>PARTIAL IMPLEMENTATION + RA</v>
      </c>
      <c r="G22" s="72">
        <v>0.8</v>
      </c>
      <c r="H22" s="81" t="str">
        <f>IF(GLOBAL_DATA_02[[#This Row],[Target status]]&lt;&gt;"FULL IMPLEMENTATION", "&lt;required&gt;"," -")</f>
        <v>&lt;required&gt;</v>
      </c>
      <c r="I22" s="59" t="s">
        <v>31</v>
      </c>
      <c r="J22" s="60">
        <v>0</v>
      </c>
      <c r="K22" s="54"/>
      <c r="L22" s="61"/>
      <c r="M22" s="62"/>
      <c r="N22" s="65" t="s">
        <v>490</v>
      </c>
      <c r="O22" s="71"/>
      <c r="P22" s="71"/>
      <c r="Q22" s="71">
        <v>44317</v>
      </c>
      <c r="R22" s="53"/>
      <c r="S22" s="55"/>
      <c r="T22" s="50"/>
      <c r="U22" s="50"/>
      <c r="V22" s="50"/>
    </row>
    <row r="23" spans="1:22" ht="42" customHeight="1" x14ac:dyDescent="0.25">
      <c r="A23" s="96" t="s">
        <v>40</v>
      </c>
      <c r="B23" s="97" t="s">
        <v>82</v>
      </c>
      <c r="C23" s="97" t="s">
        <v>513</v>
      </c>
      <c r="D23" s="79" t="s">
        <v>409</v>
      </c>
      <c r="E23" s="78" t="s">
        <v>518</v>
      </c>
      <c r="F23" s="80" t="str">
        <f>IF(GLOBAL_DATA_02[[#This Row],[Target scope]]="","",INDEX(DATA_TargetStatusChoice[Target_Status_Choice],MATCH(GLOBAL_DATA_02[[#This Row],[Target scope]],DATA_TargetStatusChoice[Value],1)))</f>
        <v>FULL IMPLEMENTATION</v>
      </c>
      <c r="G23" s="72">
        <v>1</v>
      </c>
      <c r="H23" s="81" t="str">
        <f>IF(GLOBAL_DATA_02[[#This Row],[Target status]]&lt;&gt;"FULL IMPLEMENTATION", "&lt;required&gt;"," -")</f>
        <v xml:space="preserve"> -</v>
      </c>
      <c r="I23" s="59" t="s">
        <v>31</v>
      </c>
      <c r="J23" s="60">
        <v>0</v>
      </c>
      <c r="K23" s="54"/>
      <c r="L23" s="61"/>
      <c r="M23" s="62"/>
      <c r="N23" s="65" t="s">
        <v>491</v>
      </c>
      <c r="O23" s="71"/>
      <c r="P23" s="71"/>
      <c r="Q23" s="71">
        <v>44317</v>
      </c>
      <c r="R23" s="53"/>
      <c r="S23" s="55"/>
      <c r="T23" s="50"/>
      <c r="U23" s="50"/>
      <c r="V23" s="50"/>
    </row>
    <row r="24" spans="1:22" ht="42" customHeight="1" x14ac:dyDescent="0.25">
      <c r="A24" s="96" t="s">
        <v>40</v>
      </c>
      <c r="B24" s="97" t="s">
        <v>82</v>
      </c>
      <c r="C24" s="97" t="s">
        <v>513</v>
      </c>
      <c r="D24" s="79" t="s">
        <v>410</v>
      </c>
      <c r="E24" s="78" t="s">
        <v>518</v>
      </c>
      <c r="F24" s="80" t="str">
        <f>IF(GLOBAL_DATA_02[[#This Row],[Target scope]]="","",INDEX(DATA_TargetStatusChoice[Target_Status_Choice],MATCH(GLOBAL_DATA_02[[#This Row],[Target scope]],DATA_TargetStatusChoice[Value],1)))</f>
        <v>PARTIAL IMPLEMENTATION + RA</v>
      </c>
      <c r="G24" s="72">
        <v>0.8</v>
      </c>
      <c r="H24" s="81" t="str">
        <f>IF(GLOBAL_DATA_02[[#This Row],[Target status]]&lt;&gt;"FULL IMPLEMENTATION", "&lt;required&gt;"," -")</f>
        <v>&lt;required&gt;</v>
      </c>
      <c r="I24" s="59" t="s">
        <v>35</v>
      </c>
      <c r="J24" s="60">
        <v>1</v>
      </c>
      <c r="K24" s="54"/>
      <c r="L24" s="61"/>
      <c r="M24" s="62"/>
      <c r="N24" s="65" t="s">
        <v>490</v>
      </c>
      <c r="O24" s="71"/>
      <c r="P24" s="71"/>
      <c r="Q24" s="71">
        <v>44317</v>
      </c>
      <c r="R24" s="53"/>
      <c r="S24" s="55"/>
      <c r="T24" s="50"/>
      <c r="U24" s="50"/>
      <c r="V24" s="50"/>
    </row>
    <row r="25" spans="1:22" ht="42" customHeight="1" x14ac:dyDescent="0.25">
      <c r="A25" s="96" t="s">
        <v>40</v>
      </c>
      <c r="B25" s="97" t="s">
        <v>82</v>
      </c>
      <c r="C25" s="97" t="s">
        <v>513</v>
      </c>
      <c r="D25" s="79" t="s">
        <v>411</v>
      </c>
      <c r="E25" s="78" t="s">
        <v>518</v>
      </c>
      <c r="F25" s="80" t="str">
        <f>IF(GLOBAL_DATA_02[[#This Row],[Target scope]]="","",INDEX(DATA_TargetStatusChoice[Target_Status_Choice],MATCH(GLOBAL_DATA_02[[#This Row],[Target scope]],DATA_TargetStatusChoice[Value],1)))</f>
        <v>FULL IMPLEMENTATION</v>
      </c>
      <c r="G25" s="72">
        <v>1</v>
      </c>
      <c r="H25" s="81" t="str">
        <f>IF(GLOBAL_DATA_02[[#This Row],[Target status]]&lt;&gt;"FULL IMPLEMENTATION", "&lt;required&gt;"," -")</f>
        <v xml:space="preserve"> -</v>
      </c>
      <c r="I25" s="59" t="s">
        <v>33</v>
      </c>
      <c r="J25" s="60">
        <v>1</v>
      </c>
      <c r="K25" s="54"/>
      <c r="L25" s="61"/>
      <c r="M25" s="62"/>
      <c r="N25" s="65" t="s">
        <v>491</v>
      </c>
      <c r="O25" s="71"/>
      <c r="P25" s="71"/>
      <c r="Q25" s="71">
        <v>44317</v>
      </c>
      <c r="R25" s="53"/>
      <c r="S25" s="55"/>
      <c r="T25" s="50"/>
      <c r="U25" s="50"/>
      <c r="V25" s="50"/>
    </row>
    <row r="26" spans="1:22" ht="42" customHeight="1" x14ac:dyDescent="0.25">
      <c r="A26" s="96" t="s">
        <v>40</v>
      </c>
      <c r="B26" s="97" t="s">
        <v>82</v>
      </c>
      <c r="C26" s="97" t="s">
        <v>513</v>
      </c>
      <c r="D26" s="79" t="s">
        <v>412</v>
      </c>
      <c r="E26" s="78" t="s">
        <v>518</v>
      </c>
      <c r="F26" s="80" t="str">
        <f>IF(GLOBAL_DATA_02[[#This Row],[Target scope]]="","",INDEX(DATA_TargetStatusChoice[Target_Status_Choice],MATCH(GLOBAL_DATA_02[[#This Row],[Target scope]],DATA_TargetStatusChoice[Value],1)))</f>
        <v>FULL IMPLEMENTATION</v>
      </c>
      <c r="G26" s="72">
        <v>1</v>
      </c>
      <c r="H26" s="81" t="str">
        <f>IF(GLOBAL_DATA_02[[#This Row],[Target status]]&lt;&gt;"FULL IMPLEMENTATION", "&lt;required&gt;"," -")</f>
        <v xml:space="preserve"> -</v>
      </c>
      <c r="I26" s="59" t="s">
        <v>33</v>
      </c>
      <c r="J26" s="60">
        <v>1</v>
      </c>
      <c r="K26" s="54"/>
      <c r="L26" s="61"/>
      <c r="M26" s="62"/>
      <c r="N26" s="65" t="s">
        <v>490</v>
      </c>
      <c r="O26" s="71"/>
      <c r="P26" s="71"/>
      <c r="Q26" s="71">
        <v>44317</v>
      </c>
      <c r="R26" s="154" t="s">
        <v>621</v>
      </c>
      <c r="S26" s="154" t="s">
        <v>621</v>
      </c>
      <c r="T26" s="50"/>
      <c r="U26" s="50"/>
      <c r="V26" s="50"/>
    </row>
    <row r="27" spans="1:22" ht="42" customHeight="1" x14ac:dyDescent="0.25">
      <c r="A27" s="96" t="s">
        <v>40</v>
      </c>
      <c r="B27" s="97" t="s">
        <v>82</v>
      </c>
      <c r="C27" s="97" t="s">
        <v>513</v>
      </c>
      <c r="D27" s="79" t="s">
        <v>413</v>
      </c>
      <c r="E27" s="78" t="s">
        <v>487</v>
      </c>
      <c r="F27" s="80" t="str">
        <f>IF(GLOBAL_DATA_02[[#This Row],[Target scope]]="","",INDEX(DATA_TargetStatusChoice[Target_Status_Choice],MATCH(GLOBAL_DATA_02[[#This Row],[Target scope]],DATA_TargetStatusChoice[Value],1)))</f>
        <v>FULL IMPLEMENTATION</v>
      </c>
      <c r="G27" s="72">
        <v>1</v>
      </c>
      <c r="H27" s="81" t="str">
        <f>IF(GLOBAL_DATA_02[[#This Row],[Target status]]&lt;&gt;"FULL IMPLEMENTATION", "&lt;required&gt;"," -")</f>
        <v xml:space="preserve"> -</v>
      </c>
      <c r="I27" s="150" t="s">
        <v>35</v>
      </c>
      <c r="J27" s="60">
        <v>1</v>
      </c>
      <c r="K27" s="54"/>
      <c r="L27" s="153" t="s">
        <v>620</v>
      </c>
      <c r="M27" s="156" t="s">
        <v>535</v>
      </c>
      <c r="N27" s="65" t="s">
        <v>489</v>
      </c>
      <c r="O27" s="71"/>
      <c r="P27" s="71"/>
      <c r="Q27" s="71">
        <v>44317</v>
      </c>
      <c r="R27" s="53"/>
      <c r="S27" s="55"/>
      <c r="T27" s="50"/>
      <c r="U27" s="50"/>
      <c r="V27" s="50"/>
    </row>
    <row r="28" spans="1:22" ht="42" customHeight="1" x14ac:dyDescent="0.25">
      <c r="A28" s="96" t="s">
        <v>40</v>
      </c>
      <c r="B28" s="97" t="s">
        <v>82</v>
      </c>
      <c r="C28" s="97" t="s">
        <v>513</v>
      </c>
      <c r="D28" s="79" t="s">
        <v>414</v>
      </c>
      <c r="E28" s="78" t="s">
        <v>486</v>
      </c>
      <c r="F28" s="80" t="str">
        <f>IF(GLOBAL_DATA_02[[#This Row],[Target scope]]="","",INDEX(DATA_TargetStatusChoice[Target_Status_Choice],MATCH(GLOBAL_DATA_02[[#This Row],[Target scope]],DATA_TargetStatusChoice[Value],1)))</f>
        <v>PARTIAL IMPLEMENTATION + RA</v>
      </c>
      <c r="G28" s="72">
        <v>0.8</v>
      </c>
      <c r="H28" s="81" t="str">
        <f>IF(GLOBAL_DATA_02[[#This Row],[Target status]]&lt;&gt;"FULL IMPLEMENTATION", "&lt;required&gt;"," -")</f>
        <v>&lt;required&gt;</v>
      </c>
      <c r="I28" s="59" t="s">
        <v>32</v>
      </c>
      <c r="J28" s="60">
        <v>0.8</v>
      </c>
      <c r="K28" s="54"/>
      <c r="L28" s="61"/>
      <c r="M28" s="62"/>
      <c r="N28" s="65" t="s">
        <v>489</v>
      </c>
      <c r="O28" s="71"/>
      <c r="P28" s="71"/>
      <c r="Q28" s="71">
        <v>44317</v>
      </c>
      <c r="R28" s="53"/>
      <c r="S28" s="55"/>
      <c r="T28" s="50"/>
      <c r="U28" s="50"/>
      <c r="V28" s="50"/>
    </row>
    <row r="29" spans="1:22" ht="42" customHeight="1" x14ac:dyDescent="0.25">
      <c r="A29" s="96" t="s">
        <v>40</v>
      </c>
      <c r="B29" s="97" t="s">
        <v>82</v>
      </c>
      <c r="C29" s="97" t="s">
        <v>513</v>
      </c>
      <c r="D29" s="79" t="s">
        <v>415</v>
      </c>
      <c r="E29" s="78" t="s">
        <v>486</v>
      </c>
      <c r="F29" s="80" t="str">
        <f>IF(GLOBAL_DATA_02[[#This Row],[Target scope]]="","",INDEX(DATA_TargetStatusChoice[Target_Status_Choice],MATCH(GLOBAL_DATA_02[[#This Row],[Target scope]],DATA_TargetStatusChoice[Value],1)))</f>
        <v>PARTIAL IMPLEMENTATION + RA</v>
      </c>
      <c r="G29" s="72">
        <v>0.8</v>
      </c>
      <c r="H29" s="81" t="str">
        <f>IF(GLOBAL_DATA_02[[#This Row],[Target status]]&lt;&gt;"FULL IMPLEMENTATION", "&lt;required&gt;"," -")</f>
        <v>&lt;required&gt;</v>
      </c>
      <c r="I29" s="59" t="s">
        <v>382</v>
      </c>
      <c r="J29" s="60">
        <v>1</v>
      </c>
      <c r="K29" s="54"/>
      <c r="L29" s="61"/>
      <c r="M29" s="62"/>
      <c r="N29" s="65" t="s">
        <v>489</v>
      </c>
      <c r="O29" s="71"/>
      <c r="P29" s="71"/>
      <c r="Q29" s="71">
        <v>44317</v>
      </c>
      <c r="R29" s="53"/>
      <c r="S29" s="55"/>
      <c r="T29" s="50"/>
      <c r="U29" s="50"/>
      <c r="V29" s="50"/>
    </row>
    <row r="30" spans="1:22" ht="42" customHeight="1" x14ac:dyDescent="0.25">
      <c r="A30" s="96" t="s">
        <v>40</v>
      </c>
      <c r="B30" s="97" t="s">
        <v>82</v>
      </c>
      <c r="C30" s="97" t="s">
        <v>513</v>
      </c>
      <c r="D30" s="79" t="s">
        <v>416</v>
      </c>
      <c r="E30" s="78" t="s">
        <v>518</v>
      </c>
      <c r="F30" s="80" t="str">
        <f>IF(GLOBAL_DATA_02[[#This Row],[Target scope]]="","",INDEX(DATA_TargetStatusChoice[Target_Status_Choice],MATCH(GLOBAL_DATA_02[[#This Row],[Target scope]],DATA_TargetStatusChoice[Value],1)))</f>
        <v>FULL IMPLEMENTATION</v>
      </c>
      <c r="G30" s="72">
        <v>1</v>
      </c>
      <c r="H30" s="81" t="str">
        <f>IF(GLOBAL_DATA_02[[#This Row],[Target status]]&lt;&gt;"FULL IMPLEMENTATION", "&lt;required&gt;"," -")</f>
        <v xml:space="preserve"> -</v>
      </c>
      <c r="I30" s="59" t="s">
        <v>32</v>
      </c>
      <c r="J30" s="60">
        <v>0.8</v>
      </c>
      <c r="K30" s="54"/>
      <c r="L30" s="61"/>
      <c r="M30" s="62"/>
      <c r="N30" s="65" t="s">
        <v>492</v>
      </c>
      <c r="O30" s="71"/>
      <c r="P30" s="71"/>
      <c r="Q30" s="71">
        <v>44317</v>
      </c>
      <c r="R30" s="53"/>
      <c r="S30" s="55"/>
      <c r="T30" s="50"/>
      <c r="U30" s="50"/>
      <c r="V30" s="50"/>
    </row>
    <row r="31" spans="1:22" ht="42" customHeight="1" x14ac:dyDescent="0.25">
      <c r="A31" s="96" t="s">
        <v>40</v>
      </c>
      <c r="B31" s="97" t="s">
        <v>82</v>
      </c>
      <c r="C31" s="97" t="s">
        <v>513</v>
      </c>
      <c r="D31" s="79" t="s">
        <v>417</v>
      </c>
      <c r="E31" s="78" t="s">
        <v>487</v>
      </c>
      <c r="F31" s="80" t="str">
        <f>IF(GLOBAL_DATA_02[[#This Row],[Target scope]]="","",INDEX(DATA_TargetStatusChoice[Target_Status_Choice],MATCH(GLOBAL_DATA_02[[#This Row],[Target scope]],DATA_TargetStatusChoice[Value],1)))</f>
        <v>FULL IMPLEMENTATION</v>
      </c>
      <c r="G31" s="72">
        <v>1</v>
      </c>
      <c r="H31" s="81" t="str">
        <f>IF(GLOBAL_DATA_02[[#This Row],[Target status]]&lt;&gt;"FULL IMPLEMENTATION", "&lt;required&gt;"," -")</f>
        <v xml:space="preserve"> -</v>
      </c>
      <c r="I31" s="59" t="s">
        <v>33</v>
      </c>
      <c r="J31" s="60">
        <v>1</v>
      </c>
      <c r="K31" s="54"/>
      <c r="L31" s="61"/>
      <c r="M31" s="62"/>
      <c r="N31" s="65" t="s">
        <v>489</v>
      </c>
      <c r="O31" s="71"/>
      <c r="P31" s="71"/>
      <c r="Q31" s="71">
        <v>44317</v>
      </c>
      <c r="R31" s="53"/>
      <c r="S31" s="55"/>
      <c r="T31" s="50"/>
      <c r="U31" s="50"/>
      <c r="V31" s="50"/>
    </row>
    <row r="32" spans="1:22" ht="42" customHeight="1" x14ac:dyDescent="0.25">
      <c r="A32" s="96" t="s">
        <v>40</v>
      </c>
      <c r="B32" s="97" t="s">
        <v>82</v>
      </c>
      <c r="C32" s="97" t="s">
        <v>513</v>
      </c>
      <c r="D32" s="79" t="s">
        <v>418</v>
      </c>
      <c r="E32" s="78" t="s">
        <v>486</v>
      </c>
      <c r="F32" s="80" t="str">
        <f>IF(GLOBAL_DATA_02[[#This Row],[Target scope]]="","",INDEX(DATA_TargetStatusChoice[Target_Status_Choice],MATCH(GLOBAL_DATA_02[[#This Row],[Target scope]],DATA_TargetStatusChoice[Value],1)))</f>
        <v>PARTIAL IMPLEMENTATION + RA</v>
      </c>
      <c r="G32" s="72">
        <v>0.8</v>
      </c>
      <c r="H32" s="81" t="str">
        <f>IF(GLOBAL_DATA_02[[#This Row],[Target status]]&lt;&gt;"FULL IMPLEMENTATION", "&lt;required&gt;"," -")</f>
        <v>&lt;required&gt;</v>
      </c>
      <c r="I32" s="59" t="s">
        <v>31</v>
      </c>
      <c r="J32" s="60">
        <v>0</v>
      </c>
      <c r="K32" s="54"/>
      <c r="L32" s="61"/>
      <c r="M32" s="62"/>
      <c r="N32" s="65" t="s">
        <v>489</v>
      </c>
      <c r="O32" s="71"/>
      <c r="P32" s="71"/>
      <c r="Q32" s="71">
        <v>44317</v>
      </c>
      <c r="R32" s="53"/>
      <c r="S32" s="55"/>
      <c r="T32" s="50"/>
      <c r="U32" s="50"/>
      <c r="V32" s="50"/>
    </row>
    <row r="33" spans="1:22" ht="42" customHeight="1" x14ac:dyDescent="0.25">
      <c r="A33" s="96" t="s">
        <v>40</v>
      </c>
      <c r="B33" s="97" t="s">
        <v>82</v>
      </c>
      <c r="C33" s="97" t="s">
        <v>513</v>
      </c>
      <c r="D33" s="79" t="s">
        <v>419</v>
      </c>
      <c r="E33" s="78" t="s">
        <v>518</v>
      </c>
      <c r="F33" s="80" t="str">
        <f>IF(GLOBAL_DATA_02[[#This Row],[Target scope]]="","",INDEX(DATA_TargetStatusChoice[Target_Status_Choice],MATCH(GLOBAL_DATA_02[[#This Row],[Target scope]],DATA_TargetStatusChoice[Value],1)))</f>
        <v>FULL IMPLEMENTATION</v>
      </c>
      <c r="G33" s="72">
        <v>1</v>
      </c>
      <c r="H33" s="81" t="str">
        <f>IF(GLOBAL_DATA_02[[#This Row],[Target status]]&lt;&gt;"FULL IMPLEMENTATION", "&lt;required&gt;"," -")</f>
        <v xml:space="preserve"> -</v>
      </c>
      <c r="I33" s="59" t="s">
        <v>31</v>
      </c>
      <c r="J33" s="60">
        <v>0</v>
      </c>
      <c r="K33" s="54"/>
      <c r="L33" s="61"/>
      <c r="M33" s="62"/>
      <c r="N33" s="65" t="s">
        <v>491</v>
      </c>
      <c r="O33" s="71"/>
      <c r="P33" s="71"/>
      <c r="Q33" s="71">
        <v>44317</v>
      </c>
      <c r="R33" s="53"/>
      <c r="S33" s="55"/>
      <c r="T33" s="50"/>
      <c r="U33" s="50"/>
      <c r="V33" s="50"/>
    </row>
    <row r="34" spans="1:22" ht="42" customHeight="1" x14ac:dyDescent="0.25">
      <c r="A34" s="96" t="s">
        <v>40</v>
      </c>
      <c r="B34" s="97" t="s">
        <v>82</v>
      </c>
      <c r="C34" s="97" t="s">
        <v>513</v>
      </c>
      <c r="D34" s="79" t="s">
        <v>420</v>
      </c>
      <c r="E34" s="78" t="s">
        <v>518</v>
      </c>
      <c r="F34" s="80" t="str">
        <f>IF(GLOBAL_DATA_02[[#This Row],[Target scope]]="","",INDEX(DATA_TargetStatusChoice[Target_Status_Choice],MATCH(GLOBAL_DATA_02[[#This Row],[Target scope]],DATA_TargetStatusChoice[Value],1)))</f>
        <v>FULL IMPLEMENTATION</v>
      </c>
      <c r="G34" s="72">
        <v>1</v>
      </c>
      <c r="H34" s="81" t="str">
        <f>IF(GLOBAL_DATA_02[[#This Row],[Target status]]&lt;&gt;"FULL IMPLEMENTATION", "&lt;required&gt;"," -")</f>
        <v xml:space="preserve"> -</v>
      </c>
      <c r="I34" s="59" t="s">
        <v>31</v>
      </c>
      <c r="J34" s="60">
        <v>0</v>
      </c>
      <c r="K34" s="54"/>
      <c r="L34" s="61"/>
      <c r="M34" s="62"/>
      <c r="N34" s="65" t="s">
        <v>490</v>
      </c>
      <c r="O34" s="71"/>
      <c r="P34" s="71"/>
      <c r="Q34" s="71">
        <v>44317</v>
      </c>
      <c r="R34" s="53"/>
      <c r="S34" s="55"/>
      <c r="T34" s="50"/>
      <c r="U34" s="50"/>
      <c r="V34" s="50"/>
    </row>
    <row r="35" spans="1:22" ht="42" customHeight="1" x14ac:dyDescent="0.25">
      <c r="A35" s="96" t="s">
        <v>40</v>
      </c>
      <c r="B35" s="97" t="s">
        <v>82</v>
      </c>
      <c r="C35" s="97" t="s">
        <v>513</v>
      </c>
      <c r="D35" s="79" t="s">
        <v>421</v>
      </c>
      <c r="E35" s="78" t="s">
        <v>518</v>
      </c>
      <c r="F35" s="80" t="str">
        <f>IF(GLOBAL_DATA_02[[#This Row],[Target scope]]="","",INDEX(DATA_TargetStatusChoice[Target_Status_Choice],MATCH(GLOBAL_DATA_02[[#This Row],[Target scope]],DATA_TargetStatusChoice[Value],1)))</f>
        <v>FULL IMPLEMENTATION</v>
      </c>
      <c r="G35" s="72">
        <v>1</v>
      </c>
      <c r="H35" s="81" t="str">
        <f>IF(GLOBAL_DATA_02[[#This Row],[Target status]]&lt;&gt;"FULL IMPLEMENTATION", "&lt;required&gt;"," -")</f>
        <v xml:space="preserve"> -</v>
      </c>
      <c r="I35" s="59" t="s">
        <v>31</v>
      </c>
      <c r="J35" s="60">
        <v>0</v>
      </c>
      <c r="K35" s="54"/>
      <c r="L35" s="61"/>
      <c r="M35" s="62"/>
      <c r="N35" s="65" t="s">
        <v>492</v>
      </c>
      <c r="O35" s="71"/>
      <c r="P35" s="71"/>
      <c r="Q35" s="71">
        <v>44317</v>
      </c>
      <c r="R35" s="53"/>
      <c r="S35" s="55"/>
      <c r="T35" s="50"/>
      <c r="U35" s="50"/>
      <c r="V35" s="50"/>
    </row>
    <row r="36" spans="1:22" ht="42" customHeight="1" x14ac:dyDescent="0.25">
      <c r="A36" s="96" t="s">
        <v>40</v>
      </c>
      <c r="B36" s="97" t="s">
        <v>82</v>
      </c>
      <c r="C36" s="97" t="s">
        <v>513</v>
      </c>
      <c r="D36" s="79" t="s">
        <v>422</v>
      </c>
      <c r="E36" s="78" t="s">
        <v>518</v>
      </c>
      <c r="F36" s="80" t="str">
        <f>IF(GLOBAL_DATA_02[[#This Row],[Target scope]]="","",INDEX(DATA_TargetStatusChoice[Target_Status_Choice],MATCH(GLOBAL_DATA_02[[#This Row],[Target scope]],DATA_TargetStatusChoice[Value],1)))</f>
        <v>FULL IMPLEMENTATION</v>
      </c>
      <c r="G36" s="72">
        <v>1</v>
      </c>
      <c r="H36" s="81" t="str">
        <f>IF(GLOBAL_DATA_02[[#This Row],[Target status]]&lt;&gt;"FULL IMPLEMENTATION", "&lt;required&gt;"," -")</f>
        <v xml:space="preserve"> -</v>
      </c>
      <c r="I36" s="59" t="s">
        <v>31</v>
      </c>
      <c r="J36" s="60">
        <v>0</v>
      </c>
      <c r="K36" s="54"/>
      <c r="L36" s="61"/>
      <c r="M36" s="62"/>
      <c r="N36" s="65" t="s">
        <v>492</v>
      </c>
      <c r="O36" s="71"/>
      <c r="P36" s="71"/>
      <c r="Q36" s="71">
        <v>44706</v>
      </c>
      <c r="R36" s="53"/>
      <c r="S36" s="55"/>
      <c r="T36" s="50"/>
      <c r="U36" s="50"/>
      <c r="V36" s="50"/>
    </row>
    <row r="37" spans="1:22" ht="42" customHeight="1" x14ac:dyDescent="0.25">
      <c r="A37" s="96" t="s">
        <v>40</v>
      </c>
      <c r="B37" s="97" t="s">
        <v>82</v>
      </c>
      <c r="C37" s="97" t="s">
        <v>513</v>
      </c>
      <c r="D37" s="79" t="s">
        <v>423</v>
      </c>
      <c r="E37" s="78" t="s">
        <v>518</v>
      </c>
      <c r="F37" s="80" t="str">
        <f>IF(GLOBAL_DATA_02[[#This Row],[Target scope]]="","",INDEX(DATA_TargetStatusChoice[Target_Status_Choice],MATCH(GLOBAL_DATA_02[[#This Row],[Target scope]],DATA_TargetStatusChoice[Value],1)))</f>
        <v>FULL IMPLEMENTATION</v>
      </c>
      <c r="G37" s="72">
        <v>1</v>
      </c>
      <c r="H37" s="81" t="str">
        <f>IF(GLOBAL_DATA_02[[#This Row],[Target status]]&lt;&gt;"FULL IMPLEMENTATION", "&lt;required&gt;"," -")</f>
        <v xml:space="preserve"> -</v>
      </c>
      <c r="I37" s="59" t="s">
        <v>35</v>
      </c>
      <c r="J37" s="60">
        <v>1</v>
      </c>
      <c r="K37" s="54"/>
      <c r="L37" s="61"/>
      <c r="M37" s="62"/>
      <c r="N37" s="65" t="s">
        <v>490</v>
      </c>
      <c r="O37" s="71"/>
      <c r="P37" s="71"/>
      <c r="Q37" s="71">
        <v>44706</v>
      </c>
      <c r="R37" s="53"/>
      <c r="S37" s="55"/>
      <c r="T37" s="50"/>
      <c r="U37" s="50"/>
      <c r="V37" s="50"/>
    </row>
    <row r="38" spans="1:22" ht="42" customHeight="1" x14ac:dyDescent="0.25">
      <c r="A38" s="96" t="s">
        <v>40</v>
      </c>
      <c r="B38" s="97" t="s">
        <v>82</v>
      </c>
      <c r="C38" s="97" t="s">
        <v>513</v>
      </c>
      <c r="D38" s="79" t="s">
        <v>424</v>
      </c>
      <c r="E38" s="78" t="s">
        <v>486</v>
      </c>
      <c r="F38" s="80" t="str">
        <f>IF(GLOBAL_DATA_02[[#This Row],[Target scope]]="","",INDEX(DATA_TargetStatusChoice[Target_Status_Choice],MATCH(GLOBAL_DATA_02[[#This Row],[Target scope]],DATA_TargetStatusChoice[Value],1)))</f>
        <v>PARTIAL IMPLEMENTATION + RA</v>
      </c>
      <c r="G38" s="72">
        <v>0.8</v>
      </c>
      <c r="H38" s="81" t="str">
        <f>IF(GLOBAL_DATA_02[[#This Row],[Target status]]&lt;&gt;"FULL IMPLEMENTATION", "&lt;required&gt;"," -")</f>
        <v>&lt;required&gt;</v>
      </c>
      <c r="I38" s="59" t="s">
        <v>33</v>
      </c>
      <c r="J38" s="60">
        <v>1</v>
      </c>
      <c r="K38" s="54"/>
      <c r="L38" s="61"/>
      <c r="M38" s="62"/>
      <c r="N38" s="65" t="s">
        <v>489</v>
      </c>
      <c r="O38" s="71"/>
      <c r="P38" s="71"/>
      <c r="Q38" s="71">
        <v>44706</v>
      </c>
      <c r="R38" s="53"/>
      <c r="S38" s="55"/>
      <c r="T38" s="50"/>
      <c r="U38" s="50"/>
      <c r="V38" s="50"/>
    </row>
    <row r="39" spans="1:22" ht="42" customHeight="1" x14ac:dyDescent="0.25">
      <c r="A39" s="96" t="s">
        <v>40</v>
      </c>
      <c r="B39" s="97" t="s">
        <v>82</v>
      </c>
      <c r="C39" s="97" t="s">
        <v>513</v>
      </c>
      <c r="D39" s="79" t="s">
        <v>425</v>
      </c>
      <c r="E39" s="78" t="s">
        <v>518</v>
      </c>
      <c r="F39" s="80" t="str">
        <f>IF(GLOBAL_DATA_02[[#This Row],[Target scope]]="","",INDEX(DATA_TargetStatusChoice[Target_Status_Choice],MATCH(GLOBAL_DATA_02[[#This Row],[Target scope]],DATA_TargetStatusChoice[Value],1)))</f>
        <v>FULL IMPLEMENTATION</v>
      </c>
      <c r="G39" s="72">
        <v>1</v>
      </c>
      <c r="H39" s="81" t="str">
        <f>IF(GLOBAL_DATA_02[[#This Row],[Target status]]&lt;&gt;"FULL IMPLEMENTATION", "&lt;required&gt;"," -")</f>
        <v xml:space="preserve"> -</v>
      </c>
      <c r="I39" s="59" t="s">
        <v>33</v>
      </c>
      <c r="J39" s="60">
        <v>1</v>
      </c>
      <c r="K39" s="54"/>
      <c r="L39" s="61"/>
      <c r="M39" s="62"/>
      <c r="N39" s="65" t="s">
        <v>492</v>
      </c>
      <c r="O39" s="71"/>
      <c r="P39" s="71"/>
      <c r="Q39" s="71">
        <v>44706</v>
      </c>
      <c r="R39" s="53"/>
      <c r="S39" s="55"/>
      <c r="T39" s="50"/>
      <c r="U39" s="50"/>
      <c r="V39" s="50"/>
    </row>
    <row r="40" spans="1:22" ht="42" customHeight="1" x14ac:dyDescent="0.25">
      <c r="A40" s="96" t="s">
        <v>40</v>
      </c>
      <c r="B40" s="97" t="s">
        <v>82</v>
      </c>
      <c r="C40" s="97" t="s">
        <v>513</v>
      </c>
      <c r="D40" s="79" t="s">
        <v>426</v>
      </c>
      <c r="E40" s="78" t="s">
        <v>486</v>
      </c>
      <c r="F40" s="80" t="str">
        <f>IF(GLOBAL_DATA_02[[#This Row],[Target scope]]="","",INDEX(DATA_TargetStatusChoice[Target_Status_Choice],MATCH(GLOBAL_DATA_02[[#This Row],[Target scope]],DATA_TargetStatusChoice[Value],1)))</f>
        <v>PARTIAL IMPLEMENTATION + RA</v>
      </c>
      <c r="G40" s="72">
        <v>0.8</v>
      </c>
      <c r="H40" s="81" t="str">
        <f>IF(GLOBAL_DATA_02[[#This Row],[Target status]]&lt;&gt;"FULL IMPLEMENTATION", "&lt;required&gt;"," -")</f>
        <v>&lt;required&gt;</v>
      </c>
      <c r="I40" s="59" t="s">
        <v>33</v>
      </c>
      <c r="J40" s="60">
        <v>1</v>
      </c>
      <c r="K40" s="54"/>
      <c r="L40" s="61"/>
      <c r="M40" s="62"/>
      <c r="N40" s="65" t="s">
        <v>489</v>
      </c>
      <c r="O40" s="71"/>
      <c r="P40" s="71"/>
      <c r="Q40" s="71">
        <v>44706</v>
      </c>
      <c r="R40" s="53"/>
      <c r="S40" s="55"/>
      <c r="T40" s="50"/>
      <c r="U40" s="50"/>
      <c r="V40" s="50"/>
    </row>
    <row r="41" spans="1:22" ht="42" customHeight="1" x14ac:dyDescent="0.25">
      <c r="A41" s="96" t="s">
        <v>40</v>
      </c>
      <c r="B41" s="97" t="s">
        <v>82</v>
      </c>
      <c r="C41" s="97" t="s">
        <v>513</v>
      </c>
      <c r="D41" s="79" t="s">
        <v>427</v>
      </c>
      <c r="E41" s="78" t="s">
        <v>518</v>
      </c>
      <c r="F41" s="80" t="str">
        <f>IF(GLOBAL_DATA_02[[#This Row],[Target scope]]="","",INDEX(DATA_TargetStatusChoice[Target_Status_Choice],MATCH(GLOBAL_DATA_02[[#This Row],[Target scope]],DATA_TargetStatusChoice[Value],1)))</f>
        <v>FULL IMPLEMENTATION</v>
      </c>
      <c r="G41" s="72">
        <v>1</v>
      </c>
      <c r="H41" s="81" t="str">
        <f>IF(GLOBAL_DATA_02[[#This Row],[Target status]]&lt;&gt;"FULL IMPLEMENTATION", "&lt;required&gt;"," -")</f>
        <v xml:space="preserve"> -</v>
      </c>
      <c r="I41" s="59" t="s">
        <v>32</v>
      </c>
      <c r="J41" s="60">
        <v>0.7</v>
      </c>
      <c r="K41" s="54"/>
      <c r="L41" s="61"/>
      <c r="M41" s="62"/>
      <c r="N41" s="65" t="s">
        <v>492</v>
      </c>
      <c r="O41" s="71"/>
      <c r="P41" s="71"/>
      <c r="Q41" s="71">
        <v>44706</v>
      </c>
      <c r="R41" s="53"/>
      <c r="S41" s="55"/>
      <c r="T41" s="50"/>
      <c r="U41" s="50"/>
      <c r="V41" s="50"/>
    </row>
    <row r="42" spans="1:22" ht="42" customHeight="1" x14ac:dyDescent="0.25">
      <c r="A42" s="96" t="s">
        <v>40</v>
      </c>
      <c r="B42" s="97" t="s">
        <v>82</v>
      </c>
      <c r="C42" s="97" t="s">
        <v>513</v>
      </c>
      <c r="D42" s="79" t="s">
        <v>428</v>
      </c>
      <c r="E42" s="78" t="s">
        <v>518</v>
      </c>
      <c r="F42" s="80" t="str">
        <f>IF(GLOBAL_DATA_02[[#This Row],[Target scope]]="","",INDEX(DATA_TargetStatusChoice[Target_Status_Choice],MATCH(GLOBAL_DATA_02[[#This Row],[Target scope]],DATA_TargetStatusChoice[Value],1)))</f>
        <v>FULL IMPLEMENTATION</v>
      </c>
      <c r="G42" s="72">
        <v>1</v>
      </c>
      <c r="H42" s="81" t="str">
        <f>IF(GLOBAL_DATA_02[[#This Row],[Target status]]&lt;&gt;"FULL IMPLEMENTATION", "&lt;required&gt;"," -")</f>
        <v xml:space="preserve"> -</v>
      </c>
      <c r="I42" s="59" t="s">
        <v>382</v>
      </c>
      <c r="J42" s="60">
        <v>1</v>
      </c>
      <c r="K42" s="54"/>
      <c r="L42" s="61"/>
      <c r="M42" s="62"/>
      <c r="N42" s="65" t="s">
        <v>490</v>
      </c>
      <c r="O42" s="71"/>
      <c r="P42" s="71"/>
      <c r="Q42" s="71">
        <v>44706</v>
      </c>
      <c r="R42" s="53"/>
      <c r="S42" s="55"/>
      <c r="T42" s="50"/>
      <c r="U42" s="50"/>
      <c r="V42" s="50"/>
    </row>
    <row r="43" spans="1:22" ht="42" customHeight="1" x14ac:dyDescent="0.25">
      <c r="A43" s="96" t="s">
        <v>40</v>
      </c>
      <c r="B43" s="97" t="s">
        <v>82</v>
      </c>
      <c r="C43" s="97" t="s">
        <v>513</v>
      </c>
      <c r="D43" s="79" t="s">
        <v>429</v>
      </c>
      <c r="E43" s="78" t="s">
        <v>518</v>
      </c>
      <c r="F43" s="80" t="str">
        <f>IF(GLOBAL_DATA_02[[#This Row],[Target scope]]="","",INDEX(DATA_TargetStatusChoice[Target_Status_Choice],MATCH(GLOBAL_DATA_02[[#This Row],[Target scope]],DATA_TargetStatusChoice[Value],1)))</f>
        <v>FULL IMPLEMENTATION</v>
      </c>
      <c r="G43" s="72">
        <v>1</v>
      </c>
      <c r="H43" s="81" t="str">
        <f>IF(GLOBAL_DATA_02[[#This Row],[Target status]]&lt;&gt;"FULL IMPLEMENTATION", "&lt;required&gt;"," -")</f>
        <v xml:space="preserve"> -</v>
      </c>
      <c r="I43" s="59" t="s">
        <v>32</v>
      </c>
      <c r="J43" s="60">
        <v>0.8</v>
      </c>
      <c r="K43" s="54"/>
      <c r="L43" s="61"/>
      <c r="M43" s="62"/>
      <c r="N43" s="65" t="s">
        <v>492</v>
      </c>
      <c r="O43" s="71"/>
      <c r="P43" s="71"/>
      <c r="Q43" s="71">
        <v>44706</v>
      </c>
      <c r="R43" s="53"/>
      <c r="S43" s="55"/>
      <c r="T43" s="50"/>
      <c r="U43" s="50"/>
      <c r="V43" s="50"/>
    </row>
    <row r="44" spans="1:22" ht="42" customHeight="1" x14ac:dyDescent="0.25">
      <c r="A44" s="96" t="s">
        <v>40</v>
      </c>
      <c r="B44" s="97" t="s">
        <v>82</v>
      </c>
      <c r="C44" s="97" t="s">
        <v>513</v>
      </c>
      <c r="D44" s="79" t="s">
        <v>430</v>
      </c>
      <c r="E44" s="78" t="s">
        <v>487</v>
      </c>
      <c r="F44" s="80" t="str">
        <f>IF(GLOBAL_DATA_02[[#This Row],[Target scope]]="","",INDEX(DATA_TargetStatusChoice[Target_Status_Choice],MATCH(GLOBAL_DATA_02[[#This Row],[Target scope]],DATA_TargetStatusChoice[Value],1)))</f>
        <v>PARTIAL IMPLEMENTATION + RA</v>
      </c>
      <c r="G44" s="72">
        <v>0.4</v>
      </c>
      <c r="H44" s="81" t="str">
        <f>IF(GLOBAL_DATA_02[[#This Row],[Target status]]&lt;&gt;"FULL IMPLEMENTATION", "&lt;required&gt;"," -")</f>
        <v>&lt;required&gt;</v>
      </c>
      <c r="I44" s="59" t="s">
        <v>32</v>
      </c>
      <c r="J44" s="60">
        <v>0</v>
      </c>
      <c r="K44" s="54"/>
      <c r="L44" s="61"/>
      <c r="M44" s="62"/>
      <c r="N44" s="65" t="s">
        <v>489</v>
      </c>
      <c r="O44" s="71"/>
      <c r="P44" s="71"/>
      <c r="Q44" s="71">
        <v>44706</v>
      </c>
      <c r="R44" s="53"/>
      <c r="S44" s="55"/>
      <c r="T44" s="50"/>
      <c r="U44" s="50"/>
      <c r="V44" s="50"/>
    </row>
    <row r="45" spans="1:22" ht="42" customHeight="1" x14ac:dyDescent="0.25">
      <c r="A45" s="96" t="s">
        <v>40</v>
      </c>
      <c r="B45" s="97" t="s">
        <v>82</v>
      </c>
      <c r="C45" s="97" t="s">
        <v>513</v>
      </c>
      <c r="D45" s="79" t="s">
        <v>431</v>
      </c>
      <c r="E45" s="78" t="s">
        <v>487</v>
      </c>
      <c r="F45" s="80" t="str">
        <f>IF(GLOBAL_DATA_02[[#This Row],[Target scope]]="","",INDEX(DATA_TargetStatusChoice[Target_Status_Choice],MATCH(GLOBAL_DATA_02[[#This Row],[Target scope]],DATA_TargetStatusChoice[Value],1)))</f>
        <v>PARTIAL IMPLEMENTATION + RA</v>
      </c>
      <c r="G45" s="72">
        <v>0.2</v>
      </c>
      <c r="H45" s="81" t="str">
        <f>IF(GLOBAL_DATA_02[[#This Row],[Target status]]&lt;&gt;"FULL IMPLEMENTATION", "&lt;required&gt;"," -")</f>
        <v>&lt;required&gt;</v>
      </c>
      <c r="I45" s="59" t="s">
        <v>32</v>
      </c>
      <c r="J45" s="60">
        <v>0</v>
      </c>
      <c r="K45" s="54"/>
      <c r="L45" s="61"/>
      <c r="M45" s="62"/>
      <c r="N45" s="65" t="s">
        <v>489</v>
      </c>
      <c r="O45" s="71"/>
      <c r="P45" s="71"/>
      <c r="Q45" s="71">
        <v>44706</v>
      </c>
      <c r="R45" s="53"/>
      <c r="S45" s="55"/>
      <c r="T45" s="50"/>
      <c r="U45" s="50"/>
      <c r="V45" s="50"/>
    </row>
    <row r="46" spans="1:22" ht="42" customHeight="1" x14ac:dyDescent="0.25">
      <c r="A46" s="96" t="s">
        <v>40</v>
      </c>
      <c r="B46" s="97" t="s">
        <v>82</v>
      </c>
      <c r="C46" s="97" t="s">
        <v>513</v>
      </c>
      <c r="D46" s="79" t="s">
        <v>432</v>
      </c>
      <c r="E46" s="78" t="s">
        <v>487</v>
      </c>
      <c r="F46" s="80" t="str">
        <f>IF(GLOBAL_DATA_02[[#This Row],[Target scope]]="","",INDEX(DATA_TargetStatusChoice[Target_Status_Choice],MATCH(GLOBAL_DATA_02[[#This Row],[Target scope]],DATA_TargetStatusChoice[Value],1)))</f>
        <v>PARTIAL IMPLEMENTATION + RA</v>
      </c>
      <c r="G46" s="72">
        <v>0.6</v>
      </c>
      <c r="H46" s="81" t="str">
        <f>IF(GLOBAL_DATA_02[[#This Row],[Target status]]&lt;&gt;"FULL IMPLEMENTATION", "&lt;required&gt;"," -")</f>
        <v>&lt;required&gt;</v>
      </c>
      <c r="I46" s="59" t="s">
        <v>32</v>
      </c>
      <c r="J46" s="60">
        <v>0</v>
      </c>
      <c r="K46" s="54"/>
      <c r="L46" s="61"/>
      <c r="M46" s="62"/>
      <c r="N46" s="65" t="s">
        <v>489</v>
      </c>
      <c r="O46" s="71"/>
      <c r="P46" s="71"/>
      <c r="Q46" s="71">
        <v>44706</v>
      </c>
      <c r="R46" s="53"/>
      <c r="S46" s="55"/>
      <c r="T46" s="50"/>
      <c r="U46" s="50"/>
      <c r="V46" s="50"/>
    </row>
    <row r="47" spans="1:22" ht="42" customHeight="1" x14ac:dyDescent="0.25">
      <c r="A47" s="96" t="s">
        <v>40</v>
      </c>
      <c r="B47" s="97" t="s">
        <v>82</v>
      </c>
      <c r="C47" s="97" t="s">
        <v>513</v>
      </c>
      <c r="D47" s="79" t="s">
        <v>433</v>
      </c>
      <c r="E47" s="78" t="s">
        <v>518</v>
      </c>
      <c r="F47" s="80" t="str">
        <f>IF(GLOBAL_DATA_02[[#This Row],[Target scope]]="","",INDEX(DATA_TargetStatusChoice[Target_Status_Choice],MATCH(GLOBAL_DATA_02[[#This Row],[Target scope]],DATA_TargetStatusChoice[Value],1)))</f>
        <v>FULL IMPLEMENTATION</v>
      </c>
      <c r="G47" s="72">
        <v>1</v>
      </c>
      <c r="H47" s="81" t="str">
        <f>IF(GLOBAL_DATA_02[[#This Row],[Target status]]&lt;&gt;"FULL IMPLEMENTATION", "&lt;required&gt;"," -")</f>
        <v xml:space="preserve"> -</v>
      </c>
      <c r="I47" s="59" t="s">
        <v>31</v>
      </c>
      <c r="J47" s="60">
        <v>0</v>
      </c>
      <c r="K47" s="54"/>
      <c r="L47" s="61"/>
      <c r="M47" s="62"/>
      <c r="N47" s="65" t="s">
        <v>492</v>
      </c>
      <c r="O47" s="71"/>
      <c r="P47" s="71"/>
      <c r="Q47" s="71">
        <v>44706</v>
      </c>
      <c r="R47" s="53"/>
      <c r="S47" s="55"/>
      <c r="T47" s="50"/>
      <c r="U47" s="50"/>
      <c r="V47" s="50"/>
    </row>
    <row r="48" spans="1:22" ht="42" customHeight="1" x14ac:dyDescent="0.25">
      <c r="A48" s="96" t="s">
        <v>40</v>
      </c>
      <c r="B48" s="97" t="s">
        <v>82</v>
      </c>
      <c r="C48" s="97" t="s">
        <v>513</v>
      </c>
      <c r="D48" s="79" t="s">
        <v>434</v>
      </c>
      <c r="E48" s="78" t="s">
        <v>518</v>
      </c>
      <c r="F48" s="80" t="str">
        <f>IF(GLOBAL_DATA_02[[#This Row],[Target scope]]="","",INDEX(DATA_TargetStatusChoice[Target_Status_Choice],MATCH(GLOBAL_DATA_02[[#This Row],[Target scope]],DATA_TargetStatusChoice[Value],1)))</f>
        <v>FULL IMPLEMENTATION</v>
      </c>
      <c r="G48" s="72">
        <v>1</v>
      </c>
      <c r="H48" s="81" t="str">
        <f>IF(GLOBAL_DATA_02[[#This Row],[Target status]]&lt;&gt;"FULL IMPLEMENTATION", "&lt;required&gt;"," -")</f>
        <v xml:space="preserve"> -</v>
      </c>
      <c r="I48" s="59" t="s">
        <v>31</v>
      </c>
      <c r="J48" s="60">
        <v>0</v>
      </c>
      <c r="K48" s="54"/>
      <c r="L48" s="61"/>
      <c r="M48" s="62"/>
      <c r="N48" s="65" t="s">
        <v>490</v>
      </c>
      <c r="O48" s="71"/>
      <c r="P48" s="71"/>
      <c r="Q48" s="71">
        <v>44706</v>
      </c>
      <c r="R48" s="53"/>
      <c r="S48" s="55"/>
      <c r="T48" s="50"/>
      <c r="U48" s="50"/>
      <c r="V48" s="50"/>
    </row>
    <row r="49" spans="1:22" ht="42" customHeight="1" x14ac:dyDescent="0.25">
      <c r="A49" s="96" t="s">
        <v>40</v>
      </c>
      <c r="B49" s="97" t="s">
        <v>82</v>
      </c>
      <c r="C49" s="97" t="s">
        <v>513</v>
      </c>
      <c r="D49" s="79" t="s">
        <v>435</v>
      </c>
      <c r="E49" s="78" t="s">
        <v>518</v>
      </c>
      <c r="F49" s="80" t="str">
        <f>IF(GLOBAL_DATA_02[[#This Row],[Target scope]]="","",INDEX(DATA_TargetStatusChoice[Target_Status_Choice],MATCH(GLOBAL_DATA_02[[#This Row],[Target scope]],DATA_TargetStatusChoice[Value],1)))</f>
        <v>FULL IMPLEMENTATION</v>
      </c>
      <c r="G49" s="72">
        <v>1</v>
      </c>
      <c r="H49" s="81" t="str">
        <f>IF(GLOBAL_DATA_02[[#This Row],[Target status]]&lt;&gt;"FULL IMPLEMENTATION", "&lt;required&gt;"," -")</f>
        <v xml:space="preserve"> -</v>
      </c>
      <c r="I49" s="59" t="s">
        <v>31</v>
      </c>
      <c r="J49" s="60">
        <v>0</v>
      </c>
      <c r="K49" s="54"/>
      <c r="L49" s="61"/>
      <c r="M49" s="62"/>
      <c r="N49" s="65" t="s">
        <v>492</v>
      </c>
      <c r="O49" s="71"/>
      <c r="P49" s="71"/>
      <c r="Q49" s="71">
        <v>44706</v>
      </c>
      <c r="R49" s="53"/>
      <c r="S49" s="55"/>
      <c r="T49" s="50"/>
      <c r="U49" s="50"/>
      <c r="V49" s="50"/>
    </row>
    <row r="50" spans="1:22" ht="42" customHeight="1" x14ac:dyDescent="0.25">
      <c r="A50" s="96" t="s">
        <v>40</v>
      </c>
      <c r="B50" s="97" t="s">
        <v>82</v>
      </c>
      <c r="C50" s="97" t="s">
        <v>513</v>
      </c>
      <c r="D50" s="79" t="s">
        <v>436</v>
      </c>
      <c r="E50" s="78" t="s">
        <v>488</v>
      </c>
      <c r="F50" s="80" t="str">
        <f>IF(GLOBAL_DATA_02[[#This Row],[Target scope]]="","",INDEX(DATA_TargetStatusChoice[Target_Status_Choice],MATCH(GLOBAL_DATA_02[[#This Row],[Target scope]],DATA_TargetStatusChoice[Value],1)))</f>
        <v>RISK ACCEPTED</v>
      </c>
      <c r="G50" s="72">
        <v>0</v>
      </c>
      <c r="H50" s="81" t="str">
        <f>IF(GLOBAL_DATA_02[[#This Row],[Target status]]&lt;&gt;"FULL IMPLEMENTATION", "&lt;required&gt;"," -")</f>
        <v>&lt;required&gt;</v>
      </c>
      <c r="I50" s="59" t="s">
        <v>550</v>
      </c>
      <c r="J50" s="60">
        <v>0</v>
      </c>
      <c r="K50" s="54"/>
      <c r="L50" s="61"/>
      <c r="M50" s="62"/>
      <c r="N50" s="65" t="s">
        <v>489</v>
      </c>
      <c r="O50" s="71"/>
      <c r="P50" s="71"/>
      <c r="Q50" s="71"/>
      <c r="R50" s="53"/>
      <c r="S50" s="55"/>
      <c r="T50" s="50"/>
      <c r="U50" s="50"/>
      <c r="V50" s="50"/>
    </row>
    <row r="51" spans="1:22" ht="42" customHeight="1" x14ac:dyDescent="0.25">
      <c r="A51" s="96" t="s">
        <v>40</v>
      </c>
      <c r="B51" s="97" t="s">
        <v>82</v>
      </c>
      <c r="C51" s="97" t="s">
        <v>513</v>
      </c>
      <c r="D51" s="79" t="s">
        <v>437</v>
      </c>
      <c r="E51" s="78" t="s">
        <v>518</v>
      </c>
      <c r="F51" s="80" t="str">
        <f>IF(GLOBAL_DATA_02[[#This Row],[Target scope]]="","",INDEX(DATA_TargetStatusChoice[Target_Status_Choice],MATCH(GLOBAL_DATA_02[[#This Row],[Target scope]],DATA_TargetStatusChoice[Value],1)))</f>
        <v>FULL IMPLEMENTATION</v>
      </c>
      <c r="G51" s="72">
        <v>1</v>
      </c>
      <c r="H51" s="81" t="str">
        <f>IF(GLOBAL_DATA_02[[#This Row],[Target status]]&lt;&gt;"FULL IMPLEMENTATION", "&lt;required&gt;"," -")</f>
        <v xml:space="preserve"> -</v>
      </c>
      <c r="I51" s="59" t="s">
        <v>33</v>
      </c>
      <c r="J51" s="60">
        <v>1</v>
      </c>
      <c r="K51" s="54"/>
      <c r="L51" s="61"/>
      <c r="M51" s="62"/>
      <c r="N51" s="65" t="s">
        <v>491</v>
      </c>
      <c r="O51" s="71"/>
      <c r="P51" s="71"/>
      <c r="Q51" s="71">
        <v>44356</v>
      </c>
      <c r="R51" s="53"/>
      <c r="S51" s="55"/>
      <c r="T51" s="50"/>
      <c r="U51" s="50"/>
      <c r="V51" s="50"/>
    </row>
    <row r="52" spans="1:22" ht="42" customHeight="1" x14ac:dyDescent="0.25">
      <c r="A52" s="96" t="s">
        <v>40</v>
      </c>
      <c r="B52" s="97" t="s">
        <v>82</v>
      </c>
      <c r="C52" s="97" t="s">
        <v>513</v>
      </c>
      <c r="D52" s="79" t="s">
        <v>438</v>
      </c>
      <c r="E52" s="78" t="s">
        <v>518</v>
      </c>
      <c r="F52" s="80" t="str">
        <f>IF(GLOBAL_DATA_02[[#This Row],[Target scope]]="","",INDEX(DATA_TargetStatusChoice[Target_Status_Choice],MATCH(GLOBAL_DATA_02[[#This Row],[Target scope]],DATA_TargetStatusChoice[Value],1)))</f>
        <v>NOT APPLICABLE</v>
      </c>
      <c r="G52" s="72" t="s">
        <v>75</v>
      </c>
      <c r="H52" s="81" t="str">
        <f>IF(GLOBAL_DATA_02[[#This Row],[Target status]]&lt;&gt;"FULL IMPLEMENTATION", "&lt;required&gt;"," -")</f>
        <v>&lt;required&gt;</v>
      </c>
      <c r="I52" s="59" t="s">
        <v>550</v>
      </c>
      <c r="J52" s="60">
        <v>0</v>
      </c>
      <c r="K52" s="54"/>
      <c r="L52" s="61"/>
      <c r="M52" s="62"/>
      <c r="N52" s="65" t="s">
        <v>491</v>
      </c>
      <c r="O52" s="71"/>
      <c r="P52" s="71"/>
      <c r="Q52" s="71"/>
      <c r="R52" s="53"/>
      <c r="S52" s="55"/>
      <c r="T52" s="50"/>
      <c r="U52" s="50"/>
      <c r="V52" s="50"/>
    </row>
    <row r="53" spans="1:22" ht="42" customHeight="1" x14ac:dyDescent="0.25">
      <c r="A53" s="96" t="s">
        <v>40</v>
      </c>
      <c r="B53" s="97" t="s">
        <v>82</v>
      </c>
      <c r="C53" s="97" t="s">
        <v>513</v>
      </c>
      <c r="D53" s="79" t="s">
        <v>439</v>
      </c>
      <c r="E53" s="78" t="s">
        <v>487</v>
      </c>
      <c r="F53" s="80" t="str">
        <f>IF(GLOBAL_DATA_02[[#This Row],[Target scope]]="","",INDEX(DATA_TargetStatusChoice[Target_Status_Choice],MATCH(GLOBAL_DATA_02[[#This Row],[Target scope]],DATA_TargetStatusChoice[Value],1)))</f>
        <v>FULL IMPLEMENTATION</v>
      </c>
      <c r="G53" s="72">
        <v>1</v>
      </c>
      <c r="H53" s="81" t="str">
        <f>IF(GLOBAL_DATA_02[[#This Row],[Target status]]&lt;&gt;"FULL IMPLEMENTATION", "&lt;required&gt;"," -")</f>
        <v xml:space="preserve"> -</v>
      </c>
      <c r="I53" s="59" t="s">
        <v>35</v>
      </c>
      <c r="J53" s="60">
        <v>1</v>
      </c>
      <c r="K53" s="54"/>
      <c r="L53" s="61"/>
      <c r="M53" s="62"/>
      <c r="N53" s="65" t="s">
        <v>489</v>
      </c>
      <c r="O53" s="71"/>
      <c r="P53" s="71"/>
      <c r="Q53" s="71">
        <v>44356</v>
      </c>
      <c r="R53" s="53"/>
      <c r="S53" s="55"/>
      <c r="T53" s="50"/>
      <c r="U53" s="50"/>
      <c r="V53" s="50"/>
    </row>
    <row r="54" spans="1:22" ht="42" customHeight="1" x14ac:dyDescent="0.25">
      <c r="A54" s="96" t="s">
        <v>40</v>
      </c>
      <c r="B54" s="97" t="s">
        <v>82</v>
      </c>
      <c r="C54" s="97" t="s">
        <v>513</v>
      </c>
      <c r="D54" s="79" t="s">
        <v>440</v>
      </c>
      <c r="E54" s="78" t="s">
        <v>518</v>
      </c>
      <c r="F54" s="80" t="str">
        <f>IF(GLOBAL_DATA_02[[#This Row],[Target scope]]="","",INDEX(DATA_TargetStatusChoice[Target_Status_Choice],MATCH(GLOBAL_DATA_02[[#This Row],[Target scope]],DATA_TargetStatusChoice[Value],1)))</f>
        <v>PARTIAL IMPLEMENTATION + RA</v>
      </c>
      <c r="G54" s="72">
        <v>0.2</v>
      </c>
      <c r="H54" s="81" t="str">
        <f>IF(GLOBAL_DATA_02[[#This Row],[Target status]]&lt;&gt;"FULL IMPLEMENTATION", "&lt;required&gt;"," -")</f>
        <v>&lt;required&gt;</v>
      </c>
      <c r="I54" s="59" t="s">
        <v>32</v>
      </c>
      <c r="J54" s="60">
        <v>0.4</v>
      </c>
      <c r="K54" s="54"/>
      <c r="L54" s="61"/>
      <c r="M54" s="62"/>
      <c r="N54" s="65" t="s">
        <v>490</v>
      </c>
      <c r="O54" s="71"/>
      <c r="P54" s="71"/>
      <c r="Q54" s="71">
        <v>43991</v>
      </c>
      <c r="R54" s="53"/>
      <c r="S54" s="55"/>
      <c r="T54" s="50"/>
      <c r="U54" s="50"/>
      <c r="V54" s="50"/>
    </row>
    <row r="55" spans="1:22" ht="42" customHeight="1" x14ac:dyDescent="0.25">
      <c r="A55" s="96" t="s">
        <v>40</v>
      </c>
      <c r="B55" s="97" t="s">
        <v>82</v>
      </c>
      <c r="C55" s="97" t="s">
        <v>513</v>
      </c>
      <c r="D55" s="79" t="s">
        <v>441</v>
      </c>
      <c r="E55" s="78" t="s">
        <v>518</v>
      </c>
      <c r="F55" s="80" t="str">
        <f>IF(GLOBAL_DATA_02[[#This Row],[Target scope]]="","",INDEX(DATA_TargetStatusChoice[Target_Status_Choice],MATCH(GLOBAL_DATA_02[[#This Row],[Target scope]],DATA_TargetStatusChoice[Value],1)))</f>
        <v>NOT APPLICABLE</v>
      </c>
      <c r="G55" s="72" t="s">
        <v>75</v>
      </c>
      <c r="H55" s="81" t="str">
        <f>IF(GLOBAL_DATA_02[[#This Row],[Target status]]&lt;&gt;"FULL IMPLEMENTATION", "&lt;required&gt;"," -")</f>
        <v>&lt;required&gt;</v>
      </c>
      <c r="I55" s="59" t="s">
        <v>382</v>
      </c>
      <c r="J55" s="60">
        <v>1</v>
      </c>
      <c r="K55" s="54"/>
      <c r="L55" s="61"/>
      <c r="M55" s="62"/>
      <c r="N55" s="65" t="s">
        <v>491</v>
      </c>
      <c r="O55" s="71"/>
      <c r="P55" s="71"/>
      <c r="Q55" s="71">
        <v>43991</v>
      </c>
      <c r="R55" s="53"/>
      <c r="S55" s="55"/>
      <c r="T55" s="50"/>
      <c r="U55" s="50"/>
      <c r="V55" s="50"/>
    </row>
    <row r="56" spans="1:22" ht="42" customHeight="1" x14ac:dyDescent="0.25">
      <c r="A56" s="96" t="s">
        <v>40</v>
      </c>
      <c r="B56" s="97" t="s">
        <v>82</v>
      </c>
      <c r="C56" s="97" t="s">
        <v>513</v>
      </c>
      <c r="D56" s="79" t="s">
        <v>442</v>
      </c>
      <c r="E56" s="78" t="s">
        <v>486</v>
      </c>
      <c r="F56" s="80" t="str">
        <f>IF(GLOBAL_DATA_02[[#This Row],[Target scope]]="","",INDEX(DATA_TargetStatusChoice[Target_Status_Choice],MATCH(GLOBAL_DATA_02[[#This Row],[Target scope]],DATA_TargetStatusChoice[Value],1)))</f>
        <v>PARTIAL IMPLEMENTATION + RA</v>
      </c>
      <c r="G56" s="72">
        <v>0.8</v>
      </c>
      <c r="H56" s="81" t="str">
        <f>IF(GLOBAL_DATA_02[[#This Row],[Target status]]&lt;&gt;"FULL IMPLEMENTATION", "&lt;required&gt;"," -")</f>
        <v>&lt;required&gt;</v>
      </c>
      <c r="I56" s="59" t="s">
        <v>33</v>
      </c>
      <c r="J56" s="60">
        <v>1</v>
      </c>
      <c r="K56" s="54"/>
      <c r="L56" s="61"/>
      <c r="M56" s="62"/>
      <c r="N56" s="65" t="s">
        <v>489</v>
      </c>
      <c r="O56" s="71"/>
      <c r="P56" s="71"/>
      <c r="Q56" s="71">
        <v>43991</v>
      </c>
      <c r="R56" s="53"/>
      <c r="S56" s="55"/>
      <c r="T56" s="50"/>
      <c r="U56" s="50"/>
      <c r="V56" s="50"/>
    </row>
    <row r="57" spans="1:22" ht="42" customHeight="1" x14ac:dyDescent="0.25">
      <c r="A57" s="96" t="s">
        <v>40</v>
      </c>
      <c r="B57" s="97" t="s">
        <v>82</v>
      </c>
      <c r="C57" s="97" t="s">
        <v>513</v>
      </c>
      <c r="D57" s="79" t="s">
        <v>443</v>
      </c>
      <c r="E57" s="78" t="s">
        <v>518</v>
      </c>
      <c r="F57" s="80" t="str">
        <f>IF(GLOBAL_DATA_02[[#This Row],[Target scope]]="","",INDEX(DATA_TargetStatusChoice[Target_Status_Choice],MATCH(GLOBAL_DATA_02[[#This Row],[Target scope]],DATA_TargetStatusChoice[Value],1)))</f>
        <v>RISK ACCEPTED</v>
      </c>
      <c r="G57" s="72">
        <v>0</v>
      </c>
      <c r="H57" s="81" t="str">
        <f>IF(GLOBAL_DATA_02[[#This Row],[Target status]]&lt;&gt;"FULL IMPLEMENTATION", "&lt;required&gt;"," -")</f>
        <v>&lt;required&gt;</v>
      </c>
      <c r="I57" s="59" t="s">
        <v>550</v>
      </c>
      <c r="J57" s="60">
        <v>0</v>
      </c>
      <c r="K57" s="54"/>
      <c r="L57" s="61"/>
      <c r="M57" s="62"/>
      <c r="N57" s="65" t="s">
        <v>491</v>
      </c>
      <c r="O57" s="71"/>
      <c r="P57" s="71"/>
      <c r="Q57" s="71"/>
      <c r="R57" s="53"/>
      <c r="S57" s="55"/>
      <c r="T57" s="50"/>
      <c r="U57" s="50"/>
      <c r="V57" s="50"/>
    </row>
    <row r="58" spans="1:22" ht="42" customHeight="1" x14ac:dyDescent="0.25">
      <c r="A58" s="96" t="s">
        <v>40</v>
      </c>
      <c r="B58" s="97" t="s">
        <v>82</v>
      </c>
      <c r="C58" s="97" t="s">
        <v>513</v>
      </c>
      <c r="D58" s="79" t="s">
        <v>444</v>
      </c>
      <c r="E58" s="78" t="s">
        <v>518</v>
      </c>
      <c r="F58" s="80" t="str">
        <f>IF(GLOBAL_DATA_02[[#This Row],[Target scope]]="","",INDEX(DATA_TargetStatusChoice[Target_Status_Choice],MATCH(GLOBAL_DATA_02[[#This Row],[Target scope]],DATA_TargetStatusChoice[Value],1)))</f>
        <v>RISK ACCEPTED</v>
      </c>
      <c r="G58" s="72">
        <v>0</v>
      </c>
      <c r="H58" s="81" t="str">
        <f>IF(GLOBAL_DATA_02[[#This Row],[Target status]]&lt;&gt;"FULL IMPLEMENTATION", "&lt;required&gt;"," -")</f>
        <v>&lt;required&gt;</v>
      </c>
      <c r="I58" s="59" t="s">
        <v>550</v>
      </c>
      <c r="J58" s="60">
        <v>0</v>
      </c>
      <c r="K58" s="54"/>
      <c r="L58" s="61"/>
      <c r="M58" s="62"/>
      <c r="N58" s="65" t="s">
        <v>490</v>
      </c>
      <c r="O58" s="71"/>
      <c r="P58" s="71"/>
      <c r="Q58" s="71"/>
      <c r="R58" s="53"/>
      <c r="S58" s="55"/>
      <c r="T58" s="50"/>
      <c r="U58" s="50"/>
      <c r="V58" s="50"/>
    </row>
    <row r="59" spans="1:22" ht="42" customHeight="1" x14ac:dyDescent="0.25">
      <c r="A59" s="96" t="s">
        <v>40</v>
      </c>
      <c r="B59" s="97" t="s">
        <v>82</v>
      </c>
      <c r="C59" s="97" t="s">
        <v>513</v>
      </c>
      <c r="D59" s="79" t="s">
        <v>445</v>
      </c>
      <c r="E59" s="78" t="s">
        <v>487</v>
      </c>
      <c r="F59" s="80" t="str">
        <f>IF(GLOBAL_DATA_02[[#This Row],[Target scope]]="","",INDEX(DATA_TargetStatusChoice[Target_Status_Choice],MATCH(GLOBAL_DATA_02[[#This Row],[Target scope]],DATA_TargetStatusChoice[Value],1)))</f>
        <v>PARTIAL IMPLEMENTATION + RA</v>
      </c>
      <c r="G59" s="72">
        <v>0.8</v>
      </c>
      <c r="H59" s="81" t="str">
        <f>IF(GLOBAL_DATA_02[[#This Row],[Target status]]&lt;&gt;"FULL IMPLEMENTATION", "&lt;required&gt;"," -")</f>
        <v>&lt;required&gt;</v>
      </c>
      <c r="I59" s="59" t="s">
        <v>32</v>
      </c>
      <c r="J59" s="60">
        <v>0.6</v>
      </c>
      <c r="K59" s="54"/>
      <c r="L59" s="61"/>
      <c r="M59" s="62"/>
      <c r="N59" s="65" t="s">
        <v>489</v>
      </c>
      <c r="O59" s="71"/>
      <c r="P59" s="71"/>
      <c r="Q59" s="71">
        <v>44356</v>
      </c>
      <c r="R59" s="53"/>
      <c r="S59" s="55"/>
      <c r="T59" s="50"/>
      <c r="U59" s="50"/>
      <c r="V59" s="50"/>
    </row>
    <row r="60" spans="1:22" ht="42" customHeight="1" x14ac:dyDescent="0.25">
      <c r="A60" s="96" t="s">
        <v>40</v>
      </c>
      <c r="B60" s="97" t="s">
        <v>82</v>
      </c>
      <c r="C60" s="97" t="s">
        <v>513</v>
      </c>
      <c r="D60" s="79" t="s">
        <v>446</v>
      </c>
      <c r="E60" s="78" t="s">
        <v>518</v>
      </c>
      <c r="F60" s="80" t="str">
        <f>IF(GLOBAL_DATA_02[[#This Row],[Target scope]]="","",INDEX(DATA_TargetStatusChoice[Target_Status_Choice],MATCH(GLOBAL_DATA_02[[#This Row],[Target scope]],DATA_TargetStatusChoice[Value],1)))</f>
        <v>PARTIAL IMPLEMENTATION + RA</v>
      </c>
      <c r="G60" s="72">
        <v>0.8</v>
      </c>
      <c r="H60" s="81" t="str">
        <f>IF(GLOBAL_DATA_02[[#This Row],[Target status]]&lt;&gt;"FULL IMPLEMENTATION", "&lt;required&gt;"," -")</f>
        <v>&lt;required&gt;</v>
      </c>
      <c r="I60" s="59" t="s">
        <v>32</v>
      </c>
      <c r="J60" s="60">
        <v>0.6</v>
      </c>
      <c r="K60" s="54"/>
      <c r="L60" s="61"/>
      <c r="M60" s="62"/>
      <c r="N60" s="65" t="s">
        <v>491</v>
      </c>
      <c r="O60" s="71"/>
      <c r="P60" s="71"/>
      <c r="Q60" s="71">
        <v>44721</v>
      </c>
      <c r="R60" s="53"/>
      <c r="S60" s="55"/>
      <c r="T60" s="50"/>
      <c r="U60" s="50"/>
      <c r="V60" s="50"/>
    </row>
    <row r="61" spans="1:22" ht="42" customHeight="1" x14ac:dyDescent="0.25">
      <c r="A61" s="96" t="s">
        <v>40</v>
      </c>
      <c r="B61" s="97" t="s">
        <v>82</v>
      </c>
      <c r="C61" s="97" t="s">
        <v>513</v>
      </c>
      <c r="D61" s="79" t="s">
        <v>447</v>
      </c>
      <c r="E61" s="78" t="s">
        <v>518</v>
      </c>
      <c r="F61" s="80" t="str">
        <f>IF(GLOBAL_DATA_02[[#This Row],[Target scope]]="","",INDEX(DATA_TargetStatusChoice[Target_Status_Choice],MATCH(GLOBAL_DATA_02[[#This Row],[Target scope]],DATA_TargetStatusChoice[Value],1)))</f>
        <v>RISK ACCEPTED</v>
      </c>
      <c r="G61" s="72">
        <v>0</v>
      </c>
      <c r="H61" s="81" t="str">
        <f>IF(GLOBAL_DATA_02[[#This Row],[Target status]]&lt;&gt;"FULL IMPLEMENTATION", "&lt;required&gt;"," -")</f>
        <v>&lt;required&gt;</v>
      </c>
      <c r="I61" s="59" t="s">
        <v>550</v>
      </c>
      <c r="J61" s="60">
        <v>0</v>
      </c>
      <c r="K61" s="54"/>
      <c r="L61" s="61"/>
      <c r="M61" s="62"/>
      <c r="N61" s="65" t="s">
        <v>491</v>
      </c>
      <c r="O61" s="71"/>
      <c r="P61" s="71"/>
      <c r="Q61" s="71"/>
      <c r="R61" s="53"/>
      <c r="S61" s="55"/>
      <c r="T61" s="50"/>
      <c r="U61" s="50"/>
      <c r="V61" s="50"/>
    </row>
    <row r="62" spans="1:22" ht="42" customHeight="1" x14ac:dyDescent="0.25">
      <c r="A62" s="96" t="s">
        <v>40</v>
      </c>
      <c r="B62" s="97" t="s">
        <v>82</v>
      </c>
      <c r="C62" s="97" t="s">
        <v>513</v>
      </c>
      <c r="D62" s="79" t="s">
        <v>448</v>
      </c>
      <c r="E62" s="78" t="s">
        <v>518</v>
      </c>
      <c r="F62" s="80" t="str">
        <f>IF(GLOBAL_DATA_02[[#This Row],[Target scope]]="","",INDEX(DATA_TargetStatusChoice[Target_Status_Choice],MATCH(GLOBAL_DATA_02[[#This Row],[Target scope]],DATA_TargetStatusChoice[Value],1)))</f>
        <v>RISK ACCEPTED</v>
      </c>
      <c r="G62" s="72">
        <v>0</v>
      </c>
      <c r="H62" s="81" t="str">
        <f>IF(GLOBAL_DATA_02[[#This Row],[Target status]]&lt;&gt;"FULL IMPLEMENTATION", "&lt;required&gt;"," -")</f>
        <v>&lt;required&gt;</v>
      </c>
      <c r="I62" s="59" t="s">
        <v>550</v>
      </c>
      <c r="J62" s="60">
        <v>0</v>
      </c>
      <c r="K62" s="54"/>
      <c r="L62" s="61"/>
      <c r="M62" s="62"/>
      <c r="N62" s="65" t="s">
        <v>492</v>
      </c>
      <c r="O62" s="71"/>
      <c r="P62" s="71"/>
      <c r="Q62" s="71"/>
      <c r="R62" s="53"/>
      <c r="S62" s="55"/>
      <c r="T62" s="50"/>
      <c r="U62" s="50"/>
      <c r="V62" s="50"/>
    </row>
    <row r="63" spans="1:22" ht="42" customHeight="1" x14ac:dyDescent="0.25">
      <c r="A63" s="96" t="s">
        <v>40</v>
      </c>
      <c r="B63" s="97" t="s">
        <v>82</v>
      </c>
      <c r="C63" s="97" t="s">
        <v>513</v>
      </c>
      <c r="D63" s="79" t="s">
        <v>449</v>
      </c>
      <c r="E63" s="78" t="s">
        <v>487</v>
      </c>
      <c r="F63" s="80" t="str">
        <f>IF(GLOBAL_DATA_02[[#This Row],[Target scope]]="","",INDEX(DATA_TargetStatusChoice[Target_Status_Choice],MATCH(GLOBAL_DATA_02[[#This Row],[Target scope]],DATA_TargetStatusChoice[Value],1)))</f>
        <v>NOT APPLICABLE</v>
      </c>
      <c r="G63" s="72" t="s">
        <v>75</v>
      </c>
      <c r="H63" s="81" t="str">
        <f>IF(GLOBAL_DATA_02[[#This Row],[Target status]]&lt;&gt;"FULL IMPLEMENTATION", "&lt;required&gt;"," -")</f>
        <v>&lt;required&gt;</v>
      </c>
      <c r="I63" s="59" t="s">
        <v>550</v>
      </c>
      <c r="J63" s="60">
        <v>0</v>
      </c>
      <c r="K63" s="54"/>
      <c r="L63" s="61"/>
      <c r="M63" s="62"/>
      <c r="N63" s="65" t="s">
        <v>489</v>
      </c>
      <c r="O63" s="71"/>
      <c r="P63" s="71"/>
      <c r="Q63" s="71"/>
      <c r="R63" s="53"/>
      <c r="S63" s="55"/>
      <c r="T63" s="50"/>
      <c r="U63" s="50"/>
      <c r="V63" s="50"/>
    </row>
    <row r="64" spans="1:22" ht="42" customHeight="1" x14ac:dyDescent="0.25">
      <c r="A64" s="96" t="s">
        <v>40</v>
      </c>
      <c r="B64" s="97" t="s">
        <v>82</v>
      </c>
      <c r="C64" s="97" t="s">
        <v>513</v>
      </c>
      <c r="D64" s="79" t="s">
        <v>450</v>
      </c>
      <c r="E64" s="78" t="s">
        <v>486</v>
      </c>
      <c r="F64" s="80" t="str">
        <f>IF(GLOBAL_DATA_02[[#This Row],[Target scope]]="","",INDEX(DATA_TargetStatusChoice[Target_Status_Choice],MATCH(GLOBAL_DATA_02[[#This Row],[Target scope]],DATA_TargetStatusChoice[Value],1)))</f>
        <v>PARTIAL IMPLEMENTATION + RA</v>
      </c>
      <c r="G64" s="72">
        <v>0.8</v>
      </c>
      <c r="H64" s="81" t="str">
        <f>IF(GLOBAL_DATA_02[[#This Row],[Target status]]&lt;&gt;"FULL IMPLEMENTATION", "&lt;required&gt;"," -")</f>
        <v>&lt;required&gt;</v>
      </c>
      <c r="I64" s="59" t="s">
        <v>33</v>
      </c>
      <c r="J64" s="60">
        <v>1</v>
      </c>
      <c r="K64" s="54"/>
      <c r="L64" s="61"/>
      <c r="M64" s="62"/>
      <c r="N64" s="65" t="s">
        <v>489</v>
      </c>
      <c r="O64" s="71"/>
      <c r="P64" s="71"/>
      <c r="Q64" s="71">
        <v>43991</v>
      </c>
      <c r="R64" s="53"/>
      <c r="S64" s="55"/>
      <c r="T64" s="50"/>
      <c r="U64" s="50"/>
      <c r="V64" s="50"/>
    </row>
    <row r="65" spans="1:22" ht="42" customHeight="1" x14ac:dyDescent="0.25">
      <c r="A65" s="96" t="s">
        <v>40</v>
      </c>
      <c r="B65" s="97" t="s">
        <v>82</v>
      </c>
      <c r="C65" s="97" t="s">
        <v>513</v>
      </c>
      <c r="D65" s="79" t="s">
        <v>451</v>
      </c>
      <c r="E65" s="78" t="s">
        <v>486</v>
      </c>
      <c r="F65" s="80" t="str">
        <f>IF(GLOBAL_DATA_02[[#This Row],[Target scope]]="","",INDEX(DATA_TargetStatusChoice[Target_Status_Choice],MATCH(GLOBAL_DATA_02[[#This Row],[Target scope]],DATA_TargetStatusChoice[Value],1)))</f>
        <v>NOT APPLICABLE</v>
      </c>
      <c r="G65" s="72" t="s">
        <v>75</v>
      </c>
      <c r="H65" s="81" t="str">
        <f>IF(GLOBAL_DATA_02[[#This Row],[Target status]]&lt;&gt;"FULL IMPLEMENTATION", "&lt;required&gt;"," -")</f>
        <v>&lt;required&gt;</v>
      </c>
      <c r="I65" s="59" t="s">
        <v>33</v>
      </c>
      <c r="J65" s="60">
        <v>1</v>
      </c>
      <c r="K65" s="54"/>
      <c r="L65" s="61"/>
      <c r="M65" s="62"/>
      <c r="N65" s="65" t="s">
        <v>489</v>
      </c>
      <c r="O65" s="71"/>
      <c r="P65" s="71"/>
      <c r="Q65" s="71">
        <v>43991</v>
      </c>
      <c r="R65" s="53"/>
      <c r="S65" s="55"/>
      <c r="T65" s="50"/>
      <c r="U65" s="50"/>
      <c r="V65" s="50"/>
    </row>
    <row r="66" spans="1:22" ht="42" customHeight="1" x14ac:dyDescent="0.25">
      <c r="A66" s="96" t="s">
        <v>40</v>
      </c>
      <c r="B66" s="97" t="s">
        <v>82</v>
      </c>
      <c r="C66" s="97" t="s">
        <v>513</v>
      </c>
      <c r="D66" s="79" t="s">
        <v>452</v>
      </c>
      <c r="E66" s="78" t="s">
        <v>486</v>
      </c>
      <c r="F66" s="80" t="str">
        <f>IF(GLOBAL_DATA_02[[#This Row],[Target scope]]="","",INDEX(DATA_TargetStatusChoice[Target_Status_Choice],MATCH(GLOBAL_DATA_02[[#This Row],[Target scope]],DATA_TargetStatusChoice[Value],1)))</f>
        <v>PARTIAL IMPLEMENTATION + RA</v>
      </c>
      <c r="G66" s="72">
        <v>0.8</v>
      </c>
      <c r="H66" s="81" t="str">
        <f>IF(GLOBAL_DATA_02[[#This Row],[Target status]]&lt;&gt;"FULL IMPLEMENTATION", "&lt;required&gt;"," -")</f>
        <v>&lt;required&gt;</v>
      </c>
      <c r="I66" s="59" t="s">
        <v>33</v>
      </c>
      <c r="J66" s="60">
        <v>1</v>
      </c>
      <c r="K66" s="54"/>
      <c r="L66" s="61"/>
      <c r="M66" s="62"/>
      <c r="N66" s="65" t="s">
        <v>489</v>
      </c>
      <c r="O66" s="71"/>
      <c r="P66" s="71"/>
      <c r="Q66" s="71">
        <v>44356</v>
      </c>
      <c r="R66" s="53"/>
      <c r="S66" s="55"/>
      <c r="T66" s="50"/>
      <c r="U66" s="50"/>
      <c r="V66" s="50"/>
    </row>
    <row r="67" spans="1:22" ht="42" customHeight="1" x14ac:dyDescent="0.25">
      <c r="A67" s="96" t="s">
        <v>40</v>
      </c>
      <c r="B67" s="97" t="s">
        <v>82</v>
      </c>
      <c r="C67" s="97" t="s">
        <v>513</v>
      </c>
      <c r="D67" s="79" t="s">
        <v>453</v>
      </c>
      <c r="E67" s="78" t="s">
        <v>486</v>
      </c>
      <c r="F67" s="80" t="str">
        <f>IF(GLOBAL_DATA_02[[#This Row],[Target scope]]="","",INDEX(DATA_TargetStatusChoice[Target_Status_Choice],MATCH(GLOBAL_DATA_02[[#This Row],[Target scope]],DATA_TargetStatusChoice[Value],1)))</f>
        <v>FULL IMPLEMENTATION</v>
      </c>
      <c r="G67" s="72">
        <v>1</v>
      </c>
      <c r="H67" s="81" t="str">
        <f>IF(GLOBAL_DATA_02[[#This Row],[Target status]]&lt;&gt;"FULL IMPLEMENTATION", "&lt;required&gt;"," -")</f>
        <v xml:space="preserve"> -</v>
      </c>
      <c r="I67" s="59" t="s">
        <v>35</v>
      </c>
      <c r="J67" s="60">
        <v>1</v>
      </c>
      <c r="K67" s="54"/>
      <c r="L67" s="61"/>
      <c r="M67" s="62"/>
      <c r="N67" s="65" t="s">
        <v>489</v>
      </c>
      <c r="O67" s="71"/>
      <c r="P67" s="71"/>
      <c r="Q67" s="71">
        <v>44356</v>
      </c>
      <c r="R67" s="53"/>
      <c r="S67" s="55"/>
      <c r="T67" s="50"/>
      <c r="U67" s="50"/>
      <c r="V67" s="50"/>
    </row>
    <row r="68" spans="1:22" ht="42" customHeight="1" x14ac:dyDescent="0.25">
      <c r="A68" s="96" t="s">
        <v>40</v>
      </c>
      <c r="B68" s="97" t="s">
        <v>82</v>
      </c>
      <c r="C68" s="97" t="s">
        <v>513</v>
      </c>
      <c r="D68" s="79" t="s">
        <v>454</v>
      </c>
      <c r="E68" s="78" t="s">
        <v>486</v>
      </c>
      <c r="F68" s="80" t="str">
        <f>IF(GLOBAL_DATA_02[[#This Row],[Target scope]]="","",INDEX(DATA_TargetStatusChoice[Target_Status_Choice],MATCH(GLOBAL_DATA_02[[#This Row],[Target scope]],DATA_TargetStatusChoice[Value],1)))</f>
        <v>NOT APPLICABLE</v>
      </c>
      <c r="G68" s="72" t="s">
        <v>75</v>
      </c>
      <c r="H68" s="81" t="str">
        <f>IF(GLOBAL_DATA_02[[#This Row],[Target status]]&lt;&gt;"FULL IMPLEMENTATION", "&lt;required&gt;"," -")</f>
        <v>&lt;required&gt;</v>
      </c>
      <c r="I68" s="59" t="s">
        <v>35</v>
      </c>
      <c r="J68" s="60">
        <v>1</v>
      </c>
      <c r="K68" s="54"/>
      <c r="L68" s="61"/>
      <c r="M68" s="62"/>
      <c r="N68" s="65" t="s">
        <v>489</v>
      </c>
      <c r="O68" s="71"/>
      <c r="P68" s="71"/>
      <c r="Q68" s="71"/>
      <c r="R68" s="53"/>
      <c r="S68" s="55"/>
      <c r="T68" s="50"/>
      <c r="U68" s="50"/>
      <c r="V68" s="50"/>
    </row>
    <row r="69" spans="1:22" ht="42" customHeight="1" x14ac:dyDescent="0.25">
      <c r="A69" s="96" t="s">
        <v>40</v>
      </c>
      <c r="B69" s="97" t="s">
        <v>82</v>
      </c>
      <c r="C69" s="97" t="s">
        <v>513</v>
      </c>
      <c r="D69" s="79" t="s">
        <v>455</v>
      </c>
      <c r="E69" s="78" t="s">
        <v>486</v>
      </c>
      <c r="F69" s="80" t="str">
        <f>IF(GLOBAL_DATA_02[[#This Row],[Target scope]]="","",INDEX(DATA_TargetStatusChoice[Target_Status_Choice],MATCH(GLOBAL_DATA_02[[#This Row],[Target scope]],DATA_TargetStatusChoice[Value],1)))</f>
        <v>PARTIAL IMPLEMENTATION + RA</v>
      </c>
      <c r="G69" s="72">
        <v>0.6</v>
      </c>
      <c r="H69" s="81" t="str">
        <f>IF(GLOBAL_DATA_02[[#This Row],[Target status]]&lt;&gt;"FULL IMPLEMENTATION", "&lt;required&gt;"," -")</f>
        <v>&lt;required&gt;</v>
      </c>
      <c r="I69" s="59" t="s">
        <v>35</v>
      </c>
      <c r="J69" s="60">
        <v>1</v>
      </c>
      <c r="K69" s="54"/>
      <c r="L69" s="61"/>
      <c r="M69" s="62"/>
      <c r="N69" s="65" t="s">
        <v>489</v>
      </c>
      <c r="O69" s="71"/>
      <c r="P69" s="71"/>
      <c r="Q69" s="71">
        <v>44356</v>
      </c>
      <c r="R69" s="53"/>
      <c r="S69" s="55"/>
      <c r="T69" s="50"/>
      <c r="U69" s="50"/>
      <c r="V69" s="50"/>
    </row>
    <row r="70" spans="1:22" ht="42" customHeight="1" x14ac:dyDescent="0.25">
      <c r="A70" s="96" t="s">
        <v>40</v>
      </c>
      <c r="B70" s="97" t="s">
        <v>82</v>
      </c>
      <c r="C70" s="97" t="s">
        <v>513</v>
      </c>
      <c r="D70" s="79" t="s">
        <v>456</v>
      </c>
      <c r="E70" s="78" t="s">
        <v>518</v>
      </c>
      <c r="F70" s="80" t="str">
        <f>IF(GLOBAL_DATA_02[[#This Row],[Target scope]]="","",INDEX(DATA_TargetStatusChoice[Target_Status_Choice],MATCH(GLOBAL_DATA_02[[#This Row],[Target scope]],DATA_TargetStatusChoice[Value],1)))</f>
        <v>FULL IMPLEMENTATION</v>
      </c>
      <c r="G70" s="72">
        <v>1</v>
      </c>
      <c r="H70" s="81" t="str">
        <f>IF(GLOBAL_DATA_02[[#This Row],[Target status]]&lt;&gt;"FULL IMPLEMENTATION", "&lt;required&gt;"," -")</f>
        <v xml:space="preserve"> -</v>
      </c>
      <c r="I70" s="59" t="s">
        <v>382</v>
      </c>
      <c r="J70" s="60">
        <v>1</v>
      </c>
      <c r="K70" s="54"/>
      <c r="L70" s="61"/>
      <c r="M70" s="62"/>
      <c r="N70" s="65" t="s">
        <v>490</v>
      </c>
      <c r="O70" s="71"/>
      <c r="P70" s="71"/>
      <c r="Q70" s="71">
        <v>44356</v>
      </c>
      <c r="R70" s="53"/>
      <c r="S70" s="55"/>
      <c r="T70" s="50"/>
      <c r="U70" s="50"/>
      <c r="V70" s="50"/>
    </row>
    <row r="71" spans="1:22" ht="42" customHeight="1" x14ac:dyDescent="0.25">
      <c r="A71" s="96" t="s">
        <v>40</v>
      </c>
      <c r="B71" s="97" t="s">
        <v>82</v>
      </c>
      <c r="C71" s="97" t="s">
        <v>513</v>
      </c>
      <c r="D71" s="79" t="s">
        <v>457</v>
      </c>
      <c r="E71" s="78" t="s">
        <v>487</v>
      </c>
      <c r="F71" s="80" t="str">
        <f>IF(GLOBAL_DATA_02[[#This Row],[Target scope]]="","",INDEX(DATA_TargetStatusChoice[Target_Status_Choice],MATCH(GLOBAL_DATA_02[[#This Row],[Target scope]],DATA_TargetStatusChoice[Value],1)))</f>
        <v>RISK ACCEPTED</v>
      </c>
      <c r="G71" s="72">
        <v>0</v>
      </c>
      <c r="H71" s="81" t="str">
        <f>IF(GLOBAL_DATA_02[[#This Row],[Target status]]&lt;&gt;"FULL IMPLEMENTATION", "&lt;required&gt;"," -")</f>
        <v>&lt;required&gt;</v>
      </c>
      <c r="I71" s="59" t="s">
        <v>550</v>
      </c>
      <c r="J71" s="60">
        <v>0</v>
      </c>
      <c r="K71" s="54"/>
      <c r="L71" s="61"/>
      <c r="M71" s="62"/>
      <c r="N71" s="65" t="s">
        <v>489</v>
      </c>
      <c r="O71" s="71"/>
      <c r="P71" s="71"/>
      <c r="Q71" s="71"/>
      <c r="R71" s="53"/>
      <c r="S71" s="55"/>
      <c r="T71" s="50"/>
      <c r="U71" s="50"/>
      <c r="V71" s="50"/>
    </row>
    <row r="72" spans="1:22" ht="42" customHeight="1" x14ac:dyDescent="0.25">
      <c r="A72" s="96" t="s">
        <v>40</v>
      </c>
      <c r="B72" s="97" t="s">
        <v>82</v>
      </c>
      <c r="C72" s="97" t="s">
        <v>513</v>
      </c>
      <c r="D72" s="79" t="s">
        <v>458</v>
      </c>
      <c r="E72" s="78" t="s">
        <v>518</v>
      </c>
      <c r="F72" s="80" t="str">
        <f>IF(GLOBAL_DATA_02[[#This Row],[Target scope]]="","",INDEX(DATA_TargetStatusChoice[Target_Status_Choice],MATCH(GLOBAL_DATA_02[[#This Row],[Target scope]],DATA_TargetStatusChoice[Value],1)))</f>
        <v>NOT APPLICABLE</v>
      </c>
      <c r="G72" s="72" t="s">
        <v>75</v>
      </c>
      <c r="H72" s="81" t="str">
        <f>IF(GLOBAL_DATA_02[[#This Row],[Target status]]&lt;&gt;"FULL IMPLEMENTATION", "&lt;required&gt;"," -")</f>
        <v>&lt;required&gt;</v>
      </c>
      <c r="I72" s="59" t="s">
        <v>550</v>
      </c>
      <c r="J72" s="60">
        <v>0</v>
      </c>
      <c r="K72" s="54"/>
      <c r="L72" s="61"/>
      <c r="M72" s="62"/>
      <c r="N72" s="65" t="s">
        <v>491</v>
      </c>
      <c r="O72" s="71"/>
      <c r="P72" s="71"/>
      <c r="Q72" s="71"/>
      <c r="R72" s="53"/>
      <c r="S72" s="55"/>
      <c r="T72" s="50"/>
      <c r="U72" s="50"/>
      <c r="V72" s="50"/>
    </row>
    <row r="73" spans="1:22" ht="42" customHeight="1" x14ac:dyDescent="0.25">
      <c r="A73" s="96" t="s">
        <v>40</v>
      </c>
      <c r="B73" s="97" t="s">
        <v>82</v>
      </c>
      <c r="C73" s="97" t="s">
        <v>513</v>
      </c>
      <c r="D73" s="79" t="s">
        <v>459</v>
      </c>
      <c r="E73" s="78" t="s">
        <v>487</v>
      </c>
      <c r="F73" s="80" t="str">
        <f>IF(GLOBAL_DATA_02[[#This Row],[Target scope]]="","",INDEX(DATA_TargetStatusChoice[Target_Status_Choice],MATCH(GLOBAL_DATA_02[[#This Row],[Target scope]],DATA_TargetStatusChoice[Value],1)))</f>
        <v>PARTIAL IMPLEMENTATION + RA</v>
      </c>
      <c r="G73" s="72">
        <v>0.8</v>
      </c>
      <c r="H73" s="81" t="str">
        <f>IF(GLOBAL_DATA_02[[#This Row],[Target status]]&lt;&gt;"FULL IMPLEMENTATION", "&lt;required&gt;"," -")</f>
        <v>&lt;required&gt;</v>
      </c>
      <c r="I73" s="59" t="s">
        <v>31</v>
      </c>
      <c r="J73" s="60">
        <v>0</v>
      </c>
      <c r="K73" s="54"/>
      <c r="L73" s="61"/>
      <c r="M73" s="62"/>
      <c r="N73" s="65" t="s">
        <v>489</v>
      </c>
      <c r="O73" s="71"/>
      <c r="P73" s="71"/>
      <c r="Q73" s="71">
        <v>44356</v>
      </c>
      <c r="R73" s="53"/>
      <c r="S73" s="55"/>
      <c r="T73" s="50"/>
      <c r="U73" s="50"/>
      <c r="V73" s="50"/>
    </row>
    <row r="74" spans="1:22" ht="42" customHeight="1" x14ac:dyDescent="0.25">
      <c r="A74" s="96" t="s">
        <v>40</v>
      </c>
      <c r="B74" s="97" t="s">
        <v>82</v>
      </c>
      <c r="C74" s="97" t="s">
        <v>513</v>
      </c>
      <c r="D74" s="79" t="s">
        <v>460</v>
      </c>
      <c r="E74" s="78" t="s">
        <v>518</v>
      </c>
      <c r="F74" s="80" t="str">
        <f>IF(GLOBAL_DATA_02[[#This Row],[Target scope]]="","",INDEX(DATA_TargetStatusChoice[Target_Status_Choice],MATCH(GLOBAL_DATA_02[[#This Row],[Target scope]],DATA_TargetStatusChoice[Value],1)))</f>
        <v>PARTIAL IMPLEMENTATION + RA</v>
      </c>
      <c r="G74" s="72">
        <v>0.6</v>
      </c>
      <c r="H74" s="81" t="str">
        <f>IF(GLOBAL_DATA_02[[#This Row],[Target status]]&lt;&gt;"FULL IMPLEMENTATION", "&lt;required&gt;"," -")</f>
        <v>&lt;required&gt;</v>
      </c>
      <c r="I74" s="59" t="s">
        <v>31</v>
      </c>
      <c r="J74" s="60">
        <v>0</v>
      </c>
      <c r="K74" s="54"/>
      <c r="L74" s="61"/>
      <c r="M74" s="62"/>
      <c r="N74" s="65" t="s">
        <v>490</v>
      </c>
      <c r="O74" s="71"/>
      <c r="P74" s="71"/>
      <c r="Q74" s="71">
        <v>44721</v>
      </c>
      <c r="R74" s="53"/>
      <c r="S74" s="55"/>
      <c r="T74" s="50"/>
      <c r="U74" s="50"/>
      <c r="V74" s="50"/>
    </row>
    <row r="75" spans="1:22" ht="42" customHeight="1" x14ac:dyDescent="0.25">
      <c r="A75" s="96" t="s">
        <v>40</v>
      </c>
      <c r="B75" s="97" t="s">
        <v>82</v>
      </c>
      <c r="C75" s="97" t="s">
        <v>513</v>
      </c>
      <c r="D75" s="79" t="s">
        <v>461</v>
      </c>
      <c r="E75" s="78" t="s">
        <v>486</v>
      </c>
      <c r="F75" s="80" t="str">
        <f>IF(GLOBAL_DATA_02[[#This Row],[Target scope]]="","",INDEX(DATA_TargetStatusChoice[Target_Status_Choice],MATCH(GLOBAL_DATA_02[[#This Row],[Target scope]],DATA_TargetStatusChoice[Value],1)))</f>
        <v>PARTIAL IMPLEMENTATION + RA</v>
      </c>
      <c r="G75" s="72">
        <v>0.8</v>
      </c>
      <c r="H75" s="81" t="str">
        <f>IF(GLOBAL_DATA_02[[#This Row],[Target status]]&lt;&gt;"FULL IMPLEMENTATION", "&lt;required&gt;"," -")</f>
        <v>&lt;required&gt;</v>
      </c>
      <c r="I75" s="59" t="s">
        <v>31</v>
      </c>
      <c r="J75" s="60">
        <v>0</v>
      </c>
      <c r="K75" s="54"/>
      <c r="L75" s="61"/>
      <c r="M75" s="62"/>
      <c r="N75" s="65" t="s">
        <v>492</v>
      </c>
      <c r="O75" s="71"/>
      <c r="P75" s="71"/>
      <c r="Q75" s="71">
        <v>44721</v>
      </c>
      <c r="R75" s="53"/>
      <c r="S75" s="55"/>
      <c r="T75" s="50"/>
      <c r="U75" s="50"/>
      <c r="V75" s="50"/>
    </row>
    <row r="76" spans="1:22" ht="42" customHeight="1" x14ac:dyDescent="0.25">
      <c r="A76" s="96" t="s">
        <v>40</v>
      </c>
      <c r="B76" s="97" t="s">
        <v>82</v>
      </c>
      <c r="C76" s="97" t="s">
        <v>513</v>
      </c>
      <c r="D76" s="79" t="s">
        <v>462</v>
      </c>
      <c r="E76" s="78" t="s">
        <v>487</v>
      </c>
      <c r="F76" s="80" t="str">
        <f>IF(GLOBAL_DATA_02[[#This Row],[Target scope]]="","",INDEX(DATA_TargetStatusChoice[Target_Status_Choice],MATCH(GLOBAL_DATA_02[[#This Row],[Target scope]],DATA_TargetStatusChoice[Value],1)))</f>
        <v>FULL IMPLEMENTATION</v>
      </c>
      <c r="G76" s="72">
        <v>1</v>
      </c>
      <c r="H76" s="81" t="str">
        <f>IF(GLOBAL_DATA_02[[#This Row],[Target status]]&lt;&gt;"FULL IMPLEMENTATION", "&lt;required&gt;"," -")</f>
        <v xml:space="preserve"> -</v>
      </c>
      <c r="I76" s="59" t="s">
        <v>31</v>
      </c>
      <c r="J76" s="60">
        <v>0</v>
      </c>
      <c r="K76" s="54"/>
      <c r="L76" s="61"/>
      <c r="M76" s="62"/>
      <c r="N76" s="65" t="s">
        <v>489</v>
      </c>
      <c r="O76" s="71"/>
      <c r="P76" s="71"/>
      <c r="Q76" s="71">
        <v>44721</v>
      </c>
      <c r="R76" s="53"/>
      <c r="S76" s="55"/>
      <c r="T76" s="50"/>
      <c r="U76" s="50"/>
      <c r="V76" s="50"/>
    </row>
    <row r="77" spans="1:22" ht="42" customHeight="1" x14ac:dyDescent="0.25">
      <c r="A77" s="96" t="s">
        <v>40</v>
      </c>
      <c r="B77" s="97" t="s">
        <v>82</v>
      </c>
      <c r="C77" s="97" t="s">
        <v>513</v>
      </c>
      <c r="D77" s="79" t="s">
        <v>463</v>
      </c>
      <c r="E77" s="78" t="s">
        <v>518</v>
      </c>
      <c r="F77" s="80" t="str">
        <f>IF(GLOBAL_DATA_02[[#This Row],[Target scope]]="","",INDEX(DATA_TargetStatusChoice[Target_Status_Choice],MATCH(GLOBAL_DATA_02[[#This Row],[Target scope]],DATA_TargetStatusChoice[Value],1)))</f>
        <v>NOT APPLICABLE</v>
      </c>
      <c r="G77" s="72" t="s">
        <v>75</v>
      </c>
      <c r="H77" s="81" t="str">
        <f>IF(GLOBAL_DATA_02[[#This Row],[Target status]]&lt;&gt;"FULL IMPLEMENTATION", "&lt;required&gt;"," -")</f>
        <v>&lt;required&gt;</v>
      </c>
      <c r="I77" s="59" t="s">
        <v>550</v>
      </c>
      <c r="J77" s="60">
        <v>0</v>
      </c>
      <c r="K77" s="54"/>
      <c r="L77" s="61"/>
      <c r="M77" s="62"/>
      <c r="N77" s="65" t="s">
        <v>490</v>
      </c>
      <c r="O77" s="71"/>
      <c r="P77" s="71"/>
      <c r="Q77" s="71"/>
      <c r="R77" s="53"/>
      <c r="S77" s="55"/>
      <c r="T77" s="50"/>
      <c r="U77" s="50"/>
      <c r="V77" s="50"/>
    </row>
    <row r="78" spans="1:22" ht="42" customHeight="1" x14ac:dyDescent="0.25">
      <c r="A78" s="96" t="s">
        <v>40</v>
      </c>
      <c r="B78" s="97" t="s">
        <v>82</v>
      </c>
      <c r="C78" s="97" t="s">
        <v>513</v>
      </c>
      <c r="D78" s="79" t="s">
        <v>464</v>
      </c>
      <c r="E78" s="78" t="s">
        <v>518</v>
      </c>
      <c r="F78" s="80" t="str">
        <f>IF(GLOBAL_DATA_02[[#This Row],[Target scope]]="","",INDEX(DATA_TargetStatusChoice[Target_Status_Choice],MATCH(GLOBAL_DATA_02[[#This Row],[Target scope]],DATA_TargetStatusChoice[Value],1)))</f>
        <v>PARTIAL IMPLEMENTATION + RA</v>
      </c>
      <c r="G78" s="72">
        <v>0.6</v>
      </c>
      <c r="H78" s="81" t="str">
        <f>IF(GLOBAL_DATA_02[[#This Row],[Target status]]&lt;&gt;"FULL IMPLEMENTATION", "&lt;required&gt;"," -")</f>
        <v>&lt;required&gt;</v>
      </c>
      <c r="I78" s="59" t="s">
        <v>32</v>
      </c>
      <c r="J78" s="60">
        <v>0.6</v>
      </c>
      <c r="K78" s="54"/>
      <c r="L78" s="61"/>
      <c r="M78" s="62"/>
      <c r="N78" s="65" t="s">
        <v>490</v>
      </c>
      <c r="O78" s="71"/>
      <c r="P78" s="71"/>
      <c r="Q78" s="71">
        <v>44721</v>
      </c>
      <c r="R78" s="53"/>
      <c r="S78" s="55"/>
      <c r="T78" s="50"/>
      <c r="U78" s="50"/>
      <c r="V78" s="50"/>
    </row>
    <row r="79" spans="1:22" ht="42" customHeight="1" x14ac:dyDescent="0.25">
      <c r="A79" s="96" t="s">
        <v>40</v>
      </c>
      <c r="B79" s="97" t="s">
        <v>82</v>
      </c>
      <c r="C79" s="97" t="s">
        <v>513</v>
      </c>
      <c r="D79" s="79" t="s">
        <v>465</v>
      </c>
      <c r="E79" s="78" t="s">
        <v>518</v>
      </c>
      <c r="F79" s="80" t="str">
        <f>IF(GLOBAL_DATA_02[[#This Row],[Target scope]]="","",INDEX(DATA_TargetStatusChoice[Target_Status_Choice],MATCH(GLOBAL_DATA_02[[#This Row],[Target scope]],DATA_TargetStatusChoice[Value],1)))</f>
        <v>FULL IMPLEMENTATION</v>
      </c>
      <c r="G79" s="72">
        <v>1</v>
      </c>
      <c r="H79" s="81" t="str">
        <f>IF(GLOBAL_DATA_02[[#This Row],[Target status]]&lt;&gt;"FULL IMPLEMENTATION", "&lt;required&gt;"," -")</f>
        <v xml:space="preserve"> -</v>
      </c>
      <c r="I79" s="59" t="s">
        <v>32</v>
      </c>
      <c r="J79" s="60">
        <v>0.6</v>
      </c>
      <c r="K79" s="54"/>
      <c r="L79" s="61"/>
      <c r="M79" s="62"/>
      <c r="N79" s="65" t="s">
        <v>490</v>
      </c>
      <c r="O79" s="71"/>
      <c r="P79" s="71"/>
      <c r="Q79" s="71">
        <v>44721</v>
      </c>
      <c r="R79" s="53"/>
      <c r="S79" s="55"/>
      <c r="T79" s="50"/>
      <c r="U79" s="50"/>
      <c r="V79" s="50"/>
    </row>
    <row r="80" spans="1:22" ht="42" customHeight="1" x14ac:dyDescent="0.25">
      <c r="A80" s="96" t="s">
        <v>40</v>
      </c>
      <c r="B80" s="97" t="s">
        <v>82</v>
      </c>
      <c r="C80" s="97" t="s">
        <v>513</v>
      </c>
      <c r="D80" s="79" t="s">
        <v>466</v>
      </c>
      <c r="E80" s="78" t="s">
        <v>518</v>
      </c>
      <c r="F80" s="147" t="str">
        <f>IF(GLOBAL_DATA_02[[#This Row],[Target scope]]="","",INDEX(DATA_TargetStatusChoice[Target_Status_Choice],MATCH(GLOBAL_DATA_02[[#This Row],[Target scope]],DATA_TargetStatusChoice[Value],1)))</f>
        <v>FULL IMPLEMENTATION</v>
      </c>
      <c r="G80" s="148">
        <v>1</v>
      </c>
      <c r="H80" s="149" t="str">
        <f>IF(GLOBAL_DATA_02[[#This Row],[Target status]]&lt;&gt;"FULL IMPLEMENTATION", "&lt;required&gt;"," -")</f>
        <v xml:space="preserve"> -</v>
      </c>
      <c r="I80" s="59" t="s">
        <v>32</v>
      </c>
      <c r="J80" s="60">
        <v>0.6</v>
      </c>
      <c r="K80" s="54"/>
      <c r="L80" s="61"/>
      <c r="M80" s="62"/>
      <c r="N80" s="65" t="s">
        <v>491</v>
      </c>
      <c r="O80" s="71"/>
      <c r="P80" s="71"/>
      <c r="Q80" s="71">
        <v>44721</v>
      </c>
      <c r="R80" s="53"/>
      <c r="S80" s="55"/>
      <c r="T80" s="50"/>
      <c r="U80" s="50"/>
      <c r="V80" s="50"/>
    </row>
    <row r="81" spans="1:22" ht="42" customHeight="1" x14ac:dyDescent="0.25">
      <c r="A81" s="96" t="s">
        <v>40</v>
      </c>
      <c r="B81" s="97" t="s">
        <v>82</v>
      </c>
      <c r="C81" s="97" t="s">
        <v>513</v>
      </c>
      <c r="D81" s="79" t="s">
        <v>467</v>
      </c>
      <c r="E81" s="78" t="s">
        <v>486</v>
      </c>
      <c r="F81" s="80" t="str">
        <f>IF(GLOBAL_DATA_02[[#This Row],[Target scope]]="","",INDEX(DATA_TargetStatusChoice[Target_Status_Choice],MATCH(GLOBAL_DATA_02[[#This Row],[Target scope]],DATA_TargetStatusChoice[Value],1)))</f>
        <v>FULL IMPLEMENTATION</v>
      </c>
      <c r="G81" s="72">
        <v>1</v>
      </c>
      <c r="H81" s="81" t="str">
        <f>IF(GLOBAL_DATA_02[[#This Row],[Target status]]&lt;&gt;"FULL IMPLEMENTATION", "&lt;required&gt;"," -")</f>
        <v xml:space="preserve"> -</v>
      </c>
      <c r="I81" s="59" t="s">
        <v>32</v>
      </c>
      <c r="J81" s="60">
        <v>0.6</v>
      </c>
      <c r="K81" s="54"/>
      <c r="L81" s="61"/>
      <c r="M81" s="62"/>
      <c r="N81" s="65" t="s">
        <v>489</v>
      </c>
      <c r="O81" s="71"/>
      <c r="P81" s="71"/>
      <c r="Q81" s="71">
        <v>44721</v>
      </c>
      <c r="R81" s="53"/>
      <c r="S81" s="55"/>
      <c r="T81" s="50"/>
      <c r="U81" s="50"/>
      <c r="V81" s="50"/>
    </row>
    <row r="82" spans="1:22" ht="42" customHeight="1" x14ac:dyDescent="0.25">
      <c r="A82" s="96" t="s">
        <v>40</v>
      </c>
      <c r="B82" s="97" t="s">
        <v>82</v>
      </c>
      <c r="C82" s="97" t="s">
        <v>513</v>
      </c>
      <c r="D82" s="79" t="s">
        <v>468</v>
      </c>
      <c r="E82" s="78" t="s">
        <v>488</v>
      </c>
      <c r="F82" s="80" t="str">
        <f>IF(GLOBAL_DATA_02[[#This Row],[Target scope]]="","",INDEX(DATA_TargetStatusChoice[Target_Status_Choice],MATCH(GLOBAL_DATA_02[[#This Row],[Target scope]],DATA_TargetStatusChoice[Value],1)))</f>
        <v>NOT APPLICABLE</v>
      </c>
      <c r="G82" s="72" t="s">
        <v>75</v>
      </c>
      <c r="H82" s="81" t="str">
        <f>IF(GLOBAL_DATA_02[[#This Row],[Target status]]&lt;&gt;"FULL IMPLEMENTATION", "&lt;required&gt;"," -")</f>
        <v>&lt;required&gt;</v>
      </c>
      <c r="I82" s="59" t="s">
        <v>550</v>
      </c>
      <c r="J82" s="60">
        <v>0</v>
      </c>
      <c r="K82" s="54"/>
      <c r="L82" s="61"/>
      <c r="M82" s="62"/>
      <c r="N82" s="65" t="s">
        <v>489</v>
      </c>
      <c r="O82" s="71"/>
      <c r="P82" s="71"/>
      <c r="Q82" s="71"/>
      <c r="R82" s="53"/>
      <c r="S82" s="55"/>
      <c r="T82" s="50"/>
      <c r="U82" s="50"/>
      <c r="V82" s="50"/>
    </row>
    <row r="83" spans="1:22" ht="42" customHeight="1" x14ac:dyDescent="0.25">
      <c r="A83" s="96" t="s">
        <v>40</v>
      </c>
      <c r="B83" s="97" t="s">
        <v>82</v>
      </c>
      <c r="C83" s="97" t="s">
        <v>513</v>
      </c>
      <c r="D83" s="79" t="s">
        <v>469</v>
      </c>
      <c r="E83" s="78" t="s">
        <v>487</v>
      </c>
      <c r="F83" s="80" t="str">
        <f>IF(GLOBAL_DATA_02[[#This Row],[Target scope]]="","",INDEX(DATA_TargetStatusChoice[Target_Status_Choice],MATCH(GLOBAL_DATA_02[[#This Row],[Target scope]],DATA_TargetStatusChoice[Value],1)))</f>
        <v>PARTIAL IMPLEMENTATION + RA</v>
      </c>
      <c r="G83" s="72">
        <v>0.6</v>
      </c>
      <c r="H83" s="81" t="str">
        <f>IF(GLOBAL_DATA_02[[#This Row],[Target status]]&lt;&gt;"FULL IMPLEMENTATION", "&lt;required&gt;"," -")</f>
        <v>&lt;required&gt;</v>
      </c>
      <c r="I83" s="59" t="s">
        <v>35</v>
      </c>
      <c r="J83" s="60">
        <v>1</v>
      </c>
      <c r="K83" s="54"/>
      <c r="L83" s="61"/>
      <c r="M83" s="62"/>
      <c r="N83" s="65" t="s">
        <v>489</v>
      </c>
      <c r="O83" s="71"/>
      <c r="P83" s="71"/>
      <c r="Q83" s="71">
        <v>44721</v>
      </c>
      <c r="R83" s="53"/>
      <c r="S83" s="55"/>
      <c r="T83" s="50"/>
      <c r="U83" s="50"/>
      <c r="V83" s="50"/>
    </row>
    <row r="84" spans="1:22" ht="42" customHeight="1" x14ac:dyDescent="0.25">
      <c r="A84" s="96" t="s">
        <v>40</v>
      </c>
      <c r="B84" s="97" t="s">
        <v>82</v>
      </c>
      <c r="C84" s="97" t="s">
        <v>513</v>
      </c>
      <c r="D84" s="79" t="s">
        <v>470</v>
      </c>
      <c r="E84" s="78" t="s">
        <v>518</v>
      </c>
      <c r="F84" s="80" t="str">
        <f>IF(GLOBAL_DATA_02[[#This Row],[Target scope]]="","",INDEX(DATA_TargetStatusChoice[Target_Status_Choice],MATCH(GLOBAL_DATA_02[[#This Row],[Target scope]],DATA_TargetStatusChoice[Value],1)))</f>
        <v>FULL IMPLEMENTATION</v>
      </c>
      <c r="G84" s="72">
        <v>1</v>
      </c>
      <c r="H84" s="81" t="str">
        <f>IF(GLOBAL_DATA_02[[#This Row],[Target status]]&lt;&gt;"FULL IMPLEMENTATION", "&lt;required&gt;"," -")</f>
        <v xml:space="preserve"> -</v>
      </c>
      <c r="I84" s="59" t="s">
        <v>35</v>
      </c>
      <c r="J84" s="60">
        <v>1</v>
      </c>
      <c r="K84" s="54"/>
      <c r="L84" s="61"/>
      <c r="M84" s="62"/>
      <c r="N84" s="65" t="s">
        <v>492</v>
      </c>
      <c r="O84" s="71"/>
      <c r="P84" s="71"/>
      <c r="Q84" s="71">
        <v>44721</v>
      </c>
      <c r="R84" s="53"/>
      <c r="S84" s="55"/>
      <c r="T84" s="50"/>
      <c r="U84" s="50"/>
      <c r="V84" s="50"/>
    </row>
    <row r="85" spans="1:22" ht="42" customHeight="1" x14ac:dyDescent="0.25">
      <c r="A85" s="96" t="s">
        <v>40</v>
      </c>
      <c r="B85" s="97" t="s">
        <v>82</v>
      </c>
      <c r="C85" s="97" t="s">
        <v>513</v>
      </c>
      <c r="D85" s="79" t="s">
        <v>471</v>
      </c>
      <c r="E85" s="78" t="s">
        <v>518</v>
      </c>
      <c r="F85" s="80" t="str">
        <f>IF(GLOBAL_DATA_02[[#This Row],[Target scope]]="","",INDEX(DATA_TargetStatusChoice[Target_Status_Choice],MATCH(GLOBAL_DATA_02[[#This Row],[Target scope]],DATA_TargetStatusChoice[Value],1)))</f>
        <v>FULL IMPLEMENTATION</v>
      </c>
      <c r="G85" s="72">
        <v>1</v>
      </c>
      <c r="H85" s="81" t="str">
        <f>IF(GLOBAL_DATA_02[[#This Row],[Target status]]&lt;&gt;"FULL IMPLEMENTATION", "&lt;required&gt;"," -")</f>
        <v xml:space="preserve"> -</v>
      </c>
      <c r="I85" s="59" t="s">
        <v>35</v>
      </c>
      <c r="J85" s="60">
        <v>1</v>
      </c>
      <c r="K85" s="54"/>
      <c r="L85" s="61"/>
      <c r="M85" s="62"/>
      <c r="N85" s="65" t="s">
        <v>490</v>
      </c>
      <c r="O85" s="71"/>
      <c r="P85" s="71"/>
      <c r="Q85" s="71">
        <v>44721</v>
      </c>
      <c r="R85" s="53"/>
      <c r="S85" s="55"/>
      <c r="T85" s="50"/>
      <c r="U85" s="50"/>
      <c r="V85" s="50"/>
    </row>
    <row r="86" spans="1:22" ht="42" customHeight="1" x14ac:dyDescent="0.25">
      <c r="A86" s="96" t="s">
        <v>40</v>
      </c>
      <c r="B86" s="97" t="s">
        <v>82</v>
      </c>
      <c r="C86" s="97" t="s">
        <v>513</v>
      </c>
      <c r="D86" s="79" t="s">
        <v>472</v>
      </c>
      <c r="E86" s="78" t="s">
        <v>518</v>
      </c>
      <c r="F86" s="80" t="str">
        <f>IF(GLOBAL_DATA_02[[#This Row],[Target scope]]="","",INDEX(DATA_TargetStatusChoice[Target_Status_Choice],MATCH(GLOBAL_DATA_02[[#This Row],[Target scope]],DATA_TargetStatusChoice[Value],1)))</f>
        <v>PARTIAL IMPLEMENTATION + RA</v>
      </c>
      <c r="G86" s="72">
        <v>0.8</v>
      </c>
      <c r="H86" s="81" t="str">
        <f>IF(GLOBAL_DATA_02[[#This Row],[Target status]]&lt;&gt;"FULL IMPLEMENTATION", "&lt;required&gt;"," -")</f>
        <v>&lt;required&gt;</v>
      </c>
      <c r="I86" s="59" t="s">
        <v>35</v>
      </c>
      <c r="J86" s="60">
        <v>1</v>
      </c>
      <c r="K86" s="54"/>
      <c r="L86" s="61"/>
      <c r="M86" s="62"/>
      <c r="N86" s="65" t="s">
        <v>490</v>
      </c>
      <c r="O86" s="71"/>
      <c r="P86" s="71"/>
      <c r="Q86" s="71">
        <v>44721</v>
      </c>
      <c r="R86" s="53"/>
      <c r="S86" s="55"/>
      <c r="T86" s="50"/>
      <c r="U86" s="50"/>
      <c r="V86" s="50"/>
    </row>
    <row r="87" spans="1:22" ht="42" customHeight="1" x14ac:dyDescent="0.25">
      <c r="A87" s="96" t="s">
        <v>40</v>
      </c>
      <c r="B87" s="97" t="s">
        <v>82</v>
      </c>
      <c r="C87" s="97" t="s">
        <v>513</v>
      </c>
      <c r="D87" s="79" t="s">
        <v>473</v>
      </c>
      <c r="E87" s="78" t="s">
        <v>518</v>
      </c>
      <c r="F87" s="80" t="str">
        <f>IF(GLOBAL_DATA_02[[#This Row],[Target scope]]="","",INDEX(DATA_TargetStatusChoice[Target_Status_Choice],MATCH(GLOBAL_DATA_02[[#This Row],[Target scope]],DATA_TargetStatusChoice[Value],1)))</f>
        <v>FULL IMPLEMENTATION</v>
      </c>
      <c r="G87" s="72">
        <v>1</v>
      </c>
      <c r="H87" s="81" t="str">
        <f>IF(GLOBAL_DATA_02[[#This Row],[Target status]]&lt;&gt;"FULL IMPLEMENTATION", "&lt;required&gt;"," -")</f>
        <v xml:space="preserve"> -</v>
      </c>
      <c r="I87" s="150" t="s">
        <v>382</v>
      </c>
      <c r="J87" s="60">
        <v>1</v>
      </c>
      <c r="K87" s="54"/>
      <c r="L87" s="153" t="s">
        <v>622</v>
      </c>
      <c r="M87" s="62"/>
      <c r="N87" s="65" t="s">
        <v>492</v>
      </c>
      <c r="O87" s="71"/>
      <c r="P87" s="71"/>
      <c r="Q87" s="71">
        <v>44721</v>
      </c>
      <c r="R87" s="53"/>
      <c r="S87" s="55"/>
      <c r="T87" s="50"/>
      <c r="U87" s="50"/>
      <c r="V87" s="50"/>
    </row>
    <row r="88" spans="1:22" ht="42" customHeight="1" x14ac:dyDescent="0.25">
      <c r="A88" s="96" t="s">
        <v>40</v>
      </c>
      <c r="B88" s="97" t="s">
        <v>82</v>
      </c>
      <c r="C88" s="97" t="s">
        <v>513</v>
      </c>
      <c r="D88" s="79" t="s">
        <v>474</v>
      </c>
      <c r="E88" s="78" t="s">
        <v>518</v>
      </c>
      <c r="F88" s="147" t="str">
        <f>IF(GLOBAL_DATA_02[[#This Row],[Target scope]]="","",INDEX(DATA_TargetStatusChoice[Target_Status_Choice],MATCH(GLOBAL_DATA_02[[#This Row],[Target scope]],DATA_TargetStatusChoice[Value],1)))</f>
        <v>PARTIAL IMPLEMENTATION + RA</v>
      </c>
      <c r="G88" s="148">
        <v>0.4</v>
      </c>
      <c r="H88" s="149" t="str">
        <f>IF(GLOBAL_DATA_02[[#This Row],[Target status]]&lt;&gt;"FULL IMPLEMENTATION", "&lt;required&gt;"," -")</f>
        <v>&lt;required&gt;</v>
      </c>
      <c r="I88" s="150" t="s">
        <v>32</v>
      </c>
      <c r="J88" s="151">
        <v>0.1</v>
      </c>
      <c r="K88" s="54"/>
      <c r="L88" s="61"/>
      <c r="M88" s="156" t="s">
        <v>535</v>
      </c>
      <c r="N88" s="65" t="s">
        <v>490</v>
      </c>
      <c r="O88" s="146">
        <v>44476</v>
      </c>
      <c r="P88" s="146">
        <v>44537</v>
      </c>
      <c r="Q88" s="71"/>
      <c r="R88" s="53"/>
      <c r="S88" s="55"/>
      <c r="T88" s="50"/>
      <c r="U88" s="50"/>
      <c r="V88" s="50"/>
    </row>
    <row r="89" spans="1:22" ht="42" customHeight="1" x14ac:dyDescent="0.25">
      <c r="A89" s="96" t="s">
        <v>40</v>
      </c>
      <c r="B89" s="97" t="s">
        <v>82</v>
      </c>
      <c r="C89" s="97" t="s">
        <v>513</v>
      </c>
      <c r="D89" s="79" t="s">
        <v>475</v>
      </c>
      <c r="E89" s="78" t="s">
        <v>518</v>
      </c>
      <c r="F89" s="80" t="str">
        <f>IF(GLOBAL_DATA_02[[#This Row],[Target scope]]="","",INDEX(DATA_TargetStatusChoice[Target_Status_Choice],MATCH(GLOBAL_DATA_02[[#This Row],[Target scope]],DATA_TargetStatusChoice[Value],1)))</f>
        <v>PARTIAL IMPLEMENTATION + RA</v>
      </c>
      <c r="G89" s="72">
        <v>0.6</v>
      </c>
      <c r="H89" s="81" t="str">
        <f>IF(GLOBAL_DATA_02[[#This Row],[Target status]]&lt;&gt;"FULL IMPLEMENTATION", "&lt;required&gt;"," -")</f>
        <v>&lt;required&gt;</v>
      </c>
      <c r="I89" s="59" t="s">
        <v>35</v>
      </c>
      <c r="J89" s="60">
        <v>1</v>
      </c>
      <c r="K89" s="54"/>
      <c r="L89" s="61"/>
      <c r="M89" s="62"/>
      <c r="N89" s="65" t="s">
        <v>490</v>
      </c>
      <c r="O89" s="71"/>
      <c r="P89" s="71"/>
      <c r="Q89" s="71">
        <v>44721</v>
      </c>
      <c r="R89" s="53"/>
      <c r="S89" s="55"/>
      <c r="T89" s="50"/>
      <c r="U89" s="50"/>
      <c r="V89" s="50"/>
    </row>
    <row r="90" spans="1:22" ht="42" customHeight="1" x14ac:dyDescent="0.25">
      <c r="A90" s="96" t="s">
        <v>40</v>
      </c>
      <c r="B90" s="97" t="s">
        <v>82</v>
      </c>
      <c r="C90" s="97" t="s">
        <v>513</v>
      </c>
      <c r="D90" s="79" t="s">
        <v>476</v>
      </c>
      <c r="E90" s="78" t="s">
        <v>486</v>
      </c>
      <c r="F90" s="80" t="str">
        <f>IF(GLOBAL_DATA_02[[#This Row],[Target scope]]="","",INDEX(DATA_TargetStatusChoice[Target_Status_Choice],MATCH(GLOBAL_DATA_02[[#This Row],[Target scope]],DATA_TargetStatusChoice[Value],1)))</f>
        <v>FULL IMPLEMENTATION</v>
      </c>
      <c r="G90" s="72">
        <v>1</v>
      </c>
      <c r="H90" s="81" t="str">
        <f>IF(GLOBAL_DATA_02[[#This Row],[Target status]]&lt;&gt;"FULL IMPLEMENTATION", "&lt;required&gt;"," -")</f>
        <v xml:space="preserve"> -</v>
      </c>
      <c r="I90" s="59" t="s">
        <v>31</v>
      </c>
      <c r="J90" s="60">
        <v>0</v>
      </c>
      <c r="K90" s="54"/>
      <c r="L90" s="61"/>
      <c r="M90" s="62"/>
      <c r="N90" s="65" t="s">
        <v>489</v>
      </c>
      <c r="O90" s="71"/>
      <c r="P90" s="71"/>
      <c r="Q90" s="71">
        <v>44721</v>
      </c>
      <c r="R90" s="53"/>
      <c r="S90" s="55"/>
      <c r="T90" s="50"/>
      <c r="U90" s="50"/>
      <c r="V90" s="50"/>
    </row>
    <row r="91" spans="1:22" ht="42" customHeight="1" x14ac:dyDescent="0.25">
      <c r="A91" s="96" t="s">
        <v>40</v>
      </c>
      <c r="B91" s="97" t="s">
        <v>82</v>
      </c>
      <c r="C91" s="97" t="s">
        <v>513</v>
      </c>
      <c r="D91" s="79" t="s">
        <v>477</v>
      </c>
      <c r="E91" s="78" t="s">
        <v>518</v>
      </c>
      <c r="F91" s="80" t="str">
        <f>IF(GLOBAL_DATA_02[[#This Row],[Target scope]]="","",INDEX(DATA_TargetStatusChoice[Target_Status_Choice],MATCH(GLOBAL_DATA_02[[#This Row],[Target scope]],DATA_TargetStatusChoice[Value],1)))</f>
        <v>FULL IMPLEMENTATION</v>
      </c>
      <c r="G91" s="72">
        <v>1</v>
      </c>
      <c r="H91" s="81" t="str">
        <f>IF(GLOBAL_DATA_02[[#This Row],[Target status]]&lt;&gt;"FULL IMPLEMENTATION", "&lt;required&gt;"," -")</f>
        <v xml:space="preserve"> -</v>
      </c>
      <c r="I91" s="59" t="s">
        <v>32</v>
      </c>
      <c r="J91" s="60">
        <v>0.4</v>
      </c>
      <c r="K91" s="54"/>
      <c r="L91" s="61"/>
      <c r="M91" s="62"/>
      <c r="N91" s="65" t="s">
        <v>492</v>
      </c>
      <c r="O91" s="71"/>
      <c r="P91" s="71"/>
      <c r="Q91" s="71">
        <v>44721</v>
      </c>
      <c r="R91" s="53"/>
      <c r="S91" s="55"/>
      <c r="T91" s="50"/>
      <c r="U91" s="50"/>
      <c r="V91" s="50"/>
    </row>
    <row r="92" spans="1:22" ht="42" customHeight="1" x14ac:dyDescent="0.25">
      <c r="A92" s="96" t="s">
        <v>40</v>
      </c>
      <c r="B92" s="97" t="s">
        <v>82</v>
      </c>
      <c r="C92" s="97" t="s">
        <v>513</v>
      </c>
      <c r="D92" s="79" t="s">
        <v>478</v>
      </c>
      <c r="E92" s="78" t="s">
        <v>518</v>
      </c>
      <c r="F92" s="80" t="str">
        <f>IF(GLOBAL_DATA_02[[#This Row],[Target scope]]="","",INDEX(DATA_TargetStatusChoice[Target_Status_Choice],MATCH(GLOBAL_DATA_02[[#This Row],[Target scope]],DATA_TargetStatusChoice[Value],1)))</f>
        <v>RISK ACCEPTED</v>
      </c>
      <c r="G92" s="72">
        <v>0</v>
      </c>
      <c r="H92" s="81" t="str">
        <f>IF(GLOBAL_DATA_02[[#This Row],[Target status]]&lt;&gt;"FULL IMPLEMENTATION", "&lt;required&gt;"," -")</f>
        <v>&lt;required&gt;</v>
      </c>
      <c r="I92" s="59" t="s">
        <v>550</v>
      </c>
      <c r="J92" s="60">
        <v>0</v>
      </c>
      <c r="K92" s="54"/>
      <c r="L92" s="61"/>
      <c r="M92" s="62"/>
      <c r="N92" s="65" t="s">
        <v>491</v>
      </c>
      <c r="O92" s="71"/>
      <c r="P92" s="71"/>
      <c r="Q92" s="71"/>
      <c r="R92" s="53"/>
      <c r="S92" s="55"/>
      <c r="T92" s="50"/>
      <c r="U92" s="50"/>
      <c r="V92" s="50"/>
    </row>
    <row r="93" spans="1:22" ht="42" customHeight="1" x14ac:dyDescent="0.25">
      <c r="A93" s="96" t="s">
        <v>40</v>
      </c>
      <c r="B93" s="97" t="s">
        <v>82</v>
      </c>
      <c r="C93" s="97" t="s">
        <v>513</v>
      </c>
      <c r="D93" s="79" t="s">
        <v>479</v>
      </c>
      <c r="E93" s="78" t="s">
        <v>487</v>
      </c>
      <c r="F93" s="80" t="str">
        <f>IF(GLOBAL_DATA_02[[#This Row],[Target scope]]="","",INDEX(DATA_TargetStatusChoice[Target_Status_Choice],MATCH(GLOBAL_DATA_02[[#This Row],[Target scope]],DATA_TargetStatusChoice[Value],1)))</f>
        <v>FULL IMPLEMENTATION</v>
      </c>
      <c r="G93" s="72">
        <v>1</v>
      </c>
      <c r="H93" s="81" t="str">
        <f>IF(GLOBAL_DATA_02[[#This Row],[Target status]]&lt;&gt;"FULL IMPLEMENTATION", "&lt;required&gt;"," -")</f>
        <v xml:space="preserve"> -</v>
      </c>
      <c r="I93" s="59" t="s">
        <v>31</v>
      </c>
      <c r="J93" s="60">
        <v>0</v>
      </c>
      <c r="K93" s="54"/>
      <c r="L93" s="61"/>
      <c r="M93" s="62"/>
      <c r="N93" s="65" t="s">
        <v>489</v>
      </c>
      <c r="O93" s="71"/>
      <c r="P93" s="71"/>
      <c r="Q93" s="71">
        <v>43991</v>
      </c>
      <c r="R93" s="53"/>
      <c r="S93" s="55"/>
      <c r="T93" s="50"/>
      <c r="U93" s="50"/>
      <c r="V93" s="50"/>
    </row>
    <row r="94" spans="1:22" ht="42" customHeight="1" x14ac:dyDescent="0.25">
      <c r="A94" s="96" t="s">
        <v>40</v>
      </c>
      <c r="B94" s="97" t="s">
        <v>82</v>
      </c>
      <c r="C94" s="97" t="s">
        <v>513</v>
      </c>
      <c r="D94" s="79" t="s">
        <v>480</v>
      </c>
      <c r="E94" s="78" t="s">
        <v>518</v>
      </c>
      <c r="F94" s="80" t="str">
        <f>IF(GLOBAL_DATA_02[[#This Row],[Target scope]]="","",INDEX(DATA_TargetStatusChoice[Target_Status_Choice],MATCH(GLOBAL_DATA_02[[#This Row],[Target scope]],DATA_TargetStatusChoice[Value],1)))</f>
        <v>PARTIAL IMPLEMENTATION + RA</v>
      </c>
      <c r="G94" s="72">
        <v>0.8</v>
      </c>
      <c r="H94" s="81" t="str">
        <f>IF(GLOBAL_DATA_02[[#This Row],[Target status]]&lt;&gt;"FULL IMPLEMENTATION", "&lt;required&gt;"," -")</f>
        <v>&lt;required&gt;</v>
      </c>
      <c r="I94" s="59" t="s">
        <v>33</v>
      </c>
      <c r="J94" s="60">
        <v>1</v>
      </c>
      <c r="K94" s="54"/>
      <c r="L94" s="61"/>
      <c r="M94" s="62"/>
      <c r="N94" s="65" t="s">
        <v>491</v>
      </c>
      <c r="O94" s="71"/>
      <c r="P94" s="71"/>
      <c r="Q94" s="71">
        <v>43991</v>
      </c>
      <c r="R94" s="53"/>
      <c r="S94" s="55"/>
      <c r="T94" s="50"/>
      <c r="U94" s="50"/>
      <c r="V94" s="50"/>
    </row>
    <row r="95" spans="1:22" ht="42" customHeight="1" x14ac:dyDescent="0.25">
      <c r="A95" s="96" t="s">
        <v>40</v>
      </c>
      <c r="B95" s="97" t="s">
        <v>82</v>
      </c>
      <c r="C95" s="97" t="s">
        <v>513</v>
      </c>
      <c r="D95" s="79" t="s">
        <v>481</v>
      </c>
      <c r="E95" s="78" t="s">
        <v>518</v>
      </c>
      <c r="F95" s="80" t="str">
        <f>IF(GLOBAL_DATA_02[[#This Row],[Target scope]]="","",INDEX(DATA_TargetStatusChoice[Target_Status_Choice],MATCH(GLOBAL_DATA_02[[#This Row],[Target scope]],DATA_TargetStatusChoice[Value],1)))</f>
        <v>PARTIAL IMPLEMENTATION + RA</v>
      </c>
      <c r="G95" s="72">
        <v>0.8</v>
      </c>
      <c r="H95" s="81" t="str">
        <f>IF(GLOBAL_DATA_02[[#This Row],[Target status]]&lt;&gt;"FULL IMPLEMENTATION", "&lt;required&gt;"," -")</f>
        <v>&lt;required&gt;</v>
      </c>
      <c r="I95" s="59" t="s">
        <v>35</v>
      </c>
      <c r="J95" s="60">
        <v>1</v>
      </c>
      <c r="K95" s="54"/>
      <c r="L95" s="61"/>
      <c r="M95" s="62"/>
      <c r="N95" s="65" t="s">
        <v>491</v>
      </c>
      <c r="O95" s="71"/>
      <c r="P95" s="71"/>
      <c r="Q95" s="71">
        <v>44356</v>
      </c>
      <c r="R95" s="53"/>
      <c r="S95" s="55"/>
      <c r="T95" s="50"/>
      <c r="U95" s="50"/>
      <c r="V95" s="50"/>
    </row>
    <row r="96" spans="1:22" ht="42" customHeight="1" x14ac:dyDescent="0.25">
      <c r="A96" s="96" t="s">
        <v>40</v>
      </c>
      <c r="B96" s="97" t="s">
        <v>82</v>
      </c>
      <c r="C96" s="97" t="s">
        <v>513</v>
      </c>
      <c r="D96" s="79" t="s">
        <v>482</v>
      </c>
      <c r="E96" s="78" t="s">
        <v>518</v>
      </c>
      <c r="F96" s="80" t="str">
        <f>IF(GLOBAL_DATA_02[[#This Row],[Target scope]]="","",INDEX(DATA_TargetStatusChoice[Target_Status_Choice],MATCH(GLOBAL_DATA_02[[#This Row],[Target scope]],DATA_TargetStatusChoice[Value],1)))</f>
        <v>PARTIAL IMPLEMENTATION + RA</v>
      </c>
      <c r="G96" s="72">
        <v>0.6</v>
      </c>
      <c r="H96" s="81" t="str">
        <f>IF(GLOBAL_DATA_02[[#This Row],[Target status]]&lt;&gt;"FULL IMPLEMENTATION", "&lt;required&gt;"," -")</f>
        <v>&lt;required&gt;</v>
      </c>
      <c r="I96" s="59" t="s">
        <v>32</v>
      </c>
      <c r="J96" s="60">
        <v>0.8</v>
      </c>
      <c r="K96" s="54"/>
      <c r="L96" s="61"/>
      <c r="M96" s="62"/>
      <c r="N96" s="65" t="s">
        <v>491</v>
      </c>
      <c r="O96" s="71"/>
      <c r="P96" s="71"/>
      <c r="Q96" s="71">
        <v>44356</v>
      </c>
      <c r="R96" s="53"/>
      <c r="S96" s="55"/>
      <c r="T96" s="50"/>
      <c r="U96" s="50"/>
      <c r="V96" s="50"/>
    </row>
    <row r="97" spans="1:22" ht="42" customHeight="1" x14ac:dyDescent="0.25">
      <c r="A97" s="96" t="s">
        <v>40</v>
      </c>
      <c r="B97" s="97" t="s">
        <v>82</v>
      </c>
      <c r="C97" s="97" t="s">
        <v>513</v>
      </c>
      <c r="D97" s="79" t="s">
        <v>483</v>
      </c>
      <c r="E97" s="78" t="s">
        <v>518</v>
      </c>
      <c r="F97" s="80" t="str">
        <f>IF(GLOBAL_DATA_02[[#This Row],[Target scope]]="","",INDEX(DATA_TargetStatusChoice[Target_Status_Choice],MATCH(GLOBAL_DATA_02[[#This Row],[Target scope]],DATA_TargetStatusChoice[Value],1)))</f>
        <v>PARTIAL IMPLEMENTATION + RA</v>
      </c>
      <c r="G97" s="72">
        <v>0.6</v>
      </c>
      <c r="H97" s="81" t="str">
        <f>IF(GLOBAL_DATA_02[[#This Row],[Target status]]&lt;&gt;"FULL IMPLEMENTATION", "&lt;required&gt;"," -")</f>
        <v>&lt;required&gt;</v>
      </c>
      <c r="I97" s="59" t="s">
        <v>31</v>
      </c>
      <c r="J97" s="60">
        <v>0</v>
      </c>
      <c r="K97" s="54"/>
      <c r="L97" s="61"/>
      <c r="M97" s="62"/>
      <c r="N97" s="65" t="s">
        <v>491</v>
      </c>
      <c r="O97" s="71"/>
      <c r="P97" s="71"/>
      <c r="Q97" s="71">
        <v>44356</v>
      </c>
      <c r="R97" s="53"/>
      <c r="S97" s="55"/>
      <c r="T97" s="50"/>
      <c r="U97" s="50"/>
      <c r="V97" s="50"/>
    </row>
    <row r="98" spans="1:22" ht="42" customHeight="1" x14ac:dyDescent="0.25">
      <c r="A98" s="96" t="s">
        <v>40</v>
      </c>
      <c r="B98" s="97" t="s">
        <v>82</v>
      </c>
      <c r="C98" s="97" t="s">
        <v>513</v>
      </c>
      <c r="D98" s="79" t="s">
        <v>484</v>
      </c>
      <c r="E98" s="78" t="s">
        <v>518</v>
      </c>
      <c r="F98" s="80" t="str">
        <f>IF(GLOBAL_DATA_02[[#This Row],[Target scope]]="","",INDEX(DATA_TargetStatusChoice[Target_Status_Choice],MATCH(GLOBAL_DATA_02[[#This Row],[Target scope]],DATA_TargetStatusChoice[Value],1)))</f>
        <v>PARTIAL IMPLEMENTATION + RA</v>
      </c>
      <c r="G98" s="72">
        <v>0.6</v>
      </c>
      <c r="H98" s="81" t="str">
        <f>IF(GLOBAL_DATA_02[[#This Row],[Target status]]&lt;&gt;"FULL IMPLEMENTATION", "&lt;required&gt;"," -")</f>
        <v>&lt;required&gt;</v>
      </c>
      <c r="I98" s="59" t="s">
        <v>32</v>
      </c>
      <c r="J98" s="60">
        <v>0.4</v>
      </c>
      <c r="K98" s="54"/>
      <c r="L98" s="61"/>
      <c r="M98" s="62"/>
      <c r="N98" s="65" t="s">
        <v>491</v>
      </c>
      <c r="O98" s="71"/>
      <c r="P98" s="71"/>
      <c r="Q98" s="71">
        <v>44721</v>
      </c>
      <c r="R98" s="53"/>
      <c r="S98" s="55"/>
      <c r="T98" s="50"/>
      <c r="U98" s="50"/>
      <c r="V98" s="50"/>
    </row>
    <row r="99" spans="1:22" ht="42" customHeight="1" x14ac:dyDescent="0.25">
      <c r="A99" s="96" t="s">
        <v>40</v>
      </c>
      <c r="B99" s="97" t="s">
        <v>82</v>
      </c>
      <c r="C99" s="97" t="s">
        <v>513</v>
      </c>
      <c r="D99" s="79" t="s">
        <v>485</v>
      </c>
      <c r="E99" s="78" t="s">
        <v>518</v>
      </c>
      <c r="F99" s="80" t="str">
        <f>IF(GLOBAL_DATA_02[[#This Row],[Target scope]]="","",INDEX(DATA_TargetStatusChoice[Target_Status_Choice],MATCH(GLOBAL_DATA_02[[#This Row],[Target scope]],DATA_TargetStatusChoice[Value],1)))</f>
        <v>FULL IMPLEMENTATION</v>
      </c>
      <c r="G99" s="72">
        <v>1</v>
      </c>
      <c r="H99" s="81" t="str">
        <f>IF(GLOBAL_DATA_02[[#This Row],[Target status]]&lt;&gt;"FULL IMPLEMENTATION", "&lt;required&gt;"," -")</f>
        <v xml:space="preserve"> -</v>
      </c>
      <c r="I99" s="59" t="s">
        <v>32</v>
      </c>
      <c r="J99" s="60">
        <v>0.3</v>
      </c>
      <c r="K99" s="54"/>
      <c r="L99" s="61"/>
      <c r="M99" s="62"/>
      <c r="N99" s="65" t="s">
        <v>491</v>
      </c>
      <c r="O99" s="71"/>
      <c r="P99" s="71"/>
      <c r="Q99" s="71">
        <v>44356</v>
      </c>
      <c r="R99" s="53"/>
      <c r="S99" s="55"/>
      <c r="T99" s="50"/>
      <c r="U99" s="50"/>
      <c r="V99" s="50"/>
    </row>
    <row r="100" spans="1:22" ht="42" customHeight="1" x14ac:dyDescent="0.25">
      <c r="A100" s="157" t="s">
        <v>40</v>
      </c>
      <c r="B100" s="158" t="s">
        <v>82</v>
      </c>
      <c r="C100" s="158" t="s">
        <v>513</v>
      </c>
      <c r="D100" s="159" t="s">
        <v>623</v>
      </c>
      <c r="E100" s="160" t="s">
        <v>486</v>
      </c>
      <c r="F100" s="147" t="str">
        <f>IF(GLOBAL_DATA_02[[#This Row],[Target scope]]="","",INDEX(DATA_TargetStatusChoice[Target_Status_Choice],MATCH(GLOBAL_DATA_02[[#This Row],[Target scope]],DATA_TargetStatusChoice[Value],1)))</f>
        <v>PARTIAL IMPLEMENTATION + RA</v>
      </c>
      <c r="G100" s="148">
        <v>0.6</v>
      </c>
      <c r="H100" s="149" t="s">
        <v>624</v>
      </c>
      <c r="I100" s="150" t="s">
        <v>32</v>
      </c>
      <c r="J100" s="151">
        <v>0.2</v>
      </c>
      <c r="K100" s="152"/>
      <c r="L100" s="153"/>
      <c r="M100" s="156"/>
      <c r="N100" s="155" t="s">
        <v>491</v>
      </c>
      <c r="O100" s="146"/>
      <c r="P100" s="146"/>
      <c r="Q100" s="146">
        <v>43998</v>
      </c>
      <c r="R100" s="154"/>
      <c r="S100" s="161"/>
      <c r="T100" s="50"/>
      <c r="U100" s="50"/>
      <c r="V100" s="50"/>
    </row>
  </sheetData>
  <sheetProtection formatColumns="0" formatRows="0" insertColumns="0" insertRows="0" sort="0" autoFilter="0" pivotTables="0"/>
  <protectedRanges>
    <protectedRange sqref="G2:G8" name="Plage1"/>
  </protectedRanges>
  <conditionalFormatting sqref="J2:J50">
    <cfRule type="expression" dxfId="194" priority="1">
      <formula>OR((AND(J2&gt;0,G2="Not applicable")),(AND(J2&gt;0,I2="NO PROJECT")))</formula>
    </cfRule>
  </conditionalFormatting>
  <dataValidations count="7">
    <dataValidation allowBlank="1" showInputMessage="1" showErrorMessage="1" errorTitle="Date" error="A date is expected." promptTitle="Date" prompt="A date is expected." sqref="P2:P87 P89:P100"/>
    <dataValidation type="list" allowBlank="1" showInputMessage="1" showErrorMessage="1" sqref="I2:I8 I18:I21 I31:I34 I44:I47">
      <formula1>INDIRECT("DATA_StatusChoice[Status_Choice]")</formula1>
    </dataValidation>
    <dataValidation type="date" allowBlank="1" showInputMessage="1" showErrorMessage="1" errorTitle="Date" error="A date is expected." promptTitle="Date" prompt="A date is expected." sqref="P88 Q2:Q100 O2:O100">
      <formula1>43831</formula1>
      <formula2>45291</formula2>
    </dataValidation>
    <dataValidation type="decimal" allowBlank="1" showInputMessage="1" showErrorMessage="1" errorTitle="Figures" error="Figures are expected." sqref="J2:J100">
      <formula1>0</formula1>
      <formula2>1</formula2>
    </dataValidation>
    <dataValidation type="list" allowBlank="1" showInputMessage="1" showErrorMessage="1" sqref="K2:K100">
      <formula1>INDIRECT("DATA_CISOassessment[CISO assessment]")</formula1>
    </dataValidation>
    <dataValidation type="list" allowBlank="1" showInputMessage="1" showErrorMessage="1" sqref="G2:G100">
      <formula1>INDIRECT("DATA_Target[Target of scope]")</formula1>
    </dataValidation>
    <dataValidation type="list" allowBlank="1" showInputMessage="1" showErrorMessage="1" sqref="M2:M100">
      <formula1>INDIRECT("DATA_Ressources[Ressources]")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DATA!$I$3:$I$8</xm:f>
          </x14:formula1>
          <xm:sqref>I9:I17 I22:I30 I35:I43 I48:I100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5"/>
  </sheetPr>
  <dimension ref="A1:AC60"/>
  <sheetViews>
    <sheetView topLeftCell="D4" zoomScaleNormal="100" workbookViewId="0">
      <selection activeCell="J9" sqref="J9"/>
    </sheetView>
  </sheetViews>
  <sheetFormatPr baseColWidth="10" defaultColWidth="9.140625" defaultRowHeight="15" x14ac:dyDescent="0.25"/>
  <cols>
    <col min="1" max="1" width="19.28515625" style="1" customWidth="1"/>
    <col min="2" max="2" width="2" style="1" bestFit="1" customWidth="1"/>
    <col min="4" max="4" width="1.42578125" style="1" customWidth="1"/>
    <col min="5" max="5" width="27.7109375" style="1" bestFit="1" customWidth="1"/>
    <col min="6" max="6" width="33.28515625" style="1" bestFit="1" customWidth="1"/>
    <col min="7" max="7" width="12.28515625" style="1" bestFit="1" customWidth="1"/>
    <col min="8" max="8" width="1.42578125" style="1" customWidth="1"/>
    <col min="9" max="9" width="29.5703125" style="1" bestFit="1" customWidth="1"/>
    <col min="10" max="10" width="15.7109375" style="1" bestFit="1" customWidth="1"/>
    <col min="11" max="11" width="1.28515625" style="1" customWidth="1"/>
    <col min="12" max="12" width="19.5703125" style="1" customWidth="1"/>
    <col min="13" max="13" width="1.140625" style="1" customWidth="1"/>
    <col min="14" max="14" width="6.5703125" style="1" bestFit="1" customWidth="1"/>
    <col min="15" max="15" width="15.28515625" style="1" bestFit="1" customWidth="1"/>
    <col min="16" max="16" width="15.28515625" style="1" customWidth="1"/>
    <col min="17" max="17" width="25.7109375" style="1" bestFit="1" customWidth="1"/>
    <col min="18" max="18" width="18.28515625" style="1" bestFit="1" customWidth="1"/>
    <col min="19" max="19" width="10.28515625" style="10" bestFit="1" customWidth="1"/>
    <col min="20" max="20" width="13.85546875" style="1" bestFit="1" customWidth="1"/>
    <col min="21" max="21" width="2" style="84" customWidth="1"/>
    <col min="22" max="22" width="27.7109375" style="1" bestFit="1" customWidth="1"/>
    <col min="23" max="23" width="27.7109375" style="1" customWidth="1"/>
    <col min="24" max="24" width="30.5703125" style="1" bestFit="1" customWidth="1"/>
    <col min="25" max="25" width="30.5703125" style="1" customWidth="1"/>
    <col min="26" max="26" width="17.42578125" style="1" bestFit="1" customWidth="1"/>
    <col min="27" max="27" width="20.5703125" style="1" bestFit="1" customWidth="1"/>
    <col min="28" max="28" width="51.5703125" style="1" bestFit="1" customWidth="1"/>
    <col min="29" max="29" width="11" style="1" customWidth="1"/>
    <col min="30" max="30" width="30.5703125" style="1" bestFit="1" customWidth="1"/>
    <col min="31" max="31" width="9.140625" style="1"/>
    <col min="32" max="32" width="34" style="1" customWidth="1"/>
    <col min="33" max="34" width="35.5703125" style="1" bestFit="1" customWidth="1"/>
    <col min="35" max="16384" width="9.140625" style="1"/>
  </cols>
  <sheetData>
    <row r="1" spans="1:29" x14ac:dyDescent="0.25">
      <c r="A1" s="95" t="s">
        <v>605</v>
      </c>
    </row>
    <row r="2" spans="1:29" x14ac:dyDescent="0.25">
      <c r="A2" s="66" t="s">
        <v>66</v>
      </c>
      <c r="B2" s="17"/>
      <c r="D2" s="17"/>
      <c r="E2" s="18" t="s">
        <v>0</v>
      </c>
      <c r="F2" s="18" t="s">
        <v>1</v>
      </c>
      <c r="G2" s="19" t="s">
        <v>67</v>
      </c>
      <c r="H2" s="17"/>
      <c r="I2" s="18" t="s">
        <v>68</v>
      </c>
      <c r="J2" s="18" t="s">
        <v>36</v>
      </c>
      <c r="K2" s="20"/>
      <c r="L2" s="21" t="s">
        <v>29</v>
      </c>
      <c r="M2" s="17"/>
      <c r="N2" s="22" t="s">
        <v>64</v>
      </c>
      <c r="O2" s="22" t="s">
        <v>37</v>
      </c>
      <c r="P2" s="22" t="s">
        <v>76</v>
      </c>
      <c r="Q2" s="22" t="s">
        <v>38</v>
      </c>
      <c r="R2" s="22" t="s">
        <v>70</v>
      </c>
      <c r="S2" s="23" t="s">
        <v>69</v>
      </c>
      <c r="T2" s="24" t="s">
        <v>71</v>
      </c>
      <c r="U2" s="83"/>
      <c r="V2" s="17" t="s">
        <v>331</v>
      </c>
      <c r="W2" s="17" t="s">
        <v>332</v>
      </c>
      <c r="X2" s="17" t="s">
        <v>333</v>
      </c>
      <c r="Y2" s="17" t="s">
        <v>334</v>
      </c>
      <c r="Z2" s="17" t="s">
        <v>108</v>
      </c>
      <c r="AA2" s="17" t="s">
        <v>109</v>
      </c>
      <c r="AB2" s="17" t="s">
        <v>110</v>
      </c>
      <c r="AC2" s="17"/>
    </row>
    <row r="3" spans="1:29" x14ac:dyDescent="0.25">
      <c r="A3" s="67" t="s">
        <v>541</v>
      </c>
      <c r="E3" s="1" t="s">
        <v>6</v>
      </c>
      <c r="F3" s="1" t="s">
        <v>19</v>
      </c>
      <c r="G3" s="1" t="s">
        <v>20</v>
      </c>
      <c r="I3" s="1" t="s">
        <v>550</v>
      </c>
      <c r="J3" s="3">
        <v>1</v>
      </c>
      <c r="K3" s="3"/>
      <c r="L3" s="2">
        <v>3</v>
      </c>
      <c r="N3" s="4">
        <v>1</v>
      </c>
      <c r="O3" s="5" t="s">
        <v>54</v>
      </c>
      <c r="P3" s="5" t="s">
        <v>55</v>
      </c>
      <c r="Q3" s="8" t="s">
        <v>75</v>
      </c>
      <c r="R3" s="5" t="s">
        <v>72</v>
      </c>
      <c r="S3" s="7">
        <v>3</v>
      </c>
      <c r="T3" s="5" t="s">
        <v>73</v>
      </c>
      <c r="V3" s="1" t="s">
        <v>6</v>
      </c>
      <c r="W3" s="11" t="s">
        <v>19</v>
      </c>
      <c r="X3" s="1" t="s">
        <v>189</v>
      </c>
      <c r="Y3" s="11" t="s">
        <v>335</v>
      </c>
      <c r="Z3" s="1" t="s">
        <v>190</v>
      </c>
      <c r="AA3" s="1" t="s">
        <v>191</v>
      </c>
      <c r="AB3" s="1" t="s">
        <v>192</v>
      </c>
    </row>
    <row r="4" spans="1:29" x14ac:dyDescent="0.25">
      <c r="E4" s="1" t="s">
        <v>8</v>
      </c>
      <c r="F4" s="1" t="s">
        <v>8</v>
      </c>
      <c r="G4" s="1" t="s">
        <v>23</v>
      </c>
      <c r="I4" s="1" t="s">
        <v>31</v>
      </c>
      <c r="J4" s="3">
        <v>2</v>
      </c>
      <c r="K4" s="3"/>
      <c r="N4" s="4">
        <v>2</v>
      </c>
      <c r="O4" t="s">
        <v>41</v>
      </c>
      <c r="P4" t="s">
        <v>40</v>
      </c>
      <c r="Q4" t="s">
        <v>77</v>
      </c>
      <c r="R4" t="s">
        <v>78</v>
      </c>
      <c r="S4" s="7">
        <v>3</v>
      </c>
      <c r="T4" s="5" t="s">
        <v>79</v>
      </c>
      <c r="V4" s="1" t="s">
        <v>6</v>
      </c>
      <c r="W4" s="11" t="s">
        <v>19</v>
      </c>
      <c r="X4" s="1" t="s">
        <v>193</v>
      </c>
      <c r="Y4" s="11" t="s">
        <v>336</v>
      </c>
      <c r="Z4" s="1" t="s">
        <v>194</v>
      </c>
      <c r="AA4" s="1" t="s">
        <v>195</v>
      </c>
      <c r="AB4" s="1" t="s">
        <v>196</v>
      </c>
    </row>
    <row r="5" spans="1:29" x14ac:dyDescent="0.25">
      <c r="E5" s="1" t="s">
        <v>4</v>
      </c>
      <c r="F5" s="1" t="s">
        <v>15</v>
      </c>
      <c r="G5" s="1" t="s">
        <v>16</v>
      </c>
      <c r="I5" s="1" t="s">
        <v>32</v>
      </c>
      <c r="J5" s="3">
        <v>3</v>
      </c>
      <c r="K5" s="3"/>
      <c r="L5" s="17" t="s">
        <v>533</v>
      </c>
      <c r="N5" s="4">
        <v>3</v>
      </c>
      <c r="O5" s="5" t="s">
        <v>42</v>
      </c>
      <c r="P5" s="5" t="s">
        <v>40</v>
      </c>
      <c r="Q5" s="5" t="s">
        <v>77</v>
      </c>
      <c r="R5" s="5" t="s">
        <v>80</v>
      </c>
      <c r="S5" s="7">
        <v>3</v>
      </c>
      <c r="T5" s="5" t="s">
        <v>79</v>
      </c>
      <c r="V5" s="1" t="s">
        <v>6</v>
      </c>
      <c r="W5" s="11" t="s">
        <v>19</v>
      </c>
      <c r="X5" s="1" t="s">
        <v>197</v>
      </c>
      <c r="Y5" s="11" t="s">
        <v>337</v>
      </c>
      <c r="Z5" s="1" t="s">
        <v>198</v>
      </c>
      <c r="AA5" s="1" t="s">
        <v>199</v>
      </c>
      <c r="AB5" s="1" t="s">
        <v>200</v>
      </c>
    </row>
    <row r="6" spans="1:29" x14ac:dyDescent="0.25">
      <c r="E6" s="1" t="s">
        <v>7</v>
      </c>
      <c r="F6" s="1" t="s">
        <v>21</v>
      </c>
      <c r="G6" s="1" t="s">
        <v>22</v>
      </c>
      <c r="I6" s="1" t="s">
        <v>33</v>
      </c>
      <c r="J6" s="3">
        <v>4</v>
      </c>
      <c r="K6" s="3"/>
      <c r="L6" s="1" t="s">
        <v>534</v>
      </c>
      <c r="N6" s="4">
        <v>4</v>
      </c>
      <c r="O6" s="5" t="s">
        <v>56</v>
      </c>
      <c r="P6" s="5" t="s">
        <v>55</v>
      </c>
      <c r="Q6" s="8" t="s">
        <v>75</v>
      </c>
      <c r="R6" s="5" t="s">
        <v>74</v>
      </c>
      <c r="S6" s="7">
        <v>1</v>
      </c>
      <c r="T6" s="5" t="s">
        <v>73</v>
      </c>
      <c r="V6" s="1" t="s">
        <v>6</v>
      </c>
      <c r="W6" s="11" t="s">
        <v>19</v>
      </c>
      <c r="X6" s="1" t="s">
        <v>201</v>
      </c>
      <c r="Y6" s="11" t="s">
        <v>338</v>
      </c>
      <c r="Z6" s="1" t="s">
        <v>202</v>
      </c>
      <c r="AA6" s="1" t="s">
        <v>203</v>
      </c>
      <c r="AB6" s="1" t="s">
        <v>204</v>
      </c>
    </row>
    <row r="7" spans="1:29" x14ac:dyDescent="0.25">
      <c r="E7" s="1" t="s">
        <v>5</v>
      </c>
      <c r="F7" s="1" t="s">
        <v>17</v>
      </c>
      <c r="G7" s="1" t="s">
        <v>18</v>
      </c>
      <c r="I7" s="1" t="s">
        <v>35</v>
      </c>
      <c r="J7" s="3">
        <v>5</v>
      </c>
      <c r="K7" s="3"/>
      <c r="L7" s="1" t="s">
        <v>535</v>
      </c>
      <c r="N7" s="4">
        <v>5</v>
      </c>
      <c r="O7" s="5" t="s">
        <v>525</v>
      </c>
      <c r="P7" s="5" t="s">
        <v>55</v>
      </c>
      <c r="Q7" s="8" t="s">
        <v>75</v>
      </c>
      <c r="R7" s="5" t="s">
        <v>74</v>
      </c>
      <c r="S7" s="7">
        <v>3</v>
      </c>
      <c r="T7" s="5" t="s">
        <v>73</v>
      </c>
      <c r="V7" s="1" t="s">
        <v>6</v>
      </c>
      <c r="W7" s="11" t="s">
        <v>19</v>
      </c>
      <c r="X7" s="1" t="s">
        <v>205</v>
      </c>
      <c r="Y7" s="11" t="s">
        <v>339</v>
      </c>
      <c r="Z7" s="1" t="s">
        <v>206</v>
      </c>
      <c r="AA7" s="1" t="s">
        <v>207</v>
      </c>
      <c r="AB7" s="1" t="s">
        <v>208</v>
      </c>
    </row>
    <row r="8" spans="1:29" x14ac:dyDescent="0.25">
      <c r="E8" s="1" t="s">
        <v>2</v>
      </c>
      <c r="F8" s="1" t="s">
        <v>11</v>
      </c>
      <c r="G8" s="1" t="s">
        <v>12</v>
      </c>
      <c r="I8" s="1" t="s">
        <v>382</v>
      </c>
      <c r="J8" s="3">
        <v>6</v>
      </c>
      <c r="K8" s="3"/>
      <c r="N8" s="4">
        <v>6</v>
      </c>
      <c r="O8" s="5" t="s">
        <v>517</v>
      </c>
      <c r="P8" s="5" t="s">
        <v>55</v>
      </c>
      <c r="Q8" s="8" t="s">
        <v>75</v>
      </c>
      <c r="R8" s="5" t="s">
        <v>81</v>
      </c>
      <c r="S8" s="7">
        <v>2</v>
      </c>
      <c r="T8" s="5" t="s">
        <v>79</v>
      </c>
      <c r="V8" s="1" t="s">
        <v>6</v>
      </c>
      <c r="W8" s="11" t="s">
        <v>19</v>
      </c>
      <c r="X8" s="1" t="s">
        <v>209</v>
      </c>
      <c r="Y8" s="11" t="s">
        <v>340</v>
      </c>
      <c r="Z8" s="1" t="s">
        <v>210</v>
      </c>
      <c r="AA8" s="1" t="s">
        <v>211</v>
      </c>
      <c r="AB8" s="1" t="s">
        <v>212</v>
      </c>
    </row>
    <row r="9" spans="1:29" x14ac:dyDescent="0.25">
      <c r="E9" s="1" t="s">
        <v>10</v>
      </c>
      <c r="F9" s="1" t="s">
        <v>26</v>
      </c>
      <c r="G9" s="1" t="s">
        <v>27</v>
      </c>
      <c r="K9" s="3"/>
      <c r="N9" s="4">
        <v>7</v>
      </c>
      <c r="O9" t="s">
        <v>513</v>
      </c>
      <c r="P9" s="5" t="s">
        <v>40</v>
      </c>
      <c r="Q9" s="5" t="s">
        <v>82</v>
      </c>
      <c r="R9" s="5" t="s">
        <v>82</v>
      </c>
      <c r="S9" s="7">
        <v>3</v>
      </c>
      <c r="T9" s="5" t="s">
        <v>79</v>
      </c>
      <c r="V9" s="1" t="s">
        <v>8</v>
      </c>
      <c r="W9" s="11" t="s">
        <v>8</v>
      </c>
      <c r="X9" s="1" t="s">
        <v>213</v>
      </c>
      <c r="Y9" s="11" t="s">
        <v>341</v>
      </c>
      <c r="Z9" s="1" t="s">
        <v>214</v>
      </c>
      <c r="AA9" s="1" t="s">
        <v>215</v>
      </c>
      <c r="AB9" s="1" t="s">
        <v>216</v>
      </c>
    </row>
    <row r="10" spans="1:29" x14ac:dyDescent="0.25">
      <c r="E10" s="1" t="s">
        <v>9</v>
      </c>
      <c r="F10" s="1" t="s">
        <v>24</v>
      </c>
      <c r="G10" s="1" t="s">
        <v>25</v>
      </c>
      <c r="K10" s="3"/>
      <c r="N10" s="4">
        <v>8</v>
      </c>
      <c r="O10" s="5" t="s">
        <v>57</v>
      </c>
      <c r="P10" s="5" t="s">
        <v>55</v>
      </c>
      <c r="Q10" s="8" t="s">
        <v>75</v>
      </c>
      <c r="R10" s="5" t="s">
        <v>83</v>
      </c>
      <c r="S10" s="7">
        <v>3</v>
      </c>
      <c r="T10" s="5" t="s">
        <v>73</v>
      </c>
      <c r="V10" s="1" t="s">
        <v>8</v>
      </c>
      <c r="W10" s="11" t="s">
        <v>8</v>
      </c>
      <c r="X10" s="1" t="s">
        <v>217</v>
      </c>
      <c r="Y10" s="11" t="s">
        <v>342</v>
      </c>
      <c r="Z10" s="1" t="s">
        <v>218</v>
      </c>
      <c r="AA10" s="1" t="s">
        <v>219</v>
      </c>
      <c r="AB10" s="1" t="s">
        <v>220</v>
      </c>
    </row>
    <row r="11" spans="1:29" x14ac:dyDescent="0.25">
      <c r="E11" s="1" t="s">
        <v>3</v>
      </c>
      <c r="F11" s="1" t="s">
        <v>13</v>
      </c>
      <c r="G11" s="1" t="s">
        <v>14</v>
      </c>
      <c r="I11" s="17" t="s">
        <v>544</v>
      </c>
      <c r="J11" s="56" t="s">
        <v>543</v>
      </c>
      <c r="L11" s="17" t="s">
        <v>65</v>
      </c>
      <c r="N11" s="4">
        <v>9</v>
      </c>
      <c r="O11" s="5" t="s">
        <v>58</v>
      </c>
      <c r="P11" s="5" t="s">
        <v>55</v>
      </c>
      <c r="Q11" s="8" t="s">
        <v>75</v>
      </c>
      <c r="R11" s="5" t="s">
        <v>84</v>
      </c>
      <c r="S11" s="7">
        <v>2</v>
      </c>
      <c r="T11" s="5" t="s">
        <v>73</v>
      </c>
      <c r="V11" s="1" t="s">
        <v>8</v>
      </c>
      <c r="W11" s="11" t="s">
        <v>8</v>
      </c>
      <c r="X11" s="1" t="s">
        <v>221</v>
      </c>
      <c r="Y11" s="11" t="s">
        <v>221</v>
      </c>
      <c r="Z11" s="1" t="s">
        <v>221</v>
      </c>
      <c r="AA11" s="1" t="s">
        <v>222</v>
      </c>
      <c r="AB11" s="1" t="s">
        <v>223</v>
      </c>
    </row>
    <row r="12" spans="1:29" x14ac:dyDescent="0.25">
      <c r="I12" s="27" t="s">
        <v>34</v>
      </c>
      <c r="J12" s="63">
        <v>0</v>
      </c>
      <c r="L12" s="144" t="s">
        <v>75</v>
      </c>
      <c r="N12" s="4">
        <v>10</v>
      </c>
      <c r="O12" s="5" t="s">
        <v>59</v>
      </c>
      <c r="P12" s="5" t="s">
        <v>55</v>
      </c>
      <c r="Q12" s="8" t="s">
        <v>75</v>
      </c>
      <c r="R12" s="5" t="s">
        <v>72</v>
      </c>
      <c r="S12" s="7">
        <v>3</v>
      </c>
      <c r="T12" s="5" t="s">
        <v>73</v>
      </c>
      <c r="V12" s="1" t="s">
        <v>8</v>
      </c>
      <c r="W12" s="11" t="s">
        <v>8</v>
      </c>
      <c r="X12" s="1" t="s">
        <v>224</v>
      </c>
      <c r="Y12" s="11" t="s">
        <v>15</v>
      </c>
      <c r="Z12" s="1" t="s">
        <v>16</v>
      </c>
      <c r="AA12" s="1" t="s">
        <v>225</v>
      </c>
      <c r="AB12" s="1" t="s">
        <v>226</v>
      </c>
    </row>
    <row r="13" spans="1:29" x14ac:dyDescent="0.25">
      <c r="I13" s="27" t="s">
        <v>529</v>
      </c>
      <c r="J13" s="63">
        <v>0.01</v>
      </c>
      <c r="L13" s="6">
        <v>0</v>
      </c>
      <c r="N13" s="4">
        <v>11</v>
      </c>
      <c r="O13" s="5" t="s">
        <v>60</v>
      </c>
      <c r="P13" s="5" t="s">
        <v>55</v>
      </c>
      <c r="Q13" s="8" t="s">
        <v>75</v>
      </c>
      <c r="R13" s="5" t="s">
        <v>83</v>
      </c>
      <c r="S13" s="7">
        <v>1</v>
      </c>
      <c r="T13" s="5" t="s">
        <v>73</v>
      </c>
      <c r="V13" s="1" t="s">
        <v>8</v>
      </c>
      <c r="W13" s="11" t="s">
        <v>8</v>
      </c>
      <c r="X13" s="1" t="s">
        <v>115</v>
      </c>
      <c r="Y13" s="11" t="s">
        <v>343</v>
      </c>
      <c r="Z13" s="1" t="s">
        <v>116</v>
      </c>
      <c r="AA13" s="1" t="s">
        <v>227</v>
      </c>
      <c r="AB13" s="1" t="s">
        <v>228</v>
      </c>
    </row>
    <row r="14" spans="1:29" x14ac:dyDescent="0.25">
      <c r="A14" s="17" t="s">
        <v>383</v>
      </c>
      <c r="E14" s="14" t="s">
        <v>386</v>
      </c>
      <c r="F14" s="14" t="s">
        <v>387</v>
      </c>
      <c r="G14" s="26" t="s">
        <v>28</v>
      </c>
      <c r="I14" s="27" t="s">
        <v>528</v>
      </c>
      <c r="J14" s="63">
        <v>1</v>
      </c>
      <c r="L14" s="6">
        <v>0.2</v>
      </c>
      <c r="N14" s="4">
        <v>12</v>
      </c>
      <c r="O14" s="5" t="s">
        <v>62</v>
      </c>
      <c r="P14" s="5" t="s">
        <v>61</v>
      </c>
      <c r="Q14" s="8" t="s">
        <v>75</v>
      </c>
      <c r="R14" s="5" t="s">
        <v>87</v>
      </c>
      <c r="S14" s="7">
        <v>1</v>
      </c>
      <c r="T14" s="5" t="s">
        <v>73</v>
      </c>
      <c r="V14" s="1" t="s">
        <v>8</v>
      </c>
      <c r="W14" s="11" t="s">
        <v>8</v>
      </c>
      <c r="X14" s="1" t="s">
        <v>229</v>
      </c>
      <c r="Y14" s="11" t="s">
        <v>344</v>
      </c>
      <c r="Z14" s="1" t="s">
        <v>230</v>
      </c>
      <c r="AA14" s="1" t="s">
        <v>231</v>
      </c>
      <c r="AB14" s="1" t="s">
        <v>232</v>
      </c>
    </row>
    <row r="15" spans="1:29" x14ac:dyDescent="0.25">
      <c r="A15" s="1" t="s">
        <v>384</v>
      </c>
      <c r="E15" s="13" t="s">
        <v>2</v>
      </c>
      <c r="F15" s="25" t="s">
        <v>12</v>
      </c>
      <c r="G15" s="25">
        <v>1</v>
      </c>
      <c r="I15" s="27" t="s">
        <v>30</v>
      </c>
      <c r="J15" s="145" t="s">
        <v>75</v>
      </c>
      <c r="L15" s="6">
        <v>0.4</v>
      </c>
      <c r="N15" s="4">
        <v>13</v>
      </c>
      <c r="O15" s="5" t="s">
        <v>63</v>
      </c>
      <c r="P15" s="5" t="s">
        <v>61</v>
      </c>
      <c r="Q15" s="8" t="s">
        <v>75</v>
      </c>
      <c r="R15" s="5" t="s">
        <v>87</v>
      </c>
      <c r="S15" s="7">
        <v>2</v>
      </c>
      <c r="T15" s="5" t="s">
        <v>73</v>
      </c>
      <c r="V15" s="1" t="s">
        <v>8</v>
      </c>
      <c r="W15" s="11" t="s">
        <v>8</v>
      </c>
      <c r="X15" s="1" t="s">
        <v>233</v>
      </c>
      <c r="Y15" s="11" t="s">
        <v>233</v>
      </c>
      <c r="Z15" s="1" t="s">
        <v>234</v>
      </c>
      <c r="AA15" s="1" t="s">
        <v>235</v>
      </c>
      <c r="AB15" s="1" t="s">
        <v>236</v>
      </c>
    </row>
    <row r="16" spans="1:29" x14ac:dyDescent="0.25">
      <c r="A16" s="1" t="s">
        <v>511</v>
      </c>
      <c r="E16" s="13" t="s">
        <v>3</v>
      </c>
      <c r="F16" s="25" t="s">
        <v>14</v>
      </c>
      <c r="G16" s="25">
        <v>2</v>
      </c>
      <c r="L16" s="6">
        <v>0.6</v>
      </c>
      <c r="N16" s="4">
        <v>14</v>
      </c>
      <c r="O16" s="5" t="s">
        <v>43</v>
      </c>
      <c r="P16" s="5" t="s">
        <v>40</v>
      </c>
      <c r="Q16" s="5" t="s">
        <v>514</v>
      </c>
      <c r="R16" s="5" t="s">
        <v>88</v>
      </c>
      <c r="S16" s="7">
        <v>2</v>
      </c>
      <c r="T16" s="5" t="s">
        <v>79</v>
      </c>
      <c r="V16" s="1" t="s">
        <v>8</v>
      </c>
      <c r="W16" s="11" t="s">
        <v>8</v>
      </c>
      <c r="X16" s="1" t="s">
        <v>237</v>
      </c>
      <c r="Y16" s="11" t="s">
        <v>345</v>
      </c>
      <c r="Z16" s="1" t="s">
        <v>238</v>
      </c>
      <c r="AA16" s="1" t="s">
        <v>239</v>
      </c>
      <c r="AB16" s="1" t="s">
        <v>240</v>
      </c>
    </row>
    <row r="17" spans="1:28" x14ac:dyDescent="0.25">
      <c r="A17" s="1" t="s">
        <v>385</v>
      </c>
      <c r="E17" s="13" t="s">
        <v>4</v>
      </c>
      <c r="F17" s="25" t="s">
        <v>16</v>
      </c>
      <c r="G17" s="25">
        <v>3</v>
      </c>
      <c r="I17" s="17" t="s">
        <v>530</v>
      </c>
      <c r="J17" s="56" t="s">
        <v>36</v>
      </c>
      <c r="L17" s="6">
        <v>0.8</v>
      </c>
      <c r="N17" s="4">
        <v>15</v>
      </c>
      <c r="O17" s="5" t="s">
        <v>39</v>
      </c>
      <c r="P17" s="5" t="s">
        <v>40</v>
      </c>
      <c r="Q17" s="5" t="s">
        <v>89</v>
      </c>
      <c r="R17" s="5" t="s">
        <v>82</v>
      </c>
      <c r="S17" s="7">
        <v>1</v>
      </c>
      <c r="T17" s="5" t="s">
        <v>79</v>
      </c>
      <c r="V17" s="1" t="s">
        <v>8</v>
      </c>
      <c r="W17" s="11" t="s">
        <v>8</v>
      </c>
      <c r="X17" s="1" t="s">
        <v>241</v>
      </c>
      <c r="Y17" s="11" t="s">
        <v>346</v>
      </c>
      <c r="Z17" s="1" t="s">
        <v>242</v>
      </c>
      <c r="AA17" s="1" t="s">
        <v>243</v>
      </c>
      <c r="AB17" s="1" t="s">
        <v>244</v>
      </c>
    </row>
    <row r="18" spans="1:28" x14ac:dyDescent="0.25">
      <c r="E18" s="13" t="s">
        <v>5</v>
      </c>
      <c r="F18" s="25" t="s">
        <v>18</v>
      </c>
      <c r="G18" s="25">
        <v>4</v>
      </c>
      <c r="I18" s="27" t="s">
        <v>30</v>
      </c>
      <c r="J18" s="58">
        <v>1</v>
      </c>
      <c r="L18" s="49">
        <v>1</v>
      </c>
      <c r="N18" s="4">
        <v>16</v>
      </c>
      <c r="O18" s="5" t="s">
        <v>44</v>
      </c>
      <c r="P18" s="5" t="s">
        <v>40</v>
      </c>
      <c r="Q18" s="5" t="s">
        <v>90</v>
      </c>
      <c r="R18" s="5" t="s">
        <v>91</v>
      </c>
      <c r="S18" s="7">
        <v>3</v>
      </c>
      <c r="T18" s="5" t="s">
        <v>79</v>
      </c>
      <c r="V18" s="1" t="s">
        <v>8</v>
      </c>
      <c r="W18" s="11" t="s">
        <v>8</v>
      </c>
      <c r="X18" s="1" t="s">
        <v>245</v>
      </c>
      <c r="Y18" s="11" t="s">
        <v>347</v>
      </c>
      <c r="Z18" s="1" t="s">
        <v>246</v>
      </c>
      <c r="AA18" s="1" t="s">
        <v>247</v>
      </c>
      <c r="AB18" s="1" t="s">
        <v>248</v>
      </c>
    </row>
    <row r="19" spans="1:28" x14ac:dyDescent="0.25">
      <c r="E19" s="13" t="s">
        <v>6</v>
      </c>
      <c r="F19" s="25" t="s">
        <v>20</v>
      </c>
      <c r="G19" s="25">
        <v>5</v>
      </c>
      <c r="I19" s="27" t="s">
        <v>546</v>
      </c>
      <c r="J19" s="58">
        <v>2</v>
      </c>
      <c r="N19" s="4">
        <v>17</v>
      </c>
      <c r="O19" s="5" t="s">
        <v>45</v>
      </c>
      <c r="P19" s="5" t="s">
        <v>40</v>
      </c>
      <c r="Q19" s="5" t="s">
        <v>90</v>
      </c>
      <c r="R19" s="5" t="s">
        <v>92</v>
      </c>
      <c r="S19" s="7">
        <v>3</v>
      </c>
      <c r="T19" s="5" t="s">
        <v>79</v>
      </c>
      <c r="V19" s="1" t="s">
        <v>4</v>
      </c>
      <c r="W19" s="11" t="s">
        <v>15</v>
      </c>
      <c r="X19" s="1" t="s">
        <v>147</v>
      </c>
      <c r="Y19" s="11" t="s">
        <v>348</v>
      </c>
      <c r="Z19" s="1" t="s">
        <v>148</v>
      </c>
      <c r="AA19" s="1" t="s">
        <v>149</v>
      </c>
      <c r="AB19" s="1" t="s">
        <v>150</v>
      </c>
    </row>
    <row r="20" spans="1:28" x14ac:dyDescent="0.25">
      <c r="E20" s="13" t="s">
        <v>7</v>
      </c>
      <c r="F20" s="25" t="s">
        <v>22</v>
      </c>
      <c r="G20" s="25">
        <v>6</v>
      </c>
      <c r="I20" s="27" t="s">
        <v>547</v>
      </c>
      <c r="J20" s="58">
        <v>3</v>
      </c>
      <c r="N20" s="4">
        <v>18</v>
      </c>
      <c r="O20" s="5" t="s">
        <v>46</v>
      </c>
      <c r="P20" s="5" t="s">
        <v>40</v>
      </c>
      <c r="Q20" s="5" t="s">
        <v>94</v>
      </c>
      <c r="R20" s="5" t="s">
        <v>95</v>
      </c>
      <c r="S20" s="7">
        <v>3</v>
      </c>
      <c r="T20" s="5" t="s">
        <v>79</v>
      </c>
      <c r="V20" s="1" t="s">
        <v>4</v>
      </c>
      <c r="W20" s="11" t="s">
        <v>15</v>
      </c>
      <c r="X20" s="1" t="s">
        <v>151</v>
      </c>
      <c r="Y20" s="11" t="s">
        <v>349</v>
      </c>
      <c r="Z20" s="1" t="s">
        <v>152</v>
      </c>
      <c r="AA20" s="1" t="s">
        <v>153</v>
      </c>
      <c r="AB20" s="1" t="s">
        <v>154</v>
      </c>
    </row>
    <row r="21" spans="1:28" x14ac:dyDescent="0.25">
      <c r="E21" s="13" t="s">
        <v>8</v>
      </c>
      <c r="F21" s="25" t="s">
        <v>23</v>
      </c>
      <c r="G21" s="25">
        <v>7</v>
      </c>
      <c r="I21" s="1" t="s">
        <v>32</v>
      </c>
      <c r="J21" s="58">
        <v>4</v>
      </c>
      <c r="N21" s="4">
        <v>19</v>
      </c>
      <c r="O21" s="5" t="s">
        <v>47</v>
      </c>
      <c r="P21" s="5" t="s">
        <v>40</v>
      </c>
      <c r="Q21" s="5" t="s">
        <v>94</v>
      </c>
      <c r="R21" s="5" t="s">
        <v>99</v>
      </c>
      <c r="S21" s="7">
        <v>3</v>
      </c>
      <c r="T21" s="5" t="s">
        <v>79</v>
      </c>
      <c r="V21" s="1" t="s">
        <v>4</v>
      </c>
      <c r="W21" s="11" t="s">
        <v>15</v>
      </c>
      <c r="X21" s="1" t="s">
        <v>139</v>
      </c>
      <c r="Y21" s="11" t="s">
        <v>139</v>
      </c>
      <c r="Z21" s="1" t="s">
        <v>140</v>
      </c>
      <c r="AA21" s="1" t="s">
        <v>155</v>
      </c>
      <c r="AB21" s="1" t="s">
        <v>156</v>
      </c>
    </row>
    <row r="22" spans="1:28" x14ac:dyDescent="0.25">
      <c r="E22" s="13" t="s">
        <v>9</v>
      </c>
      <c r="F22" s="25" t="s">
        <v>25</v>
      </c>
      <c r="G22" s="25">
        <v>8</v>
      </c>
      <c r="I22" s="27" t="s">
        <v>548</v>
      </c>
      <c r="J22" s="58">
        <v>5</v>
      </c>
      <c r="N22" s="4">
        <v>20</v>
      </c>
      <c r="O22" s="9" t="s">
        <v>96</v>
      </c>
      <c r="P22" s="9" t="s">
        <v>40</v>
      </c>
      <c r="Q22" s="5" t="s">
        <v>94</v>
      </c>
      <c r="R22" s="5" t="s">
        <v>85</v>
      </c>
      <c r="S22" s="7">
        <v>3</v>
      </c>
      <c r="T22" s="5" t="s">
        <v>79</v>
      </c>
      <c r="V22" s="1" t="s">
        <v>4</v>
      </c>
      <c r="W22" s="11" t="s">
        <v>15</v>
      </c>
      <c r="X22" s="1" t="s">
        <v>157</v>
      </c>
      <c r="Y22" s="11" t="s">
        <v>350</v>
      </c>
      <c r="Z22" s="1" t="s">
        <v>158</v>
      </c>
      <c r="AA22" s="1" t="s">
        <v>159</v>
      </c>
      <c r="AB22" s="1" t="s">
        <v>160</v>
      </c>
    </row>
    <row r="23" spans="1:28" x14ac:dyDescent="0.25">
      <c r="E23" s="13" t="s">
        <v>10</v>
      </c>
      <c r="F23" s="25" t="s">
        <v>27</v>
      </c>
      <c r="G23" s="25">
        <v>9</v>
      </c>
      <c r="I23" s="57" t="s">
        <v>549</v>
      </c>
      <c r="J23" s="58">
        <v>6</v>
      </c>
      <c r="N23" s="4">
        <v>21</v>
      </c>
      <c r="O23" s="5" t="s">
        <v>48</v>
      </c>
      <c r="P23" s="5" t="s">
        <v>40</v>
      </c>
      <c r="Q23" s="5" t="s">
        <v>77</v>
      </c>
      <c r="R23" s="5" t="s">
        <v>100</v>
      </c>
      <c r="S23" s="7">
        <v>3</v>
      </c>
      <c r="T23" s="5" t="s">
        <v>79</v>
      </c>
      <c r="V23" s="1" t="s">
        <v>4</v>
      </c>
      <c r="W23" s="11" t="s">
        <v>15</v>
      </c>
      <c r="X23" s="1" t="s">
        <v>161</v>
      </c>
      <c r="Y23" s="11" t="s">
        <v>351</v>
      </c>
      <c r="Z23" s="1" t="s">
        <v>162</v>
      </c>
      <c r="AA23" s="1" t="s">
        <v>163</v>
      </c>
      <c r="AB23" s="1" t="s">
        <v>164</v>
      </c>
    </row>
    <row r="24" spans="1:28" x14ac:dyDescent="0.25">
      <c r="N24" s="4">
        <v>22</v>
      </c>
      <c r="O24" s="5" t="s">
        <v>101</v>
      </c>
      <c r="P24" s="5" t="s">
        <v>40</v>
      </c>
      <c r="Q24" s="5" t="s">
        <v>90</v>
      </c>
      <c r="R24" s="5" t="s">
        <v>101</v>
      </c>
      <c r="S24" s="7">
        <v>3</v>
      </c>
      <c r="T24" s="5" t="s">
        <v>79</v>
      </c>
      <c r="V24" s="1" t="s">
        <v>4</v>
      </c>
      <c r="W24" s="11" t="s">
        <v>15</v>
      </c>
      <c r="X24" s="1" t="s">
        <v>165</v>
      </c>
      <c r="Y24" s="11" t="s">
        <v>165</v>
      </c>
      <c r="Z24" s="1" t="s">
        <v>166</v>
      </c>
      <c r="AA24" s="1" t="s">
        <v>167</v>
      </c>
      <c r="AB24" s="1" t="s">
        <v>168</v>
      </c>
    </row>
    <row r="25" spans="1:28" x14ac:dyDescent="0.25">
      <c r="N25" s="4">
        <v>23</v>
      </c>
      <c r="O25" s="5" t="s">
        <v>49</v>
      </c>
      <c r="P25" s="5" t="s">
        <v>40</v>
      </c>
      <c r="Q25" s="5" t="s">
        <v>90</v>
      </c>
      <c r="R25" s="5" t="s">
        <v>102</v>
      </c>
      <c r="S25" s="7">
        <v>3</v>
      </c>
      <c r="T25" s="5" t="s">
        <v>73</v>
      </c>
      <c r="V25" s="1" t="s">
        <v>4</v>
      </c>
      <c r="W25" s="11" t="s">
        <v>15</v>
      </c>
      <c r="X25" s="1" t="s">
        <v>169</v>
      </c>
      <c r="Y25" s="11" t="s">
        <v>352</v>
      </c>
      <c r="Z25" s="1" t="s">
        <v>170</v>
      </c>
      <c r="AA25" s="1" t="s">
        <v>171</v>
      </c>
      <c r="AB25" s="1" t="s">
        <v>172</v>
      </c>
    </row>
    <row r="26" spans="1:28" ht="30" x14ac:dyDescent="0.25">
      <c r="N26" s="4">
        <v>24</v>
      </c>
      <c r="O26" t="s">
        <v>515</v>
      </c>
      <c r="P26" t="s">
        <v>40</v>
      </c>
      <c r="Q26" s="5" t="s">
        <v>90</v>
      </c>
      <c r="R26" t="s">
        <v>93</v>
      </c>
      <c r="S26" s="7">
        <v>3</v>
      </c>
      <c r="T26" s="5" t="s">
        <v>79</v>
      </c>
      <c r="V26" s="1" t="s">
        <v>7</v>
      </c>
      <c r="W26" s="11" t="s">
        <v>21</v>
      </c>
      <c r="X26" s="1" t="s">
        <v>249</v>
      </c>
      <c r="Y26" s="11" t="s">
        <v>353</v>
      </c>
      <c r="Z26" s="1" t="s">
        <v>250</v>
      </c>
      <c r="AA26" s="1" t="s">
        <v>251</v>
      </c>
      <c r="AB26" s="1" t="s">
        <v>252</v>
      </c>
    </row>
    <row r="27" spans="1:28" x14ac:dyDescent="0.25">
      <c r="N27" s="4">
        <v>25</v>
      </c>
      <c r="O27" s="5" t="s">
        <v>50</v>
      </c>
      <c r="P27" s="5" t="s">
        <v>40</v>
      </c>
      <c r="Q27" s="5" t="s">
        <v>90</v>
      </c>
      <c r="R27" s="5" t="s">
        <v>103</v>
      </c>
      <c r="S27" s="7">
        <v>3</v>
      </c>
      <c r="T27" s="5" t="s">
        <v>79</v>
      </c>
      <c r="V27" s="1" t="s">
        <v>7</v>
      </c>
      <c r="W27" s="11" t="s">
        <v>21</v>
      </c>
      <c r="X27" s="1" t="s">
        <v>253</v>
      </c>
      <c r="Y27" s="11" t="s">
        <v>354</v>
      </c>
      <c r="Z27" s="1" t="s">
        <v>254</v>
      </c>
      <c r="AA27" s="1" t="s">
        <v>255</v>
      </c>
      <c r="AB27" s="1" t="s">
        <v>256</v>
      </c>
    </row>
    <row r="28" spans="1:28" x14ac:dyDescent="0.25">
      <c r="N28" s="4">
        <v>26</v>
      </c>
      <c r="O28" s="5" t="s">
        <v>51</v>
      </c>
      <c r="P28" s="5" t="s">
        <v>40</v>
      </c>
      <c r="Q28" s="5" t="s">
        <v>82</v>
      </c>
      <c r="R28" s="5" t="s">
        <v>82</v>
      </c>
      <c r="S28" s="7">
        <v>2</v>
      </c>
      <c r="T28" s="5" t="s">
        <v>79</v>
      </c>
      <c r="V28" s="1" t="s">
        <v>7</v>
      </c>
      <c r="W28" s="11" t="s">
        <v>21</v>
      </c>
      <c r="X28" s="1" t="s">
        <v>257</v>
      </c>
      <c r="Y28" s="11" t="s">
        <v>355</v>
      </c>
      <c r="Z28" s="1" t="s">
        <v>258</v>
      </c>
      <c r="AA28" s="1" t="s">
        <v>259</v>
      </c>
      <c r="AB28" s="1" t="s">
        <v>260</v>
      </c>
    </row>
    <row r="29" spans="1:28" x14ac:dyDescent="0.25">
      <c r="N29" s="4">
        <v>27</v>
      </c>
      <c r="O29" s="5" t="s">
        <v>512</v>
      </c>
      <c r="P29" s="5" t="s">
        <v>40</v>
      </c>
      <c r="Q29" s="5" t="s">
        <v>94</v>
      </c>
      <c r="R29" s="5" t="s">
        <v>519</v>
      </c>
      <c r="S29" s="7">
        <v>2</v>
      </c>
      <c r="T29" s="5" t="s">
        <v>79</v>
      </c>
      <c r="V29" s="1" t="s">
        <v>7</v>
      </c>
      <c r="W29" s="11" t="s">
        <v>21</v>
      </c>
      <c r="X29" s="1" t="s">
        <v>261</v>
      </c>
      <c r="Y29" s="11" t="s">
        <v>261</v>
      </c>
      <c r="Z29" s="1" t="s">
        <v>262</v>
      </c>
      <c r="AA29" s="1" t="s">
        <v>263</v>
      </c>
      <c r="AB29" s="1" t="s">
        <v>264</v>
      </c>
    </row>
    <row r="30" spans="1:28" x14ac:dyDescent="0.25">
      <c r="N30" s="4">
        <v>28</v>
      </c>
      <c r="O30" s="9" t="s">
        <v>97</v>
      </c>
      <c r="P30" s="9" t="s">
        <v>40</v>
      </c>
      <c r="Q30" s="5" t="s">
        <v>94</v>
      </c>
      <c r="R30" s="5" t="s">
        <v>86</v>
      </c>
      <c r="S30" s="7">
        <v>3</v>
      </c>
      <c r="T30" s="5" t="s">
        <v>73</v>
      </c>
      <c r="V30" s="1" t="s">
        <v>7</v>
      </c>
      <c r="W30" s="11" t="s">
        <v>21</v>
      </c>
      <c r="X30" s="1" t="s">
        <v>265</v>
      </c>
      <c r="Y30" s="11" t="s">
        <v>356</v>
      </c>
      <c r="Z30" s="1" t="s">
        <v>266</v>
      </c>
      <c r="AA30" s="1" t="s">
        <v>267</v>
      </c>
      <c r="AB30" s="1" t="s">
        <v>268</v>
      </c>
    </row>
    <row r="31" spans="1:28" ht="30" x14ac:dyDescent="0.25">
      <c r="N31" s="4">
        <v>29</v>
      </c>
      <c r="O31" t="s">
        <v>516</v>
      </c>
      <c r="P31" t="s">
        <v>40</v>
      </c>
      <c r="Q31" t="s">
        <v>90</v>
      </c>
      <c r="R31" t="s">
        <v>98</v>
      </c>
      <c r="S31" s="7">
        <v>3</v>
      </c>
      <c r="T31" s="5" t="s">
        <v>79</v>
      </c>
      <c r="V31" s="1" t="s">
        <v>7</v>
      </c>
      <c r="W31" s="11" t="s">
        <v>21</v>
      </c>
      <c r="X31" s="1" t="s">
        <v>269</v>
      </c>
      <c r="Y31" s="11" t="s">
        <v>357</v>
      </c>
      <c r="Z31" s="1" t="s">
        <v>270</v>
      </c>
      <c r="AA31" s="1" t="s">
        <v>271</v>
      </c>
      <c r="AB31" s="1" t="s">
        <v>272</v>
      </c>
    </row>
    <row r="32" spans="1:28" x14ac:dyDescent="0.25">
      <c r="N32" s="4">
        <v>30</v>
      </c>
      <c r="O32" s="5" t="s">
        <v>52</v>
      </c>
      <c r="P32" s="5" t="s">
        <v>40</v>
      </c>
      <c r="Q32" s="5" t="s">
        <v>94</v>
      </c>
      <c r="R32" s="5" t="s">
        <v>104</v>
      </c>
      <c r="S32" s="7">
        <v>3</v>
      </c>
      <c r="T32" s="5" t="s">
        <v>79</v>
      </c>
      <c r="V32" s="1" t="s">
        <v>7</v>
      </c>
      <c r="W32" s="11" t="s">
        <v>21</v>
      </c>
      <c r="X32" s="1" t="s">
        <v>273</v>
      </c>
      <c r="Y32" s="11" t="s">
        <v>358</v>
      </c>
      <c r="Z32" s="1" t="s">
        <v>274</v>
      </c>
      <c r="AA32" s="1" t="s">
        <v>275</v>
      </c>
      <c r="AB32" s="1" t="s">
        <v>276</v>
      </c>
    </row>
    <row r="33" spans="14:28" ht="30" x14ac:dyDescent="0.25">
      <c r="N33" s="4">
        <v>31</v>
      </c>
      <c r="O33" s="5" t="s">
        <v>106</v>
      </c>
      <c r="P33" s="5" t="s">
        <v>40</v>
      </c>
      <c r="Q33" s="5" t="s">
        <v>90</v>
      </c>
      <c r="R33" s="5" t="s">
        <v>107</v>
      </c>
      <c r="S33" s="7">
        <v>3</v>
      </c>
      <c r="T33" s="5" t="s">
        <v>79</v>
      </c>
      <c r="V33" s="1" t="s">
        <v>7</v>
      </c>
      <c r="W33" s="11" t="s">
        <v>21</v>
      </c>
      <c r="X33" s="1" t="s">
        <v>277</v>
      </c>
      <c r="Y33" s="11" t="s">
        <v>359</v>
      </c>
      <c r="Z33" s="1" t="s">
        <v>278</v>
      </c>
      <c r="AA33" s="1" t="s">
        <v>279</v>
      </c>
      <c r="AB33" s="1" t="s">
        <v>280</v>
      </c>
    </row>
    <row r="34" spans="14:28" ht="30" x14ac:dyDescent="0.25">
      <c r="N34" s="4">
        <v>32</v>
      </c>
      <c r="O34" s="5" t="s">
        <v>53</v>
      </c>
      <c r="P34" s="5" t="s">
        <v>40</v>
      </c>
      <c r="Q34" s="5" t="s">
        <v>514</v>
      </c>
      <c r="R34" s="5" t="s">
        <v>105</v>
      </c>
      <c r="S34" s="7">
        <v>3</v>
      </c>
      <c r="T34" s="5" t="s">
        <v>79</v>
      </c>
      <c r="V34" s="1" t="s">
        <v>5</v>
      </c>
      <c r="W34" s="11" t="s">
        <v>17</v>
      </c>
      <c r="X34" s="1" t="s">
        <v>297</v>
      </c>
      <c r="Y34" s="11" t="s">
        <v>360</v>
      </c>
      <c r="Z34" s="1" t="s">
        <v>298</v>
      </c>
      <c r="AA34" s="1" t="s">
        <v>321</v>
      </c>
      <c r="AB34" s="1" t="s">
        <v>322</v>
      </c>
    </row>
    <row r="35" spans="14:28" ht="30" x14ac:dyDescent="0.25">
      <c r="V35" s="1" t="s">
        <v>5</v>
      </c>
      <c r="W35" s="11" t="s">
        <v>17</v>
      </c>
      <c r="X35" s="1" t="s">
        <v>323</v>
      </c>
      <c r="Y35" s="11" t="s">
        <v>361</v>
      </c>
      <c r="Z35" s="1" t="s">
        <v>324</v>
      </c>
      <c r="AA35" s="1" t="s">
        <v>325</v>
      </c>
      <c r="AB35" s="1" t="s">
        <v>326</v>
      </c>
    </row>
    <row r="36" spans="14:28" ht="30" x14ac:dyDescent="0.25">
      <c r="O36" s="16">
        <f>SUMPRODUCT(1/COUNTIF(DATA_EntityRegion[Entity],DATA_EntityRegion[Entity]))</f>
        <v>32</v>
      </c>
      <c r="P36" s="16">
        <f>SUMPRODUCT(1/COUNTIF(DATA_EntityRegion[[BU ]],DATA_EntityRegion[[BU ]]))</f>
        <v>2.9999999999999991</v>
      </c>
      <c r="Q36" s="16">
        <f>SUMPRODUCT(1/COUNTIF(DATA_EntityRegion[Region],DATA_EntityRegion[Region]))</f>
        <v>7.0000000000000018</v>
      </c>
      <c r="R36" s="16">
        <f>SUMPRODUCT(1/COUNTIF(DATA_EntityRegion[Country],DATA_EntityRegion[Country]))</f>
        <v>25.999999999999996</v>
      </c>
      <c r="V36" s="1" t="s">
        <v>5</v>
      </c>
      <c r="W36" s="11" t="s">
        <v>17</v>
      </c>
      <c r="X36" s="1" t="s">
        <v>327</v>
      </c>
      <c r="Y36" s="11" t="s">
        <v>362</v>
      </c>
      <c r="Z36" s="1" t="s">
        <v>328</v>
      </c>
      <c r="AA36" s="1" t="s">
        <v>329</v>
      </c>
      <c r="AB36" s="1" t="s">
        <v>330</v>
      </c>
    </row>
    <row r="37" spans="14:28" x14ac:dyDescent="0.25">
      <c r="V37" s="1" t="s">
        <v>2</v>
      </c>
      <c r="W37" s="11" t="s">
        <v>11</v>
      </c>
      <c r="X37" s="1" t="s">
        <v>111</v>
      </c>
      <c r="Y37" s="11" t="s">
        <v>363</v>
      </c>
      <c r="Z37" s="1" t="s">
        <v>112</v>
      </c>
      <c r="AA37" s="1" t="s">
        <v>113</v>
      </c>
      <c r="AB37" s="1" t="s">
        <v>114</v>
      </c>
    </row>
    <row r="38" spans="14:28" x14ac:dyDescent="0.25">
      <c r="V38" s="1" t="s">
        <v>2</v>
      </c>
      <c r="W38" s="11" t="s">
        <v>11</v>
      </c>
      <c r="X38" s="1" t="s">
        <v>115</v>
      </c>
      <c r="Y38" s="11" t="s">
        <v>343</v>
      </c>
      <c r="Z38" s="1" t="s">
        <v>116</v>
      </c>
      <c r="AA38" s="1" t="s">
        <v>117</v>
      </c>
      <c r="AB38" s="1" t="s">
        <v>118</v>
      </c>
    </row>
    <row r="39" spans="14:28" x14ac:dyDescent="0.25">
      <c r="V39" s="1" t="s">
        <v>2</v>
      </c>
      <c r="W39" s="11" t="s">
        <v>11</v>
      </c>
      <c r="X39" s="1" t="s">
        <v>119</v>
      </c>
      <c r="Y39" s="11" t="s">
        <v>364</v>
      </c>
      <c r="Z39" s="1" t="s">
        <v>120</v>
      </c>
      <c r="AA39" s="1" t="s">
        <v>121</v>
      </c>
      <c r="AB39" s="1" t="s">
        <v>122</v>
      </c>
    </row>
    <row r="40" spans="14:28" x14ac:dyDescent="0.25">
      <c r="V40" s="1" t="s">
        <v>2</v>
      </c>
      <c r="W40" s="11" t="s">
        <v>11</v>
      </c>
      <c r="X40" s="1" t="s">
        <v>123</v>
      </c>
      <c r="Y40" s="11" t="s">
        <v>365</v>
      </c>
      <c r="Z40" s="1" t="s">
        <v>124</v>
      </c>
      <c r="AA40" s="1" t="s">
        <v>125</v>
      </c>
      <c r="AB40" s="1" t="s">
        <v>126</v>
      </c>
    </row>
    <row r="41" spans="14:28" x14ac:dyDescent="0.25">
      <c r="V41" s="1" t="s">
        <v>2</v>
      </c>
      <c r="W41" s="11" t="s">
        <v>11</v>
      </c>
      <c r="X41" s="1" t="s">
        <v>127</v>
      </c>
      <c r="Y41" s="11" t="s">
        <v>366</v>
      </c>
      <c r="Z41" s="1" t="s">
        <v>128</v>
      </c>
      <c r="AA41" s="1" t="s">
        <v>129</v>
      </c>
      <c r="AB41" s="1" t="s">
        <v>130</v>
      </c>
    </row>
    <row r="42" spans="14:28" x14ac:dyDescent="0.25">
      <c r="V42" s="1" t="s">
        <v>2</v>
      </c>
      <c r="W42" s="11" t="s">
        <v>11</v>
      </c>
      <c r="X42" s="1" t="s">
        <v>131</v>
      </c>
      <c r="Y42" s="11" t="s">
        <v>367</v>
      </c>
      <c r="Z42" s="1" t="s">
        <v>132</v>
      </c>
      <c r="AA42" s="1" t="s">
        <v>133</v>
      </c>
      <c r="AB42" s="1" t="s">
        <v>134</v>
      </c>
    </row>
    <row r="43" spans="14:28" x14ac:dyDescent="0.25">
      <c r="V43" s="1" t="s">
        <v>2</v>
      </c>
      <c r="W43" s="11" t="s">
        <v>11</v>
      </c>
      <c r="X43" s="1" t="s">
        <v>135</v>
      </c>
      <c r="Y43" s="11" t="s">
        <v>368</v>
      </c>
      <c r="Z43" s="1" t="s">
        <v>136</v>
      </c>
      <c r="AA43" s="1" t="s">
        <v>137</v>
      </c>
      <c r="AB43" s="1" t="s">
        <v>138</v>
      </c>
    </row>
    <row r="44" spans="14:28" x14ac:dyDescent="0.25">
      <c r="V44" s="1" t="s">
        <v>2</v>
      </c>
      <c r="W44" s="11" t="s">
        <v>11</v>
      </c>
      <c r="X44" s="1" t="s">
        <v>139</v>
      </c>
      <c r="Y44" s="11" t="s">
        <v>139</v>
      </c>
      <c r="Z44" s="1" t="s">
        <v>140</v>
      </c>
      <c r="AA44" s="1" t="s">
        <v>141</v>
      </c>
      <c r="AB44" s="1" t="s">
        <v>142</v>
      </c>
    </row>
    <row r="45" spans="14:28" x14ac:dyDescent="0.25">
      <c r="V45" s="1" t="s">
        <v>2</v>
      </c>
      <c r="W45" s="11" t="s">
        <v>11</v>
      </c>
      <c r="X45" s="1" t="s">
        <v>143</v>
      </c>
      <c r="Y45" s="11" t="s">
        <v>369</v>
      </c>
      <c r="Z45" s="1" t="s">
        <v>144</v>
      </c>
      <c r="AA45" s="1" t="s">
        <v>145</v>
      </c>
      <c r="AB45" s="1" t="s">
        <v>146</v>
      </c>
    </row>
    <row r="46" spans="14:28" ht="30" x14ac:dyDescent="0.25">
      <c r="V46" s="1" t="s">
        <v>10</v>
      </c>
      <c r="W46" s="11" t="s">
        <v>26</v>
      </c>
      <c r="X46" s="1" t="s">
        <v>281</v>
      </c>
      <c r="Y46" s="11" t="s">
        <v>370</v>
      </c>
      <c r="Z46" s="1" t="s">
        <v>282</v>
      </c>
      <c r="AA46" s="1" t="s">
        <v>283</v>
      </c>
      <c r="AB46" s="1" t="s">
        <v>284</v>
      </c>
    </row>
    <row r="47" spans="14:28" ht="30" x14ac:dyDescent="0.25">
      <c r="V47" s="1" t="s">
        <v>10</v>
      </c>
      <c r="W47" s="11" t="s">
        <v>26</v>
      </c>
      <c r="X47" s="1" t="s">
        <v>285</v>
      </c>
      <c r="Y47" s="11" t="s">
        <v>371</v>
      </c>
      <c r="Z47" s="1" t="s">
        <v>286</v>
      </c>
      <c r="AA47" s="1" t="s">
        <v>287</v>
      </c>
      <c r="AB47" s="1" t="s">
        <v>288</v>
      </c>
    </row>
    <row r="48" spans="14:28" ht="30" x14ac:dyDescent="0.25">
      <c r="V48" s="1" t="s">
        <v>10</v>
      </c>
      <c r="W48" s="11" t="s">
        <v>26</v>
      </c>
      <c r="X48" s="1" t="s">
        <v>289</v>
      </c>
      <c r="Y48" s="11" t="s">
        <v>372</v>
      </c>
      <c r="Z48" s="1" t="s">
        <v>290</v>
      </c>
      <c r="AA48" s="1" t="s">
        <v>291</v>
      </c>
      <c r="AB48" s="1" t="s">
        <v>292</v>
      </c>
    </row>
    <row r="49" spans="22:28" ht="30" x14ac:dyDescent="0.25">
      <c r="V49" s="1" t="s">
        <v>10</v>
      </c>
      <c r="W49" s="11" t="s">
        <v>26</v>
      </c>
      <c r="X49" s="1" t="s">
        <v>293</v>
      </c>
      <c r="Y49" s="11" t="s">
        <v>293</v>
      </c>
      <c r="Z49" s="1" t="s">
        <v>294</v>
      </c>
      <c r="AA49" s="1" t="s">
        <v>295</v>
      </c>
      <c r="AB49" s="1" t="s">
        <v>296</v>
      </c>
    </row>
    <row r="50" spans="22:28" x14ac:dyDescent="0.25">
      <c r="V50" s="1" t="s">
        <v>9</v>
      </c>
      <c r="W50" s="11" t="s">
        <v>24</v>
      </c>
      <c r="X50" s="1" t="s">
        <v>173</v>
      </c>
      <c r="Y50" s="11" t="s">
        <v>373</v>
      </c>
      <c r="Z50" s="1" t="s">
        <v>174</v>
      </c>
      <c r="AA50" s="1" t="s">
        <v>175</v>
      </c>
      <c r="AB50" s="1" t="s">
        <v>176</v>
      </c>
    </row>
    <row r="51" spans="22:28" x14ac:dyDescent="0.25">
      <c r="V51" s="1" t="s">
        <v>9</v>
      </c>
      <c r="W51" s="11" t="s">
        <v>24</v>
      </c>
      <c r="X51" s="1" t="s">
        <v>177</v>
      </c>
      <c r="Y51" s="11" t="s">
        <v>374</v>
      </c>
      <c r="Z51" s="1" t="s">
        <v>178</v>
      </c>
      <c r="AA51" s="1" t="s">
        <v>179</v>
      </c>
      <c r="AB51" s="1" t="s">
        <v>180</v>
      </c>
    </row>
    <row r="52" spans="22:28" x14ac:dyDescent="0.25">
      <c r="V52" s="1" t="s">
        <v>9</v>
      </c>
      <c r="W52" s="11" t="s">
        <v>24</v>
      </c>
      <c r="X52" s="1" t="s">
        <v>181</v>
      </c>
      <c r="Y52" s="11" t="s">
        <v>375</v>
      </c>
      <c r="Z52" s="1" t="s">
        <v>182</v>
      </c>
      <c r="AA52" s="1" t="s">
        <v>183</v>
      </c>
      <c r="AB52" s="1" t="s">
        <v>184</v>
      </c>
    </row>
    <row r="53" spans="22:28" x14ac:dyDescent="0.25">
      <c r="V53" s="1" t="s">
        <v>9</v>
      </c>
      <c r="W53" s="11" t="s">
        <v>24</v>
      </c>
      <c r="X53" s="1" t="s">
        <v>185</v>
      </c>
      <c r="Y53" s="11" t="s">
        <v>376</v>
      </c>
      <c r="Z53" s="1" t="s">
        <v>186</v>
      </c>
      <c r="AA53" s="1" t="s">
        <v>187</v>
      </c>
      <c r="AB53" s="1" t="s">
        <v>188</v>
      </c>
    </row>
    <row r="54" spans="22:28" x14ac:dyDescent="0.25">
      <c r="V54" s="1" t="s">
        <v>3</v>
      </c>
      <c r="W54" s="11" t="s">
        <v>13</v>
      </c>
      <c r="X54" s="1" t="s">
        <v>297</v>
      </c>
      <c r="Y54" s="11" t="s">
        <v>360</v>
      </c>
      <c r="Z54" s="1" t="s">
        <v>298</v>
      </c>
      <c r="AA54" s="1" t="s">
        <v>299</v>
      </c>
      <c r="AB54" s="1" t="s">
        <v>300</v>
      </c>
    </row>
    <row r="55" spans="22:28" x14ac:dyDescent="0.25">
      <c r="V55" s="1" t="s">
        <v>3</v>
      </c>
      <c r="W55" s="11" t="s">
        <v>13</v>
      </c>
      <c r="X55" s="1" t="s">
        <v>301</v>
      </c>
      <c r="Y55" s="11" t="s">
        <v>377</v>
      </c>
      <c r="Z55" s="1" t="s">
        <v>302</v>
      </c>
      <c r="AA55" s="1" t="s">
        <v>303</v>
      </c>
      <c r="AB55" s="1" t="s">
        <v>304</v>
      </c>
    </row>
    <row r="56" spans="22:28" x14ac:dyDescent="0.25">
      <c r="V56" s="1" t="s">
        <v>3</v>
      </c>
      <c r="W56" s="11" t="s">
        <v>13</v>
      </c>
      <c r="X56" s="1" t="s">
        <v>305</v>
      </c>
      <c r="Y56" s="11" t="s">
        <v>378</v>
      </c>
      <c r="Z56" s="1" t="s">
        <v>306</v>
      </c>
      <c r="AA56" s="1" t="s">
        <v>307</v>
      </c>
      <c r="AB56" s="1" t="s">
        <v>308</v>
      </c>
    </row>
    <row r="57" spans="22:28" x14ac:dyDescent="0.25">
      <c r="V57" s="1" t="s">
        <v>3</v>
      </c>
      <c r="W57" s="11" t="s">
        <v>13</v>
      </c>
      <c r="X57" s="1" t="s">
        <v>309</v>
      </c>
      <c r="Y57" s="11" t="s">
        <v>379</v>
      </c>
      <c r="Z57" s="1" t="s">
        <v>310</v>
      </c>
      <c r="AA57" s="1" t="s">
        <v>311</v>
      </c>
      <c r="AB57" s="1" t="s">
        <v>312</v>
      </c>
    </row>
    <row r="58" spans="22:28" x14ac:dyDescent="0.25">
      <c r="V58" s="1" t="s">
        <v>3</v>
      </c>
      <c r="W58" s="11" t="s">
        <v>13</v>
      </c>
      <c r="X58" s="1" t="s">
        <v>313</v>
      </c>
      <c r="Y58" s="11" t="s">
        <v>380</v>
      </c>
      <c r="Z58" s="1" t="s">
        <v>314</v>
      </c>
      <c r="AA58" s="1" t="s">
        <v>315</v>
      </c>
      <c r="AB58" s="1" t="s">
        <v>316</v>
      </c>
    </row>
    <row r="59" spans="22:28" x14ac:dyDescent="0.25">
      <c r="V59" s="1" t="s">
        <v>3</v>
      </c>
      <c r="W59" s="11" t="s">
        <v>13</v>
      </c>
      <c r="X59" s="1" t="s">
        <v>317</v>
      </c>
      <c r="Y59" s="11" t="s">
        <v>381</v>
      </c>
      <c r="Z59" s="1" t="s">
        <v>318</v>
      </c>
      <c r="AA59" s="1" t="s">
        <v>319</v>
      </c>
      <c r="AB59" s="1" t="s">
        <v>320</v>
      </c>
    </row>
    <row r="60" spans="22:28" x14ac:dyDescent="0.25">
      <c r="V60" s="1">
        <f>SUMPRODUCT((DATA_ID[Pack EN]&lt;&gt;"")/(COUNTIF(DATA_ID[Pack EN],DATA_ID[Pack EN])))</f>
        <v>8.9999999999999929</v>
      </c>
      <c r="W60" s="12"/>
      <c r="X60" s="1">
        <f>COUNTA(DATA_ID[Theme EN])</f>
        <v>57</v>
      </c>
      <c r="Y60" s="12"/>
    </row>
  </sheetData>
  <pageMargins left="0.70866141732283472" right="0.70866141732283472" top="0.74803149606299213" bottom="0.74803149606299213" header="0.31496062992125984" footer="0.31496062992125984"/>
  <pageSetup paperSize="9" orientation="portrait" r:id="rId1"/>
  <tableParts count="11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1" tint="0.249977111117893"/>
  </sheetPr>
  <dimension ref="A1:BY34"/>
  <sheetViews>
    <sheetView zoomScaleNormal="100" workbookViewId="0">
      <selection activeCell="C12" sqref="C12"/>
    </sheetView>
  </sheetViews>
  <sheetFormatPr baseColWidth="10" defaultColWidth="11.42578125" defaultRowHeight="15" x14ac:dyDescent="0.25"/>
  <cols>
    <col min="1" max="1" width="35.85546875" style="1" customWidth="1"/>
    <col min="2" max="67" width="14.7109375" style="1" customWidth="1"/>
    <col min="68" max="16384" width="11.42578125" style="1"/>
  </cols>
  <sheetData>
    <row r="1" spans="1:77" x14ac:dyDescent="0.25">
      <c r="A1" s="95" t="s">
        <v>605</v>
      </c>
    </row>
    <row r="2" spans="1:77" ht="38.25" x14ac:dyDescent="0.25">
      <c r="A2" s="89" t="s">
        <v>493</v>
      </c>
      <c r="B2" s="89" t="s">
        <v>611</v>
      </c>
      <c r="C2" s="89" t="s">
        <v>616</v>
      </c>
      <c r="D2" s="90" t="s">
        <v>555</v>
      </c>
      <c r="E2" s="90" t="s">
        <v>554</v>
      </c>
      <c r="F2" s="90" t="s">
        <v>556</v>
      </c>
      <c r="G2" s="90" t="s">
        <v>550</v>
      </c>
      <c r="H2" s="90" t="s">
        <v>557</v>
      </c>
      <c r="I2" s="90" t="s">
        <v>558</v>
      </c>
      <c r="J2" s="90" t="s">
        <v>559</v>
      </c>
      <c r="K2" s="90" t="s">
        <v>31</v>
      </c>
      <c r="L2" s="90" t="s">
        <v>560</v>
      </c>
      <c r="M2" s="90" t="s">
        <v>562</v>
      </c>
      <c r="N2" s="90" t="s">
        <v>561</v>
      </c>
      <c r="O2" s="90" t="s">
        <v>32</v>
      </c>
      <c r="P2" s="90" t="s">
        <v>563</v>
      </c>
      <c r="Q2" s="90" t="s">
        <v>564</v>
      </c>
      <c r="R2" s="90" t="s">
        <v>565</v>
      </c>
      <c r="S2" s="90" t="s">
        <v>33</v>
      </c>
      <c r="T2" s="90" t="s">
        <v>566</v>
      </c>
      <c r="U2" s="90" t="s">
        <v>567</v>
      </c>
      <c r="V2" s="90" t="s">
        <v>568</v>
      </c>
      <c r="W2" s="90" t="s">
        <v>35</v>
      </c>
      <c r="X2" s="90" t="s">
        <v>569</v>
      </c>
      <c r="Y2" s="90" t="s">
        <v>570</v>
      </c>
      <c r="Z2" s="90" t="s">
        <v>571</v>
      </c>
      <c r="AA2" s="90" t="s">
        <v>382</v>
      </c>
      <c r="AB2" s="90" t="s">
        <v>584</v>
      </c>
      <c r="AC2" s="90" t="s">
        <v>585</v>
      </c>
      <c r="AD2" s="90" t="s">
        <v>586</v>
      </c>
      <c r="AE2" s="91" t="s">
        <v>587</v>
      </c>
      <c r="AF2" s="90" t="s">
        <v>598</v>
      </c>
      <c r="AG2" s="90" t="s">
        <v>599</v>
      </c>
      <c r="AH2" s="90" t="s">
        <v>600</v>
      </c>
      <c r="AI2" s="90" t="s">
        <v>609</v>
      </c>
      <c r="AJ2" s="90" t="s">
        <v>602</v>
      </c>
      <c r="AK2" s="90" t="s">
        <v>603</v>
      </c>
      <c r="AL2" s="90" t="s">
        <v>604</v>
      </c>
      <c r="AM2" s="90" t="s">
        <v>529</v>
      </c>
      <c r="AN2" s="90" t="s">
        <v>606</v>
      </c>
      <c r="AO2" s="90" t="s">
        <v>528</v>
      </c>
      <c r="AP2" s="90" t="s">
        <v>30</v>
      </c>
      <c r="AQ2" s="101" t="s">
        <v>595</v>
      </c>
      <c r="AR2" s="101" t="s">
        <v>596</v>
      </c>
      <c r="AS2" s="101" t="s">
        <v>597</v>
      </c>
      <c r="AT2" s="91" t="s">
        <v>572</v>
      </c>
      <c r="AU2" s="111" t="s">
        <v>573</v>
      </c>
      <c r="AV2" s="90" t="s">
        <v>574</v>
      </c>
      <c r="AW2" s="90" t="s">
        <v>577</v>
      </c>
      <c r="AX2" s="90" t="s">
        <v>578</v>
      </c>
      <c r="AY2" s="89" t="s">
        <v>506</v>
      </c>
      <c r="AZ2" s="101" t="s">
        <v>507</v>
      </c>
      <c r="BA2" s="94" t="s">
        <v>508</v>
      </c>
      <c r="BB2" s="120" t="s">
        <v>594</v>
      </c>
      <c r="BC2" s="90" t="s">
        <v>509</v>
      </c>
      <c r="BD2" s="90" t="s">
        <v>495</v>
      </c>
      <c r="BE2" s="90" t="s">
        <v>551</v>
      </c>
      <c r="BF2" s="118" t="s">
        <v>552</v>
      </c>
      <c r="BG2" s="121" t="s">
        <v>582</v>
      </c>
      <c r="BH2" s="132" t="s">
        <v>607</v>
      </c>
      <c r="BI2" s="132" t="s">
        <v>608</v>
      </c>
      <c r="BJ2" s="132" t="s">
        <v>610</v>
      </c>
      <c r="BK2" s="132" t="s">
        <v>583</v>
      </c>
      <c r="BL2" s="89" t="s">
        <v>579</v>
      </c>
      <c r="BM2" s="98" t="s">
        <v>588</v>
      </c>
      <c r="BN2" s="90" t="s">
        <v>590</v>
      </c>
      <c r="BO2" s="98" t="s">
        <v>580</v>
      </c>
      <c r="BP2" s="98" t="s">
        <v>589</v>
      </c>
      <c r="BQ2" s="90" t="s">
        <v>592</v>
      </c>
      <c r="BR2" s="98" t="s">
        <v>581</v>
      </c>
      <c r="BS2" s="98" t="s">
        <v>591</v>
      </c>
      <c r="BT2" s="90" t="s">
        <v>593</v>
      </c>
      <c r="BU2" s="90" t="s">
        <v>576</v>
      </c>
      <c r="BV2" s="111" t="s">
        <v>601</v>
      </c>
      <c r="BW2" s="90" t="s">
        <v>575</v>
      </c>
    </row>
    <row r="3" spans="1:77" x14ac:dyDescent="0.25">
      <c r="A3" s="88" t="s">
        <v>2</v>
      </c>
      <c r="B3" s="115">
        <v>1</v>
      </c>
      <c r="C3" s="115">
        <v>0.2</v>
      </c>
      <c r="D3" s="88" t="e">
        <f>COUNTIFS(#REF!,CALCULATION[[#This Row],[PACK]],GLOBAL_DATA_01[Priority],"P0",GLOBAL_DATA_01[Status],Status_No_Project)</f>
        <v>#REF!</v>
      </c>
      <c r="E3" s="88" t="e">
        <f>COUNTIFS(#REF!,CALCULATION[[#This Row],[PACK]],GLOBAL_DATA_01[Priority],"P1",GLOBAL_DATA_01[Status],Status_No_Project)</f>
        <v>#REF!</v>
      </c>
      <c r="F3" s="88" t="e">
        <f>COUNTIFS(#REF!,CALCULATION[[#This Row],[PACK]],GLOBAL_DATA_01[Priority],"&gt;=P2",GLOBAL_DATA_01[Status],Status_No_Project)</f>
        <v>#REF!</v>
      </c>
      <c r="G3" s="88" t="e">
        <f>COUNTIFS(#REF!,CALCULATION[[#This Row],[PACK]],GLOBAL_DATA_01[Status],CALCULATION[[#Headers],[NO PROJECT]])</f>
        <v>#REF!</v>
      </c>
      <c r="H3" s="88" t="e">
        <f>COUNTIFS(#REF!,CALCULATION[[#This Row],[PACK]],GLOBAL_DATA_01[Priority],"P0",GLOBAL_DATA_01[Status],DATA!$I$4)</f>
        <v>#REF!</v>
      </c>
      <c r="I3" s="88" t="e">
        <f>COUNTIFS(#REF!,CALCULATION[[#This Row],[PACK]],GLOBAL_DATA_01[Priority],"P1",GLOBAL_DATA_01[Status],DATA!$I$4)</f>
        <v>#REF!</v>
      </c>
      <c r="J3" s="88" t="e">
        <f>COUNTIFS(#REF!,CALCULATION[[#This Row],[PACK]],GLOBAL_DATA_01[Priority],"&gt;=P2",GLOBAL_DATA_01[Status],DATA!$I$4)</f>
        <v>#REF!</v>
      </c>
      <c r="K3" s="88" t="e">
        <f>COUNTIFS(#REF!,CALCULATION[[#This Row],[PACK]],GLOBAL_DATA_01[Status],CALCULATION[[#Headers],[TO BE STARTED]])</f>
        <v>#REF!</v>
      </c>
      <c r="L3" s="88" t="e">
        <f>COUNTIFS(#REF!,CALCULATION[[#This Row],[PACK]],GLOBAL_DATA_01[Priority],"P0",GLOBAL_DATA_01[Status],DATA!$I$5)</f>
        <v>#REF!</v>
      </c>
      <c r="M3" s="88" t="e">
        <f>COUNTIFS(#REF!,CALCULATION[[#This Row],[PACK]],GLOBAL_DATA_01[Priority],"P1",GLOBAL_DATA_01[Status],DATA!$I$5)</f>
        <v>#REF!</v>
      </c>
      <c r="N3" s="88" t="e">
        <f>COUNTIFS(#REF!,CALCULATION[[#This Row],[PACK]],GLOBAL_DATA_01[Priority],"&gt;=P2",GLOBAL_DATA_01[Status],DATA!$I$5)</f>
        <v>#REF!</v>
      </c>
      <c r="O3" s="88" t="e">
        <f>COUNTIFS(#REF!,CALCULATION[[#This Row],[PACK]],GLOBAL_DATA_01[Status],CALCULATION[[#Headers],[IN PROGRESS]])</f>
        <v>#REF!</v>
      </c>
      <c r="P3" s="88" t="e">
        <f>COUNTIFS(#REF!,CALCULATION[[#This Row],[PACK]],GLOBAL_DATA_01[Priority],"P0",GLOBAL_DATA_01[Status],DATA!$I$6)</f>
        <v>#REF!</v>
      </c>
      <c r="Q3" s="88" t="e">
        <f>COUNTIFS(#REF!,CALCULATION[[#This Row],[PACK]],GLOBAL_DATA_01[Priority],"P1",GLOBAL_DATA_01[Status],DATA!$I$6)</f>
        <v>#REF!</v>
      </c>
      <c r="R3" s="88" t="e">
        <f>COUNTIFS(#REF!,CALCULATION[[#This Row],[PACK]],GLOBAL_DATA_01[Priority],"&gt;=P2",GLOBAL_DATA_01[Status],DATA!$I$6)</f>
        <v>#REF!</v>
      </c>
      <c r="S3" s="88" t="e">
        <f>COUNTIFS(#REF!,CALCULATION[[#This Row],[PACK]],GLOBAL_DATA_01[Status],CALCULATION[[#Headers],[DONE]])</f>
        <v>#REF!</v>
      </c>
      <c r="T3" s="88" t="e">
        <f>COUNTIFS(#REF!,CALCULATION[[#This Row],[PACK]],GLOBAL_DATA_01[Priority],"P0",GLOBAL_DATA_01[Status],DATA!$I$7)</f>
        <v>#REF!</v>
      </c>
      <c r="U3" s="88" t="e">
        <f>COUNTIFS(#REF!,CALCULATION[[#This Row],[PACK]],GLOBAL_DATA_01[Priority],"P1",GLOBAL_DATA_01[Status],DATA!$I$7)</f>
        <v>#REF!</v>
      </c>
      <c r="V3" s="88" t="e">
        <f>COUNTIFS(#REF!,CALCULATION[[#This Row],[PACK]],GLOBAL_DATA_01[Priority],"&gt;=P2",GLOBAL_DATA_01[Status],DATA!$I$7)</f>
        <v>#REF!</v>
      </c>
      <c r="W3" s="88" t="e">
        <f>COUNTIFS(#REF!,CALCULATION[[#This Row],[PACK]],GLOBAL_DATA_01[Status],CALCULATION[[#Headers],[CHECKED CISO]])</f>
        <v>#REF!</v>
      </c>
      <c r="X3" s="88" t="e">
        <f>COUNTIFS(#REF!,CALCULATION[[#This Row],[PACK]],GLOBAL_DATA_01[Priority],"P0",GLOBAL_DATA_01[Status],DATA!$I$8)</f>
        <v>#REF!</v>
      </c>
      <c r="Y3" s="88" t="e">
        <f>COUNTIFS(#REF!,CALCULATION[[#This Row],[PACK]],GLOBAL_DATA_01[Priority],"P1",GLOBAL_DATA_01[Status],DATA!$I$8)</f>
        <v>#REF!</v>
      </c>
      <c r="Z3" s="88" t="e">
        <f>COUNTIFS(#REF!,CALCULATION[[#This Row],[PACK]],GLOBAL_DATA_01[Priority],"&gt;=P2",GLOBAL_DATA_01[Status],DATA!$I$8)</f>
        <v>#REF!</v>
      </c>
      <c r="AA3" s="88" t="e">
        <f>COUNTIFS(#REF!,CALCULATION[[#This Row],[PACK]],GLOBAL_DATA_01[Status],CALCULATION[[#Headers],[VERIFIED]])</f>
        <v>#REF!</v>
      </c>
      <c r="AB3" s="88" t="e">
        <f>COUNTIFS(#REF!,CALCULATION[[#This Row],[PACK]],GLOBAL_DATA_01[Priority],"P0",GLOBAL_DATA_01[Status],"&lt;&gt;"&amp;Status_No_Project)</f>
        <v>#REF!</v>
      </c>
      <c r="AC3" s="88" t="e">
        <f>COUNTIFS(#REF!,CALCULATION[[#This Row],[PACK]],GLOBAL_DATA_01[Priority],"P1",GLOBAL_DATA_01[Status],"&lt;&gt;"&amp;Status_No_Project)</f>
        <v>#REF!</v>
      </c>
      <c r="AD3" s="88" t="e">
        <f>COUNTIFS(#REF!,CALCULATION[[#This Row],[PACK]],GLOBAL_DATA_01[Priority],"&gt;=P2",GLOBAL_DATA_01[Status],"&lt;&gt;"&amp;Status_No_Project)</f>
        <v>#REF!</v>
      </c>
      <c r="AE3" s="92" t="e">
        <f>COUNTIFS(#REF!,CALCULATION[[#This Row],[PACK]],GLOBAL_DATA_01[Status],"&lt;&gt;"&amp;Status_No_Project)</f>
        <v>#REF!</v>
      </c>
      <c r="AF3" s="100" t="e">
        <f>COUNTIFS(#REF!,CALCULATION[[#This Row],[PACK]],GLOBAL_DATA_01[Priority],"P0",GLOBAL_DATA_01[Target status],DATA!$I$12)</f>
        <v>#REF!</v>
      </c>
      <c r="AG3" s="100" t="e">
        <f>COUNTIFS(#REF!,CALCULATION[[#This Row],[PACK]],GLOBAL_DATA_01[Priority],"P1",GLOBAL_DATA_01[Target status],DATA!$I$12)</f>
        <v>#REF!</v>
      </c>
      <c r="AH3" s="100" t="e">
        <f>COUNTIFS(#REF!,CALCULATION[[#This Row],[PACK]],GLOBAL_DATA_01[Priority],"&gt;P1",GLOBAL_DATA_01[Target status],DATA!$I$12)</f>
        <v>#REF!</v>
      </c>
      <c r="AI3" s="88" t="e">
        <f>COUNTIFS(#REF!,CALCULATION[[#This Row],[PACK]],GLOBAL_DATA_01[Target status],DATA!$I$12)</f>
        <v>#REF!</v>
      </c>
      <c r="AJ3" s="88" t="e">
        <f>COUNTIFS(#REF!,CALCULATION[[#This Row],[PACK]],GLOBAL_DATA_01[Target status],DATA!I13,GLOBAL_DATA_01[Priority],"P0")</f>
        <v>#REF!</v>
      </c>
      <c r="AK3" s="88" t="e">
        <f>COUNTIFS(#REF!,CALCULATION[[#This Row],[PACK]],GLOBAL_DATA_01[Target status],DATA!I13,GLOBAL_DATA_01[Priority],"P1")</f>
        <v>#REF!</v>
      </c>
      <c r="AL3" s="88" t="e">
        <f>COUNTIFS(#REF!,CALCULATION[[#This Row],[PACK]],GLOBAL_DATA_01[Target status],DATA!I13,GLOBAL_DATA_01[Priority],"&gt;P1")</f>
        <v>#REF!</v>
      </c>
      <c r="AM3" s="85" t="e">
        <f>COUNTIFS(#REF!,CALCULATION[[#This Row],[PACK]],GLOBAL_DATA_01[Target status],CALCULATION[[#Headers],[PARTIAL IMPLEMENTATION + RA]])</f>
        <v>#REF!</v>
      </c>
      <c r="AN3" s="104">
        <f>1-CALCULATION[[#This Row],[IN SCOPE %]]</f>
        <v>1</v>
      </c>
      <c r="AO3" s="85" t="e">
        <f>COUNTIFS(#REF!,CALCULATION[[#This Row],[PACK]],GLOBAL_DATA_01[Target status],CALCULATION[[#Headers],[FULL IMPLEMENTATION]])</f>
        <v>#REF!</v>
      </c>
      <c r="AP3" s="85" t="e">
        <f>COUNTIFS(#REF!,CALCULATION[[#This Row],[PACK]],GLOBAL_DATA_01[Target status],CALCULATION[[#Headers],[NOT APPLICABLE]])</f>
        <v>#REF!</v>
      </c>
      <c r="AQ3" s="102" t="e">
        <f>COUNTIFS(#REF!,CALCULATION[[#This Row],[PACK]],GLOBAL_DATA_01[Priority],"P0",GLOBAL_DATA_01[Target status],DATA!$I$13)+COUNTIFS(#REF!,CALCULATION[[#This Row],[PACK]],GLOBAL_DATA_01[Priority],"P0",GLOBAL_DATA_01[Target status],DATA!$I$14)-CALCULATION[[#This Row],[COMPLETED P0]]</f>
        <v>#REF!</v>
      </c>
      <c r="AR3" s="102" t="e">
        <f>COUNTIFS(#REF!,CALCULATION[[#This Row],[PACK]],GLOBAL_DATA_01[Priority],"P1",GLOBAL_DATA_01[Target status],DATA!$I$13)+COUNTIFS(#REF!,CALCULATION[[#This Row],[PACK]],GLOBAL_DATA_01[Priority],"P1",GLOBAL_DATA_01[Target status],DATA!$I$14)-CALCULATION[[#This Row],[COMPLETED P1]]</f>
        <v>#REF!</v>
      </c>
      <c r="AS3" s="102" t="e">
        <f>COUNTIFS(#REF!,CALCULATION[[#This Row],[PACK]],GLOBAL_DATA_01[Priority],"&gt;P1",GLOBAL_DATA_01[Target status],DATA!$I$13)+COUNTIFS(#REF!,CALCULATION[[#This Row],[PACK]],GLOBAL_DATA_01[Priority],"&gt;P1",GLOBAL_DATA_01[Target status],DATA!$I$14)-CALCULATION[[#This Row],[COMPLETED P2&amp;3]]</f>
        <v>#REF!</v>
      </c>
      <c r="AT3" s="93" t="e">
        <f>CALCULATION[[#This Row],[PARTIAL IMPLEMENTATION + RA]]+CALCULATION[[#This Row],[FULL IMPLEMENTATION]]</f>
        <v>#REF!</v>
      </c>
      <c r="AU3" s="124" t="e">
        <f>CALCULATION[[#This Row],[IN PROGRESS]]+CALCULATION[[#This Row],[TO BE STARTED]]</f>
        <v>#REF!</v>
      </c>
      <c r="AV3" s="85" t="e">
        <f>COUNTIFS(#REF!,CALCULATION[[#This Row],[PACK]],GLOBAL_DATA_01[Priority],"P0",#REF!,1)</f>
        <v>#REF!</v>
      </c>
      <c r="AW3" s="85" t="e">
        <f>CALCULATION[[#This Row],[DONE P1]]+CALCULATION[[#This Row],[CHECKED CISO P1]]+CALCULATION[[#This Row],[VERIFIED P1]]</f>
        <v>#REF!</v>
      </c>
      <c r="AX3" s="85" t="e">
        <f>CALCULATION[[#This Row],[DONE P2&amp;P3]]+CALCULATION[[#This Row],[CHECKED CISO P2&amp;P3]]+CALCULATION[[#This Row],[VERIFIED P2&amp;P3]]</f>
        <v>#REF!</v>
      </c>
      <c r="AY3" s="85" t="e">
        <f>CALCULATION[[#This Row],[DONE]]+CALCULATION[[#This Row],[CHECKED CISO]]+CALCULATION[[#This Row],[VERIFIED]]</f>
        <v>#REF!</v>
      </c>
      <c r="AZ3" s="133">
        <f>IFERROR(CALCULATION[[#This Row],[COMPLETED]]/CALCULATION[[#This Row],[IN SCOPE]],0)</f>
        <v>0</v>
      </c>
      <c r="BA3" s="93" t="e">
        <f>COUNTIFS(#REF!,CALCULATION[[#This Row],[PACK]],GLOBAL_DATA_01[Target status],"&lt;&gt;"&amp;DATA!$I$15)</f>
        <v>#REF!</v>
      </c>
      <c r="BB3" s="128">
        <f>IFERROR(ROUND(SUMIFS(GLOBAL_DATA_01[Target scope],#REF!,CALCULATION[[#This Row],[PACK]],GLOBAL_DATA_01[Target status],"&lt;&gt;"&amp;DATA!$I$15)/CALCULATION[[#This Row],[IN SCOPE]],4),0)</f>
        <v>0</v>
      </c>
      <c r="BC3" s="107">
        <f>IFERROR(ROUND(CALCULATION[[#This Row],[RISK ACCEPTED (FULL MEASURE)]]/CALCULATION[[#This Row],[IN SCOPE]],4),0)</f>
        <v>0</v>
      </c>
      <c r="BD3" s="85" t="e">
        <f>IF((COUNTIFS(#REF!,CALCULATION[[#This Row],[PACK]],GLOBAL_DATA_01[CISO Comments]," ")&gt;0),(COUNTIFS(#REF!,CALCULATION[[#This Row],[PACK]],GLOBAL_DATA_01[CISO Comments],"&lt;&gt;No alert")),(COUNTIFS(#REF!,CALCULATION[[#This Row],[PACK]],GLOBAL_DATA_01[CISO Comments],"")&amp;" CISO assessment still empty"))</f>
        <v>#REF!</v>
      </c>
      <c r="BE3" s="86" t="e">
        <f>COUNTIFS(#REF!,CALCULATION[[#This Row],[PACK]],GLOBAL_DATA_01[CISO assessment],"&lt;&gt;No alert")-COUNTIFS(#REF!,CALCULATION[[#This Row],[PACK]],GLOBAL_DATA_01[CISO assessment],"")</f>
        <v>#REF!</v>
      </c>
      <c r="BF3" s="129" t="e">
        <f>COUNTIFS(#REF!,CALCULATION[[#This Row],[PACK]],GLOBAL_DATA_01[CISO assessment],"No alert")+COUNTIFS(#REF!,CALCULATION[[#This Row],[PACK]],GLOBAL_DATA_01[CISO assessment],"")</f>
        <v>#REF!</v>
      </c>
      <c r="BG3" s="109">
        <f>IFERROR(ROUND(SUMIF(#REF!,CALCULATION[[#This Row],[PACK]],GLOBAL_DATA_01[Target scope])/CALCULATION[[#This Row],[IN SCOPE]],4),0)</f>
        <v>0</v>
      </c>
      <c r="BH3" s="108">
        <f>IFERROR(ROUND(SUMIFS(#REF!,#REF!,CALCULATION[[#This Row],[PACK]],GLOBAL_DATA_01[Status],DATA!$I$6)/CALCULATION[[#This Row],[IN SCOPE]],4),0)</f>
        <v>0</v>
      </c>
      <c r="BI3" s="108">
        <f>IFERROR(ROUND(SUMIFS(#REF!,#REF!,CALCULATION[[#This Row],[PACK]],#REF!,1)/CALCULATION[[#This Row],[IN SCOPE]],4),0)-CALCULATION[[#This Row],[CURRENT IMPL DONE ]]</f>
        <v>0</v>
      </c>
      <c r="BJ3" s="108">
        <f>CALCULATION[[#This Row],[CURRENT IMPL]]-CALCULATION[[#This Row],[CURRENT IMPL DONE ]]-CALCULATION[[#This Row],[CURRENT IMPL CHECKED CISO &amp; VERIFIED]]</f>
        <v>0</v>
      </c>
      <c r="BK3" s="108">
        <f>IFERROR(ROUND(SUMIF(#REF!,CALCULATION[[#This Row],[PACK]],#REF!)/CALCULATION[[#This Row],[IN SCOPE]],4),0)</f>
        <v>0</v>
      </c>
      <c r="BL3" s="87" t="e">
        <f>COUNTIFS(#REF!,CALCULATION[[#This Row],[PACK]],GLOBAL_DATA_01[Re-estimated end],"&gt;31/12/2019",GLOBAL_DATA_01[Re-estimated end],"&lt;01/01/2021",#REF!,1)</f>
        <v>#REF!</v>
      </c>
      <c r="BM3" s="85" t="e">
        <f>COUNTIFS(#REF!,CALCULATION[[#This Row],[PACK]],GLOBAL_DATA_01[Re-estimated end],"&gt;31/12/2019",GLOBAL_DATA_01[Re-estimated end],"&lt;01/01/2021")</f>
        <v>#REF!</v>
      </c>
      <c r="BN3" s="104">
        <f>IFERROR(ROUND(SUMIFS(GLOBAL_DATA_01[Target scope],#REF!,CALCULATION[PACK],GLOBAL_DATA_01[Re-estimated end],"&gt;31/12/2019",GLOBAL_DATA_01[Re-estimated end],"&lt;01/01/2021")/CALCULATION[[#This Row],[IN SCOPE]],4),0)</f>
        <v>0</v>
      </c>
      <c r="BO3" s="85" t="e">
        <f>COUNTIFS(#REF!,CALCULATION[[#This Row],[PACK]],GLOBAL_DATA_01[Re-estimated end],"&gt;31/12/2020",GLOBAL_DATA_01[Re-estimated end],"&lt;01/01/2022",#REF!,1)</f>
        <v>#REF!</v>
      </c>
      <c r="BP3" s="85" t="e">
        <f>COUNTIFS(#REF!,CALCULATION[[#This Row],[PACK]],GLOBAL_DATA_01[Re-estimated end],"&gt;31/12/2020",GLOBAL_DATA_01[Re-estimated end],"&lt;01/01/2022")</f>
        <v>#REF!</v>
      </c>
      <c r="BQ3" s="105">
        <f>IFERROR(ROUND(SUMIFS(GLOBAL_DATA_01[Target scope],#REF!,CALCULATION[PACK],GLOBAL_DATA_01[Re-estimated end],"&gt;31/12/2020",GLOBAL_DATA_01[Re-estimated end],"&lt;01/01/2022")/CALCULATION[[#This Row],[IN SCOPE]],4),0)</f>
        <v>0</v>
      </c>
      <c r="BR3" s="85" t="e">
        <f>COUNTIFS(#REF!,CALCULATION[[#This Row],[PACK]],GLOBAL_DATA_01[Re-estimated end],"&gt;31/12/2021",#REF!,"&lt;01/01/2023",#REF!,1)</f>
        <v>#REF!</v>
      </c>
      <c r="BS3" s="85" t="e">
        <f>COUNTIFS(#REF!,CALCULATION[[#This Row],[PACK]],GLOBAL_DATA_01[Re-estimated end],"&gt;31/12/2021",GLOBAL_DATA_01[Re-estimated end],"&lt;01/01/2023")</f>
        <v>#REF!</v>
      </c>
      <c r="BT3" s="106">
        <f>IFERROR(ROUND(SUMIFS(GLOBAL_DATA_01[Target scope],#REF!,CALCULATION[PACK],GLOBAL_DATA_01[Re-estimated end],"&gt;31/12/2021",GLOBAL_DATA_01[Re-estimated end],"&lt;01/01/2023")/CALCULATION[[#This Row],[IN SCOPE]],4),0)</f>
        <v>0</v>
      </c>
      <c r="BU3" s="106">
        <f>CALCULATION[[#This Row],[% 2020 COMMITTED]]+CALCULATION[[#This Row],[% 2021 COMMITTED]]+CALCULATION[[#This Row],[% 2022 COMMITTED]]</f>
        <v>0</v>
      </c>
      <c r="BV3" s="112">
        <f t="shared" ref="BV3:BV11" si="0">BK3</f>
        <v>0</v>
      </c>
      <c r="BW3" s="108">
        <f>CALCULATION[[#This Row],[% 2020 COMMITTED]]+CALCULATION[[#This Row],[% 2021 COMMITTED]]+CALCULATION[[#This Row],[% 2022 COMMITTED]]-CALCULATION[[#This Row],[CURRENT IMPL]]</f>
        <v>0</v>
      </c>
      <c r="BY3" s="114"/>
    </row>
    <row r="4" spans="1:77" x14ac:dyDescent="0.25">
      <c r="A4" s="88" t="s">
        <v>3</v>
      </c>
      <c r="B4" s="115">
        <v>1</v>
      </c>
      <c r="C4" s="115">
        <v>0.15</v>
      </c>
      <c r="D4" s="88" t="e">
        <f>COUNTIFS(#REF!,CALCULATION[[#This Row],[PACK]],GLOBAL_DATA_01[Priority],"P0",GLOBAL_DATA_01[Status],Status_No_Project)</f>
        <v>#REF!</v>
      </c>
      <c r="E4" s="88" t="e">
        <f>COUNTIFS(#REF!,CALCULATION[[#This Row],[PACK]],GLOBAL_DATA_01[Priority],"P1",GLOBAL_DATA_01[Status],Status_No_Project)</f>
        <v>#REF!</v>
      </c>
      <c r="F4" s="88" t="e">
        <f>COUNTIFS(#REF!,CALCULATION[[#This Row],[PACK]],GLOBAL_DATA_01[Priority],"&gt;=P2",GLOBAL_DATA_01[Status],Status_No_Project)</f>
        <v>#REF!</v>
      </c>
      <c r="G4" s="88" t="e">
        <f>COUNTIFS(#REF!,CALCULATION[[#This Row],[PACK]],GLOBAL_DATA_01[Status],CALCULATION[[#Headers],[NO PROJECT]])</f>
        <v>#REF!</v>
      </c>
      <c r="H4" s="88" t="e">
        <f>COUNTIFS(#REF!,CALCULATION[[#This Row],[PACK]],GLOBAL_DATA_01[Priority],"P0",GLOBAL_DATA_01[Status],DATA!$I$4)</f>
        <v>#REF!</v>
      </c>
      <c r="I4" s="88" t="e">
        <f>COUNTIFS(#REF!,CALCULATION[[#This Row],[PACK]],GLOBAL_DATA_01[Priority],"P1",GLOBAL_DATA_01[Status],DATA!$I$4)</f>
        <v>#REF!</v>
      </c>
      <c r="J4" s="88" t="e">
        <f>COUNTIFS(#REF!,CALCULATION[[#This Row],[PACK]],GLOBAL_DATA_01[Priority],"&gt;=P2",GLOBAL_DATA_01[Status],DATA!$I$4)</f>
        <v>#REF!</v>
      </c>
      <c r="K4" s="88" t="e">
        <f>COUNTIFS(#REF!,CALCULATION[[#This Row],[PACK]],GLOBAL_DATA_01[Status],CALCULATION[[#Headers],[TO BE STARTED]])</f>
        <v>#REF!</v>
      </c>
      <c r="L4" s="88" t="e">
        <f>COUNTIFS(#REF!,CALCULATION[[#This Row],[PACK]],GLOBAL_DATA_01[Priority],"P0",GLOBAL_DATA_01[Status],"IN PROGRESS")</f>
        <v>#REF!</v>
      </c>
      <c r="M4" s="88" t="e">
        <f>COUNTIFS(#REF!,CALCULATION[[#This Row],[PACK]],GLOBAL_DATA_01[Priority],"P1",GLOBAL_DATA_01[Status],DATA!$I$5)</f>
        <v>#REF!</v>
      </c>
      <c r="N4" s="88" t="e">
        <f>COUNTIFS(#REF!,CALCULATION[[#This Row],[PACK]],GLOBAL_DATA_01[Priority],"&gt;=P2",GLOBAL_DATA_01[Status],DATA!$I$5)</f>
        <v>#REF!</v>
      </c>
      <c r="O4" s="88" t="e">
        <f>COUNTIFS(#REF!,CALCULATION[[#This Row],[PACK]],GLOBAL_DATA_01[Status],CALCULATION[[#Headers],[IN PROGRESS]])</f>
        <v>#REF!</v>
      </c>
      <c r="P4" s="88" t="e">
        <f>COUNTIFS(#REF!,CALCULATION[[#This Row],[PACK]],GLOBAL_DATA_01[Priority],"P0",GLOBAL_DATA_01[Status],DATA!$I$6)</f>
        <v>#REF!</v>
      </c>
      <c r="Q4" s="88" t="e">
        <f>COUNTIFS(#REF!,CALCULATION[[#This Row],[PACK]],GLOBAL_DATA_01[Priority],"P1",GLOBAL_DATA_01[Status],DATA!$I$6)</f>
        <v>#REF!</v>
      </c>
      <c r="R4" s="88" t="e">
        <f>COUNTIFS(#REF!,CALCULATION[[#This Row],[PACK]],GLOBAL_DATA_01[Priority],"&gt;=P2",GLOBAL_DATA_01[Status],DATA!$I$6)</f>
        <v>#REF!</v>
      </c>
      <c r="S4" s="88" t="e">
        <f>COUNTIFS(#REF!,CALCULATION[[#This Row],[PACK]],GLOBAL_DATA_01[Status],CALCULATION[[#Headers],[DONE]])</f>
        <v>#REF!</v>
      </c>
      <c r="T4" s="88" t="e">
        <f>COUNTIFS(#REF!,CALCULATION[[#This Row],[PACK]],GLOBAL_DATA_01[Priority],"P0",GLOBAL_DATA_01[Status],DATA!$I$7)</f>
        <v>#REF!</v>
      </c>
      <c r="U4" s="88" t="e">
        <f>COUNTIFS(#REF!,CALCULATION[[#This Row],[PACK]],GLOBAL_DATA_01[Priority],"P1",GLOBAL_DATA_01[Status],DATA!$I$7)</f>
        <v>#REF!</v>
      </c>
      <c r="V4" s="88" t="e">
        <f>COUNTIFS(#REF!,CALCULATION[[#This Row],[PACK]],GLOBAL_DATA_01[Priority],"&gt;=P2",GLOBAL_DATA_01[Status],DATA!$I$7)</f>
        <v>#REF!</v>
      </c>
      <c r="W4" s="88" t="e">
        <f>COUNTIFS(#REF!,CALCULATION[[#This Row],[PACK]],GLOBAL_DATA_01[Status],CALCULATION[[#Headers],[CHECKED CISO]])</f>
        <v>#REF!</v>
      </c>
      <c r="X4" s="88" t="e">
        <f>COUNTIFS(#REF!,CALCULATION[[#This Row],[PACK]],GLOBAL_DATA_01[Priority],"P0",GLOBAL_DATA_01[Status],DATA!$I$8)</f>
        <v>#REF!</v>
      </c>
      <c r="Y4" s="88" t="e">
        <f>COUNTIFS(#REF!,CALCULATION[[#This Row],[PACK]],GLOBAL_DATA_01[Priority],"P1",GLOBAL_DATA_01[Status],DATA!$I$8)</f>
        <v>#REF!</v>
      </c>
      <c r="Z4" s="88" t="e">
        <f>COUNTIFS(#REF!,CALCULATION[[#This Row],[PACK]],GLOBAL_DATA_01[Priority],"&gt;=P2",GLOBAL_DATA_01[Status],DATA!$I$8)</f>
        <v>#REF!</v>
      </c>
      <c r="AA4" s="88" t="e">
        <f>COUNTIFS(#REF!,CALCULATION[[#This Row],[PACK]],GLOBAL_DATA_01[Status],CALCULATION[[#Headers],[VERIFIED]])</f>
        <v>#REF!</v>
      </c>
      <c r="AB4" s="88" t="e">
        <f>COUNTIFS(#REF!,CALCULATION[[#This Row],[PACK]],GLOBAL_DATA_01[Priority],"P0",GLOBAL_DATA_01[Status],"&lt;&gt;"&amp;Status_No_Project)</f>
        <v>#REF!</v>
      </c>
      <c r="AC4" s="88" t="e">
        <f>COUNTIFS(#REF!,CALCULATION[[#This Row],[PACK]],GLOBAL_DATA_01[Priority],"P1",GLOBAL_DATA_01[Status],"&lt;&gt;"&amp;Status_No_Project)</f>
        <v>#REF!</v>
      </c>
      <c r="AD4" s="88" t="e">
        <f>COUNTIFS(#REF!,CALCULATION[[#This Row],[PACK]],GLOBAL_DATA_01[Priority],"&gt;=P2",GLOBAL_DATA_01[Status],"&lt;&gt;NO PROJECT")</f>
        <v>#REF!</v>
      </c>
      <c r="AE4" s="92" t="e">
        <f>COUNTIFS(#REF!,CALCULATION[[#This Row],[PACK]],GLOBAL_DATA_01[Status],"&lt;&gt;"&amp;Status_No_Project)</f>
        <v>#REF!</v>
      </c>
      <c r="AF4" s="100" t="e">
        <f>COUNTIFS(#REF!,CALCULATION[[#This Row],[PACK]],GLOBAL_DATA_01[Priority],"P0",GLOBAL_DATA_01[Target status],DATA!$I$12)</f>
        <v>#REF!</v>
      </c>
      <c r="AG4" s="100" t="e">
        <f>COUNTIFS(#REF!,CALCULATION[[#This Row],[PACK]],GLOBAL_DATA_01[Priority],"P1",GLOBAL_DATA_01[Target status],DATA!$I$12)</f>
        <v>#REF!</v>
      </c>
      <c r="AH4" s="100" t="e">
        <f>COUNTIFS(#REF!,CALCULATION[[#This Row],[PACK]],GLOBAL_DATA_01[Priority],"&gt;P1",GLOBAL_DATA_01[Target status],DATA!$I$12)</f>
        <v>#REF!</v>
      </c>
      <c r="AI4" s="88" t="e">
        <f>COUNTIFS(#REF!,CALCULATION[[#This Row],[PACK]],GLOBAL_DATA_01[Target status],DATA!$I$12)</f>
        <v>#REF!</v>
      </c>
      <c r="AJ4" s="88" t="e">
        <f>COUNTIFS(#REF!,CALCULATION[[#This Row],[PACK]],GLOBAL_DATA_01[Target status],DATA!I14,GLOBAL_DATA_01[Priority],"P0")</f>
        <v>#REF!</v>
      </c>
      <c r="AK4" s="88" t="e">
        <f>COUNTIFS(#REF!,CALCULATION[[#This Row],[PACK]],GLOBAL_DATA_01[Target status],DATA!I14,GLOBAL_DATA_01[Priority],"P1")</f>
        <v>#REF!</v>
      </c>
      <c r="AL4" s="88" t="e">
        <f>COUNTIFS(#REF!,CALCULATION[[#This Row],[PACK]],GLOBAL_DATA_01[Target status],DATA!I14,GLOBAL_DATA_01[Priority],"&gt;P1")</f>
        <v>#REF!</v>
      </c>
      <c r="AM4" s="85" t="e">
        <f>COUNTIFS(#REF!,CALCULATION[[#This Row],[PACK]],GLOBAL_DATA_01[Target status],CALCULATION[[#Headers],[PARTIAL IMPLEMENTATION + RA]])</f>
        <v>#REF!</v>
      </c>
      <c r="AN4" s="104">
        <f>1-CALCULATION[[#This Row],[IN SCOPE %]]</f>
        <v>1</v>
      </c>
      <c r="AO4" s="85" t="e">
        <f>COUNTIFS(#REF!,CALCULATION[[#This Row],[PACK]],GLOBAL_DATA_01[Target status],CALCULATION[[#Headers],[FULL IMPLEMENTATION]])</f>
        <v>#REF!</v>
      </c>
      <c r="AP4" s="87" t="e">
        <f>COUNTIFS(#REF!,CALCULATION[[#This Row],[PACK]],GLOBAL_DATA_01[Target status],CALCULATION[[#Headers],[NOT APPLICABLE]])</f>
        <v>#REF!</v>
      </c>
      <c r="AQ4" s="102" t="e">
        <f>COUNTIFS(#REF!,CALCULATION[[#This Row],[PACK]],GLOBAL_DATA_01[Priority],"P0",GLOBAL_DATA_01[Target status],DATA!$I$13)+COUNTIFS(#REF!,CALCULATION[[#This Row],[PACK]],GLOBAL_DATA_01[Priority],"P0",GLOBAL_DATA_01[Target status],DATA!$I$14)-CALCULATION[[#This Row],[COMPLETED P0]]</f>
        <v>#REF!</v>
      </c>
      <c r="AR4" s="103" t="e">
        <f>COUNTIFS(#REF!,CALCULATION[[#This Row],[PACK]],GLOBAL_DATA_01[Priority],"P1",GLOBAL_DATA_01[Target status],DATA!$I$13)+COUNTIFS(#REF!,CALCULATION[[#This Row],[PACK]],GLOBAL_DATA_01[Priority],"P1",GLOBAL_DATA_01[Target status],DATA!$I$14)-CALCULATION[[#This Row],[COMPLETED P1]]</f>
        <v>#REF!</v>
      </c>
      <c r="AS4" s="103" t="e">
        <f>COUNTIFS(#REF!,CALCULATION[[#This Row],[PACK]],GLOBAL_DATA_01[Priority],"&gt;P1",GLOBAL_DATA_01[Target status],DATA!$I$13)+COUNTIFS(#REF!,CALCULATION[[#This Row],[PACK]],GLOBAL_DATA_01[Priority],"&gt;P1",GLOBAL_DATA_01[Target status],DATA!$I$14)-CALCULATION[[#This Row],[COMPLETED P2&amp;3]]</f>
        <v>#REF!</v>
      </c>
      <c r="AT4" s="93" t="e">
        <f>CALCULATION[[#This Row],[PARTIAL IMPLEMENTATION + RA]]+CALCULATION[[#This Row],[FULL IMPLEMENTATION]]</f>
        <v>#REF!</v>
      </c>
      <c r="AU4" s="124" t="e">
        <f>CALCULATION[[#This Row],[IN PROGRESS]]+CALCULATION[[#This Row],[TO BE STARTED]]</f>
        <v>#REF!</v>
      </c>
      <c r="AV4" s="99" t="e">
        <f>COUNTIFS(#REF!,CALCULATION[[#This Row],[PACK]],GLOBAL_DATA_01[Priority],"P0",#REF!,1)</f>
        <v>#REF!</v>
      </c>
      <c r="AW4" s="85" t="e">
        <f>CALCULATION[[#This Row],[DONE P1]]+CALCULATION[[#This Row],[CHECKED CISO P1]]+CALCULATION[[#This Row],[VERIFIED P1]]</f>
        <v>#REF!</v>
      </c>
      <c r="AX4" s="99" t="e">
        <f>CALCULATION[[#This Row],[DONE P2&amp;P3]]+CALCULATION[[#This Row],[CHECKED CISO P2&amp;P3]]+CALCULATION[[#This Row],[VERIFIED P2&amp;P3]]</f>
        <v>#REF!</v>
      </c>
      <c r="AY4" s="85" t="e">
        <f>CALCULATION[[#This Row],[DONE]]+CALCULATION[[#This Row],[CHECKED CISO]]+CALCULATION[[#This Row],[VERIFIED]]</f>
        <v>#REF!</v>
      </c>
      <c r="AZ4" s="133">
        <f>IFERROR(CALCULATION[[#This Row],[COMPLETED]]/CALCULATION[[#This Row],[IN SCOPE]],0)</f>
        <v>0</v>
      </c>
      <c r="BA4" s="93" t="e">
        <f>COUNTIFS(#REF!,CALCULATION[[#This Row],[PACK]],GLOBAL_DATA_01[Target status],"&lt;&gt;"&amp;DATA!$I$15)</f>
        <v>#REF!</v>
      </c>
      <c r="BB4" s="128">
        <f>IFERROR(ROUND(SUMIFS(GLOBAL_DATA_01[Target scope],#REF!,CALCULATION[[#This Row],[PACK]],GLOBAL_DATA_01[Target status],"&lt;&gt;"&amp;DATA!$I$15)/CALCULATION[[#This Row],[IN SCOPE]],4),0)</f>
        <v>0</v>
      </c>
      <c r="BC4" s="107">
        <f>IFERROR(ROUND(CALCULATION[[#This Row],[RISK ACCEPTED (FULL MEASURE)]]/CALCULATION[[#This Row],[IN SCOPE]],4),0)</f>
        <v>0</v>
      </c>
      <c r="BD4" s="85" t="e">
        <f>IF((COUNTIFS(#REF!,CALCULATION[[#This Row],[PACK]],GLOBAL_DATA_01[CISO Comments]," ")&gt;0),(COUNTIFS(#REF!,CALCULATION[[#This Row],[PACK]],GLOBAL_DATA_01[CISO Comments],"&lt;&gt;No alert")),(COUNTIFS(#REF!,CALCULATION[[#This Row],[PACK]],GLOBAL_DATA_01[CISO Comments],"")&amp;" CISO assessment still empty"))</f>
        <v>#REF!</v>
      </c>
      <c r="BE4" s="86" t="e">
        <f>COUNTIFS(#REF!,CALCULATION[[#This Row],[PACK]],GLOBAL_DATA_01[CISO assessment],"&lt;&gt;No alert")-COUNTIFS(#REF!,CALCULATION[[#This Row],[PACK]],GLOBAL_DATA_01[CISO assessment],"")</f>
        <v>#REF!</v>
      </c>
      <c r="BF4" s="119" t="e">
        <f>COUNTIFS(#REF!,CALCULATION[[#This Row],[PACK]],GLOBAL_DATA_01[CISO assessment],"No alert")+COUNTIFS(#REF!,CALCULATION[[#This Row],[PACK]],GLOBAL_DATA_01[CISO assessment],"")</f>
        <v>#REF!</v>
      </c>
      <c r="BG4" s="110">
        <f>IFERROR(ROUND(SUMIF(#REF!,CALCULATION[[#This Row],[PACK]],GLOBAL_DATA_01[Target scope])/CALCULATION[[#This Row],[IN SCOPE]],4),0)</f>
        <v>0</v>
      </c>
      <c r="BH4" s="108">
        <f>IFERROR(ROUND(SUMIFS(#REF!,#REF!,CALCULATION[[#This Row],[PACK]],GLOBAL_DATA_01[Status],DATA!$I$6)/CALCULATION[[#This Row],[IN SCOPE]],4),0)</f>
        <v>0</v>
      </c>
      <c r="BI4" s="108">
        <f>IFERROR(ROUND(SUMIFS(#REF!,#REF!,CALCULATION[[#This Row],[PACK]],#REF!,1)/CALCULATION[[#This Row],[IN SCOPE]],4),0)-CALCULATION[[#This Row],[CURRENT IMPL DONE ]]</f>
        <v>0</v>
      </c>
      <c r="BJ4" s="108">
        <f>CALCULATION[[#This Row],[CURRENT IMPL]]-CALCULATION[[#This Row],[CURRENT IMPL DONE ]]-CALCULATION[[#This Row],[CURRENT IMPL CHECKED CISO &amp; VERIFIED]]</f>
        <v>0</v>
      </c>
      <c r="BK4" s="108">
        <f>IFERROR(ROUND(SUMIF(#REF!,CALCULATION[[#This Row],[PACK]],#REF!)/CALCULATION[[#This Row],[IN SCOPE]],4),0)</f>
        <v>0</v>
      </c>
      <c r="BL4" s="87" t="e">
        <f>COUNTIFS(#REF!,CALCULATION[[#This Row],[PACK]],GLOBAL_DATA_01[Re-estimated end],"&gt;31/12/2019",GLOBAL_DATA_01[Re-estimated end],"&lt;01/01/2021",#REF!,1)</f>
        <v>#REF!</v>
      </c>
      <c r="BM4" s="85" t="e">
        <f>COUNTIFS(#REF!,CALCULATION[[#This Row],[PACK]],GLOBAL_DATA_01[Re-estimated end],"&gt;31/12/2019",GLOBAL_DATA_01[Re-estimated end],"&lt;01/01/2021")</f>
        <v>#REF!</v>
      </c>
      <c r="BN4" s="105">
        <f>IFERROR(ROUND(SUMIFS(GLOBAL_DATA_01[Target scope],#REF!,CALCULATION[PACK],GLOBAL_DATA_01[Re-estimated end],"&gt;31/12/2019",GLOBAL_DATA_01[Re-estimated end],"&lt;01/01/2021")/CALCULATION[[#This Row],[IN SCOPE]],4),0)</f>
        <v>0</v>
      </c>
      <c r="BO4" s="85" t="e">
        <f>COUNTIFS(#REF!,CALCULATION[[#This Row],[PACK]],GLOBAL_DATA_01[Re-estimated end],"&gt;31/12/2020",GLOBAL_DATA_01[Re-estimated end],"&lt;01/01/2022",#REF!,1)</f>
        <v>#REF!</v>
      </c>
      <c r="BP4" s="85" t="e">
        <f>COUNTIFS(#REF!,CALCULATION[[#This Row],[PACK]],GLOBAL_DATA_01[Re-estimated end],"&gt;31/12/2020",GLOBAL_DATA_01[Re-estimated end],"&lt;01/01/2022")</f>
        <v>#REF!</v>
      </c>
      <c r="BQ4" s="105">
        <f>IFERROR(ROUND(SUMIFS(GLOBAL_DATA_01[Target scope],#REF!,CALCULATION[PACK],GLOBAL_DATA_01[Re-estimated end],"&gt;31/12/2020",GLOBAL_DATA_01[Re-estimated end],"&lt;01/01/2022")/CALCULATION[[#This Row],[IN SCOPE]],4),0)</f>
        <v>0</v>
      </c>
      <c r="BR4" s="85" t="e">
        <f>COUNTIFS(#REF!,CALCULATION[[#This Row],[PACK]],GLOBAL_DATA_01[Re-estimated end],"&gt;31/12/2021",#REF!,"&lt;01/01/2023",#REF!,1)</f>
        <v>#REF!</v>
      </c>
      <c r="BS4" s="85" t="e">
        <f>COUNTIFS(#REF!,CALCULATION[[#This Row],[PACK]],GLOBAL_DATA_01[Re-estimated end],"&gt;31/12/2021",GLOBAL_DATA_01[Re-estimated end],"&lt;01/01/2023")</f>
        <v>#REF!</v>
      </c>
      <c r="BT4" s="106">
        <f>IFERROR(ROUND(SUMIFS(GLOBAL_DATA_01[Target scope],#REF!,CALCULATION[PACK],GLOBAL_DATA_01[Re-estimated end],"&gt;31/12/2021",GLOBAL_DATA_01[Re-estimated end],"&lt;01/01/2023")/CALCULATION[[#This Row],[IN SCOPE]],4),0)</f>
        <v>0</v>
      </c>
      <c r="BU4" s="106">
        <f>CALCULATION[[#This Row],[% 2020 COMMITTED]]+CALCULATION[[#This Row],[% 2021 COMMITTED]]+CALCULATION[[#This Row],[% 2022 COMMITTED]]</f>
        <v>0</v>
      </c>
      <c r="BV4" s="113">
        <f t="shared" si="0"/>
        <v>0</v>
      </c>
      <c r="BW4" s="107">
        <f>CALCULATION[[#This Row],[% 2020 COMMITTED]]+CALCULATION[[#This Row],[% 2021 COMMITTED]]+CALCULATION[[#This Row],[% 2022 COMMITTED]]-CALCULATION[[#This Row],[CURRENT IMPL]]</f>
        <v>0</v>
      </c>
    </row>
    <row r="5" spans="1:77" x14ac:dyDescent="0.25">
      <c r="A5" s="88" t="s">
        <v>4</v>
      </c>
      <c r="B5" s="115">
        <v>1</v>
      </c>
      <c r="C5" s="115">
        <v>0.1</v>
      </c>
      <c r="D5" s="88" t="e">
        <f>COUNTIFS(#REF!,CALCULATION[[#This Row],[PACK]],GLOBAL_DATA_01[Priority],"P0",GLOBAL_DATA_01[Status],Status_No_Project)</f>
        <v>#REF!</v>
      </c>
      <c r="E5" s="88" t="e">
        <f>COUNTIFS(#REF!,CALCULATION[[#This Row],[PACK]],GLOBAL_DATA_01[Priority],"P1",GLOBAL_DATA_01[Status],Status_No_Project)</f>
        <v>#REF!</v>
      </c>
      <c r="F5" s="88" t="e">
        <f>COUNTIFS(#REF!,CALCULATION[[#This Row],[PACK]],GLOBAL_DATA_01[Priority],"&gt;=P2",GLOBAL_DATA_01[Status],Status_No_Project)</f>
        <v>#REF!</v>
      </c>
      <c r="G5" s="88" t="e">
        <f>COUNTIFS(#REF!,CALCULATION[[#This Row],[PACK]],GLOBAL_DATA_01[Status],CALCULATION[[#Headers],[NO PROJECT]])</f>
        <v>#REF!</v>
      </c>
      <c r="H5" s="88" t="e">
        <f>COUNTIFS(#REF!,CALCULATION[[#This Row],[PACK]],GLOBAL_DATA_01[Priority],"P0",GLOBAL_DATA_01[Status],DATA!$I$4)</f>
        <v>#REF!</v>
      </c>
      <c r="I5" s="88" t="e">
        <f>COUNTIFS(#REF!,CALCULATION[[#This Row],[PACK]],GLOBAL_DATA_01[Priority],"P1",GLOBAL_DATA_01[Status],DATA!$I$4)</f>
        <v>#REF!</v>
      </c>
      <c r="J5" s="88" t="e">
        <f>COUNTIFS(#REF!,CALCULATION[[#This Row],[PACK]],GLOBAL_DATA_01[Priority],"&gt;=P2",GLOBAL_DATA_01[Status],DATA!$I$4)</f>
        <v>#REF!</v>
      </c>
      <c r="K5" s="88" t="e">
        <f>COUNTIFS(#REF!,CALCULATION[[#This Row],[PACK]],GLOBAL_DATA_01[Status],CALCULATION[[#Headers],[TO BE STARTED]])</f>
        <v>#REF!</v>
      </c>
      <c r="L5" s="88" t="e">
        <f>COUNTIFS(#REF!,CALCULATION[[#This Row],[PACK]],GLOBAL_DATA_01[Priority],"P0",GLOBAL_DATA_01[Status],"IN PROGRESS")</f>
        <v>#REF!</v>
      </c>
      <c r="M5" s="88" t="e">
        <f>COUNTIFS(#REF!,CALCULATION[[#This Row],[PACK]],GLOBAL_DATA_01[Priority],"P1",GLOBAL_DATA_01[Status],DATA!$I$5)</f>
        <v>#REF!</v>
      </c>
      <c r="N5" s="88" t="e">
        <f>COUNTIFS(#REF!,CALCULATION[[#This Row],[PACK]],GLOBAL_DATA_01[Priority],"&gt;=P2",GLOBAL_DATA_01[Status],DATA!$I$5)</f>
        <v>#REF!</v>
      </c>
      <c r="O5" s="88" t="e">
        <f>COUNTIFS(#REF!,CALCULATION[[#This Row],[PACK]],GLOBAL_DATA_01[Status],CALCULATION[[#Headers],[IN PROGRESS]])</f>
        <v>#REF!</v>
      </c>
      <c r="P5" s="88" t="e">
        <f>COUNTIFS(#REF!,CALCULATION[[#This Row],[PACK]],GLOBAL_DATA_01[Priority],"P0",GLOBAL_DATA_01[Status],DATA!$I$6)</f>
        <v>#REF!</v>
      </c>
      <c r="Q5" s="88" t="e">
        <f>COUNTIFS(#REF!,CALCULATION[[#This Row],[PACK]],GLOBAL_DATA_01[Priority],"P1",GLOBAL_DATA_01[Status],DATA!$I$6)</f>
        <v>#REF!</v>
      </c>
      <c r="R5" s="88" t="e">
        <f>COUNTIFS(#REF!,CALCULATION[[#This Row],[PACK]],GLOBAL_DATA_01[Priority],"&gt;=P2",GLOBAL_DATA_01[Status],DATA!$I$6)</f>
        <v>#REF!</v>
      </c>
      <c r="S5" s="88" t="e">
        <f>COUNTIFS(#REF!,CALCULATION[[#This Row],[PACK]],GLOBAL_DATA_01[Status],CALCULATION[[#Headers],[DONE]])</f>
        <v>#REF!</v>
      </c>
      <c r="T5" s="88" t="e">
        <f>COUNTIFS(#REF!,CALCULATION[[#This Row],[PACK]],GLOBAL_DATA_01[Priority],"P0",GLOBAL_DATA_01[Status],DATA!$I$7)</f>
        <v>#REF!</v>
      </c>
      <c r="U5" s="88" t="e">
        <f>COUNTIFS(#REF!,CALCULATION[[#This Row],[PACK]],GLOBAL_DATA_01[Priority],"P1",GLOBAL_DATA_01[Status],DATA!$I$7)</f>
        <v>#REF!</v>
      </c>
      <c r="V5" s="88" t="e">
        <f>COUNTIFS(#REF!,CALCULATION[[#This Row],[PACK]],GLOBAL_DATA_01[Priority],"&gt;=P2",GLOBAL_DATA_01[Status],DATA!$I$7)</f>
        <v>#REF!</v>
      </c>
      <c r="W5" s="88" t="e">
        <f>COUNTIFS(#REF!,CALCULATION[[#This Row],[PACK]],GLOBAL_DATA_01[Status],CALCULATION[[#Headers],[CHECKED CISO]])</f>
        <v>#REF!</v>
      </c>
      <c r="X5" s="88" t="e">
        <f>COUNTIFS(#REF!,CALCULATION[[#This Row],[PACK]],GLOBAL_DATA_01[Priority],"P0",GLOBAL_DATA_01[Status],DATA!$I$8)</f>
        <v>#REF!</v>
      </c>
      <c r="Y5" s="88" t="e">
        <f>COUNTIFS(#REF!,CALCULATION[[#This Row],[PACK]],GLOBAL_DATA_01[Priority],"P1",GLOBAL_DATA_01[Status],DATA!$I$8)</f>
        <v>#REF!</v>
      </c>
      <c r="Z5" s="88" t="e">
        <f>COUNTIFS(#REF!,CALCULATION[[#This Row],[PACK]],GLOBAL_DATA_01[Priority],"&gt;=P2",GLOBAL_DATA_01[Status],DATA!$I$8)</f>
        <v>#REF!</v>
      </c>
      <c r="AA5" s="88" t="e">
        <f>COUNTIFS(#REF!,CALCULATION[[#This Row],[PACK]],GLOBAL_DATA_01[Status],CALCULATION[[#Headers],[VERIFIED]])</f>
        <v>#REF!</v>
      </c>
      <c r="AB5" s="88" t="e">
        <f>COUNTIFS(#REF!,CALCULATION[[#This Row],[PACK]],GLOBAL_DATA_01[Priority],"P0",GLOBAL_DATA_01[Status],"&lt;&gt;"&amp;Status_No_Project)</f>
        <v>#REF!</v>
      </c>
      <c r="AC5" s="88" t="e">
        <f>COUNTIFS(#REF!,CALCULATION[[#This Row],[PACK]],GLOBAL_DATA_01[Priority],"P1",GLOBAL_DATA_01[Status],"&lt;&gt;"&amp;Status_No_Project)</f>
        <v>#REF!</v>
      </c>
      <c r="AD5" s="88" t="e">
        <f>COUNTIFS(#REF!,CALCULATION[[#This Row],[PACK]],GLOBAL_DATA_01[Priority],"&gt;=P2",GLOBAL_DATA_01[Status],"&lt;&gt;NO PROJECT")</f>
        <v>#REF!</v>
      </c>
      <c r="AE5" s="92" t="e">
        <f>COUNTIFS(#REF!,CALCULATION[[#This Row],[PACK]],GLOBAL_DATA_01[Status],"&lt;&gt;"&amp;Status_No_Project)</f>
        <v>#REF!</v>
      </c>
      <c r="AF5" s="100" t="e">
        <f>COUNTIFS(#REF!,CALCULATION[[#This Row],[PACK]],GLOBAL_DATA_01[Priority],"P0",GLOBAL_DATA_01[Target status],DATA!$I$12)</f>
        <v>#REF!</v>
      </c>
      <c r="AG5" s="100" t="e">
        <f>COUNTIFS(#REF!,CALCULATION[[#This Row],[PACK]],GLOBAL_DATA_01[Priority],"P1",GLOBAL_DATA_01[Target status],DATA!$I$12)</f>
        <v>#REF!</v>
      </c>
      <c r="AH5" s="100" t="e">
        <f>COUNTIFS(#REF!,CALCULATION[[#This Row],[PACK]],GLOBAL_DATA_01[Priority],"&gt;P1",GLOBAL_DATA_01[Target status],DATA!$I$12)</f>
        <v>#REF!</v>
      </c>
      <c r="AI5" s="88" t="e">
        <f>COUNTIFS(#REF!,CALCULATION[[#This Row],[PACK]],GLOBAL_DATA_01[Target status],DATA!$I$12)</f>
        <v>#REF!</v>
      </c>
      <c r="AJ5" s="88" t="e">
        <f>COUNTIFS(#REF!,CALCULATION[[#This Row],[PACK]],GLOBAL_DATA_01[Target status],DATA!I15,GLOBAL_DATA_01[Priority],"P0")</f>
        <v>#REF!</v>
      </c>
      <c r="AK5" s="88" t="e">
        <f>COUNTIFS(#REF!,CALCULATION[[#This Row],[PACK]],GLOBAL_DATA_01[Target status],DATA!I15,GLOBAL_DATA_01[Priority],"P1")</f>
        <v>#REF!</v>
      </c>
      <c r="AL5" s="88" t="e">
        <f>COUNTIFS(#REF!,CALCULATION[[#This Row],[PACK]],GLOBAL_DATA_01[Target status],DATA!I15,GLOBAL_DATA_01[Priority],"&gt;P1")</f>
        <v>#REF!</v>
      </c>
      <c r="AM5" s="85" t="e">
        <f>COUNTIFS(#REF!,CALCULATION[[#This Row],[PACK]],GLOBAL_DATA_01[Target status],CALCULATION[[#Headers],[PARTIAL IMPLEMENTATION + RA]])</f>
        <v>#REF!</v>
      </c>
      <c r="AN5" s="104">
        <f>1-CALCULATION[[#This Row],[IN SCOPE %]]</f>
        <v>1</v>
      </c>
      <c r="AO5" s="85" t="e">
        <f>COUNTIFS(#REF!,CALCULATION[[#This Row],[PACK]],GLOBAL_DATA_01[Target status],CALCULATION[[#Headers],[FULL IMPLEMENTATION]])</f>
        <v>#REF!</v>
      </c>
      <c r="AP5" s="87" t="e">
        <f>COUNTIFS(#REF!,CALCULATION[[#This Row],[PACK]],GLOBAL_DATA_01[Target status],CALCULATION[[#Headers],[NOT APPLICABLE]])</f>
        <v>#REF!</v>
      </c>
      <c r="AQ5" s="102" t="e">
        <f>COUNTIFS(#REF!,CALCULATION[[#This Row],[PACK]],GLOBAL_DATA_01[Priority],"P0",GLOBAL_DATA_01[Target status],DATA!$I$13)+COUNTIFS(#REF!,CALCULATION[[#This Row],[PACK]],GLOBAL_DATA_01[Priority],"P0",GLOBAL_DATA_01[Target status],DATA!$I$14)-CALCULATION[[#This Row],[COMPLETED P0]]</f>
        <v>#REF!</v>
      </c>
      <c r="AR5" s="103" t="e">
        <f>COUNTIFS(#REF!,CALCULATION[[#This Row],[PACK]],GLOBAL_DATA_01[Priority],"P1",GLOBAL_DATA_01[Target status],DATA!$I$13)+COUNTIFS(#REF!,CALCULATION[[#This Row],[PACK]],GLOBAL_DATA_01[Priority],"P1",GLOBAL_DATA_01[Target status],DATA!$I$14)-CALCULATION[[#This Row],[COMPLETED P1]]</f>
        <v>#REF!</v>
      </c>
      <c r="AS5" s="103" t="e">
        <f>COUNTIFS(#REF!,CALCULATION[[#This Row],[PACK]],GLOBAL_DATA_01[Priority],"&gt;P1",GLOBAL_DATA_01[Target status],DATA!$I$13)+COUNTIFS(#REF!,CALCULATION[[#This Row],[PACK]],GLOBAL_DATA_01[Priority],"&gt;P1",GLOBAL_DATA_01[Target status],DATA!$I$14)-CALCULATION[[#This Row],[COMPLETED P2&amp;3]]</f>
        <v>#REF!</v>
      </c>
      <c r="AT5" s="93" t="e">
        <f>CALCULATION[[#This Row],[PARTIAL IMPLEMENTATION + RA]]+CALCULATION[[#This Row],[FULL IMPLEMENTATION]]</f>
        <v>#REF!</v>
      </c>
      <c r="AU5" s="124" t="e">
        <f>CALCULATION[[#This Row],[IN PROGRESS]]+CALCULATION[[#This Row],[TO BE STARTED]]</f>
        <v>#REF!</v>
      </c>
      <c r="AV5" s="99" t="e">
        <f>COUNTIFS(#REF!,CALCULATION[[#This Row],[PACK]],GLOBAL_DATA_01[Priority],"P0",#REF!,1)</f>
        <v>#REF!</v>
      </c>
      <c r="AW5" s="85" t="e">
        <f>CALCULATION[[#This Row],[DONE P1]]+CALCULATION[[#This Row],[CHECKED CISO P1]]+CALCULATION[[#This Row],[VERIFIED P1]]</f>
        <v>#REF!</v>
      </c>
      <c r="AX5" s="99" t="e">
        <f>CALCULATION[[#This Row],[DONE P2&amp;P3]]+CALCULATION[[#This Row],[CHECKED CISO P2&amp;P3]]+CALCULATION[[#This Row],[VERIFIED P2&amp;P3]]</f>
        <v>#REF!</v>
      </c>
      <c r="AY5" s="85" t="e">
        <f>CALCULATION[[#This Row],[DONE]]+CALCULATION[[#This Row],[CHECKED CISO]]+CALCULATION[[#This Row],[VERIFIED]]</f>
        <v>#REF!</v>
      </c>
      <c r="AZ5" s="133">
        <f>IFERROR(CALCULATION[[#This Row],[COMPLETED]]/CALCULATION[[#This Row],[IN SCOPE]],0)</f>
        <v>0</v>
      </c>
      <c r="BA5" s="93" t="e">
        <f>COUNTIFS(#REF!,CALCULATION[[#This Row],[PACK]],GLOBAL_DATA_01[Target status],"&lt;&gt;"&amp;DATA!$I$15)</f>
        <v>#REF!</v>
      </c>
      <c r="BB5" s="128">
        <f>IFERROR(ROUND(SUMIFS(GLOBAL_DATA_01[Target scope],#REF!,CALCULATION[[#This Row],[PACK]],GLOBAL_DATA_01[Target status],"&lt;&gt;"&amp;DATA!$I$15)/CALCULATION[[#This Row],[IN SCOPE]],4),0)</f>
        <v>0</v>
      </c>
      <c r="BC5" s="107">
        <f>IFERROR(ROUND(CALCULATION[[#This Row],[RISK ACCEPTED (FULL MEASURE)]]/CALCULATION[[#This Row],[IN SCOPE]],4),0)</f>
        <v>0</v>
      </c>
      <c r="BD5" s="85" t="e">
        <f>IF((COUNTIFS(#REF!,CALCULATION[[#This Row],[PACK]],GLOBAL_DATA_01[CISO Comments]," ")&gt;0),(COUNTIFS(#REF!,CALCULATION[[#This Row],[PACK]],GLOBAL_DATA_01[CISO Comments],"&lt;&gt;No alert")),(COUNTIFS(#REF!,CALCULATION[[#This Row],[PACK]],GLOBAL_DATA_01[CISO Comments],"")&amp;" CISO assessment still empty"))</f>
        <v>#REF!</v>
      </c>
      <c r="BE5" s="86" t="e">
        <f>COUNTIFS(#REF!,CALCULATION[[#This Row],[PACK]],GLOBAL_DATA_01[CISO assessment],"&lt;&gt;No alert")-COUNTIFS(#REF!,CALCULATION[[#This Row],[PACK]],GLOBAL_DATA_01[CISO assessment],"")</f>
        <v>#REF!</v>
      </c>
      <c r="BF5" s="119" t="e">
        <f>COUNTIFS(#REF!,CALCULATION[[#This Row],[PACK]],GLOBAL_DATA_01[CISO assessment],"No alert")+COUNTIFS(#REF!,CALCULATION[[#This Row],[PACK]],GLOBAL_DATA_01[CISO assessment],"")</f>
        <v>#REF!</v>
      </c>
      <c r="BG5" s="110">
        <f>IFERROR(ROUND(SUMIF(#REF!,CALCULATION[[#This Row],[PACK]],GLOBAL_DATA_01[Target scope])/CALCULATION[[#This Row],[IN SCOPE]],4),0)</f>
        <v>0</v>
      </c>
      <c r="BH5" s="108">
        <f>IFERROR(ROUND(SUMIFS(#REF!,#REF!,CALCULATION[[#This Row],[PACK]],GLOBAL_DATA_01[Status],DATA!$I$6)/CALCULATION[[#This Row],[IN SCOPE]],4),0)</f>
        <v>0</v>
      </c>
      <c r="BI5" s="108">
        <f>IFERROR(ROUND(SUMIFS(#REF!,#REF!,CALCULATION[[#This Row],[PACK]],#REF!,1)/CALCULATION[[#This Row],[IN SCOPE]],4),0)-CALCULATION[[#This Row],[CURRENT IMPL DONE ]]</f>
        <v>0</v>
      </c>
      <c r="BJ5" s="108">
        <f>CALCULATION[[#This Row],[CURRENT IMPL]]-CALCULATION[[#This Row],[CURRENT IMPL DONE ]]-CALCULATION[[#This Row],[CURRENT IMPL CHECKED CISO &amp; VERIFIED]]</f>
        <v>0</v>
      </c>
      <c r="BK5" s="108">
        <f>IFERROR(ROUND(SUMIF(#REF!,CALCULATION[[#This Row],[PACK]],#REF!)/CALCULATION[[#This Row],[IN SCOPE]],4),0)</f>
        <v>0</v>
      </c>
      <c r="BL5" s="87" t="e">
        <f>COUNTIFS(#REF!,CALCULATION[[#This Row],[PACK]],GLOBAL_DATA_01[Re-estimated end],"&gt;31/12/2019",GLOBAL_DATA_01[Re-estimated end],"&lt;01/01/2021",#REF!,1)</f>
        <v>#REF!</v>
      </c>
      <c r="BM5" s="85" t="e">
        <f>COUNTIFS(#REF!,CALCULATION[[#This Row],[PACK]],GLOBAL_DATA_01[Re-estimated end],"&gt;31/12/2019",GLOBAL_DATA_01[Re-estimated end],"&lt;01/01/2021")</f>
        <v>#REF!</v>
      </c>
      <c r="BN5" s="105">
        <f>IFERROR(ROUND(SUMIFS(GLOBAL_DATA_01[Target scope],#REF!,CALCULATION[PACK],GLOBAL_DATA_01[Re-estimated end],"&gt;31/12/2019",GLOBAL_DATA_01[Re-estimated end],"&lt;01/01/2021")/CALCULATION[[#This Row],[IN SCOPE]],4),0)</f>
        <v>0</v>
      </c>
      <c r="BO5" s="85" t="e">
        <f>COUNTIFS(#REF!,CALCULATION[[#This Row],[PACK]],GLOBAL_DATA_01[Re-estimated end],"&gt;31/12/2020",GLOBAL_DATA_01[Re-estimated end],"&lt;01/01/2022",#REF!,1)</f>
        <v>#REF!</v>
      </c>
      <c r="BP5" s="85" t="e">
        <f>COUNTIFS(#REF!,CALCULATION[[#This Row],[PACK]],GLOBAL_DATA_01[Re-estimated end],"&gt;31/12/2020",GLOBAL_DATA_01[Re-estimated end],"&lt;01/01/2022")</f>
        <v>#REF!</v>
      </c>
      <c r="BQ5" s="105">
        <f>IFERROR(ROUND(SUMIFS(GLOBAL_DATA_01[Target scope],#REF!,CALCULATION[PACK],GLOBAL_DATA_01[Re-estimated end],"&gt;31/12/2020",GLOBAL_DATA_01[Re-estimated end],"&lt;01/01/2022")/CALCULATION[[#This Row],[IN SCOPE]],4),0)</f>
        <v>0</v>
      </c>
      <c r="BR5" s="85" t="e">
        <f>COUNTIFS(#REF!,CALCULATION[[#This Row],[PACK]],GLOBAL_DATA_01[Re-estimated end],"&gt;31/12/2021",#REF!,"&lt;01/01/2023",#REF!,1)</f>
        <v>#REF!</v>
      </c>
      <c r="BS5" s="85" t="e">
        <f>COUNTIFS(#REF!,CALCULATION[[#This Row],[PACK]],GLOBAL_DATA_01[Re-estimated end],"&gt;31/12/2021",GLOBAL_DATA_01[Re-estimated end],"&lt;01/01/2023")</f>
        <v>#REF!</v>
      </c>
      <c r="BT5" s="106">
        <f>IFERROR(ROUND(SUMIFS(GLOBAL_DATA_01[Target scope],#REF!,CALCULATION[PACK],GLOBAL_DATA_01[Re-estimated end],"&gt;31/12/2021",GLOBAL_DATA_01[Re-estimated end],"&lt;01/01/2023")/CALCULATION[[#This Row],[IN SCOPE]],4),0)</f>
        <v>0</v>
      </c>
      <c r="BU5" s="106">
        <f>CALCULATION[[#This Row],[% 2020 COMMITTED]]+CALCULATION[[#This Row],[% 2021 COMMITTED]]+CALCULATION[[#This Row],[% 2022 COMMITTED]]</f>
        <v>0</v>
      </c>
      <c r="BV5" s="113">
        <f t="shared" si="0"/>
        <v>0</v>
      </c>
      <c r="BW5" s="107">
        <f>CALCULATION[[#This Row],[% 2020 COMMITTED]]+CALCULATION[[#This Row],[% 2021 COMMITTED]]+CALCULATION[[#This Row],[% 2022 COMMITTED]]-CALCULATION[[#This Row],[CURRENT IMPL]]</f>
        <v>0</v>
      </c>
    </row>
    <row r="6" spans="1:77" x14ac:dyDescent="0.25">
      <c r="A6" s="88" t="s">
        <v>5</v>
      </c>
      <c r="B6" s="115">
        <v>1</v>
      </c>
      <c r="C6" s="115">
        <v>7.0000000000000007E-2</v>
      </c>
      <c r="D6" s="88" t="e">
        <f>COUNTIFS(#REF!,CALCULATION[[#This Row],[PACK]],GLOBAL_DATA_01[Priority],"P0",GLOBAL_DATA_01[Status],Status_No_Project)</f>
        <v>#REF!</v>
      </c>
      <c r="E6" s="88" t="e">
        <f>COUNTIFS(#REF!,CALCULATION[[#This Row],[PACK]],GLOBAL_DATA_01[Priority],"P1",GLOBAL_DATA_01[Status],Status_No_Project)</f>
        <v>#REF!</v>
      </c>
      <c r="F6" s="88" t="e">
        <f>COUNTIFS(#REF!,CALCULATION[[#This Row],[PACK]],GLOBAL_DATA_01[Priority],"&gt;=P2",GLOBAL_DATA_01[Status],Status_No_Project)</f>
        <v>#REF!</v>
      </c>
      <c r="G6" s="88" t="e">
        <f>COUNTIFS(#REF!,CALCULATION[[#This Row],[PACK]],GLOBAL_DATA_01[Status],CALCULATION[[#Headers],[NO PROJECT]])</f>
        <v>#REF!</v>
      </c>
      <c r="H6" s="88" t="e">
        <f>COUNTIFS(#REF!,CALCULATION[[#This Row],[PACK]],GLOBAL_DATA_01[Priority],"P0",GLOBAL_DATA_01[Status],DATA!$I$4)</f>
        <v>#REF!</v>
      </c>
      <c r="I6" s="88" t="e">
        <f>COUNTIFS(#REF!,CALCULATION[[#This Row],[PACK]],GLOBAL_DATA_01[Priority],"P1",GLOBAL_DATA_01[Status],DATA!$I$4)</f>
        <v>#REF!</v>
      </c>
      <c r="J6" s="88" t="e">
        <f>COUNTIFS(#REF!,CALCULATION[[#This Row],[PACK]],GLOBAL_DATA_01[Priority],"&gt;=P2",GLOBAL_DATA_01[Status],DATA!$I$4)</f>
        <v>#REF!</v>
      </c>
      <c r="K6" s="88" t="e">
        <f>COUNTIFS(#REF!,CALCULATION[[#This Row],[PACK]],GLOBAL_DATA_01[Status],CALCULATION[[#Headers],[TO BE STARTED]])</f>
        <v>#REF!</v>
      </c>
      <c r="L6" s="88" t="e">
        <f>COUNTIFS(#REF!,CALCULATION[[#This Row],[PACK]],GLOBAL_DATA_01[Priority],"P0",GLOBAL_DATA_01[Status],"IN PROGRESS")</f>
        <v>#REF!</v>
      </c>
      <c r="M6" s="88" t="e">
        <f>COUNTIFS(#REF!,CALCULATION[[#This Row],[PACK]],GLOBAL_DATA_01[Priority],"P1",GLOBAL_DATA_01[Status],DATA!$I$5)</f>
        <v>#REF!</v>
      </c>
      <c r="N6" s="88" t="e">
        <f>COUNTIFS(#REF!,CALCULATION[[#This Row],[PACK]],GLOBAL_DATA_01[Priority],"&gt;=P2",GLOBAL_DATA_01[Status],DATA!$I$5)</f>
        <v>#REF!</v>
      </c>
      <c r="O6" s="88" t="e">
        <f>COUNTIFS(#REF!,CALCULATION[[#This Row],[PACK]],GLOBAL_DATA_01[Status],CALCULATION[[#Headers],[IN PROGRESS]])</f>
        <v>#REF!</v>
      </c>
      <c r="P6" s="88" t="e">
        <f>COUNTIFS(#REF!,CALCULATION[[#This Row],[PACK]],GLOBAL_DATA_01[Priority],"P0",GLOBAL_DATA_01[Status],DATA!$I$6)</f>
        <v>#REF!</v>
      </c>
      <c r="Q6" s="88" t="e">
        <f>COUNTIFS(#REF!,CALCULATION[[#This Row],[PACK]],GLOBAL_DATA_01[Priority],"P1",GLOBAL_DATA_01[Status],DATA!$I$6)</f>
        <v>#REF!</v>
      </c>
      <c r="R6" s="88" t="e">
        <f>COUNTIFS(#REF!,CALCULATION[[#This Row],[PACK]],GLOBAL_DATA_01[Priority],"&gt;=P2",GLOBAL_DATA_01[Status],DATA!$I$6)</f>
        <v>#REF!</v>
      </c>
      <c r="S6" s="88" t="e">
        <f>COUNTIFS(#REF!,CALCULATION[[#This Row],[PACK]],GLOBAL_DATA_01[Status],CALCULATION[[#Headers],[DONE]])</f>
        <v>#REF!</v>
      </c>
      <c r="T6" s="88" t="e">
        <f>COUNTIFS(#REF!,CALCULATION[[#This Row],[PACK]],GLOBAL_DATA_01[Priority],"P0",GLOBAL_DATA_01[Status],DATA!$I$7)</f>
        <v>#REF!</v>
      </c>
      <c r="U6" s="88" t="e">
        <f>COUNTIFS(#REF!,CALCULATION[[#This Row],[PACK]],GLOBAL_DATA_01[Priority],"P1",GLOBAL_DATA_01[Status],DATA!$I$7)</f>
        <v>#REF!</v>
      </c>
      <c r="V6" s="88" t="e">
        <f>COUNTIFS(#REF!,CALCULATION[[#This Row],[PACK]],GLOBAL_DATA_01[Priority],"&gt;=P2",GLOBAL_DATA_01[Status],DATA!$I$7)</f>
        <v>#REF!</v>
      </c>
      <c r="W6" s="88" t="e">
        <f>COUNTIFS(#REF!,CALCULATION[[#This Row],[PACK]],GLOBAL_DATA_01[Status],CALCULATION[[#Headers],[CHECKED CISO]])</f>
        <v>#REF!</v>
      </c>
      <c r="X6" s="88" t="e">
        <f>COUNTIFS(#REF!,CALCULATION[[#This Row],[PACK]],GLOBAL_DATA_01[Priority],"P0",GLOBAL_DATA_01[Status],DATA!$I$8)</f>
        <v>#REF!</v>
      </c>
      <c r="Y6" s="88" t="e">
        <f>COUNTIFS(#REF!,CALCULATION[[#This Row],[PACK]],GLOBAL_DATA_01[Priority],"P1",GLOBAL_DATA_01[Status],DATA!$I$8)</f>
        <v>#REF!</v>
      </c>
      <c r="Z6" s="88" t="e">
        <f>COUNTIFS(#REF!,CALCULATION[[#This Row],[PACK]],GLOBAL_DATA_01[Priority],"&gt;=P2",GLOBAL_DATA_01[Status],DATA!$I$8)</f>
        <v>#REF!</v>
      </c>
      <c r="AA6" s="88" t="e">
        <f>COUNTIFS(#REF!,CALCULATION[[#This Row],[PACK]],GLOBAL_DATA_01[Status],CALCULATION[[#Headers],[VERIFIED]])</f>
        <v>#REF!</v>
      </c>
      <c r="AB6" s="88" t="e">
        <f>COUNTIFS(#REF!,CALCULATION[[#This Row],[PACK]],GLOBAL_DATA_01[Priority],"P0",GLOBAL_DATA_01[Status],"&lt;&gt;"&amp;Status_No_Project)</f>
        <v>#REF!</v>
      </c>
      <c r="AC6" s="88" t="e">
        <f>COUNTIFS(#REF!,CALCULATION[[#This Row],[PACK]],GLOBAL_DATA_01[Priority],"P1",GLOBAL_DATA_01[Status],"&lt;&gt;"&amp;Status_No_Project)</f>
        <v>#REF!</v>
      </c>
      <c r="AD6" s="88" t="e">
        <f>COUNTIFS(#REF!,CALCULATION[[#This Row],[PACK]],GLOBAL_DATA_01[Priority],"&gt;=P2",GLOBAL_DATA_01[Status],"&lt;&gt;NO PROJECT")</f>
        <v>#REF!</v>
      </c>
      <c r="AE6" s="92" t="e">
        <f>COUNTIFS(#REF!,CALCULATION[[#This Row],[PACK]],GLOBAL_DATA_01[Status],"&lt;&gt;"&amp;Status_No_Project)</f>
        <v>#REF!</v>
      </c>
      <c r="AF6" s="100" t="e">
        <f>COUNTIFS(#REF!,CALCULATION[[#This Row],[PACK]],GLOBAL_DATA_01[Priority],"P0",GLOBAL_DATA_01[Target status],DATA!$I$12)</f>
        <v>#REF!</v>
      </c>
      <c r="AG6" s="100" t="e">
        <f>COUNTIFS(#REF!,CALCULATION[[#This Row],[PACK]],GLOBAL_DATA_01[Priority],"P1",GLOBAL_DATA_01[Target status],DATA!$I$12)</f>
        <v>#REF!</v>
      </c>
      <c r="AH6" s="100" t="e">
        <f>COUNTIFS(#REF!,CALCULATION[[#This Row],[PACK]],GLOBAL_DATA_01[Priority],"&gt;P1",GLOBAL_DATA_01[Target status],DATA!$I$12)</f>
        <v>#REF!</v>
      </c>
      <c r="AI6" s="88" t="e">
        <f>COUNTIFS(#REF!,CALCULATION[[#This Row],[PACK]],GLOBAL_DATA_01[Target status],DATA!$I$12)</f>
        <v>#REF!</v>
      </c>
      <c r="AJ6" s="88" t="e">
        <f>COUNTIFS(#REF!,CALCULATION[[#This Row],[PACK]],GLOBAL_DATA_01[Target status],DATA!I16,GLOBAL_DATA_01[Priority],"P0")</f>
        <v>#REF!</v>
      </c>
      <c r="AK6" s="88" t="e">
        <f>COUNTIFS(#REF!,CALCULATION[[#This Row],[PACK]],GLOBAL_DATA_01[Target status],DATA!I16,GLOBAL_DATA_01[Priority],"P1")</f>
        <v>#REF!</v>
      </c>
      <c r="AL6" s="88" t="e">
        <f>COUNTIFS(#REF!,CALCULATION[[#This Row],[PACK]],GLOBAL_DATA_01[Target status],DATA!I16,GLOBAL_DATA_01[Priority],"&gt;P1")</f>
        <v>#REF!</v>
      </c>
      <c r="AM6" s="85" t="e">
        <f>COUNTIFS(#REF!,CALCULATION[[#This Row],[PACK]],GLOBAL_DATA_01[Target status],CALCULATION[[#Headers],[PARTIAL IMPLEMENTATION + RA]])</f>
        <v>#REF!</v>
      </c>
      <c r="AN6" s="104">
        <f>1-CALCULATION[[#This Row],[IN SCOPE %]]</f>
        <v>1</v>
      </c>
      <c r="AO6" s="85" t="e">
        <f>COUNTIFS(#REF!,CALCULATION[[#This Row],[PACK]],GLOBAL_DATA_01[Target status],CALCULATION[[#Headers],[FULL IMPLEMENTATION]])</f>
        <v>#REF!</v>
      </c>
      <c r="AP6" s="87" t="e">
        <f>COUNTIFS(#REF!,CALCULATION[[#This Row],[PACK]],GLOBAL_DATA_01[Target status],CALCULATION[[#Headers],[NOT APPLICABLE]])</f>
        <v>#REF!</v>
      </c>
      <c r="AQ6" s="102" t="e">
        <f>COUNTIFS(#REF!,CALCULATION[[#This Row],[PACK]],GLOBAL_DATA_01[Priority],"P0",GLOBAL_DATA_01[Target status],DATA!$I$13)+COUNTIFS(#REF!,CALCULATION[[#This Row],[PACK]],GLOBAL_DATA_01[Priority],"P0",GLOBAL_DATA_01[Target status],DATA!$I$14)-CALCULATION[[#This Row],[COMPLETED P0]]</f>
        <v>#REF!</v>
      </c>
      <c r="AR6" s="103" t="e">
        <f>COUNTIFS(#REF!,CALCULATION[[#This Row],[PACK]],GLOBAL_DATA_01[Priority],"P1",GLOBAL_DATA_01[Target status],DATA!$I$13)+COUNTIFS(#REF!,CALCULATION[[#This Row],[PACK]],GLOBAL_DATA_01[Priority],"P1",GLOBAL_DATA_01[Target status],DATA!$I$14)-CALCULATION[[#This Row],[COMPLETED P1]]</f>
        <v>#REF!</v>
      </c>
      <c r="AS6" s="103" t="e">
        <f>COUNTIFS(#REF!,CALCULATION[[#This Row],[PACK]],GLOBAL_DATA_01[Priority],"&gt;P1",GLOBAL_DATA_01[Target status],DATA!$I$13)+COUNTIFS(#REF!,CALCULATION[[#This Row],[PACK]],GLOBAL_DATA_01[Priority],"&gt;P1",GLOBAL_DATA_01[Target status],DATA!$I$14)-CALCULATION[[#This Row],[COMPLETED P2&amp;3]]</f>
        <v>#REF!</v>
      </c>
      <c r="AT6" s="93" t="e">
        <f>CALCULATION[[#This Row],[PARTIAL IMPLEMENTATION + RA]]+CALCULATION[[#This Row],[FULL IMPLEMENTATION]]</f>
        <v>#REF!</v>
      </c>
      <c r="AU6" s="124" t="e">
        <f>CALCULATION[[#This Row],[IN PROGRESS]]+CALCULATION[[#This Row],[TO BE STARTED]]</f>
        <v>#REF!</v>
      </c>
      <c r="AV6" s="99" t="e">
        <f>COUNTIFS(#REF!,CALCULATION[[#This Row],[PACK]],GLOBAL_DATA_01[Priority],"P0",#REF!,1)</f>
        <v>#REF!</v>
      </c>
      <c r="AW6" s="85" t="e">
        <f>CALCULATION[[#This Row],[DONE P1]]+CALCULATION[[#This Row],[CHECKED CISO P1]]+CALCULATION[[#This Row],[VERIFIED P1]]</f>
        <v>#REF!</v>
      </c>
      <c r="AX6" s="99" t="e">
        <f>CALCULATION[[#This Row],[DONE P2&amp;P3]]+CALCULATION[[#This Row],[CHECKED CISO P2&amp;P3]]+CALCULATION[[#This Row],[VERIFIED P2&amp;P3]]</f>
        <v>#REF!</v>
      </c>
      <c r="AY6" s="85" t="e">
        <f>CALCULATION[[#This Row],[DONE]]+CALCULATION[[#This Row],[CHECKED CISO]]+CALCULATION[[#This Row],[VERIFIED]]</f>
        <v>#REF!</v>
      </c>
      <c r="AZ6" s="133">
        <f>IFERROR(CALCULATION[[#This Row],[COMPLETED]]/CALCULATION[[#This Row],[IN SCOPE]],0)</f>
        <v>0</v>
      </c>
      <c r="BA6" s="93" t="e">
        <f>COUNTIFS(#REF!,CALCULATION[[#This Row],[PACK]],GLOBAL_DATA_01[Target status],"&lt;&gt;"&amp;DATA!$I$15)</f>
        <v>#REF!</v>
      </c>
      <c r="BB6" s="128">
        <f>IFERROR(ROUND(SUMIFS(GLOBAL_DATA_01[Target scope],#REF!,CALCULATION[[#This Row],[PACK]],GLOBAL_DATA_01[Target status],"&lt;&gt;"&amp;DATA!$I$15)/CALCULATION[[#This Row],[IN SCOPE]],4),0)</f>
        <v>0</v>
      </c>
      <c r="BC6" s="107">
        <f>IFERROR(ROUND(CALCULATION[[#This Row],[RISK ACCEPTED (FULL MEASURE)]]/CALCULATION[[#This Row],[IN SCOPE]],4),0)</f>
        <v>0</v>
      </c>
      <c r="BD6" s="85" t="e">
        <f>IF((COUNTIFS(#REF!,CALCULATION[[#This Row],[PACK]],GLOBAL_DATA_01[CISO Comments]," ")&gt;0),(COUNTIFS(#REF!,CALCULATION[[#This Row],[PACK]],GLOBAL_DATA_01[CISO Comments],"&lt;&gt;No alert")),(COUNTIFS(#REF!,CALCULATION[[#This Row],[PACK]],GLOBAL_DATA_01[CISO Comments],"")&amp;" CISO assessment still empty"))</f>
        <v>#REF!</v>
      </c>
      <c r="BE6" s="86" t="e">
        <f>COUNTIFS(#REF!,CALCULATION[[#This Row],[PACK]],GLOBAL_DATA_01[CISO assessment],"&lt;&gt;No alert")-COUNTIFS(#REF!,CALCULATION[[#This Row],[PACK]],GLOBAL_DATA_01[CISO assessment],"")</f>
        <v>#REF!</v>
      </c>
      <c r="BF6" s="119" t="e">
        <f>COUNTIFS(#REF!,CALCULATION[[#This Row],[PACK]],GLOBAL_DATA_01[CISO assessment],"No alert")+COUNTIFS(#REF!,CALCULATION[[#This Row],[PACK]],GLOBAL_DATA_01[CISO assessment],"")</f>
        <v>#REF!</v>
      </c>
      <c r="BG6" s="110">
        <f>IFERROR(ROUND(SUMIF(#REF!,CALCULATION[[#This Row],[PACK]],GLOBAL_DATA_01[Target scope])/CALCULATION[[#This Row],[IN SCOPE]],4),0)</f>
        <v>0</v>
      </c>
      <c r="BH6" s="108">
        <f>IFERROR(ROUND(SUMIFS(#REF!,#REF!,CALCULATION[[#This Row],[PACK]],GLOBAL_DATA_01[Status],DATA!$I$6)/CALCULATION[[#This Row],[IN SCOPE]],4),0)</f>
        <v>0</v>
      </c>
      <c r="BI6" s="108">
        <f>IFERROR(ROUND(SUMIFS(#REF!,#REF!,CALCULATION[[#This Row],[PACK]],#REF!,1)/CALCULATION[[#This Row],[IN SCOPE]],4),0)-CALCULATION[[#This Row],[CURRENT IMPL DONE ]]</f>
        <v>0</v>
      </c>
      <c r="BJ6" s="108">
        <f>CALCULATION[[#This Row],[CURRENT IMPL]]-CALCULATION[[#This Row],[CURRENT IMPL DONE ]]-CALCULATION[[#This Row],[CURRENT IMPL CHECKED CISO &amp; VERIFIED]]</f>
        <v>0</v>
      </c>
      <c r="BK6" s="108">
        <f>IFERROR(ROUND(SUMIF(#REF!,CALCULATION[[#This Row],[PACK]],#REF!)/CALCULATION[[#This Row],[IN SCOPE]],4),0)</f>
        <v>0</v>
      </c>
      <c r="BL6" s="87" t="e">
        <f>COUNTIFS(#REF!,CALCULATION[[#This Row],[PACK]],GLOBAL_DATA_01[Re-estimated end],"&gt;31/12/2019",GLOBAL_DATA_01[Re-estimated end],"&lt;01/01/2021",#REF!,1)</f>
        <v>#REF!</v>
      </c>
      <c r="BM6" s="85" t="e">
        <f>COUNTIFS(#REF!,CALCULATION[[#This Row],[PACK]],GLOBAL_DATA_01[Re-estimated end],"&gt;31/12/2019",GLOBAL_DATA_01[Re-estimated end],"&lt;01/01/2021")</f>
        <v>#REF!</v>
      </c>
      <c r="BN6" s="105">
        <f>IFERROR(ROUND(SUMIFS(GLOBAL_DATA_01[Target scope],#REF!,CALCULATION[PACK],GLOBAL_DATA_01[Re-estimated end],"&gt;31/12/2019",GLOBAL_DATA_01[Re-estimated end],"&lt;01/01/2021")/CALCULATION[[#This Row],[IN SCOPE]],4),0)</f>
        <v>0</v>
      </c>
      <c r="BO6" s="85" t="e">
        <f>COUNTIFS(#REF!,CALCULATION[[#This Row],[PACK]],GLOBAL_DATA_01[Re-estimated end],"&gt;31/12/2020",GLOBAL_DATA_01[Re-estimated end],"&lt;01/01/2022",#REF!,1)</f>
        <v>#REF!</v>
      </c>
      <c r="BP6" s="85" t="e">
        <f>COUNTIFS(#REF!,CALCULATION[[#This Row],[PACK]],GLOBAL_DATA_01[Re-estimated end],"&gt;31/12/2020",GLOBAL_DATA_01[Re-estimated end],"&lt;01/01/2022")</f>
        <v>#REF!</v>
      </c>
      <c r="BQ6" s="105">
        <f>IFERROR(ROUND(SUMIFS(GLOBAL_DATA_01[Target scope],#REF!,CALCULATION[PACK],GLOBAL_DATA_01[Re-estimated end],"&gt;31/12/2020",GLOBAL_DATA_01[Re-estimated end],"&lt;01/01/2022")/CALCULATION[[#This Row],[IN SCOPE]],4),0)</f>
        <v>0</v>
      </c>
      <c r="BR6" s="85" t="e">
        <f>COUNTIFS(#REF!,CALCULATION[[#This Row],[PACK]],GLOBAL_DATA_01[Re-estimated end],"&gt;31/12/2021",#REF!,"&lt;01/01/2023",#REF!,1)</f>
        <v>#REF!</v>
      </c>
      <c r="BS6" s="85" t="e">
        <f>COUNTIFS(#REF!,CALCULATION[[#This Row],[PACK]],GLOBAL_DATA_01[Re-estimated end],"&gt;31/12/2021",GLOBAL_DATA_01[Re-estimated end],"&lt;01/01/2023")</f>
        <v>#REF!</v>
      </c>
      <c r="BT6" s="106">
        <f>IFERROR(ROUND(SUMIFS(GLOBAL_DATA_01[Target scope],#REF!,CALCULATION[PACK],GLOBAL_DATA_01[Re-estimated end],"&gt;31/12/2021",GLOBAL_DATA_01[Re-estimated end],"&lt;01/01/2023")/CALCULATION[[#This Row],[IN SCOPE]],4),0)</f>
        <v>0</v>
      </c>
      <c r="BU6" s="106">
        <f>CALCULATION[[#This Row],[% 2020 COMMITTED]]+CALCULATION[[#This Row],[% 2021 COMMITTED]]+CALCULATION[[#This Row],[% 2022 COMMITTED]]</f>
        <v>0</v>
      </c>
      <c r="BV6" s="113">
        <f t="shared" si="0"/>
        <v>0</v>
      </c>
      <c r="BW6" s="107">
        <f>CALCULATION[[#This Row],[% 2020 COMMITTED]]+CALCULATION[[#This Row],[% 2021 COMMITTED]]+CALCULATION[[#This Row],[% 2022 COMMITTED]]-CALCULATION[[#This Row],[CURRENT IMPL]]</f>
        <v>0</v>
      </c>
    </row>
    <row r="7" spans="1:77" x14ac:dyDescent="0.25">
      <c r="A7" s="88" t="s">
        <v>6</v>
      </c>
      <c r="B7" s="115">
        <v>1</v>
      </c>
      <c r="C7" s="115">
        <v>0.08</v>
      </c>
      <c r="D7" s="88" t="e">
        <f>COUNTIFS(#REF!,CALCULATION[[#This Row],[PACK]],GLOBAL_DATA_01[Priority],"P0",GLOBAL_DATA_01[Status],Status_No_Project)</f>
        <v>#REF!</v>
      </c>
      <c r="E7" s="88" t="e">
        <f>COUNTIFS(#REF!,CALCULATION[[#This Row],[PACK]],GLOBAL_DATA_01[Priority],"P1",GLOBAL_DATA_01[Status],Status_No_Project)</f>
        <v>#REF!</v>
      </c>
      <c r="F7" s="88" t="e">
        <f>COUNTIFS(#REF!,CALCULATION[[#This Row],[PACK]],GLOBAL_DATA_01[Priority],"&gt;=P2",GLOBAL_DATA_01[Status],Status_No_Project)</f>
        <v>#REF!</v>
      </c>
      <c r="G7" s="88" t="e">
        <f>COUNTIFS(#REF!,CALCULATION[[#This Row],[PACK]],GLOBAL_DATA_01[Status],CALCULATION[[#Headers],[NO PROJECT]])</f>
        <v>#REF!</v>
      </c>
      <c r="H7" s="88" t="e">
        <f>COUNTIFS(#REF!,CALCULATION[[#This Row],[PACK]],GLOBAL_DATA_01[Priority],"P0",GLOBAL_DATA_01[Status],DATA!$I$4)</f>
        <v>#REF!</v>
      </c>
      <c r="I7" s="88" t="e">
        <f>COUNTIFS(#REF!,CALCULATION[[#This Row],[PACK]],GLOBAL_DATA_01[Priority],"P1",GLOBAL_DATA_01[Status],DATA!$I$4)</f>
        <v>#REF!</v>
      </c>
      <c r="J7" s="88" t="e">
        <f>COUNTIFS(#REF!,CALCULATION[[#This Row],[PACK]],GLOBAL_DATA_01[Priority],"&gt;=P2",GLOBAL_DATA_01[Status],DATA!$I$4)</f>
        <v>#REF!</v>
      </c>
      <c r="K7" s="88" t="e">
        <f>COUNTIFS(#REF!,CALCULATION[[#This Row],[PACK]],GLOBAL_DATA_01[Status],CALCULATION[[#Headers],[TO BE STARTED]])</f>
        <v>#REF!</v>
      </c>
      <c r="L7" s="88" t="e">
        <f>COUNTIFS(#REF!,CALCULATION[[#This Row],[PACK]],GLOBAL_DATA_01[Priority],"P0",GLOBAL_DATA_01[Status],"IN PROGRESS")</f>
        <v>#REF!</v>
      </c>
      <c r="M7" s="88" t="e">
        <f>COUNTIFS(#REF!,CALCULATION[[#This Row],[PACK]],GLOBAL_DATA_01[Priority],"P1",GLOBAL_DATA_01[Status],DATA!$I$5)</f>
        <v>#REF!</v>
      </c>
      <c r="N7" s="88" t="e">
        <f>COUNTIFS(#REF!,CALCULATION[[#This Row],[PACK]],GLOBAL_DATA_01[Priority],"&gt;=P2",GLOBAL_DATA_01[Status],DATA!$I$5)</f>
        <v>#REF!</v>
      </c>
      <c r="O7" s="88" t="e">
        <f>COUNTIFS(#REF!,CALCULATION[[#This Row],[PACK]],GLOBAL_DATA_01[Status],CALCULATION[[#Headers],[IN PROGRESS]])</f>
        <v>#REF!</v>
      </c>
      <c r="P7" s="88" t="e">
        <f>COUNTIFS(#REF!,CALCULATION[[#This Row],[PACK]],GLOBAL_DATA_01[Priority],"P0",GLOBAL_DATA_01[Status],DATA!$I$6)</f>
        <v>#REF!</v>
      </c>
      <c r="Q7" s="88" t="e">
        <f>COUNTIFS(#REF!,CALCULATION[[#This Row],[PACK]],GLOBAL_DATA_01[Priority],"P1",GLOBAL_DATA_01[Status],DATA!$I$6)</f>
        <v>#REF!</v>
      </c>
      <c r="R7" s="88" t="e">
        <f>COUNTIFS(#REF!,CALCULATION[[#This Row],[PACK]],GLOBAL_DATA_01[Priority],"&gt;=P2",GLOBAL_DATA_01[Status],DATA!$I$6)</f>
        <v>#REF!</v>
      </c>
      <c r="S7" s="88" t="e">
        <f>COUNTIFS(#REF!,CALCULATION[[#This Row],[PACK]],GLOBAL_DATA_01[Status],CALCULATION[[#Headers],[DONE]])</f>
        <v>#REF!</v>
      </c>
      <c r="T7" s="88" t="e">
        <f>COUNTIFS(#REF!,CALCULATION[[#This Row],[PACK]],GLOBAL_DATA_01[Priority],"P0",GLOBAL_DATA_01[Status],DATA!$I$7)</f>
        <v>#REF!</v>
      </c>
      <c r="U7" s="88" t="e">
        <f>COUNTIFS(#REF!,CALCULATION[[#This Row],[PACK]],GLOBAL_DATA_01[Priority],"P1",GLOBAL_DATA_01[Status],DATA!$I$7)</f>
        <v>#REF!</v>
      </c>
      <c r="V7" s="88" t="e">
        <f>COUNTIFS(#REF!,CALCULATION[[#This Row],[PACK]],GLOBAL_DATA_01[Priority],"&gt;=P2",GLOBAL_DATA_01[Status],DATA!$I$7)</f>
        <v>#REF!</v>
      </c>
      <c r="W7" s="88" t="e">
        <f>COUNTIFS(#REF!,CALCULATION[[#This Row],[PACK]],GLOBAL_DATA_01[Status],CALCULATION[[#Headers],[CHECKED CISO]])</f>
        <v>#REF!</v>
      </c>
      <c r="X7" s="88" t="e">
        <f>COUNTIFS(#REF!,CALCULATION[[#This Row],[PACK]],GLOBAL_DATA_01[Priority],"P0",GLOBAL_DATA_01[Status],DATA!$I$8)</f>
        <v>#REF!</v>
      </c>
      <c r="Y7" s="88" t="e">
        <f>COUNTIFS(#REF!,CALCULATION[[#This Row],[PACK]],GLOBAL_DATA_01[Priority],"P1",GLOBAL_DATA_01[Status],DATA!$I$8)</f>
        <v>#REF!</v>
      </c>
      <c r="Z7" s="88" t="e">
        <f>COUNTIFS(#REF!,CALCULATION[[#This Row],[PACK]],GLOBAL_DATA_01[Priority],"&gt;=P2",GLOBAL_DATA_01[Status],DATA!$I$8)</f>
        <v>#REF!</v>
      </c>
      <c r="AA7" s="88" t="e">
        <f>COUNTIFS(#REF!,CALCULATION[[#This Row],[PACK]],GLOBAL_DATA_01[Status],CALCULATION[[#Headers],[VERIFIED]])</f>
        <v>#REF!</v>
      </c>
      <c r="AB7" s="88" t="e">
        <f>COUNTIFS(#REF!,CALCULATION[[#This Row],[PACK]],GLOBAL_DATA_01[Priority],"P0",GLOBAL_DATA_01[Status],"&lt;&gt;"&amp;Status_No_Project)</f>
        <v>#REF!</v>
      </c>
      <c r="AC7" s="88" t="e">
        <f>COUNTIFS(#REF!,CALCULATION[[#This Row],[PACK]],GLOBAL_DATA_01[Priority],"P1",GLOBAL_DATA_01[Status],"&lt;&gt;"&amp;Status_No_Project)</f>
        <v>#REF!</v>
      </c>
      <c r="AD7" s="88" t="e">
        <f>COUNTIFS(#REF!,CALCULATION[[#This Row],[PACK]],GLOBAL_DATA_01[Priority],"&gt;=P2",GLOBAL_DATA_01[Status],"&lt;&gt;NO PROJECT")</f>
        <v>#REF!</v>
      </c>
      <c r="AE7" s="92" t="e">
        <f>COUNTIFS(#REF!,CALCULATION[[#This Row],[PACK]],GLOBAL_DATA_01[Status],"&lt;&gt;"&amp;Status_No_Project)</f>
        <v>#REF!</v>
      </c>
      <c r="AF7" s="100" t="e">
        <f>COUNTIFS(#REF!,CALCULATION[[#This Row],[PACK]],GLOBAL_DATA_01[Priority],"P0",GLOBAL_DATA_01[Target status],DATA!$I$12)</f>
        <v>#REF!</v>
      </c>
      <c r="AG7" s="100" t="e">
        <f>COUNTIFS(#REF!,CALCULATION[[#This Row],[PACK]],GLOBAL_DATA_01[Priority],"P1",GLOBAL_DATA_01[Target status],DATA!$I$12)</f>
        <v>#REF!</v>
      </c>
      <c r="AH7" s="100" t="e">
        <f>COUNTIFS(#REF!,CALCULATION[[#This Row],[PACK]],GLOBAL_DATA_01[Priority],"&gt;P1",GLOBAL_DATA_01[Target status],DATA!$I$12)</f>
        <v>#REF!</v>
      </c>
      <c r="AI7" s="88" t="e">
        <f>COUNTIFS(#REF!,CALCULATION[[#This Row],[PACK]],GLOBAL_DATA_01[Target status],DATA!$I$12)</f>
        <v>#REF!</v>
      </c>
      <c r="AJ7" s="88" t="e">
        <f>COUNTIFS(#REF!,CALCULATION[[#This Row],[PACK]],GLOBAL_DATA_01[Target status],DATA!I17,GLOBAL_DATA_01[Priority],"P0")</f>
        <v>#REF!</v>
      </c>
      <c r="AK7" s="88" t="e">
        <f>COUNTIFS(#REF!,CALCULATION[[#This Row],[PACK]],GLOBAL_DATA_01[Target status],DATA!I17,GLOBAL_DATA_01[Priority],"P1")</f>
        <v>#REF!</v>
      </c>
      <c r="AL7" s="88" t="e">
        <f>COUNTIFS(#REF!,CALCULATION[[#This Row],[PACK]],GLOBAL_DATA_01[Target status],DATA!I17,GLOBAL_DATA_01[Priority],"&gt;P1")</f>
        <v>#REF!</v>
      </c>
      <c r="AM7" s="85" t="e">
        <f>COUNTIFS(#REF!,CALCULATION[[#This Row],[PACK]],GLOBAL_DATA_01[Target status],CALCULATION[[#Headers],[PARTIAL IMPLEMENTATION + RA]])</f>
        <v>#REF!</v>
      </c>
      <c r="AN7" s="104">
        <f>1-CALCULATION[[#This Row],[IN SCOPE %]]</f>
        <v>1</v>
      </c>
      <c r="AO7" s="85" t="e">
        <f>COUNTIFS(#REF!,CALCULATION[[#This Row],[PACK]],GLOBAL_DATA_01[Target status],CALCULATION[[#Headers],[FULL IMPLEMENTATION]])</f>
        <v>#REF!</v>
      </c>
      <c r="AP7" s="87" t="e">
        <f>COUNTIFS(#REF!,CALCULATION[[#This Row],[PACK]],GLOBAL_DATA_01[Target status],CALCULATION[[#Headers],[NOT APPLICABLE]])</f>
        <v>#REF!</v>
      </c>
      <c r="AQ7" s="102" t="e">
        <f>COUNTIFS(#REF!,CALCULATION[[#This Row],[PACK]],GLOBAL_DATA_01[Priority],"P0",GLOBAL_DATA_01[Target status],DATA!$I$13)+COUNTIFS(#REF!,CALCULATION[[#This Row],[PACK]],GLOBAL_DATA_01[Priority],"P0",GLOBAL_DATA_01[Target status],DATA!$I$14)-CALCULATION[[#This Row],[COMPLETED P0]]</f>
        <v>#REF!</v>
      </c>
      <c r="AR7" s="103" t="e">
        <f>COUNTIFS(#REF!,CALCULATION[[#This Row],[PACK]],GLOBAL_DATA_01[Priority],"P1",GLOBAL_DATA_01[Target status],DATA!$I$13)+COUNTIFS(#REF!,CALCULATION[[#This Row],[PACK]],GLOBAL_DATA_01[Priority],"P1",GLOBAL_DATA_01[Target status],DATA!$I$14)-CALCULATION[[#This Row],[COMPLETED P1]]</f>
        <v>#REF!</v>
      </c>
      <c r="AS7" s="103" t="e">
        <f>COUNTIFS(#REF!,CALCULATION[[#This Row],[PACK]],GLOBAL_DATA_01[Priority],"&gt;P1",GLOBAL_DATA_01[Target status],DATA!$I$13)+COUNTIFS(#REF!,CALCULATION[[#This Row],[PACK]],GLOBAL_DATA_01[Priority],"&gt;P1",GLOBAL_DATA_01[Target status],DATA!$I$14)-CALCULATION[[#This Row],[COMPLETED P2&amp;3]]</f>
        <v>#REF!</v>
      </c>
      <c r="AT7" s="93" t="e">
        <f>CALCULATION[[#This Row],[PARTIAL IMPLEMENTATION + RA]]+CALCULATION[[#This Row],[FULL IMPLEMENTATION]]</f>
        <v>#REF!</v>
      </c>
      <c r="AU7" s="124" t="e">
        <f>CALCULATION[[#This Row],[IN PROGRESS]]+CALCULATION[[#This Row],[TO BE STARTED]]</f>
        <v>#REF!</v>
      </c>
      <c r="AV7" s="99" t="e">
        <f>COUNTIFS(#REF!,CALCULATION[[#This Row],[PACK]],GLOBAL_DATA_01[Priority],"P0",#REF!,1)</f>
        <v>#REF!</v>
      </c>
      <c r="AW7" s="85" t="e">
        <f>CALCULATION[[#This Row],[DONE P1]]+CALCULATION[[#This Row],[CHECKED CISO P1]]+CALCULATION[[#This Row],[VERIFIED P1]]</f>
        <v>#REF!</v>
      </c>
      <c r="AX7" s="99" t="e">
        <f>CALCULATION[[#This Row],[DONE P2&amp;P3]]+CALCULATION[[#This Row],[CHECKED CISO P2&amp;P3]]+CALCULATION[[#This Row],[VERIFIED P2&amp;P3]]</f>
        <v>#REF!</v>
      </c>
      <c r="AY7" s="85" t="e">
        <f>CALCULATION[[#This Row],[DONE]]+CALCULATION[[#This Row],[CHECKED CISO]]+CALCULATION[[#This Row],[VERIFIED]]</f>
        <v>#REF!</v>
      </c>
      <c r="AZ7" s="133">
        <f>IFERROR(CALCULATION[[#This Row],[COMPLETED]]/CALCULATION[[#This Row],[IN SCOPE]],0)</f>
        <v>0</v>
      </c>
      <c r="BA7" s="93" t="e">
        <f>COUNTIFS(#REF!,CALCULATION[[#This Row],[PACK]],GLOBAL_DATA_01[Target status],"&lt;&gt;"&amp;DATA!$I$15)</f>
        <v>#REF!</v>
      </c>
      <c r="BB7" s="128">
        <f>IFERROR(ROUND(SUMIFS(GLOBAL_DATA_01[Target scope],#REF!,CALCULATION[[#This Row],[PACK]],GLOBAL_DATA_01[Target status],"&lt;&gt;"&amp;DATA!$I$15)/CALCULATION[[#This Row],[IN SCOPE]],4),0)</f>
        <v>0</v>
      </c>
      <c r="BC7" s="107">
        <f>IFERROR(ROUND(CALCULATION[[#This Row],[RISK ACCEPTED (FULL MEASURE)]]/CALCULATION[[#This Row],[IN SCOPE]],4),0)</f>
        <v>0</v>
      </c>
      <c r="BD7" s="85" t="e">
        <f>IF((COUNTIFS(#REF!,CALCULATION[[#This Row],[PACK]],GLOBAL_DATA_01[CISO Comments]," ")&gt;0),(COUNTIFS(#REF!,CALCULATION[[#This Row],[PACK]],GLOBAL_DATA_01[CISO Comments],"&lt;&gt;No alert")),(COUNTIFS(#REF!,CALCULATION[[#This Row],[PACK]],GLOBAL_DATA_01[CISO Comments],"")&amp;" CISO assessment still empty"))</f>
        <v>#REF!</v>
      </c>
      <c r="BE7" s="86" t="e">
        <f>COUNTIFS(#REF!,CALCULATION[[#This Row],[PACK]],GLOBAL_DATA_01[CISO assessment],"&lt;&gt;No alert")-COUNTIFS(#REF!,CALCULATION[[#This Row],[PACK]],GLOBAL_DATA_01[CISO assessment],"")</f>
        <v>#REF!</v>
      </c>
      <c r="BF7" s="119" t="e">
        <f>COUNTIFS(#REF!,CALCULATION[[#This Row],[PACK]],GLOBAL_DATA_01[CISO assessment],"No alert")+COUNTIFS(#REF!,CALCULATION[[#This Row],[PACK]],GLOBAL_DATA_01[CISO assessment],"")</f>
        <v>#REF!</v>
      </c>
      <c r="BG7" s="110">
        <f>IFERROR(ROUND(SUMIF(#REF!,CALCULATION[[#This Row],[PACK]],GLOBAL_DATA_01[Target scope])/CALCULATION[[#This Row],[IN SCOPE]],4),0)</f>
        <v>0</v>
      </c>
      <c r="BH7" s="108">
        <f>IFERROR(ROUND(SUMIFS(#REF!,#REF!,CALCULATION[[#This Row],[PACK]],GLOBAL_DATA_01[Status],DATA!$I$6)/CALCULATION[[#This Row],[IN SCOPE]],4),0)</f>
        <v>0</v>
      </c>
      <c r="BI7" s="108">
        <f>IFERROR(ROUND(SUMIFS(#REF!,#REF!,CALCULATION[[#This Row],[PACK]],#REF!,1)/CALCULATION[[#This Row],[IN SCOPE]],4),0)-CALCULATION[[#This Row],[CURRENT IMPL DONE ]]</f>
        <v>0</v>
      </c>
      <c r="BJ7" s="108">
        <f>CALCULATION[[#This Row],[CURRENT IMPL]]-CALCULATION[[#This Row],[CURRENT IMPL DONE ]]-CALCULATION[[#This Row],[CURRENT IMPL CHECKED CISO &amp; VERIFIED]]</f>
        <v>0</v>
      </c>
      <c r="BK7" s="108">
        <f>IFERROR(ROUND(SUMIF(#REF!,CALCULATION[[#This Row],[PACK]],#REF!)/CALCULATION[[#This Row],[IN SCOPE]],4),0)</f>
        <v>0</v>
      </c>
      <c r="BL7" s="87" t="e">
        <f>COUNTIFS(#REF!,CALCULATION[[#This Row],[PACK]],GLOBAL_DATA_01[Re-estimated end],"&gt;31/12/2019",GLOBAL_DATA_01[Re-estimated end],"&lt;01/01/2021",#REF!,1)</f>
        <v>#REF!</v>
      </c>
      <c r="BM7" s="85" t="e">
        <f>COUNTIFS(#REF!,CALCULATION[[#This Row],[PACK]],GLOBAL_DATA_01[Re-estimated end],"&gt;31/12/2019",GLOBAL_DATA_01[Re-estimated end],"&lt;01/01/2021")</f>
        <v>#REF!</v>
      </c>
      <c r="BN7" s="105">
        <f>IFERROR(ROUND(SUMIFS(GLOBAL_DATA_01[Target scope],#REF!,CALCULATION[PACK],GLOBAL_DATA_01[Re-estimated end],"&gt;31/12/2019",GLOBAL_DATA_01[Re-estimated end],"&lt;01/01/2021")/CALCULATION[[#This Row],[IN SCOPE]],4),0)</f>
        <v>0</v>
      </c>
      <c r="BO7" s="85" t="e">
        <f>COUNTIFS(#REF!,CALCULATION[[#This Row],[PACK]],GLOBAL_DATA_01[Re-estimated end],"&gt;31/12/2020",GLOBAL_DATA_01[Re-estimated end],"&lt;01/01/2022",#REF!,1)</f>
        <v>#REF!</v>
      </c>
      <c r="BP7" s="85" t="e">
        <f>COUNTIFS(#REF!,CALCULATION[[#This Row],[PACK]],GLOBAL_DATA_01[Re-estimated end],"&gt;31/12/2020",GLOBAL_DATA_01[Re-estimated end],"&lt;01/01/2022")</f>
        <v>#REF!</v>
      </c>
      <c r="BQ7" s="105">
        <f>IFERROR(ROUND(SUMIFS(GLOBAL_DATA_01[Target scope],#REF!,CALCULATION[PACK],GLOBAL_DATA_01[Re-estimated end],"&gt;31/12/2020",GLOBAL_DATA_01[Re-estimated end],"&lt;01/01/2022")/CALCULATION[[#This Row],[IN SCOPE]],4),0)</f>
        <v>0</v>
      </c>
      <c r="BR7" s="85" t="e">
        <f>COUNTIFS(#REF!,CALCULATION[[#This Row],[PACK]],GLOBAL_DATA_01[Re-estimated end],"&gt;31/12/2021",#REF!,"&lt;01/01/2023",#REF!,1)</f>
        <v>#REF!</v>
      </c>
      <c r="BS7" s="85" t="e">
        <f>COUNTIFS(#REF!,CALCULATION[[#This Row],[PACK]],GLOBAL_DATA_01[Re-estimated end],"&gt;31/12/2021",GLOBAL_DATA_01[Re-estimated end],"&lt;01/01/2023")</f>
        <v>#REF!</v>
      </c>
      <c r="BT7" s="106">
        <f>IFERROR(ROUND(SUMIFS(GLOBAL_DATA_01[Target scope],#REF!,CALCULATION[PACK],GLOBAL_DATA_01[Re-estimated end],"&gt;31/12/2021",GLOBAL_DATA_01[Re-estimated end],"&lt;01/01/2023")/CALCULATION[[#This Row],[IN SCOPE]],4),0)</f>
        <v>0</v>
      </c>
      <c r="BU7" s="106">
        <f>CALCULATION[[#This Row],[% 2020 COMMITTED]]+CALCULATION[[#This Row],[% 2021 COMMITTED]]+CALCULATION[[#This Row],[% 2022 COMMITTED]]</f>
        <v>0</v>
      </c>
      <c r="BV7" s="113">
        <f t="shared" si="0"/>
        <v>0</v>
      </c>
      <c r="BW7" s="107">
        <f>CALCULATION[[#This Row],[% 2020 COMMITTED]]+CALCULATION[[#This Row],[% 2021 COMMITTED]]+CALCULATION[[#This Row],[% 2022 COMMITTED]]-CALCULATION[[#This Row],[CURRENT IMPL]]</f>
        <v>0</v>
      </c>
    </row>
    <row r="8" spans="1:77" x14ac:dyDescent="0.25">
      <c r="A8" s="88" t="s">
        <v>7</v>
      </c>
      <c r="B8" s="115">
        <v>1</v>
      </c>
      <c r="C8" s="115">
        <v>0.09</v>
      </c>
      <c r="D8" s="88" t="e">
        <f>COUNTIFS(#REF!,CALCULATION[[#This Row],[PACK]],GLOBAL_DATA_01[Priority],"P0",GLOBAL_DATA_01[Status],Status_No_Project)</f>
        <v>#REF!</v>
      </c>
      <c r="E8" s="88" t="e">
        <f>COUNTIFS(#REF!,CALCULATION[[#This Row],[PACK]],GLOBAL_DATA_01[Priority],"P1",GLOBAL_DATA_01[Status],Status_No_Project)</f>
        <v>#REF!</v>
      </c>
      <c r="F8" s="88" t="e">
        <f>COUNTIFS(#REF!,CALCULATION[[#This Row],[PACK]],GLOBAL_DATA_01[Priority],"&gt;=P2",GLOBAL_DATA_01[Status],Status_No_Project)</f>
        <v>#REF!</v>
      </c>
      <c r="G8" s="88" t="e">
        <f>COUNTIFS(#REF!,CALCULATION[[#This Row],[PACK]],GLOBAL_DATA_01[Status],CALCULATION[[#Headers],[NO PROJECT]])</f>
        <v>#REF!</v>
      </c>
      <c r="H8" s="88" t="e">
        <f>COUNTIFS(#REF!,CALCULATION[[#This Row],[PACK]],GLOBAL_DATA_01[Priority],"P0",GLOBAL_DATA_01[Status],DATA!$I$4)</f>
        <v>#REF!</v>
      </c>
      <c r="I8" s="88" t="e">
        <f>COUNTIFS(#REF!,CALCULATION[[#This Row],[PACK]],GLOBAL_DATA_01[Priority],"P1",GLOBAL_DATA_01[Status],DATA!$I$4)</f>
        <v>#REF!</v>
      </c>
      <c r="J8" s="88" t="e">
        <f>COUNTIFS(#REF!,CALCULATION[[#This Row],[PACK]],GLOBAL_DATA_01[Priority],"&gt;=P2",GLOBAL_DATA_01[Status],DATA!$I$4)</f>
        <v>#REF!</v>
      </c>
      <c r="K8" s="88" t="e">
        <f>COUNTIFS(#REF!,CALCULATION[[#This Row],[PACK]],GLOBAL_DATA_01[Status],CALCULATION[[#Headers],[TO BE STARTED]])</f>
        <v>#REF!</v>
      </c>
      <c r="L8" s="88" t="e">
        <f>COUNTIFS(#REF!,CALCULATION[[#This Row],[PACK]],GLOBAL_DATA_01[Priority],"P0",GLOBAL_DATA_01[Status],"IN PROGRESS")</f>
        <v>#REF!</v>
      </c>
      <c r="M8" s="88" t="e">
        <f>COUNTIFS(#REF!,CALCULATION[[#This Row],[PACK]],GLOBAL_DATA_01[Priority],"P1",GLOBAL_DATA_01[Status],DATA!$I$5)</f>
        <v>#REF!</v>
      </c>
      <c r="N8" s="88" t="e">
        <f>COUNTIFS(#REF!,CALCULATION[[#This Row],[PACK]],GLOBAL_DATA_01[Priority],"&gt;=P2",GLOBAL_DATA_01[Status],DATA!$I$5)</f>
        <v>#REF!</v>
      </c>
      <c r="O8" s="88" t="e">
        <f>COUNTIFS(#REF!,CALCULATION[[#This Row],[PACK]],GLOBAL_DATA_01[Status],CALCULATION[[#Headers],[IN PROGRESS]])</f>
        <v>#REF!</v>
      </c>
      <c r="P8" s="88" t="e">
        <f>COUNTIFS(#REF!,CALCULATION[[#This Row],[PACK]],GLOBAL_DATA_01[Priority],"P0",GLOBAL_DATA_01[Status],DATA!$I$6)</f>
        <v>#REF!</v>
      </c>
      <c r="Q8" s="88" t="e">
        <f>COUNTIFS(#REF!,CALCULATION[[#This Row],[PACK]],GLOBAL_DATA_01[Priority],"P1",GLOBAL_DATA_01[Status],DATA!$I$6)</f>
        <v>#REF!</v>
      </c>
      <c r="R8" s="88" t="e">
        <f>COUNTIFS(#REF!,CALCULATION[[#This Row],[PACK]],GLOBAL_DATA_01[Priority],"&gt;=P2",GLOBAL_DATA_01[Status],DATA!$I$6)</f>
        <v>#REF!</v>
      </c>
      <c r="S8" s="88" t="e">
        <f>COUNTIFS(#REF!,CALCULATION[[#This Row],[PACK]],GLOBAL_DATA_01[Status],CALCULATION[[#Headers],[DONE]])</f>
        <v>#REF!</v>
      </c>
      <c r="T8" s="88" t="e">
        <f>COUNTIFS(#REF!,CALCULATION[[#This Row],[PACK]],GLOBAL_DATA_01[Priority],"P0",GLOBAL_DATA_01[Status],DATA!$I$7)</f>
        <v>#REF!</v>
      </c>
      <c r="U8" s="88" t="e">
        <f>COUNTIFS(#REF!,CALCULATION[[#This Row],[PACK]],GLOBAL_DATA_01[Priority],"P1",GLOBAL_DATA_01[Status],DATA!$I$7)</f>
        <v>#REF!</v>
      </c>
      <c r="V8" s="88" t="e">
        <f>COUNTIFS(#REF!,CALCULATION[[#This Row],[PACK]],GLOBAL_DATA_01[Priority],"&gt;=P2",GLOBAL_DATA_01[Status],DATA!$I$7)</f>
        <v>#REF!</v>
      </c>
      <c r="W8" s="88" t="e">
        <f>COUNTIFS(#REF!,CALCULATION[[#This Row],[PACK]],GLOBAL_DATA_01[Status],CALCULATION[[#Headers],[CHECKED CISO]])</f>
        <v>#REF!</v>
      </c>
      <c r="X8" s="88" t="e">
        <f>COUNTIFS(#REF!,CALCULATION[[#This Row],[PACK]],GLOBAL_DATA_01[Priority],"P0",GLOBAL_DATA_01[Status],DATA!$I$8)</f>
        <v>#REF!</v>
      </c>
      <c r="Y8" s="88" t="e">
        <f>COUNTIFS(#REF!,CALCULATION[[#This Row],[PACK]],GLOBAL_DATA_01[Priority],"P1",GLOBAL_DATA_01[Status],DATA!$I$8)</f>
        <v>#REF!</v>
      </c>
      <c r="Z8" s="88" t="e">
        <f>COUNTIFS(#REF!,CALCULATION[[#This Row],[PACK]],GLOBAL_DATA_01[Priority],"&gt;=P2",GLOBAL_DATA_01[Status],DATA!$I$8)</f>
        <v>#REF!</v>
      </c>
      <c r="AA8" s="88" t="e">
        <f>COUNTIFS(#REF!,CALCULATION[[#This Row],[PACK]],GLOBAL_DATA_01[Status],CALCULATION[[#Headers],[VERIFIED]])</f>
        <v>#REF!</v>
      </c>
      <c r="AB8" s="88" t="e">
        <f>COUNTIFS(#REF!,CALCULATION[[#This Row],[PACK]],GLOBAL_DATA_01[Priority],"P0",GLOBAL_DATA_01[Status],"&lt;&gt;"&amp;Status_No_Project)</f>
        <v>#REF!</v>
      </c>
      <c r="AC8" s="88" t="e">
        <f>COUNTIFS(#REF!,CALCULATION[[#This Row],[PACK]],GLOBAL_DATA_01[Priority],"P1",GLOBAL_DATA_01[Status],"&lt;&gt;"&amp;Status_No_Project)</f>
        <v>#REF!</v>
      </c>
      <c r="AD8" s="88" t="e">
        <f>COUNTIFS(#REF!,CALCULATION[[#This Row],[PACK]],GLOBAL_DATA_01[Priority],"&gt;=P2",GLOBAL_DATA_01[Status],"&lt;&gt;NO PROJECT")</f>
        <v>#REF!</v>
      </c>
      <c r="AE8" s="92" t="e">
        <f>COUNTIFS(#REF!,CALCULATION[[#This Row],[PACK]],GLOBAL_DATA_01[Status],"&lt;&gt;"&amp;Status_No_Project)</f>
        <v>#REF!</v>
      </c>
      <c r="AF8" s="100" t="e">
        <f>COUNTIFS(#REF!,CALCULATION[[#This Row],[PACK]],GLOBAL_DATA_01[Priority],"P0",GLOBAL_DATA_01[Target status],DATA!$I$12)</f>
        <v>#REF!</v>
      </c>
      <c r="AG8" s="100" t="e">
        <f>COUNTIFS(#REF!,CALCULATION[[#This Row],[PACK]],GLOBAL_DATA_01[Priority],"P1",GLOBAL_DATA_01[Target status],DATA!$I$12)</f>
        <v>#REF!</v>
      </c>
      <c r="AH8" s="100" t="e">
        <f>COUNTIFS(#REF!,CALCULATION[[#This Row],[PACK]],GLOBAL_DATA_01[Priority],"&gt;P1",GLOBAL_DATA_01[Target status],DATA!$I$12)</f>
        <v>#REF!</v>
      </c>
      <c r="AI8" s="88" t="e">
        <f>COUNTIFS(#REF!,CALCULATION[[#This Row],[PACK]],GLOBAL_DATA_01[Target status],DATA!$I$12)</f>
        <v>#REF!</v>
      </c>
      <c r="AJ8" s="88" t="e">
        <f>COUNTIFS(#REF!,CALCULATION[[#This Row],[PACK]],GLOBAL_DATA_01[Target status],DATA!I18,GLOBAL_DATA_01[Priority],"P0")</f>
        <v>#REF!</v>
      </c>
      <c r="AK8" s="88" t="e">
        <f>COUNTIFS(#REF!,CALCULATION[[#This Row],[PACK]],GLOBAL_DATA_01[Target status],DATA!I18,GLOBAL_DATA_01[Priority],"P1")</f>
        <v>#REF!</v>
      </c>
      <c r="AL8" s="88" t="e">
        <f>COUNTIFS(#REF!,CALCULATION[[#This Row],[PACK]],GLOBAL_DATA_01[Target status],DATA!I18,GLOBAL_DATA_01[Priority],"&gt;P1")</f>
        <v>#REF!</v>
      </c>
      <c r="AM8" s="85" t="e">
        <f>COUNTIFS(#REF!,CALCULATION[[#This Row],[PACK]],GLOBAL_DATA_01[Target status],CALCULATION[[#Headers],[PARTIAL IMPLEMENTATION + RA]])</f>
        <v>#REF!</v>
      </c>
      <c r="AN8" s="104">
        <f>1-CALCULATION[[#This Row],[IN SCOPE %]]</f>
        <v>1</v>
      </c>
      <c r="AO8" s="85" t="e">
        <f>COUNTIFS(#REF!,CALCULATION[[#This Row],[PACK]],GLOBAL_DATA_01[Target status],CALCULATION[[#Headers],[FULL IMPLEMENTATION]])</f>
        <v>#REF!</v>
      </c>
      <c r="AP8" s="87" t="e">
        <f>COUNTIFS(#REF!,CALCULATION[[#This Row],[PACK]],GLOBAL_DATA_01[Target status],CALCULATION[[#Headers],[NOT APPLICABLE]])</f>
        <v>#REF!</v>
      </c>
      <c r="AQ8" s="102" t="e">
        <f>COUNTIFS(#REF!,CALCULATION[[#This Row],[PACK]],GLOBAL_DATA_01[Priority],"P0",GLOBAL_DATA_01[Target status],DATA!$I$13)+COUNTIFS(#REF!,CALCULATION[[#This Row],[PACK]],GLOBAL_DATA_01[Priority],"P0",GLOBAL_DATA_01[Target status],DATA!$I$14)-CALCULATION[[#This Row],[COMPLETED P0]]</f>
        <v>#REF!</v>
      </c>
      <c r="AR8" s="103" t="e">
        <f>COUNTIFS(#REF!,CALCULATION[[#This Row],[PACK]],GLOBAL_DATA_01[Priority],"P1",GLOBAL_DATA_01[Target status],DATA!$I$13)+COUNTIFS(#REF!,CALCULATION[[#This Row],[PACK]],GLOBAL_DATA_01[Priority],"P1",GLOBAL_DATA_01[Target status],DATA!$I$14)-CALCULATION[[#This Row],[COMPLETED P1]]</f>
        <v>#REF!</v>
      </c>
      <c r="AS8" s="103" t="e">
        <f>COUNTIFS(#REF!,CALCULATION[[#This Row],[PACK]],GLOBAL_DATA_01[Priority],"&gt;P1",GLOBAL_DATA_01[Target status],DATA!$I$13)+COUNTIFS(#REF!,CALCULATION[[#This Row],[PACK]],GLOBAL_DATA_01[Priority],"&gt;P1",GLOBAL_DATA_01[Target status],DATA!$I$14)-CALCULATION[[#This Row],[COMPLETED P2&amp;3]]</f>
        <v>#REF!</v>
      </c>
      <c r="AT8" s="93" t="e">
        <f>CALCULATION[[#This Row],[PARTIAL IMPLEMENTATION + RA]]+CALCULATION[[#This Row],[FULL IMPLEMENTATION]]</f>
        <v>#REF!</v>
      </c>
      <c r="AU8" s="124" t="e">
        <f>CALCULATION[[#This Row],[IN PROGRESS]]+CALCULATION[[#This Row],[TO BE STARTED]]</f>
        <v>#REF!</v>
      </c>
      <c r="AV8" s="99" t="e">
        <f>COUNTIFS(#REF!,CALCULATION[[#This Row],[PACK]],GLOBAL_DATA_01[Priority],"P0",#REF!,1)</f>
        <v>#REF!</v>
      </c>
      <c r="AW8" s="85" t="e">
        <f>CALCULATION[[#This Row],[DONE P1]]+CALCULATION[[#This Row],[CHECKED CISO P1]]+CALCULATION[[#This Row],[VERIFIED P1]]</f>
        <v>#REF!</v>
      </c>
      <c r="AX8" s="99" t="e">
        <f>CALCULATION[[#This Row],[DONE P2&amp;P3]]+CALCULATION[[#This Row],[CHECKED CISO P2&amp;P3]]+CALCULATION[[#This Row],[VERIFIED P2&amp;P3]]</f>
        <v>#REF!</v>
      </c>
      <c r="AY8" s="85" t="e">
        <f>CALCULATION[[#This Row],[DONE]]+CALCULATION[[#This Row],[CHECKED CISO]]+CALCULATION[[#This Row],[VERIFIED]]</f>
        <v>#REF!</v>
      </c>
      <c r="AZ8" s="133">
        <f>IFERROR(CALCULATION[[#This Row],[COMPLETED]]/CALCULATION[[#This Row],[IN SCOPE]],0)</f>
        <v>0</v>
      </c>
      <c r="BA8" s="93" t="e">
        <f>COUNTIFS(#REF!,CALCULATION[[#This Row],[PACK]],GLOBAL_DATA_01[Target status],"&lt;&gt;"&amp;DATA!$I$15)</f>
        <v>#REF!</v>
      </c>
      <c r="BB8" s="128">
        <f>IFERROR(ROUND(SUMIFS(GLOBAL_DATA_01[Target scope],#REF!,CALCULATION[[#This Row],[PACK]],GLOBAL_DATA_01[Target status],"&lt;&gt;"&amp;DATA!$I$15)/CALCULATION[[#This Row],[IN SCOPE]],4),0)</f>
        <v>0</v>
      </c>
      <c r="BC8" s="107">
        <f>IFERROR(ROUND(CALCULATION[[#This Row],[RISK ACCEPTED (FULL MEASURE)]]/CALCULATION[[#This Row],[IN SCOPE]],4),0)</f>
        <v>0</v>
      </c>
      <c r="BD8" s="85" t="e">
        <f>IF((COUNTIFS(#REF!,CALCULATION[[#This Row],[PACK]],GLOBAL_DATA_01[CISO Comments]," ")&gt;0),(COUNTIFS(#REF!,CALCULATION[[#This Row],[PACK]],GLOBAL_DATA_01[CISO Comments],"&lt;&gt;No alert")),(COUNTIFS(#REF!,CALCULATION[[#This Row],[PACK]],GLOBAL_DATA_01[CISO Comments],"")&amp;" CISO assessment still empty"))</f>
        <v>#REF!</v>
      </c>
      <c r="BE8" s="86" t="e">
        <f>COUNTIFS(#REF!,CALCULATION[[#This Row],[PACK]],GLOBAL_DATA_01[CISO assessment],"&lt;&gt;No alert")-COUNTIFS(#REF!,CALCULATION[[#This Row],[PACK]],GLOBAL_DATA_01[CISO assessment],"")</f>
        <v>#REF!</v>
      </c>
      <c r="BF8" s="119" t="e">
        <f>COUNTIFS(#REF!,CALCULATION[[#This Row],[PACK]],GLOBAL_DATA_01[CISO assessment],"No alert")+COUNTIFS(#REF!,CALCULATION[[#This Row],[PACK]],GLOBAL_DATA_01[CISO assessment],"")</f>
        <v>#REF!</v>
      </c>
      <c r="BG8" s="110">
        <f>IFERROR(ROUND(SUMIF(#REF!,CALCULATION[[#This Row],[PACK]],GLOBAL_DATA_01[Target scope])/CALCULATION[[#This Row],[IN SCOPE]],4),0)</f>
        <v>0</v>
      </c>
      <c r="BH8" s="108">
        <f>IFERROR(ROUND(SUMIFS(#REF!,#REF!,CALCULATION[[#This Row],[PACK]],GLOBAL_DATA_01[Status],DATA!$I$6)/CALCULATION[[#This Row],[IN SCOPE]],4),0)</f>
        <v>0</v>
      </c>
      <c r="BI8" s="108">
        <f>IFERROR(ROUND(SUMIFS(#REF!,#REF!,CALCULATION[[#This Row],[PACK]],#REF!,1)/CALCULATION[[#This Row],[IN SCOPE]],4),0)-CALCULATION[[#This Row],[CURRENT IMPL DONE ]]</f>
        <v>0</v>
      </c>
      <c r="BJ8" s="108">
        <f>CALCULATION[[#This Row],[CURRENT IMPL]]-CALCULATION[[#This Row],[CURRENT IMPL DONE ]]-CALCULATION[[#This Row],[CURRENT IMPL CHECKED CISO &amp; VERIFIED]]</f>
        <v>0</v>
      </c>
      <c r="BK8" s="108">
        <f>IFERROR(ROUND(SUMIF(#REF!,CALCULATION[[#This Row],[PACK]],#REF!)/CALCULATION[[#This Row],[IN SCOPE]],4),0)</f>
        <v>0</v>
      </c>
      <c r="BL8" s="87" t="e">
        <f>COUNTIFS(#REF!,CALCULATION[[#This Row],[PACK]],GLOBAL_DATA_01[Re-estimated end],"&gt;31/12/2019",GLOBAL_DATA_01[Re-estimated end],"&lt;01/01/2021",#REF!,1)</f>
        <v>#REF!</v>
      </c>
      <c r="BM8" s="85" t="e">
        <f>COUNTIFS(#REF!,CALCULATION[[#This Row],[PACK]],GLOBAL_DATA_01[Re-estimated end],"&gt;31/12/2019",GLOBAL_DATA_01[Re-estimated end],"&lt;01/01/2021")</f>
        <v>#REF!</v>
      </c>
      <c r="BN8" s="105">
        <f>IFERROR(ROUND(SUMIFS(GLOBAL_DATA_01[Target scope],#REF!,CALCULATION[PACK],GLOBAL_DATA_01[Re-estimated end],"&gt;31/12/2019",GLOBAL_DATA_01[Re-estimated end],"&lt;01/01/2021")/CALCULATION[[#This Row],[IN SCOPE]],4),0)</f>
        <v>0</v>
      </c>
      <c r="BO8" s="85" t="e">
        <f>COUNTIFS(#REF!,CALCULATION[[#This Row],[PACK]],GLOBAL_DATA_01[Re-estimated end],"&gt;31/12/2020",GLOBAL_DATA_01[Re-estimated end],"&lt;01/01/2022",#REF!,1)</f>
        <v>#REF!</v>
      </c>
      <c r="BP8" s="85" t="e">
        <f>COUNTIFS(#REF!,CALCULATION[[#This Row],[PACK]],GLOBAL_DATA_01[Re-estimated end],"&gt;31/12/2020",GLOBAL_DATA_01[Re-estimated end],"&lt;01/01/2022")</f>
        <v>#REF!</v>
      </c>
      <c r="BQ8" s="105">
        <f>IFERROR(ROUND(SUMIFS(GLOBAL_DATA_01[Target scope],#REF!,CALCULATION[PACK],GLOBAL_DATA_01[Re-estimated end],"&gt;31/12/2020",GLOBAL_DATA_01[Re-estimated end],"&lt;01/01/2022")/CALCULATION[[#This Row],[IN SCOPE]],4),0)</f>
        <v>0</v>
      </c>
      <c r="BR8" s="85" t="e">
        <f>COUNTIFS(#REF!,CALCULATION[[#This Row],[PACK]],GLOBAL_DATA_01[Re-estimated end],"&gt;31/12/2021",#REF!,"&lt;01/01/2023",#REF!,1)</f>
        <v>#REF!</v>
      </c>
      <c r="BS8" s="85" t="e">
        <f>COUNTIFS(#REF!,CALCULATION[[#This Row],[PACK]],GLOBAL_DATA_01[Re-estimated end],"&gt;31/12/2021",GLOBAL_DATA_01[Re-estimated end],"&lt;01/01/2023")</f>
        <v>#REF!</v>
      </c>
      <c r="BT8" s="106">
        <f>IFERROR(ROUND(SUMIFS(GLOBAL_DATA_01[Target scope],#REF!,CALCULATION[PACK],GLOBAL_DATA_01[Re-estimated end],"&gt;31/12/2021",GLOBAL_DATA_01[Re-estimated end],"&lt;01/01/2023")/CALCULATION[[#This Row],[IN SCOPE]],4),0)</f>
        <v>0</v>
      </c>
      <c r="BU8" s="106">
        <f>CALCULATION[[#This Row],[% 2020 COMMITTED]]+CALCULATION[[#This Row],[% 2021 COMMITTED]]+CALCULATION[[#This Row],[% 2022 COMMITTED]]</f>
        <v>0</v>
      </c>
      <c r="BV8" s="113">
        <f t="shared" si="0"/>
        <v>0</v>
      </c>
      <c r="BW8" s="107">
        <f>CALCULATION[[#This Row],[% 2020 COMMITTED]]+CALCULATION[[#This Row],[% 2021 COMMITTED]]+CALCULATION[[#This Row],[% 2022 COMMITTED]]-CALCULATION[[#This Row],[CURRENT IMPL]]</f>
        <v>0</v>
      </c>
    </row>
    <row r="9" spans="1:77" x14ac:dyDescent="0.25">
      <c r="A9" s="88" t="s">
        <v>8</v>
      </c>
      <c r="B9" s="115">
        <v>1</v>
      </c>
      <c r="C9" s="115">
        <v>0.1</v>
      </c>
      <c r="D9" s="88" t="e">
        <f>COUNTIFS(#REF!,CALCULATION[[#This Row],[PACK]],GLOBAL_DATA_01[Priority],"P0",GLOBAL_DATA_01[Status],Status_No_Project)</f>
        <v>#REF!</v>
      </c>
      <c r="E9" s="88" t="e">
        <f>COUNTIFS(#REF!,CALCULATION[[#This Row],[PACK]],GLOBAL_DATA_01[Priority],"P1",GLOBAL_DATA_01[Status],Status_No_Project)</f>
        <v>#REF!</v>
      </c>
      <c r="F9" s="88" t="e">
        <f>COUNTIFS(#REF!,CALCULATION[[#This Row],[PACK]],GLOBAL_DATA_01[Priority],"&gt;=P2",GLOBAL_DATA_01[Status],Status_No_Project)</f>
        <v>#REF!</v>
      </c>
      <c r="G9" s="88" t="e">
        <f>COUNTIFS(#REF!,CALCULATION[[#This Row],[PACK]],GLOBAL_DATA_01[Status],CALCULATION[[#Headers],[NO PROJECT]])</f>
        <v>#REF!</v>
      </c>
      <c r="H9" s="88" t="e">
        <f>COUNTIFS(#REF!,CALCULATION[[#This Row],[PACK]],GLOBAL_DATA_01[Priority],"P0",GLOBAL_DATA_01[Status],DATA!$I$4)</f>
        <v>#REF!</v>
      </c>
      <c r="I9" s="88" t="e">
        <f>COUNTIFS(#REF!,CALCULATION[[#This Row],[PACK]],GLOBAL_DATA_01[Priority],"P1",GLOBAL_DATA_01[Status],DATA!$I$4)</f>
        <v>#REF!</v>
      </c>
      <c r="J9" s="88" t="e">
        <f>COUNTIFS(#REF!,CALCULATION[[#This Row],[PACK]],GLOBAL_DATA_01[Priority],"&gt;=P2",GLOBAL_DATA_01[Status],DATA!$I$4)</f>
        <v>#REF!</v>
      </c>
      <c r="K9" s="88" t="e">
        <f>COUNTIFS(#REF!,CALCULATION[[#This Row],[PACK]],GLOBAL_DATA_01[Status],CALCULATION[[#Headers],[TO BE STARTED]])</f>
        <v>#REF!</v>
      </c>
      <c r="L9" s="88" t="e">
        <f>COUNTIFS(#REF!,CALCULATION[[#This Row],[PACK]],GLOBAL_DATA_01[Priority],"P0",GLOBAL_DATA_01[Status],"IN PROGRESS")</f>
        <v>#REF!</v>
      </c>
      <c r="M9" s="88" t="e">
        <f>COUNTIFS(#REF!,CALCULATION[[#This Row],[PACK]],GLOBAL_DATA_01[Priority],"P1",GLOBAL_DATA_01[Status],DATA!$I$5)</f>
        <v>#REF!</v>
      </c>
      <c r="N9" s="88" t="e">
        <f>COUNTIFS(#REF!,CALCULATION[[#This Row],[PACK]],GLOBAL_DATA_01[Priority],"&gt;=P2",GLOBAL_DATA_01[Status],DATA!$I$5)</f>
        <v>#REF!</v>
      </c>
      <c r="O9" s="88" t="e">
        <f>COUNTIFS(#REF!,CALCULATION[[#This Row],[PACK]],GLOBAL_DATA_01[Status],CALCULATION[[#Headers],[IN PROGRESS]])</f>
        <v>#REF!</v>
      </c>
      <c r="P9" s="88" t="e">
        <f>COUNTIFS(#REF!,CALCULATION[[#This Row],[PACK]],GLOBAL_DATA_01[Priority],"P0",GLOBAL_DATA_01[Status],DATA!$I$6)</f>
        <v>#REF!</v>
      </c>
      <c r="Q9" s="88" t="e">
        <f>COUNTIFS(#REF!,CALCULATION[[#This Row],[PACK]],GLOBAL_DATA_01[Priority],"P1",GLOBAL_DATA_01[Status],DATA!$I$6)</f>
        <v>#REF!</v>
      </c>
      <c r="R9" s="88" t="e">
        <f>COUNTIFS(#REF!,CALCULATION[[#This Row],[PACK]],GLOBAL_DATA_01[Priority],"&gt;=P2",GLOBAL_DATA_01[Status],DATA!$I$6)</f>
        <v>#REF!</v>
      </c>
      <c r="S9" s="88" t="e">
        <f>COUNTIFS(#REF!,CALCULATION[[#This Row],[PACK]],GLOBAL_DATA_01[Status],CALCULATION[[#Headers],[DONE]])</f>
        <v>#REF!</v>
      </c>
      <c r="T9" s="88" t="e">
        <f>COUNTIFS(#REF!,CALCULATION[[#This Row],[PACK]],GLOBAL_DATA_01[Priority],"P0",GLOBAL_DATA_01[Status],DATA!$I$7)</f>
        <v>#REF!</v>
      </c>
      <c r="U9" s="88" t="e">
        <f>COUNTIFS(#REF!,CALCULATION[[#This Row],[PACK]],GLOBAL_DATA_01[Priority],"P1",GLOBAL_DATA_01[Status],DATA!$I$7)</f>
        <v>#REF!</v>
      </c>
      <c r="V9" s="88" t="e">
        <f>COUNTIFS(#REF!,CALCULATION[[#This Row],[PACK]],GLOBAL_DATA_01[Priority],"&gt;=P2",GLOBAL_DATA_01[Status],DATA!$I$7)</f>
        <v>#REF!</v>
      </c>
      <c r="W9" s="88" t="e">
        <f>COUNTIFS(#REF!,CALCULATION[[#This Row],[PACK]],GLOBAL_DATA_01[Status],CALCULATION[[#Headers],[CHECKED CISO]])</f>
        <v>#REF!</v>
      </c>
      <c r="X9" s="88" t="e">
        <f>COUNTIFS(#REF!,CALCULATION[[#This Row],[PACK]],GLOBAL_DATA_01[Priority],"P0",GLOBAL_DATA_01[Status],DATA!$I$8)</f>
        <v>#REF!</v>
      </c>
      <c r="Y9" s="88" t="e">
        <f>COUNTIFS(#REF!,CALCULATION[[#This Row],[PACK]],GLOBAL_DATA_01[Priority],"P1",GLOBAL_DATA_01[Status],DATA!$I$8)</f>
        <v>#REF!</v>
      </c>
      <c r="Z9" s="88" t="e">
        <f>COUNTIFS(#REF!,CALCULATION[[#This Row],[PACK]],GLOBAL_DATA_01[Priority],"&gt;=P2",GLOBAL_DATA_01[Status],DATA!$I$8)</f>
        <v>#REF!</v>
      </c>
      <c r="AA9" s="88" t="e">
        <f>COUNTIFS(#REF!,CALCULATION[[#This Row],[PACK]],GLOBAL_DATA_01[Status],CALCULATION[[#Headers],[VERIFIED]])</f>
        <v>#REF!</v>
      </c>
      <c r="AB9" s="88" t="e">
        <f>COUNTIFS(#REF!,CALCULATION[[#This Row],[PACK]],GLOBAL_DATA_01[Priority],"P0",GLOBAL_DATA_01[Status],"&lt;&gt;"&amp;Status_No_Project)</f>
        <v>#REF!</v>
      </c>
      <c r="AC9" s="88" t="e">
        <f>COUNTIFS(#REF!,CALCULATION[[#This Row],[PACK]],GLOBAL_DATA_01[Priority],"P1",GLOBAL_DATA_01[Status],"&lt;&gt;"&amp;Status_No_Project)</f>
        <v>#REF!</v>
      </c>
      <c r="AD9" s="88" t="e">
        <f>COUNTIFS(#REF!,CALCULATION[[#This Row],[PACK]],GLOBAL_DATA_01[Priority],"&gt;=P2",GLOBAL_DATA_01[Status],"&lt;&gt;NO PROJECT")</f>
        <v>#REF!</v>
      </c>
      <c r="AE9" s="92" t="e">
        <f>COUNTIFS(#REF!,CALCULATION[[#This Row],[PACK]],GLOBAL_DATA_01[Status],"&lt;&gt;"&amp;Status_No_Project)</f>
        <v>#REF!</v>
      </c>
      <c r="AF9" s="100" t="e">
        <f>COUNTIFS(#REF!,CALCULATION[[#This Row],[PACK]],GLOBAL_DATA_01[Priority],"P0",GLOBAL_DATA_01[Target status],DATA!$I$12)</f>
        <v>#REF!</v>
      </c>
      <c r="AG9" s="100" t="e">
        <f>COUNTIFS(#REF!,CALCULATION[[#This Row],[PACK]],GLOBAL_DATA_01[Priority],"P1",GLOBAL_DATA_01[Target status],DATA!$I$12)</f>
        <v>#REF!</v>
      </c>
      <c r="AH9" s="100" t="e">
        <f>COUNTIFS(#REF!,CALCULATION[[#This Row],[PACK]],GLOBAL_DATA_01[Priority],"&gt;P1",GLOBAL_DATA_01[Target status],DATA!$I$12)</f>
        <v>#REF!</v>
      </c>
      <c r="AI9" s="88" t="e">
        <f>COUNTIFS(#REF!,CALCULATION[[#This Row],[PACK]],GLOBAL_DATA_01[Target status],DATA!$I$12)</f>
        <v>#REF!</v>
      </c>
      <c r="AJ9" s="88" t="e">
        <f>COUNTIFS(#REF!,CALCULATION[[#This Row],[PACK]],GLOBAL_DATA_01[Target status],DATA!I19,GLOBAL_DATA_01[Priority],"P0")</f>
        <v>#REF!</v>
      </c>
      <c r="AK9" s="88" t="e">
        <f>COUNTIFS(#REF!,CALCULATION[[#This Row],[PACK]],GLOBAL_DATA_01[Target status],DATA!I19,GLOBAL_DATA_01[Priority],"P1")</f>
        <v>#REF!</v>
      </c>
      <c r="AL9" s="88" t="e">
        <f>COUNTIFS(#REF!,CALCULATION[[#This Row],[PACK]],GLOBAL_DATA_01[Target status],DATA!I19,GLOBAL_DATA_01[Priority],"&gt;P1")</f>
        <v>#REF!</v>
      </c>
      <c r="AM9" s="85" t="e">
        <f>COUNTIFS(#REF!,CALCULATION[[#This Row],[PACK]],GLOBAL_DATA_01[Target status],CALCULATION[[#Headers],[PARTIAL IMPLEMENTATION + RA]])</f>
        <v>#REF!</v>
      </c>
      <c r="AN9" s="104">
        <f>1-CALCULATION[[#This Row],[IN SCOPE %]]</f>
        <v>1</v>
      </c>
      <c r="AO9" s="85" t="e">
        <f>COUNTIFS(#REF!,CALCULATION[[#This Row],[PACK]],GLOBAL_DATA_01[Target status],CALCULATION[[#Headers],[FULL IMPLEMENTATION]])</f>
        <v>#REF!</v>
      </c>
      <c r="AP9" s="87" t="e">
        <f>COUNTIFS(#REF!,CALCULATION[[#This Row],[PACK]],GLOBAL_DATA_01[Target status],CALCULATION[[#Headers],[NOT APPLICABLE]])</f>
        <v>#REF!</v>
      </c>
      <c r="AQ9" s="102" t="e">
        <f>COUNTIFS(#REF!,CALCULATION[[#This Row],[PACK]],GLOBAL_DATA_01[Priority],"P0",GLOBAL_DATA_01[Target status],DATA!$I$13)+COUNTIFS(#REF!,CALCULATION[[#This Row],[PACK]],GLOBAL_DATA_01[Priority],"P0",GLOBAL_DATA_01[Target status],DATA!$I$14)-CALCULATION[[#This Row],[COMPLETED P0]]</f>
        <v>#REF!</v>
      </c>
      <c r="AR9" s="103" t="e">
        <f>COUNTIFS(#REF!,CALCULATION[[#This Row],[PACK]],GLOBAL_DATA_01[Priority],"P1",GLOBAL_DATA_01[Target status],DATA!$I$13)+COUNTIFS(#REF!,CALCULATION[[#This Row],[PACK]],GLOBAL_DATA_01[Priority],"P1",GLOBAL_DATA_01[Target status],DATA!$I$14)-CALCULATION[[#This Row],[COMPLETED P1]]</f>
        <v>#REF!</v>
      </c>
      <c r="AS9" s="103" t="e">
        <f>COUNTIFS(#REF!,CALCULATION[[#This Row],[PACK]],GLOBAL_DATA_01[Priority],"&gt;P1",GLOBAL_DATA_01[Target status],DATA!$I$13)+COUNTIFS(#REF!,CALCULATION[[#This Row],[PACK]],GLOBAL_DATA_01[Priority],"&gt;P1",GLOBAL_DATA_01[Target status],DATA!$I$14)-CALCULATION[[#This Row],[COMPLETED P2&amp;3]]</f>
        <v>#REF!</v>
      </c>
      <c r="AT9" s="93" t="e">
        <f>CALCULATION[[#This Row],[PARTIAL IMPLEMENTATION + RA]]+CALCULATION[[#This Row],[FULL IMPLEMENTATION]]</f>
        <v>#REF!</v>
      </c>
      <c r="AU9" s="124" t="e">
        <f>CALCULATION[[#This Row],[IN PROGRESS]]+CALCULATION[[#This Row],[TO BE STARTED]]</f>
        <v>#REF!</v>
      </c>
      <c r="AV9" s="99" t="e">
        <f>COUNTIFS(#REF!,CALCULATION[[#This Row],[PACK]],GLOBAL_DATA_01[Priority],"P0",#REF!,1)</f>
        <v>#REF!</v>
      </c>
      <c r="AW9" s="85" t="e">
        <f>CALCULATION[[#This Row],[DONE P1]]+CALCULATION[[#This Row],[CHECKED CISO P1]]+CALCULATION[[#This Row],[VERIFIED P1]]</f>
        <v>#REF!</v>
      </c>
      <c r="AX9" s="99" t="e">
        <f>CALCULATION[[#This Row],[DONE P2&amp;P3]]+CALCULATION[[#This Row],[CHECKED CISO P2&amp;P3]]+CALCULATION[[#This Row],[VERIFIED P2&amp;P3]]</f>
        <v>#REF!</v>
      </c>
      <c r="AY9" s="85" t="e">
        <f>CALCULATION[[#This Row],[DONE]]+CALCULATION[[#This Row],[CHECKED CISO]]+CALCULATION[[#This Row],[VERIFIED]]</f>
        <v>#REF!</v>
      </c>
      <c r="AZ9" s="133">
        <f>IFERROR(CALCULATION[[#This Row],[COMPLETED]]/CALCULATION[[#This Row],[IN SCOPE]],0)</f>
        <v>0</v>
      </c>
      <c r="BA9" s="93" t="e">
        <f>COUNTIFS(#REF!,CALCULATION[[#This Row],[PACK]],GLOBAL_DATA_01[Target status],"&lt;&gt;"&amp;DATA!$I$15)</f>
        <v>#REF!</v>
      </c>
      <c r="BB9" s="128">
        <f>IFERROR(ROUND(SUMIFS(GLOBAL_DATA_01[Target scope],#REF!,CALCULATION[[#This Row],[PACK]],GLOBAL_DATA_01[Target status],"&lt;&gt;"&amp;DATA!$I$15)/CALCULATION[[#This Row],[IN SCOPE]],4),0)</f>
        <v>0</v>
      </c>
      <c r="BC9" s="107">
        <f>IFERROR(ROUND(CALCULATION[[#This Row],[RISK ACCEPTED (FULL MEASURE)]]/CALCULATION[[#This Row],[IN SCOPE]],4),0)</f>
        <v>0</v>
      </c>
      <c r="BD9" s="85" t="e">
        <f>IF((COUNTIFS(#REF!,CALCULATION[[#This Row],[PACK]],GLOBAL_DATA_01[CISO Comments]," ")&gt;0),(COUNTIFS(#REF!,CALCULATION[[#This Row],[PACK]],GLOBAL_DATA_01[CISO Comments],"&lt;&gt;No alert")),(COUNTIFS(#REF!,CALCULATION[[#This Row],[PACK]],GLOBAL_DATA_01[CISO Comments],"")&amp;" CISO assessment still empty"))</f>
        <v>#REF!</v>
      </c>
      <c r="BE9" s="86" t="e">
        <f>COUNTIFS(#REF!,CALCULATION[[#This Row],[PACK]],GLOBAL_DATA_01[CISO assessment],"&lt;&gt;No alert")-COUNTIFS(#REF!,CALCULATION[[#This Row],[PACK]],GLOBAL_DATA_01[CISO assessment],"")</f>
        <v>#REF!</v>
      </c>
      <c r="BF9" s="119" t="e">
        <f>COUNTIFS(#REF!,CALCULATION[[#This Row],[PACK]],GLOBAL_DATA_01[CISO assessment],"No alert")+COUNTIFS(#REF!,CALCULATION[[#This Row],[PACK]],GLOBAL_DATA_01[CISO assessment],"")</f>
        <v>#REF!</v>
      </c>
      <c r="BG9" s="110">
        <f>IFERROR(ROUND(SUMIF(#REF!,CALCULATION[[#This Row],[PACK]],GLOBAL_DATA_01[Target scope])/CALCULATION[[#This Row],[IN SCOPE]],4),0)</f>
        <v>0</v>
      </c>
      <c r="BH9" s="108">
        <f>IFERROR(ROUND(SUMIFS(#REF!,#REF!,CALCULATION[[#This Row],[PACK]],GLOBAL_DATA_01[Status],DATA!$I$6)/CALCULATION[[#This Row],[IN SCOPE]],4),0)</f>
        <v>0</v>
      </c>
      <c r="BI9" s="108">
        <f>IFERROR(ROUND(SUMIFS(#REF!,#REF!,CALCULATION[[#This Row],[PACK]],#REF!,1)/CALCULATION[[#This Row],[IN SCOPE]],4),0)-CALCULATION[[#This Row],[CURRENT IMPL DONE ]]</f>
        <v>0</v>
      </c>
      <c r="BJ9" s="108">
        <f>CALCULATION[[#This Row],[CURRENT IMPL]]-CALCULATION[[#This Row],[CURRENT IMPL DONE ]]-CALCULATION[[#This Row],[CURRENT IMPL CHECKED CISO &amp; VERIFIED]]</f>
        <v>0</v>
      </c>
      <c r="BK9" s="108">
        <f>IFERROR(ROUND(SUMIF(#REF!,CALCULATION[[#This Row],[PACK]],#REF!)/CALCULATION[[#This Row],[IN SCOPE]],4),0)</f>
        <v>0</v>
      </c>
      <c r="BL9" s="87" t="e">
        <f>COUNTIFS(#REF!,CALCULATION[[#This Row],[PACK]],GLOBAL_DATA_01[Re-estimated end],"&gt;31/12/2019",GLOBAL_DATA_01[Re-estimated end],"&lt;01/01/2021",#REF!,1)</f>
        <v>#REF!</v>
      </c>
      <c r="BM9" s="85" t="e">
        <f>COUNTIFS(#REF!,CALCULATION[[#This Row],[PACK]],GLOBAL_DATA_01[Re-estimated end],"&gt;31/12/2019",GLOBAL_DATA_01[Re-estimated end],"&lt;01/01/2021")</f>
        <v>#REF!</v>
      </c>
      <c r="BN9" s="105">
        <f>IFERROR(ROUND(SUMIFS(GLOBAL_DATA_01[Target scope],#REF!,CALCULATION[PACK],GLOBAL_DATA_01[Re-estimated end],"&gt;31/12/2019",GLOBAL_DATA_01[Re-estimated end],"&lt;01/01/2021")/CALCULATION[[#This Row],[IN SCOPE]],4),0)</f>
        <v>0</v>
      </c>
      <c r="BO9" s="85" t="e">
        <f>COUNTIFS(#REF!,CALCULATION[[#This Row],[PACK]],GLOBAL_DATA_01[Re-estimated end],"&gt;31/12/2020",GLOBAL_DATA_01[Re-estimated end],"&lt;01/01/2022",#REF!,1)</f>
        <v>#REF!</v>
      </c>
      <c r="BP9" s="85" t="e">
        <f>COUNTIFS(#REF!,CALCULATION[[#This Row],[PACK]],GLOBAL_DATA_01[Re-estimated end],"&gt;31/12/2020",GLOBAL_DATA_01[Re-estimated end],"&lt;01/01/2022")</f>
        <v>#REF!</v>
      </c>
      <c r="BQ9" s="105">
        <f>IFERROR(ROUND(SUMIFS(GLOBAL_DATA_01[Target scope],#REF!,CALCULATION[PACK],GLOBAL_DATA_01[Re-estimated end],"&gt;31/12/2020",GLOBAL_DATA_01[Re-estimated end],"&lt;01/01/2022")/CALCULATION[[#This Row],[IN SCOPE]],4),0)</f>
        <v>0</v>
      </c>
      <c r="BR9" s="85" t="e">
        <f>COUNTIFS(#REF!,CALCULATION[[#This Row],[PACK]],GLOBAL_DATA_01[Re-estimated end],"&gt;31/12/2021",#REF!,"&lt;01/01/2023",#REF!,1)</f>
        <v>#REF!</v>
      </c>
      <c r="BS9" s="85" t="e">
        <f>COUNTIFS(#REF!,CALCULATION[[#This Row],[PACK]],GLOBAL_DATA_01[Re-estimated end],"&gt;31/12/2021",GLOBAL_DATA_01[Re-estimated end],"&lt;01/01/2023")</f>
        <v>#REF!</v>
      </c>
      <c r="BT9" s="106">
        <f>IFERROR(ROUND(SUMIFS(GLOBAL_DATA_01[Target scope],#REF!,CALCULATION[PACK],GLOBAL_DATA_01[Re-estimated end],"&gt;31/12/2021",GLOBAL_DATA_01[Re-estimated end],"&lt;01/01/2023")/CALCULATION[[#This Row],[IN SCOPE]],4),0)</f>
        <v>0</v>
      </c>
      <c r="BU9" s="106">
        <f>CALCULATION[[#This Row],[% 2020 COMMITTED]]+CALCULATION[[#This Row],[% 2021 COMMITTED]]+CALCULATION[[#This Row],[% 2022 COMMITTED]]</f>
        <v>0</v>
      </c>
      <c r="BV9" s="113">
        <f t="shared" si="0"/>
        <v>0</v>
      </c>
      <c r="BW9" s="107">
        <f>CALCULATION[[#This Row],[% 2020 COMMITTED]]+CALCULATION[[#This Row],[% 2021 COMMITTED]]+CALCULATION[[#This Row],[% 2022 COMMITTED]]-CALCULATION[[#This Row],[CURRENT IMPL]]</f>
        <v>0</v>
      </c>
    </row>
    <row r="10" spans="1:77" x14ac:dyDescent="0.25">
      <c r="A10" s="88" t="s">
        <v>9</v>
      </c>
      <c r="B10" s="115">
        <v>1</v>
      </c>
      <c r="C10" s="115">
        <v>0.11</v>
      </c>
      <c r="D10" s="88" t="e">
        <f>COUNTIFS(#REF!,CALCULATION[[#This Row],[PACK]],GLOBAL_DATA_01[Priority],"P0",GLOBAL_DATA_01[Status],Status_No_Project)</f>
        <v>#REF!</v>
      </c>
      <c r="E10" s="88" t="e">
        <f>COUNTIFS(#REF!,CALCULATION[[#This Row],[PACK]],GLOBAL_DATA_01[Priority],"P1",GLOBAL_DATA_01[Status],Status_No_Project)</f>
        <v>#REF!</v>
      </c>
      <c r="F10" s="88" t="e">
        <f>COUNTIFS(#REF!,CALCULATION[[#This Row],[PACK]],GLOBAL_DATA_01[Priority],"&gt;=P2",GLOBAL_DATA_01[Status],Status_No_Project)</f>
        <v>#REF!</v>
      </c>
      <c r="G10" s="88" t="e">
        <f>COUNTIFS(#REF!,CALCULATION[[#This Row],[PACK]],GLOBAL_DATA_01[Status],CALCULATION[[#Headers],[NO PROJECT]])</f>
        <v>#REF!</v>
      </c>
      <c r="H10" s="88" t="e">
        <f>COUNTIFS(#REF!,CALCULATION[[#This Row],[PACK]],GLOBAL_DATA_01[Priority],"P0",GLOBAL_DATA_01[Status],DATA!$I$4)</f>
        <v>#REF!</v>
      </c>
      <c r="I10" s="88" t="e">
        <f>COUNTIFS(#REF!,CALCULATION[[#This Row],[PACK]],GLOBAL_DATA_01[Priority],"P1",GLOBAL_DATA_01[Status],DATA!$I$4)</f>
        <v>#REF!</v>
      </c>
      <c r="J10" s="88" t="e">
        <f>COUNTIFS(#REF!,CALCULATION[[#This Row],[PACK]],GLOBAL_DATA_01[Priority],"&gt;=P2",GLOBAL_DATA_01[Status],DATA!$I$4)</f>
        <v>#REF!</v>
      </c>
      <c r="K10" s="88" t="e">
        <f>COUNTIFS(#REF!,CALCULATION[[#This Row],[PACK]],GLOBAL_DATA_01[Status],CALCULATION[[#Headers],[TO BE STARTED]])</f>
        <v>#REF!</v>
      </c>
      <c r="L10" s="88" t="e">
        <f>COUNTIFS(#REF!,CALCULATION[[#This Row],[PACK]],GLOBAL_DATA_01[Priority],"P0",GLOBAL_DATA_01[Status],"IN PROGRESS")</f>
        <v>#REF!</v>
      </c>
      <c r="M10" s="88" t="e">
        <f>COUNTIFS(#REF!,CALCULATION[[#This Row],[PACK]],GLOBAL_DATA_01[Priority],"P1",GLOBAL_DATA_01[Status],DATA!$I$5)</f>
        <v>#REF!</v>
      </c>
      <c r="N10" s="88" t="e">
        <f>COUNTIFS(#REF!,CALCULATION[[#This Row],[PACK]],GLOBAL_DATA_01[Priority],"&gt;=P2",GLOBAL_DATA_01[Status],DATA!$I$5)</f>
        <v>#REF!</v>
      </c>
      <c r="O10" s="88" t="e">
        <f>COUNTIFS(#REF!,CALCULATION[[#This Row],[PACK]],GLOBAL_DATA_01[Status],CALCULATION[[#Headers],[IN PROGRESS]])</f>
        <v>#REF!</v>
      </c>
      <c r="P10" s="88" t="e">
        <f>COUNTIFS(#REF!,CALCULATION[[#This Row],[PACK]],GLOBAL_DATA_01[Priority],"P0",GLOBAL_DATA_01[Status],DATA!$I$6)</f>
        <v>#REF!</v>
      </c>
      <c r="Q10" s="88" t="e">
        <f>COUNTIFS(#REF!,CALCULATION[[#This Row],[PACK]],GLOBAL_DATA_01[Priority],"P1",GLOBAL_DATA_01[Status],DATA!$I$6)</f>
        <v>#REF!</v>
      </c>
      <c r="R10" s="88" t="e">
        <f>COUNTIFS(#REF!,CALCULATION[[#This Row],[PACK]],GLOBAL_DATA_01[Priority],"&gt;=P2",GLOBAL_DATA_01[Status],DATA!$I$6)</f>
        <v>#REF!</v>
      </c>
      <c r="S10" s="88" t="e">
        <f>COUNTIFS(#REF!,CALCULATION[[#This Row],[PACK]],GLOBAL_DATA_01[Status],CALCULATION[[#Headers],[DONE]])</f>
        <v>#REF!</v>
      </c>
      <c r="T10" s="88" t="e">
        <f>COUNTIFS(#REF!,CALCULATION[[#This Row],[PACK]],GLOBAL_DATA_01[Priority],"P0",GLOBAL_DATA_01[Status],DATA!$I$7)</f>
        <v>#REF!</v>
      </c>
      <c r="U10" s="88" t="e">
        <f>COUNTIFS(#REF!,CALCULATION[[#This Row],[PACK]],GLOBAL_DATA_01[Priority],"P1",GLOBAL_DATA_01[Status],DATA!$I$7)</f>
        <v>#REF!</v>
      </c>
      <c r="V10" s="88" t="e">
        <f>COUNTIFS(#REF!,CALCULATION[[#This Row],[PACK]],GLOBAL_DATA_01[Priority],"&gt;=P2",GLOBAL_DATA_01[Status],DATA!$I$7)</f>
        <v>#REF!</v>
      </c>
      <c r="W10" s="88" t="e">
        <f>COUNTIFS(#REF!,CALCULATION[[#This Row],[PACK]],GLOBAL_DATA_01[Status],CALCULATION[[#Headers],[CHECKED CISO]])</f>
        <v>#REF!</v>
      </c>
      <c r="X10" s="88" t="e">
        <f>COUNTIFS(#REF!,CALCULATION[[#This Row],[PACK]],GLOBAL_DATA_01[Priority],"P0",GLOBAL_DATA_01[Status],DATA!$I$8)</f>
        <v>#REF!</v>
      </c>
      <c r="Y10" s="88" t="e">
        <f>COUNTIFS(#REF!,CALCULATION[[#This Row],[PACK]],GLOBAL_DATA_01[Priority],"P1",GLOBAL_DATA_01[Status],DATA!$I$8)</f>
        <v>#REF!</v>
      </c>
      <c r="Z10" s="88" t="e">
        <f>COUNTIFS(#REF!,CALCULATION[[#This Row],[PACK]],GLOBAL_DATA_01[Priority],"&gt;=P2",GLOBAL_DATA_01[Status],DATA!$I$8)</f>
        <v>#REF!</v>
      </c>
      <c r="AA10" s="88" t="e">
        <f>COUNTIFS(#REF!,CALCULATION[[#This Row],[PACK]],GLOBAL_DATA_01[Status],CALCULATION[[#Headers],[VERIFIED]])</f>
        <v>#REF!</v>
      </c>
      <c r="AB10" s="88" t="e">
        <f>COUNTIFS(#REF!,CALCULATION[[#This Row],[PACK]],GLOBAL_DATA_01[Priority],"P0",GLOBAL_DATA_01[Status],"&lt;&gt;"&amp;Status_No_Project)</f>
        <v>#REF!</v>
      </c>
      <c r="AC10" s="88" t="e">
        <f>COUNTIFS(#REF!,CALCULATION[[#This Row],[PACK]],GLOBAL_DATA_01[Priority],"P1",GLOBAL_DATA_01[Status],"&lt;&gt;"&amp;Status_No_Project)</f>
        <v>#REF!</v>
      </c>
      <c r="AD10" s="88" t="e">
        <f>COUNTIFS(#REF!,CALCULATION[[#This Row],[PACK]],GLOBAL_DATA_01[Priority],"&gt;=P2",GLOBAL_DATA_01[Status],"&lt;&gt;NO PROJECT")</f>
        <v>#REF!</v>
      </c>
      <c r="AE10" s="92" t="e">
        <f>COUNTIFS(#REF!,CALCULATION[[#This Row],[PACK]],GLOBAL_DATA_01[Status],"&lt;&gt;"&amp;Status_No_Project)</f>
        <v>#REF!</v>
      </c>
      <c r="AF10" s="100" t="e">
        <f>COUNTIFS(#REF!,CALCULATION[[#This Row],[PACK]],GLOBAL_DATA_01[Priority],"P0",GLOBAL_DATA_01[Target status],DATA!$I$12)</f>
        <v>#REF!</v>
      </c>
      <c r="AG10" s="100" t="e">
        <f>COUNTIFS(#REF!,CALCULATION[[#This Row],[PACK]],GLOBAL_DATA_01[Priority],"P1",GLOBAL_DATA_01[Target status],DATA!$I$12)</f>
        <v>#REF!</v>
      </c>
      <c r="AH10" s="100" t="e">
        <f>COUNTIFS(#REF!,CALCULATION[[#This Row],[PACK]],GLOBAL_DATA_01[Priority],"&gt;P1",GLOBAL_DATA_01[Target status],DATA!$I$12)</f>
        <v>#REF!</v>
      </c>
      <c r="AI10" s="88" t="e">
        <f>COUNTIFS(#REF!,CALCULATION[[#This Row],[PACK]],GLOBAL_DATA_01[Target status],DATA!$I$12)</f>
        <v>#REF!</v>
      </c>
      <c r="AJ10" s="88" t="e">
        <f>COUNTIFS(#REF!,CALCULATION[[#This Row],[PACK]],GLOBAL_DATA_01[Target status],DATA!I20,GLOBAL_DATA_01[Priority],"P0")</f>
        <v>#REF!</v>
      </c>
      <c r="AK10" s="88" t="e">
        <f>COUNTIFS(#REF!,CALCULATION[[#This Row],[PACK]],GLOBAL_DATA_01[Target status],DATA!I20,GLOBAL_DATA_01[Priority],"P1")</f>
        <v>#REF!</v>
      </c>
      <c r="AL10" s="88" t="e">
        <f>COUNTIFS(#REF!,CALCULATION[[#This Row],[PACK]],GLOBAL_DATA_01[Target status],DATA!I20,GLOBAL_DATA_01[Priority],"&gt;P1")</f>
        <v>#REF!</v>
      </c>
      <c r="AM10" s="85" t="e">
        <f>COUNTIFS(#REF!,CALCULATION[[#This Row],[PACK]],GLOBAL_DATA_01[Target status],CALCULATION[[#Headers],[PARTIAL IMPLEMENTATION + RA]])</f>
        <v>#REF!</v>
      </c>
      <c r="AN10" s="104">
        <f>1-CALCULATION[[#This Row],[IN SCOPE %]]</f>
        <v>1</v>
      </c>
      <c r="AO10" s="85" t="e">
        <f>COUNTIFS(#REF!,CALCULATION[[#This Row],[PACK]],GLOBAL_DATA_01[Target status],CALCULATION[[#Headers],[FULL IMPLEMENTATION]])</f>
        <v>#REF!</v>
      </c>
      <c r="AP10" s="87" t="e">
        <f>COUNTIFS(#REF!,CALCULATION[[#This Row],[PACK]],GLOBAL_DATA_01[Target status],CALCULATION[[#Headers],[NOT APPLICABLE]])</f>
        <v>#REF!</v>
      </c>
      <c r="AQ10" s="102" t="e">
        <f>COUNTIFS(#REF!,CALCULATION[[#This Row],[PACK]],GLOBAL_DATA_01[Priority],"P0",GLOBAL_DATA_01[Target status],DATA!$I$13)+COUNTIFS(#REF!,CALCULATION[[#This Row],[PACK]],GLOBAL_DATA_01[Priority],"P0",GLOBAL_DATA_01[Target status],DATA!$I$14)-CALCULATION[[#This Row],[COMPLETED P0]]</f>
        <v>#REF!</v>
      </c>
      <c r="AR10" s="103" t="e">
        <f>COUNTIFS(#REF!,CALCULATION[[#This Row],[PACK]],GLOBAL_DATA_01[Priority],"P1",GLOBAL_DATA_01[Target status],DATA!$I$13)+COUNTIFS(#REF!,CALCULATION[[#This Row],[PACK]],GLOBAL_DATA_01[Priority],"P1",GLOBAL_DATA_01[Target status],DATA!$I$14)-CALCULATION[[#This Row],[COMPLETED P1]]</f>
        <v>#REF!</v>
      </c>
      <c r="AS10" s="103" t="e">
        <f>COUNTIFS(#REF!,CALCULATION[[#This Row],[PACK]],GLOBAL_DATA_01[Priority],"&gt;P1",GLOBAL_DATA_01[Target status],DATA!$I$13)+COUNTIFS(#REF!,CALCULATION[[#This Row],[PACK]],GLOBAL_DATA_01[Priority],"&gt;P1",GLOBAL_DATA_01[Target status],DATA!$I$14)-CALCULATION[[#This Row],[COMPLETED P2&amp;3]]</f>
        <v>#REF!</v>
      </c>
      <c r="AT10" s="93" t="e">
        <f>CALCULATION[[#This Row],[PARTIAL IMPLEMENTATION + RA]]+CALCULATION[[#This Row],[FULL IMPLEMENTATION]]</f>
        <v>#REF!</v>
      </c>
      <c r="AU10" s="124" t="e">
        <f>CALCULATION[[#This Row],[IN PROGRESS]]+CALCULATION[[#This Row],[TO BE STARTED]]</f>
        <v>#REF!</v>
      </c>
      <c r="AV10" s="99" t="e">
        <f>COUNTIFS(#REF!,CALCULATION[[#This Row],[PACK]],GLOBAL_DATA_01[Priority],"P0",#REF!,1)</f>
        <v>#REF!</v>
      </c>
      <c r="AW10" s="85" t="e">
        <f>CALCULATION[[#This Row],[DONE P1]]+CALCULATION[[#This Row],[CHECKED CISO P1]]+CALCULATION[[#This Row],[VERIFIED P1]]</f>
        <v>#REF!</v>
      </c>
      <c r="AX10" s="99" t="e">
        <f>CALCULATION[[#This Row],[DONE P2&amp;P3]]+CALCULATION[[#This Row],[CHECKED CISO P2&amp;P3]]+CALCULATION[[#This Row],[VERIFIED P2&amp;P3]]</f>
        <v>#REF!</v>
      </c>
      <c r="AY10" s="85" t="e">
        <f>CALCULATION[[#This Row],[DONE]]+CALCULATION[[#This Row],[CHECKED CISO]]+CALCULATION[[#This Row],[VERIFIED]]</f>
        <v>#REF!</v>
      </c>
      <c r="AZ10" s="133">
        <f>IFERROR(CALCULATION[[#This Row],[COMPLETED]]/CALCULATION[[#This Row],[IN SCOPE]],0)</f>
        <v>0</v>
      </c>
      <c r="BA10" s="93" t="e">
        <f>COUNTIFS(#REF!,CALCULATION[[#This Row],[PACK]],GLOBAL_DATA_01[Target status],"&lt;&gt;"&amp;DATA!$I$15)</f>
        <v>#REF!</v>
      </c>
      <c r="BB10" s="128">
        <f>IFERROR(ROUND(SUMIFS(GLOBAL_DATA_01[Target scope],#REF!,CALCULATION[[#This Row],[PACK]],GLOBAL_DATA_01[Target status],"&lt;&gt;"&amp;DATA!$I$15)/CALCULATION[[#This Row],[IN SCOPE]],4),0)</f>
        <v>0</v>
      </c>
      <c r="BC10" s="107">
        <f>IFERROR(ROUND(CALCULATION[[#This Row],[RISK ACCEPTED (FULL MEASURE)]]/CALCULATION[[#This Row],[IN SCOPE]],4),0)</f>
        <v>0</v>
      </c>
      <c r="BD10" s="85" t="e">
        <f>IF((COUNTIFS(#REF!,CALCULATION[[#This Row],[PACK]],GLOBAL_DATA_01[CISO Comments]," ")&gt;0),(COUNTIFS(#REF!,CALCULATION[[#This Row],[PACK]],GLOBAL_DATA_01[CISO Comments],"&lt;&gt;No alert")),(COUNTIFS(#REF!,CALCULATION[[#This Row],[PACK]],GLOBAL_DATA_01[CISO Comments],"")&amp;" CISO assessment still empty"))</f>
        <v>#REF!</v>
      </c>
      <c r="BE10" s="86" t="e">
        <f>COUNTIFS(#REF!,CALCULATION[[#This Row],[PACK]],GLOBAL_DATA_01[CISO assessment],"&lt;&gt;No alert")-COUNTIFS(#REF!,CALCULATION[[#This Row],[PACK]],GLOBAL_DATA_01[CISO assessment],"")</f>
        <v>#REF!</v>
      </c>
      <c r="BF10" s="119" t="e">
        <f>COUNTIFS(#REF!,CALCULATION[[#This Row],[PACK]],GLOBAL_DATA_01[CISO assessment],"No alert")+COUNTIFS(#REF!,CALCULATION[[#This Row],[PACK]],GLOBAL_DATA_01[CISO assessment],"")</f>
        <v>#REF!</v>
      </c>
      <c r="BG10" s="110">
        <f>IFERROR(ROUND(SUMIF(#REF!,CALCULATION[[#This Row],[PACK]],GLOBAL_DATA_01[Target scope])/CALCULATION[[#This Row],[IN SCOPE]],4),0)</f>
        <v>0</v>
      </c>
      <c r="BH10" s="108">
        <f>IFERROR(ROUND(SUMIFS(#REF!,#REF!,CALCULATION[[#This Row],[PACK]],GLOBAL_DATA_01[Status],DATA!$I$6)/CALCULATION[[#This Row],[IN SCOPE]],4),0)</f>
        <v>0</v>
      </c>
      <c r="BI10" s="108">
        <f>IFERROR(ROUND(SUMIFS(#REF!,#REF!,CALCULATION[[#This Row],[PACK]],#REF!,1)/CALCULATION[[#This Row],[IN SCOPE]],4),0)-CALCULATION[[#This Row],[CURRENT IMPL DONE ]]</f>
        <v>0</v>
      </c>
      <c r="BJ10" s="108">
        <f>CALCULATION[[#This Row],[CURRENT IMPL]]-CALCULATION[[#This Row],[CURRENT IMPL DONE ]]-CALCULATION[[#This Row],[CURRENT IMPL CHECKED CISO &amp; VERIFIED]]</f>
        <v>0</v>
      </c>
      <c r="BK10" s="108">
        <f>IFERROR(ROUND(SUMIF(#REF!,CALCULATION[[#This Row],[PACK]],#REF!)/CALCULATION[[#This Row],[IN SCOPE]],4),0)</f>
        <v>0</v>
      </c>
      <c r="BL10" s="87" t="e">
        <f>COUNTIFS(#REF!,CALCULATION[[#This Row],[PACK]],GLOBAL_DATA_01[Re-estimated end],"&gt;31/12/2019",GLOBAL_DATA_01[Re-estimated end],"&lt;01/01/2021",#REF!,1)</f>
        <v>#REF!</v>
      </c>
      <c r="BM10" s="85" t="e">
        <f>COUNTIFS(#REF!,CALCULATION[[#This Row],[PACK]],GLOBAL_DATA_01[Re-estimated end],"&gt;31/12/2019",GLOBAL_DATA_01[Re-estimated end],"&lt;01/01/2021")</f>
        <v>#REF!</v>
      </c>
      <c r="BN10" s="105">
        <f>IFERROR(ROUND(SUMIFS(GLOBAL_DATA_01[Target scope],#REF!,CALCULATION[PACK],GLOBAL_DATA_01[Re-estimated end],"&gt;31/12/2019",GLOBAL_DATA_01[Re-estimated end],"&lt;01/01/2021")/CALCULATION[[#This Row],[IN SCOPE]],4),0)</f>
        <v>0</v>
      </c>
      <c r="BO10" s="85" t="e">
        <f>COUNTIFS(#REF!,CALCULATION[[#This Row],[PACK]],GLOBAL_DATA_01[Re-estimated end],"&gt;31/12/2020",GLOBAL_DATA_01[Re-estimated end],"&lt;01/01/2022",#REF!,1)</f>
        <v>#REF!</v>
      </c>
      <c r="BP10" s="85" t="e">
        <f>COUNTIFS(#REF!,CALCULATION[[#This Row],[PACK]],GLOBAL_DATA_01[Re-estimated end],"&gt;31/12/2020",GLOBAL_DATA_01[Re-estimated end],"&lt;01/01/2022")</f>
        <v>#REF!</v>
      </c>
      <c r="BQ10" s="105">
        <f>IFERROR(ROUND(SUMIFS(GLOBAL_DATA_01[Target scope],#REF!,CALCULATION[PACK],GLOBAL_DATA_01[Re-estimated end],"&gt;31/12/2020",GLOBAL_DATA_01[Re-estimated end],"&lt;01/01/2022")/CALCULATION[[#This Row],[IN SCOPE]],4),0)</f>
        <v>0</v>
      </c>
      <c r="BR10" s="85" t="e">
        <f>COUNTIFS(#REF!,CALCULATION[[#This Row],[PACK]],GLOBAL_DATA_01[Re-estimated end],"&gt;31/12/2021",#REF!,"&lt;01/01/2023",#REF!,1)</f>
        <v>#REF!</v>
      </c>
      <c r="BS10" s="85" t="e">
        <f>COUNTIFS(#REF!,CALCULATION[[#This Row],[PACK]],GLOBAL_DATA_01[Re-estimated end],"&gt;31/12/2021",GLOBAL_DATA_01[Re-estimated end],"&lt;01/01/2023")</f>
        <v>#REF!</v>
      </c>
      <c r="BT10" s="106">
        <f>IFERROR(ROUND(SUMIFS(GLOBAL_DATA_01[Target scope],#REF!,CALCULATION[PACK],GLOBAL_DATA_01[Re-estimated end],"&gt;31/12/2021",GLOBAL_DATA_01[Re-estimated end],"&lt;01/01/2023")/CALCULATION[[#This Row],[IN SCOPE]],4),0)</f>
        <v>0</v>
      </c>
      <c r="BU10" s="106">
        <f>CALCULATION[[#This Row],[% 2020 COMMITTED]]+CALCULATION[[#This Row],[% 2021 COMMITTED]]+CALCULATION[[#This Row],[% 2022 COMMITTED]]</f>
        <v>0</v>
      </c>
      <c r="BV10" s="113">
        <f t="shared" si="0"/>
        <v>0</v>
      </c>
      <c r="BW10" s="107">
        <f>CALCULATION[[#This Row],[% 2020 COMMITTED]]+CALCULATION[[#This Row],[% 2021 COMMITTED]]+CALCULATION[[#This Row],[% 2022 COMMITTED]]-CALCULATION[[#This Row],[CURRENT IMPL]]</f>
        <v>0</v>
      </c>
    </row>
    <row r="11" spans="1:77" x14ac:dyDescent="0.25">
      <c r="A11" s="88" t="s">
        <v>10</v>
      </c>
      <c r="B11" s="115">
        <v>1</v>
      </c>
      <c r="C11" s="115">
        <v>0.12</v>
      </c>
      <c r="D11" s="88" t="e">
        <f>COUNTIFS(#REF!,CALCULATION[[#This Row],[PACK]],GLOBAL_DATA_01[Priority],"P0",GLOBAL_DATA_01[Status],Status_No_Project)</f>
        <v>#REF!</v>
      </c>
      <c r="E11" s="88" t="e">
        <f>COUNTIFS(#REF!,CALCULATION[[#This Row],[PACK]],GLOBAL_DATA_01[Priority],"P1",GLOBAL_DATA_01[Status],Status_No_Project)</f>
        <v>#REF!</v>
      </c>
      <c r="F11" s="88" t="e">
        <f>COUNTIFS(#REF!,CALCULATION[[#This Row],[PACK]],GLOBAL_DATA_01[Priority],"&gt;=P2",GLOBAL_DATA_01[Status],Status_No_Project)</f>
        <v>#REF!</v>
      </c>
      <c r="G11" s="88" t="e">
        <f>COUNTIFS(#REF!,CALCULATION[[#This Row],[PACK]],GLOBAL_DATA_01[Status],CALCULATION[[#Headers],[NO PROJECT]])</f>
        <v>#REF!</v>
      </c>
      <c r="H11" s="88" t="e">
        <f>COUNTIFS(#REF!,CALCULATION[[#This Row],[PACK]],GLOBAL_DATA_01[Priority],"P0",GLOBAL_DATA_01[Status],DATA!$I$4)</f>
        <v>#REF!</v>
      </c>
      <c r="I11" s="88" t="e">
        <f>COUNTIFS(#REF!,CALCULATION[[#This Row],[PACK]],GLOBAL_DATA_01[Priority],"P1",GLOBAL_DATA_01[Status],DATA!$I$4)</f>
        <v>#REF!</v>
      </c>
      <c r="J11" s="88" t="e">
        <f>COUNTIFS(#REF!,CALCULATION[[#This Row],[PACK]],GLOBAL_DATA_01[Priority],"&gt;=P2",GLOBAL_DATA_01[Status],DATA!$I$4)</f>
        <v>#REF!</v>
      </c>
      <c r="K11" s="88" t="e">
        <f>COUNTIFS(#REF!,CALCULATION[[#This Row],[PACK]],GLOBAL_DATA_01[Status],CALCULATION[[#Headers],[TO BE STARTED]])</f>
        <v>#REF!</v>
      </c>
      <c r="L11" s="88" t="e">
        <f>COUNTIFS(#REF!,CALCULATION[[#This Row],[PACK]],GLOBAL_DATA_01[Priority],"P0",GLOBAL_DATA_01[Status],"IN PROGRESS")</f>
        <v>#REF!</v>
      </c>
      <c r="M11" s="88" t="e">
        <f>COUNTIFS(#REF!,CALCULATION[[#This Row],[PACK]],GLOBAL_DATA_01[Priority],"P1",GLOBAL_DATA_01[Status],DATA!$I$5)</f>
        <v>#REF!</v>
      </c>
      <c r="N11" s="88" t="e">
        <f>COUNTIFS(#REF!,CALCULATION[[#This Row],[PACK]],GLOBAL_DATA_01[Priority],"&gt;=P2",GLOBAL_DATA_01[Status],DATA!$I$5)</f>
        <v>#REF!</v>
      </c>
      <c r="O11" s="88" t="e">
        <f>COUNTIFS(#REF!,CALCULATION[[#This Row],[PACK]],GLOBAL_DATA_01[Status],CALCULATION[[#Headers],[IN PROGRESS]])</f>
        <v>#REF!</v>
      </c>
      <c r="P11" s="88" t="e">
        <f>COUNTIFS(#REF!,CALCULATION[[#This Row],[PACK]],GLOBAL_DATA_01[Priority],"P0",GLOBAL_DATA_01[Status],DATA!$I$6)</f>
        <v>#REF!</v>
      </c>
      <c r="Q11" s="88" t="e">
        <f>COUNTIFS(#REF!,CALCULATION[[#This Row],[PACK]],GLOBAL_DATA_01[Priority],"P1",GLOBAL_DATA_01[Status],DATA!$I$6)</f>
        <v>#REF!</v>
      </c>
      <c r="R11" s="88" t="e">
        <f>COUNTIFS(#REF!,CALCULATION[[#This Row],[PACK]],GLOBAL_DATA_01[Priority],"&gt;=P2",GLOBAL_DATA_01[Status],DATA!$I$6)</f>
        <v>#REF!</v>
      </c>
      <c r="S11" s="88" t="e">
        <f>COUNTIFS(#REF!,CALCULATION[[#This Row],[PACK]],GLOBAL_DATA_01[Status],CALCULATION[[#Headers],[DONE]])</f>
        <v>#REF!</v>
      </c>
      <c r="T11" s="88" t="e">
        <f>COUNTIFS(#REF!,CALCULATION[[#This Row],[PACK]],GLOBAL_DATA_01[Priority],"P0",GLOBAL_DATA_01[Status],DATA!$I$7)</f>
        <v>#REF!</v>
      </c>
      <c r="U11" s="88" t="e">
        <f>COUNTIFS(#REF!,CALCULATION[[#This Row],[PACK]],GLOBAL_DATA_01[Priority],"P1",GLOBAL_DATA_01[Status],DATA!$I$7)</f>
        <v>#REF!</v>
      </c>
      <c r="V11" s="88" t="e">
        <f>COUNTIFS(#REF!,CALCULATION[[#This Row],[PACK]],GLOBAL_DATA_01[Priority],"&gt;=P2",GLOBAL_DATA_01[Status],DATA!$I$7)</f>
        <v>#REF!</v>
      </c>
      <c r="W11" s="88" t="e">
        <f>COUNTIFS(#REF!,CALCULATION[[#This Row],[PACK]],GLOBAL_DATA_01[Status],CALCULATION[[#Headers],[CHECKED CISO]])</f>
        <v>#REF!</v>
      </c>
      <c r="X11" s="88" t="e">
        <f>COUNTIFS(#REF!,CALCULATION[[#This Row],[PACK]],GLOBAL_DATA_01[Priority],"P0",GLOBAL_DATA_01[Status],DATA!$I$8)</f>
        <v>#REF!</v>
      </c>
      <c r="Y11" s="88" t="e">
        <f>COUNTIFS(#REF!,CALCULATION[[#This Row],[PACK]],GLOBAL_DATA_01[Priority],"P1",GLOBAL_DATA_01[Status],DATA!$I$8)</f>
        <v>#REF!</v>
      </c>
      <c r="Z11" s="88" t="e">
        <f>COUNTIFS(#REF!,CALCULATION[[#This Row],[PACK]],GLOBAL_DATA_01[Priority],"&gt;=P2",GLOBAL_DATA_01[Status],DATA!$I$8)</f>
        <v>#REF!</v>
      </c>
      <c r="AA11" s="88" t="e">
        <f>COUNTIFS(#REF!,CALCULATION[[#This Row],[PACK]],GLOBAL_DATA_01[Status],CALCULATION[[#Headers],[VERIFIED]])</f>
        <v>#REF!</v>
      </c>
      <c r="AB11" s="88" t="e">
        <f>COUNTIFS(#REF!,CALCULATION[[#This Row],[PACK]],GLOBAL_DATA_01[Priority],"P0",GLOBAL_DATA_01[Status],"&lt;&gt;"&amp;Status_No_Project)</f>
        <v>#REF!</v>
      </c>
      <c r="AC11" s="88" t="e">
        <f>COUNTIFS(#REF!,CALCULATION[[#This Row],[PACK]],GLOBAL_DATA_01[Priority],"P1",GLOBAL_DATA_01[Status],"&lt;&gt;"&amp;Status_No_Project)</f>
        <v>#REF!</v>
      </c>
      <c r="AD11" s="88" t="e">
        <f>COUNTIFS(#REF!,CALCULATION[[#This Row],[PACK]],GLOBAL_DATA_01[Priority],"&gt;=P2",GLOBAL_DATA_01[Status],"&lt;&gt;NO PROJECT")</f>
        <v>#REF!</v>
      </c>
      <c r="AE11" s="92" t="e">
        <f>COUNTIFS(#REF!,CALCULATION[[#This Row],[PACK]],GLOBAL_DATA_01[Status],"&lt;&gt;"&amp;Status_No_Project)</f>
        <v>#REF!</v>
      </c>
      <c r="AF11" s="100" t="e">
        <f>COUNTIFS(#REF!,CALCULATION[[#This Row],[PACK]],GLOBAL_DATA_01[Priority],"P0",GLOBAL_DATA_01[Target status],DATA!$I$12)</f>
        <v>#REF!</v>
      </c>
      <c r="AG11" s="100" t="e">
        <f>COUNTIFS(#REF!,CALCULATION[[#This Row],[PACK]],GLOBAL_DATA_01[Priority],"P1",GLOBAL_DATA_01[Target status],DATA!$I$12)</f>
        <v>#REF!</v>
      </c>
      <c r="AH11" s="100" t="e">
        <f>COUNTIFS(#REF!,CALCULATION[[#This Row],[PACK]],GLOBAL_DATA_01[Priority],"&gt;P1",GLOBAL_DATA_01[Target status],DATA!$I$12)</f>
        <v>#REF!</v>
      </c>
      <c r="AI11" s="88" t="e">
        <f>COUNTIFS(#REF!,CALCULATION[[#This Row],[PACK]],GLOBAL_DATA_01[Target status],DATA!$I$12)</f>
        <v>#REF!</v>
      </c>
      <c r="AJ11" s="88" t="e">
        <f>COUNTIFS(#REF!,CALCULATION[[#This Row],[PACK]],GLOBAL_DATA_01[Target status],DATA!I21,GLOBAL_DATA_01[Priority],"P0")</f>
        <v>#REF!</v>
      </c>
      <c r="AK11" s="88" t="e">
        <f>COUNTIFS(#REF!,CALCULATION[[#This Row],[PACK]],GLOBAL_DATA_01[Target status],DATA!I21,GLOBAL_DATA_01[Priority],"P1")</f>
        <v>#REF!</v>
      </c>
      <c r="AL11" s="88" t="e">
        <f>COUNTIFS(#REF!,CALCULATION[[#This Row],[PACK]],GLOBAL_DATA_01[Target status],DATA!I21,GLOBAL_DATA_01[Priority],"&gt;P1")</f>
        <v>#REF!</v>
      </c>
      <c r="AM11" s="85" t="e">
        <f>COUNTIFS(#REF!,CALCULATION[[#This Row],[PACK]],GLOBAL_DATA_01[Target status],CALCULATION[[#Headers],[PARTIAL IMPLEMENTATION + RA]])</f>
        <v>#REF!</v>
      </c>
      <c r="AN11" s="104">
        <f>1-CALCULATION[[#This Row],[IN SCOPE %]]</f>
        <v>1</v>
      </c>
      <c r="AO11" s="85" t="e">
        <f>COUNTIFS(#REF!,CALCULATION[[#This Row],[PACK]],GLOBAL_DATA_01[Target status],CALCULATION[[#Headers],[FULL IMPLEMENTATION]])</f>
        <v>#REF!</v>
      </c>
      <c r="AP11" s="87" t="e">
        <f>COUNTIFS(#REF!,CALCULATION[[#This Row],[PACK]],GLOBAL_DATA_01[Target status],CALCULATION[[#Headers],[NOT APPLICABLE]])</f>
        <v>#REF!</v>
      </c>
      <c r="AQ11" s="102" t="e">
        <f>COUNTIFS(#REF!,CALCULATION[[#This Row],[PACK]],GLOBAL_DATA_01[Priority],"P0",GLOBAL_DATA_01[Target status],DATA!$I$13)+COUNTIFS(#REF!,CALCULATION[[#This Row],[PACK]],GLOBAL_DATA_01[Priority],"P0",GLOBAL_DATA_01[Target status],DATA!$I$14)-CALCULATION[[#This Row],[COMPLETED P0]]</f>
        <v>#REF!</v>
      </c>
      <c r="AR11" s="103" t="e">
        <f>COUNTIFS(#REF!,CALCULATION[[#This Row],[PACK]],GLOBAL_DATA_01[Priority],"P1",GLOBAL_DATA_01[Target status],DATA!$I$13)+COUNTIFS(#REF!,CALCULATION[[#This Row],[PACK]],GLOBAL_DATA_01[Priority],"P1",GLOBAL_DATA_01[Target status],DATA!$I$14)-CALCULATION[[#This Row],[COMPLETED P1]]</f>
        <v>#REF!</v>
      </c>
      <c r="AS11" s="103" t="e">
        <f>COUNTIFS(#REF!,CALCULATION[[#This Row],[PACK]],GLOBAL_DATA_01[Priority],"&gt;P1",GLOBAL_DATA_01[Target status],DATA!$I$13)+COUNTIFS(#REF!,CALCULATION[[#This Row],[PACK]],GLOBAL_DATA_01[Priority],"&gt;P1",GLOBAL_DATA_01[Target status],DATA!$I$14)-CALCULATION[[#This Row],[COMPLETED P2&amp;3]]</f>
        <v>#REF!</v>
      </c>
      <c r="AT11" s="93" t="e">
        <f>CALCULATION[[#This Row],[PARTIAL IMPLEMENTATION + RA]]+CALCULATION[[#This Row],[FULL IMPLEMENTATION]]</f>
        <v>#REF!</v>
      </c>
      <c r="AU11" s="124" t="e">
        <f>CALCULATION[[#This Row],[IN PROGRESS]]+CALCULATION[[#This Row],[TO BE STARTED]]</f>
        <v>#REF!</v>
      </c>
      <c r="AV11" s="99" t="e">
        <f>COUNTIFS(#REF!,CALCULATION[[#This Row],[PACK]],GLOBAL_DATA_01[Priority],"P0",#REF!,1)</f>
        <v>#REF!</v>
      </c>
      <c r="AW11" s="85" t="e">
        <f>CALCULATION[[#This Row],[DONE P1]]+CALCULATION[[#This Row],[CHECKED CISO P1]]+CALCULATION[[#This Row],[VERIFIED P1]]</f>
        <v>#REF!</v>
      </c>
      <c r="AX11" s="99" t="e">
        <f>CALCULATION[[#This Row],[DONE P2&amp;P3]]+CALCULATION[[#This Row],[CHECKED CISO P2&amp;P3]]+CALCULATION[[#This Row],[VERIFIED P2&amp;P3]]</f>
        <v>#REF!</v>
      </c>
      <c r="AY11" s="85" t="e">
        <f>CALCULATION[[#This Row],[DONE]]+CALCULATION[[#This Row],[CHECKED CISO]]+CALCULATION[[#This Row],[VERIFIED]]</f>
        <v>#REF!</v>
      </c>
      <c r="AZ11" s="133">
        <f>IFERROR(CALCULATION[[#This Row],[COMPLETED]]/CALCULATION[[#This Row],[IN SCOPE]],0)</f>
        <v>0</v>
      </c>
      <c r="BA11" s="93" t="e">
        <f>COUNTIFS(#REF!,CALCULATION[[#This Row],[PACK]],GLOBAL_DATA_01[Target status],"&lt;&gt;"&amp;DATA!$I$15)</f>
        <v>#REF!</v>
      </c>
      <c r="BB11" s="128">
        <f>IFERROR(ROUND(SUMIFS(GLOBAL_DATA_01[Target scope],#REF!,CALCULATION[[#This Row],[PACK]],GLOBAL_DATA_01[Target status],"&lt;&gt;"&amp;DATA!$I$15)/CALCULATION[[#This Row],[IN SCOPE]],4),0)</f>
        <v>0</v>
      </c>
      <c r="BC11" s="107">
        <f>IFERROR(ROUND(CALCULATION[[#This Row],[RISK ACCEPTED (FULL MEASURE)]]/CALCULATION[[#This Row],[IN SCOPE]],4),0)</f>
        <v>0</v>
      </c>
      <c r="BD11" s="85" t="e">
        <f>IF((COUNTIFS(#REF!,CALCULATION[[#This Row],[PACK]],GLOBAL_DATA_01[CISO Comments]," ")&gt;0),(COUNTIFS(#REF!,CALCULATION[[#This Row],[PACK]],GLOBAL_DATA_01[CISO Comments],"&lt;&gt;No alert")),(COUNTIFS(#REF!,CALCULATION[[#This Row],[PACK]],GLOBAL_DATA_01[CISO Comments],"")&amp;" CISO assessment still empty"))</f>
        <v>#REF!</v>
      </c>
      <c r="BE11" s="86" t="e">
        <f>COUNTIFS(#REF!,CALCULATION[[#This Row],[PACK]],GLOBAL_DATA_01[CISO assessment],"&lt;&gt;No alert")-COUNTIFS(#REF!,CALCULATION[[#This Row],[PACK]],GLOBAL_DATA_01[CISO assessment],"")</f>
        <v>#REF!</v>
      </c>
      <c r="BF11" s="119" t="e">
        <f>COUNTIFS(#REF!,CALCULATION[[#This Row],[PACK]],GLOBAL_DATA_01[CISO assessment],"No alert")+COUNTIFS(#REF!,CALCULATION[[#This Row],[PACK]],GLOBAL_DATA_01[CISO assessment],"")</f>
        <v>#REF!</v>
      </c>
      <c r="BG11" s="110">
        <f>IFERROR(ROUND(SUMIF(#REF!,CALCULATION[[#This Row],[PACK]],GLOBAL_DATA_01[Target scope])/CALCULATION[[#This Row],[IN SCOPE]],4),0)</f>
        <v>0</v>
      </c>
      <c r="BH11" s="108">
        <f>IFERROR(ROUND(SUMIFS(#REF!,#REF!,CALCULATION[[#This Row],[PACK]],GLOBAL_DATA_01[Status],DATA!$I$6)/CALCULATION[[#This Row],[IN SCOPE]],4),0)</f>
        <v>0</v>
      </c>
      <c r="BI11" s="108">
        <f>IFERROR(ROUND(SUMIFS(#REF!,#REF!,CALCULATION[[#This Row],[PACK]],#REF!,1)/CALCULATION[[#This Row],[IN SCOPE]],4),0)-CALCULATION[[#This Row],[CURRENT IMPL DONE ]]</f>
        <v>0</v>
      </c>
      <c r="BJ11" s="108">
        <f>CALCULATION[[#This Row],[CURRENT IMPL]]-CALCULATION[[#This Row],[CURRENT IMPL DONE ]]-CALCULATION[[#This Row],[CURRENT IMPL CHECKED CISO &amp; VERIFIED]]</f>
        <v>0</v>
      </c>
      <c r="BK11" s="108">
        <f>IFERROR(ROUND(SUMIF(#REF!,CALCULATION[[#This Row],[PACK]],#REF!)/CALCULATION[[#This Row],[IN SCOPE]],4),0)</f>
        <v>0</v>
      </c>
      <c r="BL11" s="87" t="e">
        <f>COUNTIFS(#REF!,CALCULATION[[#This Row],[PACK]],GLOBAL_DATA_01[Re-estimated end],"&gt;31/12/2019",GLOBAL_DATA_01[Re-estimated end],"&lt;01/01/2021",#REF!,1)</f>
        <v>#REF!</v>
      </c>
      <c r="BM11" s="85" t="e">
        <f>COUNTIFS(#REF!,CALCULATION[[#This Row],[PACK]],GLOBAL_DATA_01[Re-estimated end],"&gt;31/12/2019",GLOBAL_DATA_01[Re-estimated end],"&lt;01/01/2021")</f>
        <v>#REF!</v>
      </c>
      <c r="BN11" s="105">
        <f>IFERROR(ROUND(SUMIFS(GLOBAL_DATA_01[Target scope],#REF!,CALCULATION[PACK],GLOBAL_DATA_01[Re-estimated end],"&gt;31/12/2019",GLOBAL_DATA_01[Re-estimated end],"&lt;01/01/2021")/CALCULATION[[#This Row],[IN SCOPE]],4),0)</f>
        <v>0</v>
      </c>
      <c r="BO11" s="85" t="e">
        <f>COUNTIFS(#REF!,CALCULATION[[#This Row],[PACK]],GLOBAL_DATA_01[Re-estimated end],"&gt;31/12/2020",GLOBAL_DATA_01[Re-estimated end],"&lt;01/01/2022",#REF!,1)</f>
        <v>#REF!</v>
      </c>
      <c r="BP11" s="85" t="e">
        <f>COUNTIFS(#REF!,CALCULATION[[#This Row],[PACK]],GLOBAL_DATA_01[Re-estimated end],"&gt;31/12/2020",GLOBAL_DATA_01[Re-estimated end],"&lt;01/01/2022")</f>
        <v>#REF!</v>
      </c>
      <c r="BQ11" s="105">
        <f>IFERROR(ROUND(SUMIFS(GLOBAL_DATA_01[Target scope],#REF!,CALCULATION[PACK],GLOBAL_DATA_01[Re-estimated end],"&gt;31/12/2020",GLOBAL_DATA_01[Re-estimated end],"&lt;01/01/2022")/CALCULATION[[#This Row],[IN SCOPE]],4),0)</f>
        <v>0</v>
      </c>
      <c r="BR11" s="85" t="e">
        <f>COUNTIFS(#REF!,CALCULATION[[#This Row],[PACK]],GLOBAL_DATA_01[Re-estimated end],"&gt;31/12/2021",#REF!,"&lt;01/01/2023",#REF!,1)</f>
        <v>#REF!</v>
      </c>
      <c r="BS11" s="85" t="e">
        <f>COUNTIFS(#REF!,CALCULATION[[#This Row],[PACK]],GLOBAL_DATA_01[Re-estimated end],"&gt;31/12/2021",GLOBAL_DATA_01[Re-estimated end],"&lt;01/01/2023")</f>
        <v>#REF!</v>
      </c>
      <c r="BT11" s="106">
        <f>IFERROR(ROUND(SUMIFS(GLOBAL_DATA_01[Target scope],#REF!,CALCULATION[PACK],GLOBAL_DATA_01[Re-estimated end],"&gt;31/12/2021",GLOBAL_DATA_01[Re-estimated end],"&lt;01/01/2023")/CALCULATION[[#This Row],[IN SCOPE]],4),0)</f>
        <v>0</v>
      </c>
      <c r="BU11" s="106">
        <f>CALCULATION[[#This Row],[% 2020 COMMITTED]]+CALCULATION[[#This Row],[% 2021 COMMITTED]]+CALCULATION[[#This Row],[% 2022 COMMITTED]]</f>
        <v>0</v>
      </c>
      <c r="BV11" s="113">
        <f t="shared" si="0"/>
        <v>0</v>
      </c>
      <c r="BW11" s="107">
        <f>CALCULATION[[#This Row],[% 2020 COMMITTED]]+CALCULATION[[#This Row],[% 2021 COMMITTED]]+CALCULATION[[#This Row],[% 2022 COMMITTED]]-CALCULATION[[#This Row],[CURRENT IMPL]]</f>
        <v>0</v>
      </c>
    </row>
    <row r="12" spans="1:77" x14ac:dyDescent="0.25">
      <c r="A12" s="88" t="s">
        <v>612</v>
      </c>
      <c r="B12" s="88"/>
      <c r="C12" s="117"/>
      <c r="D12" s="117" t="e">
        <f>SUM(CALCULATION[NO PROJECT P0])</f>
        <v>#REF!</v>
      </c>
      <c r="E12" s="117" t="e">
        <f>SUM(CALCULATION[NO PROJECT P2&amp;P3])</f>
        <v>#REF!</v>
      </c>
      <c r="F12" s="117" t="e">
        <f>SUM(CALCULATION[NO PROJECT])</f>
        <v>#REF!</v>
      </c>
      <c r="G12" s="117" t="e">
        <f>SUM(CALCULATION[TO BE STARTED P0])</f>
        <v>#REF!</v>
      </c>
      <c r="H12" s="117" t="e">
        <f>SUM(CALCULATION[TO BE STARTED P1])</f>
        <v>#REF!</v>
      </c>
      <c r="I12" s="117" t="e">
        <f>SUM(CALCULATION[TO BE STARTED P2&amp;P3])</f>
        <v>#REF!</v>
      </c>
      <c r="J12" s="117" t="e">
        <f>SUM(CALCULATION[TO BE STARTED])</f>
        <v>#REF!</v>
      </c>
      <c r="K12" s="117" t="e">
        <f>SUM(CALCULATION[IN PROGRESS P0])</f>
        <v>#REF!</v>
      </c>
      <c r="L12" s="117" t="e">
        <f>SUM(CALCULATION[IN PROGRESS P1])</f>
        <v>#REF!</v>
      </c>
      <c r="M12" s="117" t="e">
        <f>SUM(CALCULATION[IN PROGRESS P2&amp;P3])</f>
        <v>#REF!</v>
      </c>
      <c r="N12" s="117" t="e">
        <f>SUM(CALCULATION[IN PROGRESS])</f>
        <v>#REF!</v>
      </c>
      <c r="O12" s="117" t="e">
        <f>SUM(CALCULATION[DONE P0])</f>
        <v>#REF!</v>
      </c>
      <c r="P12" s="117" t="e">
        <f>SUM(CALCULATION[DONE P1])</f>
        <v>#REF!</v>
      </c>
      <c r="Q12" s="117" t="e">
        <f>SUM(CALCULATION[DONE P2&amp;P3])</f>
        <v>#REF!</v>
      </c>
      <c r="R12" s="117" t="e">
        <f>SUM(CALCULATION[DONE])</f>
        <v>#REF!</v>
      </c>
      <c r="S12" s="117" t="e">
        <f>SUM(CALCULATION[CHECKED CISO P0])</f>
        <v>#REF!</v>
      </c>
      <c r="T12" s="117" t="e">
        <f>SUM(CALCULATION[CHECKED CISO P1])</f>
        <v>#REF!</v>
      </c>
      <c r="U12" s="117" t="e">
        <f>SUM(CALCULATION[CHECKED CISO P2&amp;P3])</f>
        <v>#REF!</v>
      </c>
      <c r="V12" s="117" t="e">
        <f>SUM(CALCULATION[CHECKED CISO])</f>
        <v>#REF!</v>
      </c>
      <c r="W12" s="117" t="e">
        <f>SUM(CALCULATION[VERIFIED P0])</f>
        <v>#REF!</v>
      </c>
      <c r="X12" s="117" t="e">
        <f>SUM(CALCULATION[VERIFIED P1])</f>
        <v>#REF!</v>
      </c>
      <c r="Y12" s="117" t="e">
        <f>SUM(CALCULATION[VERIFIED P2&amp;P3])</f>
        <v>#REF!</v>
      </c>
      <c r="Z12" s="117" t="e">
        <f>SUM(CALCULATION[VERIFIED])</f>
        <v>#REF!</v>
      </c>
      <c r="AA12" s="117" t="e">
        <f>SUM(CALCULATION[PR_EX P0])</f>
        <v>#REF!</v>
      </c>
      <c r="AB12" s="117" t="e">
        <f>SUM(CALCULATION[PR_EX P1])</f>
        <v>#REF!</v>
      </c>
      <c r="AC12" s="117" t="e">
        <f>SUM(CALCULATION[PR_EX P2&amp;P3])</f>
        <v>#REF!</v>
      </c>
      <c r="AD12" s="117" t="e">
        <f>SUM(CALCULATION[TOTAL PR_EX])</f>
        <v>#REF!</v>
      </c>
      <c r="AE12" s="117" t="e">
        <f>SUM(CALCULATION[RISK ACCEPTED P0])</f>
        <v>#REF!</v>
      </c>
      <c r="AF12" s="117" t="e">
        <f>SUM(CALCULATION[RISK ACCEPTED P1])</f>
        <v>#REF!</v>
      </c>
      <c r="AG12" s="117" t="e">
        <f>SUM(CALCULATION[RISK ACCEPTED P2&amp;3])</f>
        <v>#REF!</v>
      </c>
      <c r="AH12" s="117" t="e">
        <f>SUM(CALCULATION[RISK ACCEPTED (FULL MEASURE)])</f>
        <v>#REF!</v>
      </c>
      <c r="AI12" s="117" t="e">
        <f>SUM(CALCULATION[PARTIAL IMPLEMENTATION + RA P0])</f>
        <v>#REF!</v>
      </c>
      <c r="AJ12" s="117" t="e">
        <f>SUM(CALCULATION[PARTIAL IMPLEMENTATION + RA P1])</f>
        <v>#REF!</v>
      </c>
      <c r="AK12" s="117" t="e">
        <f>SUM(CALCULATION[PARTIAL IMPLEMENTATION + RA P2&amp;P3])</f>
        <v>#REF!</v>
      </c>
      <c r="AL12" s="117" t="e">
        <f>SUM(CALCULATION[PARTIAL IMPLEMENTATION + RA])</f>
        <v>#REF!</v>
      </c>
      <c r="AM12" s="122">
        <f>1-BA12</f>
        <v>1</v>
      </c>
      <c r="AN12" s="117" t="e">
        <f>SUM(CALCULATION[FULL IMPLEMENTATION])</f>
        <v>#REF!</v>
      </c>
      <c r="AO12" s="117" t="e">
        <f>SUM(CALCULATION[NOT APPLICABLE])</f>
        <v>#REF!</v>
      </c>
      <c r="AP12" s="123" t="e">
        <f>SUM(CALCULATION[LEFT P0])</f>
        <v>#REF!</v>
      </c>
      <c r="AQ12" s="123" t="e">
        <f>SUM(CALCULATION[LEFT P1])</f>
        <v>#REF!</v>
      </c>
      <c r="AR12" s="123" t="e">
        <f>SUM(CALCULATION[LEFT P2&amp;3])</f>
        <v>#REF!</v>
      </c>
      <c r="AS12" s="117" t="e">
        <f>SUM(CALCULATION[TOTAL Impl])</f>
        <v>#REF!</v>
      </c>
      <c r="AT12" s="125" t="e">
        <f>SUM(CALCULATION[WIP])</f>
        <v>#REF!</v>
      </c>
      <c r="AU12" s="117" t="e">
        <f>SUM(CALCULATION[COMPLETED P0])</f>
        <v>#REF!</v>
      </c>
      <c r="AV12" s="117" t="e">
        <f>SUM(CALCULATION[COMPLETED P1])</f>
        <v>#REF!</v>
      </c>
      <c r="AW12" s="117" t="e">
        <f>SUM(CALCULATION[COMPLETED P2&amp;3])</f>
        <v>#REF!</v>
      </c>
      <c r="AX12" s="117" t="e">
        <f>SUM(CALCULATION[COMPLETED])</f>
        <v>#REF!</v>
      </c>
      <c r="AY12" s="127" t="e">
        <f>AX12/AZ12</f>
        <v>#REF!</v>
      </c>
      <c r="AZ12" s="117" t="e">
        <f>SUM(CALCULATION[IN SCOPE])</f>
        <v>#REF!</v>
      </c>
      <c r="BA12" s="127">
        <f>IFERROR(ROUND(SUMIFS(GLOBAL_DATA_01[Target scope],GLOBAL_DATA_01[Target status],"&lt;&gt;"&amp;DATA!$I$15)/AZ12,4),0)</f>
        <v>0</v>
      </c>
      <c r="BB12" s="127" t="e">
        <f>AH12/AZ12</f>
        <v>#REF!</v>
      </c>
      <c r="BC12" s="88"/>
      <c r="BD12" s="117" t="e">
        <f>SUM(CALCULATION[RISK STATUS (Alert/Warning)])</f>
        <v>#REF!</v>
      </c>
      <c r="BE12" s="123" t="e">
        <f>SUM(CALCULATION[DELTA (No risk/empty)])</f>
        <v>#REF!</v>
      </c>
      <c r="BF12" s="130">
        <f>IFERROR(ROUND(SUMIFS(GLOBAL_DATA_01[Target scope],GLOBAL_DATA_01[Target status],"&lt;&gt;"&amp;DATA!$I$15)/AZ12,4),0)</f>
        <v>0</v>
      </c>
      <c r="BG12" s="127">
        <f>IFERROR(ROUND(SUMIFS(#REF!,GLOBAL_DATA_01[Status],DATA!$I$6)/AZ12,4),0)</f>
        <v>0</v>
      </c>
      <c r="BH12" s="122">
        <f>IFERROR(ROUND(SUMIFS(#REF!,#REF!,1)/AZ12,4),0)-BG12</f>
        <v>0</v>
      </c>
      <c r="BI12" s="122">
        <f>BJ12-BG12-BH12</f>
        <v>0</v>
      </c>
      <c r="BJ12" s="127">
        <f>IFERROR(ROUND(SUM(#REF!)/AZ12,4),0)</f>
        <v>0</v>
      </c>
      <c r="BK12" s="117" t="e">
        <f>SUM(CALCULATION[2020 IMLP])</f>
        <v>#REF!</v>
      </c>
      <c r="BL12" s="117" t="e">
        <f>SUM(CALCULATION[2020 COMMITTED])</f>
        <v>#REF!</v>
      </c>
      <c r="BM12" s="131">
        <f>IFERROR(ROUND(SUMIFS(GLOBAL_DATA_01[Target scope],GLOBAL_DATA_01[Re-estimated end],"&gt;31/12/2019",GLOBAL_DATA_01[Re-estimated end],"&lt;01/01/2021")/AZ12,4),0)</f>
        <v>0</v>
      </c>
      <c r="BN12" s="117" t="e">
        <f>SUM(CALCULATION[2021 IMPL])</f>
        <v>#REF!</v>
      </c>
      <c r="BO12" s="117" t="e">
        <f>SUM(CALCULATION[2021 COMMITTED])</f>
        <v>#REF!</v>
      </c>
      <c r="BP12" s="127">
        <f>IFERROR(ROUND(SUMIFS(GLOBAL_DATA_01[Target scope],GLOBAL_DATA_01[Re-estimated end],"&gt;31/12/2020",GLOBAL_DATA_01[Re-estimated end],"&lt;01/01/2022")/AZ12,4),0)</f>
        <v>0</v>
      </c>
      <c r="BQ12" s="117" t="e">
        <f>SUM(CALCULATION[2022 IMPL])</f>
        <v>#REF!</v>
      </c>
      <c r="BR12" s="117" t="e">
        <f>SUM(CALCULATION[2022 COMMITTED])</f>
        <v>#REF!</v>
      </c>
      <c r="BS12" s="127">
        <f>IFERROR(ROUND(SUMIFS(GLOBAL_DATA_01[Target scope],GLOBAL_DATA_01[Re-estimated end],"&gt;31/12/2021",GLOBAL_DATA_01[Re-estimated end],"&lt;01/01/2023")/AZ12,4),0)</f>
        <v>0</v>
      </c>
      <c r="BT12" s="126">
        <f>BM12+BP12+BS12</f>
        <v>0</v>
      </c>
      <c r="BU12" s="88">
        <f>SUM(CALCULATION[[Total IMPLEMENTED ]])</f>
        <v>0</v>
      </c>
      <c r="BV12" s="122">
        <f>BT12-BJ12</f>
        <v>0</v>
      </c>
    </row>
    <row r="13" spans="1:77" x14ac:dyDescent="0.25">
      <c r="A13" s="88"/>
      <c r="B13" s="88"/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88"/>
      <c r="AJ13" s="88"/>
      <c r="AK13" s="88"/>
      <c r="AL13" s="88"/>
      <c r="AM13" s="88"/>
      <c r="AN13" s="88"/>
      <c r="AO13" s="88"/>
      <c r="AP13" s="88"/>
      <c r="AQ13" s="88"/>
      <c r="AR13" s="88"/>
      <c r="AS13" s="88"/>
      <c r="AT13" s="88"/>
      <c r="AU13" s="88"/>
      <c r="AV13" s="88"/>
      <c r="AW13" s="88"/>
      <c r="AX13" s="88"/>
      <c r="AY13" s="88"/>
      <c r="AZ13" s="88"/>
      <c r="BA13" s="115"/>
      <c r="BB13" s="88"/>
      <c r="BC13" s="88"/>
      <c r="BD13" s="88"/>
      <c r="BE13" s="88"/>
      <c r="BF13" s="88"/>
      <c r="BG13" s="88"/>
      <c r="BH13" s="88"/>
      <c r="BI13" s="88"/>
      <c r="BJ13" s="88"/>
      <c r="BK13" s="88"/>
      <c r="BL13" s="88"/>
      <c r="BM13" s="116"/>
      <c r="BN13" s="88"/>
      <c r="BO13" s="88"/>
      <c r="BP13" s="88"/>
      <c r="BQ13" s="88"/>
      <c r="BR13" s="88"/>
      <c r="BS13" s="88"/>
      <c r="BT13" s="115"/>
      <c r="BU13" s="88"/>
      <c r="BV13" s="88"/>
    </row>
    <row r="14" spans="1:77" ht="30" x14ac:dyDescent="0.25">
      <c r="A14" s="136" t="s">
        <v>493</v>
      </c>
      <c r="B14" s="142"/>
      <c r="C14" s="142" t="s">
        <v>614</v>
      </c>
      <c r="D14" s="143" t="s">
        <v>615</v>
      </c>
      <c r="E14" s="142">
        <v>2020</v>
      </c>
      <c r="F14" s="142">
        <v>2021</v>
      </c>
      <c r="G14" s="142">
        <v>2022</v>
      </c>
    </row>
    <row r="15" spans="1:77" x14ac:dyDescent="0.25">
      <c r="A15" s="134" t="s">
        <v>2</v>
      </c>
      <c r="B15" s="135" t="s">
        <v>518</v>
      </c>
      <c r="C15" s="140" t="e">
        <f>COUNTIFS(#REF!,A15,GLOBAL_DATA_01[Priority],"P0",#REF!,1)</f>
        <v>#REF!</v>
      </c>
      <c r="D15" s="138" t="str">
        <f>IFERROR((COUNTIFS(#REF!,A15,GLOBAL_DATA_01[Priority],"P0",#REF!,1)/AB3),"0 in scope")</f>
        <v>0 in scope</v>
      </c>
      <c r="E15" s="139" t="str">
        <f>IFERROR((COUNTIFS(#REF!,A15,GLOBAL_DATA_01[Priority],"P0",GLOBAL_DATA_01[Re-estimated end],"&gt;31/12/2019",GLOBAL_DATA_01[Re-estimated end],"&lt;01/01/2021",#REF!,1)/COUNTIFS(#REF!,A15,GLOBAL_DATA_01[Priority],"P0",GLOBAL_DATA_01[Re-estimated end],"&gt;31/12/2019",GLOBAL_DATA_01[Re-estimated end],"&lt;01/01/2021",GLOBAL_DATA_01[Status],"&lt;&gt;Status_No_Project")),"0 in scope")</f>
        <v>0 in scope</v>
      </c>
      <c r="F15" s="139" t="str">
        <f>IFERROR((COUNTIFS(#REF!,A15,GLOBAL_DATA_01[Priority],"P0",GLOBAL_DATA_01[Re-estimated end],"&gt;31/12/2020",GLOBAL_DATA_01[Re-estimated end],"&lt;01/01/2022",#REF!,1)/COUNTIFS(#REF!,A15,GLOBAL_DATA_01[Priority],"P0",GLOBAL_DATA_01[Re-estimated end],"&gt;31/12/2020",GLOBAL_DATA_01[Re-estimated end],"&lt;01/01/2022",GLOBAL_DATA_01[Status],"&lt;&gt;Status_No_Project")),"0 in scope")</f>
        <v>0 in scope</v>
      </c>
      <c r="G15" s="139" t="str">
        <f>IFERROR((COUNTIFS(#REF!,A15,#REF!,"P0",#REF!,"&gt;31/12/2021",#REF!,"&lt;01/01/2022",#REF!,1)/COUNTIFS(#REF!,A15,#REF!,"P0",#REF!,"&gt;31/12/2021",#REF!,"&lt;01/01/2023",GLOBAL_DATA_01[Implementation progress rate],"&lt;&gt;Status_No_Project")), "0 in scope")</f>
        <v>0 in scope</v>
      </c>
    </row>
    <row r="16" spans="1:77" x14ac:dyDescent="0.25">
      <c r="A16" s="134" t="s">
        <v>2</v>
      </c>
      <c r="B16" s="135" t="s">
        <v>486</v>
      </c>
      <c r="C16" s="141" t="e">
        <f>COUNTIFS(#REF!,A16,GLOBAL_DATA_01[Priority],"P1",#REF!,1)</f>
        <v>#REF!</v>
      </c>
      <c r="D16" s="139" t="str">
        <f>IFERROR((COUNTIFS(#REF!,A16,GLOBAL_DATA_01[Priority],"P1",#REF!,1)/AC3),"0 in scope")</f>
        <v>0 in scope</v>
      </c>
      <c r="E16" s="139" t="str">
        <f>IFERROR((COUNTIFS(#REF!,A16,GLOBAL_DATA_01[Priority],"P1",GLOBAL_DATA_01[Re-estimated end],"&gt;31/12/2019",GLOBAL_DATA_01[Re-estimated end],"&lt;01/01/2021",#REF!,1)/COUNTIFS(#REF!,A16,GLOBAL_DATA_01[Priority],"P1",GLOBAL_DATA_01[Re-estimated end],"&gt;31/12/2019",GLOBAL_DATA_01[Re-estimated end],"&lt;01/01/2021",GLOBAL_DATA_01[Status],"&lt;&gt;Status_No_Project")),"0 in scope")</f>
        <v>0 in scope</v>
      </c>
      <c r="F16" s="139" t="str">
        <f>IFERROR((COUNTIFS(#REF!,A16,GLOBAL_DATA_01[Priority],"P1",GLOBAL_DATA_01[Re-estimated end],"&gt;31/12/2020",GLOBAL_DATA_01[Re-estimated end],"&lt;01/01/2022",#REF!,1)/COUNTIFS(#REF!,A16,GLOBAL_DATA_01[Priority],"P1",GLOBAL_DATA_01[Re-estimated end],"&gt;31/12/2020",GLOBAL_DATA_01[Re-estimated end],"&lt;01/01/2022",GLOBAL_DATA_01[Status],"&lt;&gt;Status_No_Project")),"0 in scope")</f>
        <v>0 in scope</v>
      </c>
      <c r="G16" s="139" t="str">
        <f>IFERROR((COUNTIFS(#REF!,A16,#REF!,"P1",#REF!,"&gt;31/12/2020",#REF!,"&lt;01/01/2022",#REF!,1)/COUNTIFS(#REF!,A16,#REF!,"P1",#REF!,"&gt;31/12/2020",#REF!,"&lt;01/01/2022",GLOBAL_DATA_01[Implementation progress rate],"&lt;&gt;Status_No_Project")),"0 in scope")</f>
        <v>0 in scope</v>
      </c>
    </row>
    <row r="17" spans="1:8" x14ac:dyDescent="0.25">
      <c r="A17" s="134" t="s">
        <v>3</v>
      </c>
      <c r="B17" s="135" t="s">
        <v>518</v>
      </c>
      <c r="C17" s="140" t="e">
        <f>COUNTIFS(#REF!,A17,GLOBAL_DATA_01[Priority],"P0",#REF!,1)</f>
        <v>#REF!</v>
      </c>
      <c r="D17" s="138" t="str">
        <f>IFERROR((COUNTIFS(#REF!,A17,GLOBAL_DATA_01[Priority],"P0",#REF!,1)/AB4),"0 in scope")</f>
        <v>0 in scope</v>
      </c>
      <c r="E17" s="139" t="str">
        <f>IFERROR((COUNTIFS(#REF!,A17,GLOBAL_DATA_01[Priority],"P0",GLOBAL_DATA_01[Re-estimated end],"&gt;31/12/2019",GLOBAL_DATA_01[Re-estimated end],"&lt;01/01/2021",#REF!,1)/COUNTIFS(#REF!,A17,GLOBAL_DATA_01[Priority],"P0",GLOBAL_DATA_01[Re-estimated end],"&gt;31/12/2019",GLOBAL_DATA_01[Re-estimated end],"&lt;01/01/2021",GLOBAL_DATA_01[Status],"&lt;&gt;Status_No_Project")),"0 in scope")</f>
        <v>0 in scope</v>
      </c>
      <c r="F17" s="139" t="str">
        <f>IFERROR((COUNTIFS(#REF!,A17,GLOBAL_DATA_01[Priority],"P0",GLOBAL_DATA_01[Re-estimated end],"&gt;31/12/2020",GLOBAL_DATA_01[Re-estimated end],"&lt;01/01/2022",#REF!,1)/COUNTIFS(#REF!,A17,GLOBAL_DATA_01[Priority],"P0",GLOBAL_DATA_01[Re-estimated end],"&gt;31/12/2020",GLOBAL_DATA_01[Re-estimated end],"&lt;01/01/2022",GLOBAL_DATA_01[Status],"&lt;&gt;Status_No_Project")),"0 in scope")</f>
        <v>0 in scope</v>
      </c>
      <c r="G17" s="139" t="str">
        <f>IFERROR((COUNTIFS(#REF!,A17,#REF!,"P0",#REF!,"&gt;31/12/2021",#REF!,"&lt;01/01/2022",#REF!,1)/COUNTIFS(#REF!,A17,#REF!,"P0",#REF!,"&gt;31/12/2021",#REF!,"&lt;01/01/2023",GLOBAL_DATA_01[Implementation progress rate],"&lt;&gt;Status_No_Project")), "0 in scope")</f>
        <v>0 in scope</v>
      </c>
    </row>
    <row r="18" spans="1:8" x14ac:dyDescent="0.25">
      <c r="A18" s="134" t="s">
        <v>3</v>
      </c>
      <c r="B18" s="135" t="s">
        <v>486</v>
      </c>
      <c r="C18" s="141" t="e">
        <f>COUNTIFS(#REF!,A18,GLOBAL_DATA_01[Priority],"P1",#REF!,1)</f>
        <v>#REF!</v>
      </c>
      <c r="D18" s="139" t="str">
        <f>IFERROR((COUNTIFS(#REF!,A18,GLOBAL_DATA_01[Priority],"P1",#REF!,1)/AC4),"0 in scope")</f>
        <v>0 in scope</v>
      </c>
      <c r="E18" s="139" t="str">
        <f>IFERROR((COUNTIFS(#REF!,A18,GLOBAL_DATA_01[Priority],"P1",GLOBAL_DATA_01[Re-estimated end],"&gt;31/12/2019",GLOBAL_DATA_01[Re-estimated end],"&lt;01/01/2021",#REF!,1)/COUNTIFS(#REF!,A18,GLOBAL_DATA_01[Priority],"P1",GLOBAL_DATA_01[Re-estimated end],"&gt;31/12/2019",GLOBAL_DATA_01[Re-estimated end],"&lt;01/01/2021",GLOBAL_DATA_01[Status],"&lt;&gt;Status_No_Project")),"0 in scope")</f>
        <v>0 in scope</v>
      </c>
      <c r="F18" s="139" t="str">
        <f>IFERROR((COUNTIFS(#REF!,A18,GLOBAL_DATA_01[Priority],"P1",GLOBAL_DATA_01[Re-estimated end],"&gt;31/12/2020",GLOBAL_DATA_01[Re-estimated end],"&lt;01/01/2022",#REF!,1)/COUNTIFS(#REF!,A18,GLOBAL_DATA_01[Priority],"P1",GLOBAL_DATA_01[Re-estimated end],"&gt;31/12/2020",GLOBAL_DATA_01[Re-estimated end],"&lt;01/01/2022",GLOBAL_DATA_01[Status],"&lt;&gt;Status_No_Project")),"0 in scope")</f>
        <v>0 in scope</v>
      </c>
      <c r="G18" s="139" t="str">
        <f>IFERROR((COUNTIFS(#REF!,A18,#REF!,"P1",#REF!,"&gt;31/12/2020",#REF!,"&lt;01/01/2022",#REF!,1)/COUNTIFS(#REF!,A18,#REF!,"P1",#REF!,"&gt;31/12/2020",#REF!,"&lt;01/01/2022",GLOBAL_DATA_01[Implementation progress rate],"&lt;&gt;Status_No_Project")),"0 in scope")</f>
        <v>0 in scope</v>
      </c>
    </row>
    <row r="19" spans="1:8" x14ac:dyDescent="0.25">
      <c r="A19" s="134" t="s">
        <v>4</v>
      </c>
      <c r="B19" s="135" t="s">
        <v>518</v>
      </c>
      <c r="C19" s="140" t="e">
        <f>COUNTIFS(#REF!,A19,GLOBAL_DATA_01[Priority],"P0",#REF!,1)</f>
        <v>#REF!</v>
      </c>
      <c r="D19" s="138" t="str">
        <f>IFERROR((COUNTIFS(#REF!,A19,GLOBAL_DATA_01[Priority],"P0",#REF!,1)/AB5),"0 in scope")</f>
        <v>0 in scope</v>
      </c>
      <c r="E19" s="139" t="str">
        <f>IFERROR((COUNTIFS(#REF!,A19,GLOBAL_DATA_01[Priority],"P0",GLOBAL_DATA_01[Re-estimated end],"&gt;31/12/2019",GLOBAL_DATA_01[Re-estimated end],"&lt;01/01/2021",#REF!,1)/COUNTIFS(#REF!,A19,GLOBAL_DATA_01[Priority],"P0",GLOBAL_DATA_01[Re-estimated end],"&gt;31/12/2019",GLOBAL_DATA_01[Re-estimated end],"&lt;01/01/2021",GLOBAL_DATA_01[Status],"&lt;&gt;Status_No_Project")),"0 in scope")</f>
        <v>0 in scope</v>
      </c>
      <c r="F19" s="139" t="str">
        <f>IFERROR((COUNTIFS(#REF!,A19,GLOBAL_DATA_01[Priority],"P0",GLOBAL_DATA_01[Re-estimated end],"&gt;31/12/2020",GLOBAL_DATA_01[Re-estimated end],"&lt;01/01/2022",#REF!,1)/COUNTIFS(#REF!,A19,GLOBAL_DATA_01[Priority],"P0",GLOBAL_DATA_01[Re-estimated end],"&gt;31/12/2020",GLOBAL_DATA_01[Re-estimated end],"&lt;01/01/2022",GLOBAL_DATA_01[Status],"&lt;&gt;Status_No_Project")),"0 in scope")</f>
        <v>0 in scope</v>
      </c>
      <c r="G19" s="139" t="str">
        <f>IFERROR((COUNTIFS(#REF!,A19,#REF!,"P0",#REF!,"&gt;31/12/2021",#REF!,"&lt;01/01/2022",#REF!,1)/COUNTIFS(#REF!,A19,#REF!,"P0",#REF!,"&gt;31/12/2021",#REF!,"&lt;01/01/2023",GLOBAL_DATA_01[Implementation progress rate],"&lt;&gt;Status_No_Project")), "0 in scope")</f>
        <v>0 in scope</v>
      </c>
    </row>
    <row r="20" spans="1:8" x14ac:dyDescent="0.25">
      <c r="A20" s="134" t="s">
        <v>4</v>
      </c>
      <c r="B20" s="135" t="s">
        <v>486</v>
      </c>
      <c r="C20" s="141" t="e">
        <f>COUNTIFS(#REF!,A20,GLOBAL_DATA_01[Priority],"P1",#REF!,1)</f>
        <v>#REF!</v>
      </c>
      <c r="D20" s="139" t="str">
        <f>IFERROR((COUNTIFS(#REF!,A20,GLOBAL_DATA_01[Priority],"P1",#REF!,1)/AC5),"0 in scope")</f>
        <v>0 in scope</v>
      </c>
      <c r="E20" s="139" t="str">
        <f>IFERROR((COUNTIFS(#REF!,A20,GLOBAL_DATA_01[Priority],"P1",GLOBAL_DATA_01[Re-estimated end],"&gt;31/12/2019",GLOBAL_DATA_01[Re-estimated end],"&lt;01/01/2021",#REF!,1)/COUNTIFS(#REF!,A20,GLOBAL_DATA_01[Priority],"P1",GLOBAL_DATA_01[Re-estimated end],"&gt;31/12/2019",GLOBAL_DATA_01[Re-estimated end],"&lt;01/01/2021",GLOBAL_DATA_01[Status],"&lt;&gt;Status_No_Project")),"0 in scope")</f>
        <v>0 in scope</v>
      </c>
      <c r="F20" s="139" t="str">
        <f>IFERROR((COUNTIFS(#REF!,A20,GLOBAL_DATA_01[Priority],"P1",GLOBAL_DATA_01[Re-estimated end],"&gt;31/12/2020",GLOBAL_DATA_01[Re-estimated end],"&lt;01/01/2022",#REF!,1)/COUNTIFS(#REF!,A20,GLOBAL_DATA_01[Priority],"P1",GLOBAL_DATA_01[Re-estimated end],"&gt;31/12/2020",GLOBAL_DATA_01[Re-estimated end],"&lt;01/01/2022",GLOBAL_DATA_01[Status],"&lt;&gt;Status_No_Project")),"0 in scope")</f>
        <v>0 in scope</v>
      </c>
      <c r="G20" s="139" t="str">
        <f>IFERROR((COUNTIFS(#REF!,A20,#REF!,"P1",#REF!,"&gt;31/12/2020",#REF!,"&lt;01/01/2022",#REF!,1)/COUNTIFS(#REF!,A20,#REF!,"P0",#REF!,"&gt;31/12/2020",#REF!,"&lt;01/01/2022",GLOBAL_DATA_01[Implementation progress rate],"&lt;&gt;Status_No_Project")),"0 in scope")</f>
        <v>0 in scope</v>
      </c>
    </row>
    <row r="21" spans="1:8" x14ac:dyDescent="0.25">
      <c r="A21" s="134" t="s">
        <v>5</v>
      </c>
      <c r="B21" s="135" t="s">
        <v>518</v>
      </c>
      <c r="C21" s="140" t="e">
        <f>COUNTIFS(#REF!,A21,GLOBAL_DATA_01[Priority],"P0",#REF!,1)</f>
        <v>#REF!</v>
      </c>
      <c r="D21" s="138" t="str">
        <f>IFERROR((COUNTIFS(#REF!,A21,GLOBAL_DATA_01[Priority],"P0",#REF!,1)/AB6),"0 in scope")</f>
        <v>0 in scope</v>
      </c>
      <c r="E21" s="139" t="str">
        <f>IFERROR((COUNTIFS(#REF!,A21,GLOBAL_DATA_01[Priority],"P0",GLOBAL_DATA_01[Re-estimated end],"&gt;31/12/2019",GLOBAL_DATA_01[Re-estimated end],"&lt;01/01/2021",#REF!,1)/COUNTIFS(#REF!,A21,GLOBAL_DATA_01[Priority],"P0",GLOBAL_DATA_01[Re-estimated end],"&gt;31/12/2019",GLOBAL_DATA_01[Re-estimated end],"&lt;01/01/2021",GLOBAL_DATA_01[Status],"&lt;&gt;Status_No_Project")),"0 in scope")</f>
        <v>0 in scope</v>
      </c>
      <c r="F21" s="139" t="str">
        <f>IFERROR((COUNTIFS(#REF!,A21,GLOBAL_DATA_01[Priority],"P0",GLOBAL_DATA_01[Re-estimated end],"&gt;31/12/2020",GLOBAL_DATA_01[Re-estimated end],"&lt;01/01/2022",#REF!,1)/COUNTIFS(#REF!,A21,GLOBAL_DATA_01[Priority],"P0",GLOBAL_DATA_01[Re-estimated end],"&gt;31/12/2020",GLOBAL_DATA_01[Re-estimated end],"&lt;01/01/2022",GLOBAL_DATA_01[Status],"&lt;&gt;Status_No_Project")),"0 in scope")</f>
        <v>0 in scope</v>
      </c>
      <c r="G21" s="139" t="str">
        <f>IFERROR((COUNTIFS(#REF!,A21,#REF!,"P0",#REF!,"&gt;31/12/2021",#REF!,"&lt;01/01/2022",#REF!,1)/COUNTIFS(#REF!,A21,#REF!,"P0",#REF!,"&gt;31/12/2021",#REF!,"&lt;01/01/2023",GLOBAL_DATA_01[Implementation progress rate],"&lt;&gt;Status_No_Project")), "0 in scope")</f>
        <v>0 in scope</v>
      </c>
    </row>
    <row r="22" spans="1:8" x14ac:dyDescent="0.25">
      <c r="A22" s="134" t="s">
        <v>5</v>
      </c>
      <c r="B22" s="135" t="s">
        <v>486</v>
      </c>
      <c r="C22" s="141" t="e">
        <f>COUNTIFS(#REF!,A22,GLOBAL_DATA_01[Priority],"P1",#REF!,1)</f>
        <v>#REF!</v>
      </c>
      <c r="D22" s="139" t="str">
        <f>IFERROR((COUNTIFS(#REF!,A22,GLOBAL_DATA_01[Priority],"P1",#REF!,1)/AC6),"0 in scope")</f>
        <v>0 in scope</v>
      </c>
      <c r="E22" s="139" t="str">
        <f>IFERROR((COUNTIFS(#REF!,A22,GLOBAL_DATA_01[Priority],"P1",GLOBAL_DATA_01[Re-estimated end],"&gt;31/12/2019",GLOBAL_DATA_01[Re-estimated end],"&lt;01/01/2021",#REF!,1)/COUNTIFS(#REF!,A22,GLOBAL_DATA_01[Priority],"P1",GLOBAL_DATA_01[Re-estimated end],"&gt;31/12/2019",GLOBAL_DATA_01[Re-estimated end],"&lt;01/01/2021",GLOBAL_DATA_01[Status],"&lt;&gt;Status_No_Project")),"0 in scope")</f>
        <v>0 in scope</v>
      </c>
      <c r="F22" s="139" t="str">
        <f>IFERROR((COUNTIFS(#REF!,A22,GLOBAL_DATA_01[Priority],"P1",GLOBAL_DATA_01[Re-estimated end],"&gt;31/12/2020",GLOBAL_DATA_01[Re-estimated end],"&lt;01/01/2022",#REF!,1)/COUNTIFS(#REF!,A22,GLOBAL_DATA_01[Priority],"P1",GLOBAL_DATA_01[Re-estimated end],"&gt;31/12/2020",GLOBAL_DATA_01[Re-estimated end],"&lt;01/01/2022",GLOBAL_DATA_01[Status],"&lt;&gt;Status_No_Project")),"0 in scope")</f>
        <v>0 in scope</v>
      </c>
      <c r="G22" s="139" t="str">
        <f>IFERROR((COUNTIFS(#REF!,A22,#REF!,"P1",#REF!,"&gt;31/12/2020",#REF!,"&lt;01/01/2022",#REF!,1)/COUNTIFS(#REF!,A22,#REF!,"P1",#REF!,"&gt;31/12/2020",#REF!,"&lt;01/01/2022",GLOBAL_DATA_01[Implementation progress rate],"&lt;&gt;Status_No_Project")),"0 in scope")</f>
        <v>0 in scope</v>
      </c>
    </row>
    <row r="23" spans="1:8" x14ac:dyDescent="0.25">
      <c r="A23" s="134" t="s">
        <v>6</v>
      </c>
      <c r="B23" s="135" t="s">
        <v>518</v>
      </c>
      <c r="C23" s="140" t="e">
        <f>COUNTIFS(#REF!,A23,GLOBAL_DATA_01[Priority],"P0",#REF!,1)</f>
        <v>#REF!</v>
      </c>
      <c r="D23" s="138" t="str">
        <f>IFERROR((COUNTIFS(#REF!,A23,GLOBAL_DATA_01[Priority],"P0",#REF!,1)/AB7),"0 in scope")</f>
        <v>0 in scope</v>
      </c>
      <c r="E23" s="139" t="str">
        <f>IFERROR((COUNTIFS(#REF!,A23,GLOBAL_DATA_01[Priority],"P0",GLOBAL_DATA_01[Re-estimated end],"&gt;31/12/2019",GLOBAL_DATA_01[Re-estimated end],"&lt;01/01/2021",#REF!,1)/COUNTIFS(#REF!,A23,GLOBAL_DATA_01[Priority],"P0",GLOBAL_DATA_01[Re-estimated end],"&gt;31/12/2019",GLOBAL_DATA_01[Re-estimated end],"&lt;01/01/2021",GLOBAL_DATA_01[Status],"&lt;&gt;Status_No_Project")),"0 in scope")</f>
        <v>0 in scope</v>
      </c>
      <c r="F23" s="139" t="str">
        <f>IFERROR((COUNTIFS(#REF!,A23,GLOBAL_DATA_01[Priority],"P0",GLOBAL_DATA_01[Re-estimated end],"&gt;31/12/2020",GLOBAL_DATA_01[Re-estimated end],"&lt;01/01/2022",#REF!,1)/COUNTIFS(#REF!,A23,GLOBAL_DATA_01[Priority],"P0",GLOBAL_DATA_01[Re-estimated end],"&gt;31/12/2020",GLOBAL_DATA_01[Re-estimated end],"&lt;01/01/2022",GLOBAL_DATA_01[Status],"&lt;&gt;Status_No_Project")),"0 in scope")</f>
        <v>0 in scope</v>
      </c>
      <c r="G23" s="139" t="str">
        <f>IFERROR((COUNTIFS(#REF!,A23,#REF!,"P0",#REF!,"&gt;31/12/2021",#REF!,"&lt;01/01/2022",#REF!,1)/COUNTIFS(#REF!,A23,#REF!,"P0",#REF!,"&gt;31/12/2021",#REF!,"&lt;01/01/2023",GLOBAL_DATA_01[Implementation progress rate],"&lt;&gt;Status_No_Project")), "0 in scope")</f>
        <v>0 in scope</v>
      </c>
    </row>
    <row r="24" spans="1:8" x14ac:dyDescent="0.25">
      <c r="A24" s="134" t="s">
        <v>6</v>
      </c>
      <c r="B24" s="135" t="s">
        <v>486</v>
      </c>
      <c r="C24" s="141" t="e">
        <f>COUNTIFS(#REF!,A24,GLOBAL_DATA_01[Priority],"P1",#REF!,1)</f>
        <v>#REF!</v>
      </c>
      <c r="D24" s="139" t="str">
        <f>IFERROR((COUNTIFS(#REF!,A24,GLOBAL_DATA_01[Priority],"P1",#REF!,1)/AC7),"0 in scope")</f>
        <v>0 in scope</v>
      </c>
      <c r="E24" s="139" t="str">
        <f>IFERROR((COUNTIFS(#REF!,A24,GLOBAL_DATA_01[Priority],"P1",GLOBAL_DATA_01[Re-estimated end],"&gt;31/12/2019",GLOBAL_DATA_01[Re-estimated end],"&lt;01/01/2021",#REF!,1)/COUNTIFS(#REF!,A24,GLOBAL_DATA_01[Priority],"P1",GLOBAL_DATA_01[Re-estimated end],"&gt;31/12/2019",GLOBAL_DATA_01[Re-estimated end],"&lt;01/01/2021",GLOBAL_DATA_01[Status],"&lt;&gt;Status_No_Project")),"0 in scope")</f>
        <v>0 in scope</v>
      </c>
      <c r="F24" s="139" t="str">
        <f>IFERROR((COUNTIFS(#REF!,A24,GLOBAL_DATA_01[Priority],"P1",GLOBAL_DATA_01[Re-estimated end],"&gt;31/12/2020",GLOBAL_DATA_01[Re-estimated end],"&lt;01/01/2022",#REF!,1)/COUNTIFS(#REF!,A24,GLOBAL_DATA_01[Priority],"P1",GLOBAL_DATA_01[Re-estimated end],"&gt;31/12/2020",GLOBAL_DATA_01[Re-estimated end],"&lt;01/01/2022",GLOBAL_DATA_01[Status],"&lt;&gt;Status_No_Project")),"0 in scope")</f>
        <v>0 in scope</v>
      </c>
      <c r="G24" s="139" t="str">
        <f>IFERROR((COUNTIFS(#REF!,A24,#REF!,"P1",#REF!,"&gt;31/12/2020",#REF!,"&lt;01/01/2022",#REF!,1)/COUNTIFS(#REF!,A24,#REF!,"P1",#REF!,"&gt;31/12/2020",#REF!,"&lt;01/01/2022",GLOBAL_DATA_01[Implementation progress rate],"&lt;&gt;Status_No_Project")),"0 in scope")</f>
        <v>0 in scope</v>
      </c>
    </row>
    <row r="25" spans="1:8" x14ac:dyDescent="0.25">
      <c r="A25" s="134" t="s">
        <v>7</v>
      </c>
      <c r="B25" s="135" t="s">
        <v>518</v>
      </c>
      <c r="C25" s="140" t="e">
        <f>COUNTIFS(#REF!,A25,GLOBAL_DATA_01[Priority],"P0",#REF!,1)</f>
        <v>#REF!</v>
      </c>
      <c r="D25" s="138" t="str">
        <f>IFERROR((COUNTIFS(#REF!,A25,GLOBAL_DATA_01[Priority],"P0",#REF!,1)/AB8),"0 in scope")</f>
        <v>0 in scope</v>
      </c>
      <c r="E25" s="139" t="str">
        <f>IFERROR((COUNTIFS(#REF!,A25,GLOBAL_DATA_01[Priority],"P0",GLOBAL_DATA_01[Re-estimated end],"&gt;31/12/2019",GLOBAL_DATA_01[Re-estimated end],"&lt;01/01/2021",#REF!,1)/COUNTIFS(#REF!,A25,GLOBAL_DATA_01[Priority],"P0",GLOBAL_DATA_01[Re-estimated end],"&gt;31/12/2019",GLOBAL_DATA_01[Re-estimated end],"&lt;01/01/2021",GLOBAL_DATA_01[Status],"&lt;&gt;Status_No_Project")),"0 in scope")</f>
        <v>0 in scope</v>
      </c>
      <c r="F25" s="139" t="str">
        <f>IFERROR((COUNTIFS(#REF!,A25,GLOBAL_DATA_01[Priority],"P0",GLOBAL_DATA_01[Re-estimated end],"&gt;31/12/2020",GLOBAL_DATA_01[Re-estimated end],"&lt;01/01/2022",#REF!,1)/COUNTIFS(#REF!,A25,GLOBAL_DATA_01[Priority],"P0",GLOBAL_DATA_01[Re-estimated end],"&gt;31/12/2020",GLOBAL_DATA_01[Re-estimated end],"&lt;01/01/2022",GLOBAL_DATA_01[Status],"&lt;&gt;Status_No_Project")),"0 in scope")</f>
        <v>0 in scope</v>
      </c>
      <c r="G25" s="139" t="str">
        <f>IFERROR((COUNTIFS(#REF!,A25,#REF!,"P0",#REF!,"&gt;31/12/2021",#REF!,"&lt;01/01/2022",#REF!,1)/COUNTIFS(#REF!,A25,#REF!,"P0",#REF!,"&gt;31/12/2021",#REF!,"&lt;01/01/2023",GLOBAL_DATA_01[Implementation progress rate],"&lt;&gt;Status_No_Project")), "0 in scope")</f>
        <v>0 in scope</v>
      </c>
    </row>
    <row r="26" spans="1:8" x14ac:dyDescent="0.25">
      <c r="A26" s="134" t="s">
        <v>7</v>
      </c>
      <c r="B26" s="135" t="s">
        <v>486</v>
      </c>
      <c r="C26" s="141" t="e">
        <f>COUNTIFS(#REF!,A26,GLOBAL_DATA_01[Priority],"P1",#REF!,1)</f>
        <v>#REF!</v>
      </c>
      <c r="D26" s="139" t="str">
        <f>IFERROR((COUNTIFS(#REF!,A26,GLOBAL_DATA_01[Priority],"P1",#REF!,1)/AC8),"0 in scope")</f>
        <v>0 in scope</v>
      </c>
      <c r="E26" s="139" t="str">
        <f>IFERROR((COUNTIFS(#REF!,A26,GLOBAL_DATA_01[Priority],"P1",GLOBAL_DATA_01[Re-estimated end],"&gt;31/12/2019",GLOBAL_DATA_01[Re-estimated end],"&lt;01/01/2021",#REF!,1)/COUNTIFS(#REF!,A26,GLOBAL_DATA_01[Priority],"P1",GLOBAL_DATA_01[Re-estimated end],"&gt;31/12/2019",GLOBAL_DATA_01[Re-estimated end],"&lt;01/01/2021",GLOBAL_DATA_01[Status],"&lt;&gt;Status_No_Project")),"0 in scope")</f>
        <v>0 in scope</v>
      </c>
      <c r="F26" s="139" t="str">
        <f>IFERROR((COUNTIFS(#REF!,A26,GLOBAL_DATA_01[Priority],"P1",GLOBAL_DATA_01[Re-estimated end],"&gt;31/12/2020",GLOBAL_DATA_01[Re-estimated end],"&lt;01/01/2022",#REF!,1)/COUNTIFS(#REF!,A26,GLOBAL_DATA_01[Priority],"P1",GLOBAL_DATA_01[Re-estimated end],"&gt;31/12/2020",GLOBAL_DATA_01[Re-estimated end],"&lt;01/01/2022",GLOBAL_DATA_01[Status],"&lt;&gt;Status_No_Project")),"0 in scope")</f>
        <v>0 in scope</v>
      </c>
      <c r="G26" s="139" t="str">
        <f>IFERROR((COUNTIFS(#REF!,A26,#REF!,"P1",#REF!,"&gt;31/12/2020",#REF!,"&lt;01/01/2022",#REF!,1)/COUNTIFS(#REF!,A26,#REF!,"P1",#REF!,"&gt;31/12/2020",#REF!,"&lt;01/01/2022",GLOBAL_DATA_01[Implementation progress rate],"&lt;&gt;Status_No_Project")),"0 in scope")</f>
        <v>0 in scope</v>
      </c>
      <c r="H26" s="137"/>
    </row>
    <row r="27" spans="1:8" x14ac:dyDescent="0.25">
      <c r="A27" s="134" t="s">
        <v>8</v>
      </c>
      <c r="B27" s="135" t="s">
        <v>518</v>
      </c>
      <c r="C27" s="140" t="e">
        <f>COUNTIFS(#REF!,A27,GLOBAL_DATA_01[Priority],"P0",#REF!,1)</f>
        <v>#REF!</v>
      </c>
      <c r="D27" s="138" t="str">
        <f>IFERROR((COUNTIFS(#REF!,A27,GLOBAL_DATA_01[Priority],"P0",#REF!,1)/AB9),"0 in scope")</f>
        <v>0 in scope</v>
      </c>
      <c r="E27" s="139" t="str">
        <f>IFERROR((COUNTIFS(#REF!,A27,GLOBAL_DATA_01[Priority],"P0",GLOBAL_DATA_01[Re-estimated end],"&gt;31/12/2019",GLOBAL_DATA_01[Re-estimated end],"&lt;01/01/2021",#REF!,1)/COUNTIFS(#REF!,A27,GLOBAL_DATA_01[Priority],"P0",GLOBAL_DATA_01[Re-estimated end],"&gt;31/12/2019",GLOBAL_DATA_01[Re-estimated end],"&lt;01/01/2021",GLOBAL_DATA_01[Status],"&lt;&gt;Status_No_Project")),"0 in scope")</f>
        <v>0 in scope</v>
      </c>
      <c r="F27" s="139" t="str">
        <f>IFERROR((COUNTIFS(#REF!,A27,GLOBAL_DATA_01[Priority],"P0",GLOBAL_DATA_01[Re-estimated end],"&gt;31/12/2020",GLOBAL_DATA_01[Re-estimated end],"&lt;01/01/2022",#REF!,1)/COUNTIFS(#REF!,A27,GLOBAL_DATA_01[Priority],"P0",GLOBAL_DATA_01[Re-estimated end],"&gt;31/12/2020",GLOBAL_DATA_01[Re-estimated end],"&lt;01/01/2022",GLOBAL_DATA_01[Status],"&lt;&gt;Status_No_Project")),"0 in scope")</f>
        <v>0 in scope</v>
      </c>
      <c r="G27" s="139" t="str">
        <f>IFERROR((COUNTIFS(#REF!,A27,#REF!,"P0",#REF!,"&gt;31/12/2021",#REF!,"&lt;01/01/2022",#REF!,1)/COUNTIFS(#REF!,A27,#REF!,"P0",#REF!,"&gt;31/12/2021",#REF!,"&lt;01/01/2023",GLOBAL_DATA_01[Implementation progress rate],"&lt;&gt;Status_No_Project")), "0 in scope")</f>
        <v>0 in scope</v>
      </c>
    </row>
    <row r="28" spans="1:8" x14ac:dyDescent="0.25">
      <c r="A28" s="134" t="s">
        <v>8</v>
      </c>
      <c r="B28" s="135" t="s">
        <v>486</v>
      </c>
      <c r="C28" s="141" t="e">
        <f>COUNTIFS(#REF!,A28,GLOBAL_DATA_01[Priority],"P1",#REF!,1)</f>
        <v>#REF!</v>
      </c>
      <c r="D28" s="139" t="str">
        <f>IFERROR((COUNTIFS(#REF!,A28,GLOBAL_DATA_01[Priority],"P1",#REF!,1)/AC9),"0 in scope")</f>
        <v>0 in scope</v>
      </c>
      <c r="E28" s="139" t="str">
        <f>IFERROR((COUNTIFS(#REF!,A28,GLOBAL_DATA_01[Priority],"P1",GLOBAL_DATA_01[Re-estimated end],"&gt;31/12/2019",GLOBAL_DATA_01[Re-estimated end],"&lt;01/01/2021",#REF!,1)/COUNTIFS(#REF!,A28,GLOBAL_DATA_01[Priority],"P1",GLOBAL_DATA_01[Re-estimated end],"&gt;31/12/2019",GLOBAL_DATA_01[Re-estimated end],"&lt;01/01/2021",GLOBAL_DATA_01[Status],"&lt;&gt;Status_No_Project")),"0 in scope")</f>
        <v>0 in scope</v>
      </c>
      <c r="F28" s="139" t="str">
        <f>IFERROR((COUNTIFS(#REF!,A28,GLOBAL_DATA_01[Priority],"P1",GLOBAL_DATA_01[Re-estimated end],"&gt;31/12/2020",GLOBAL_DATA_01[Re-estimated end],"&lt;01/01/2022",#REF!,1)/COUNTIFS(#REF!,A28,GLOBAL_DATA_01[Priority],"P1",GLOBAL_DATA_01[Re-estimated end],"&gt;31/12/2020",GLOBAL_DATA_01[Re-estimated end],"&lt;01/01/2022",GLOBAL_DATA_01[Status],"&lt;&gt;Status_No_Project")),"0 in scope")</f>
        <v>0 in scope</v>
      </c>
      <c r="G28" s="139" t="str">
        <f>IFERROR((COUNTIFS(#REF!,A28,#REF!,"P1",#REF!,"&gt;31/12/2020",#REF!,"&lt;01/01/2022",#REF!,1)/COUNTIFS(#REF!,A28,#REF!,"P1",#REF!,"&gt;31/12/2020",#REF!,"&lt;01/01/2022",GLOBAL_DATA_01[Implementation progress rate],"&lt;&gt;Status_No_Project")),"0 in scope")</f>
        <v>0 in scope</v>
      </c>
    </row>
    <row r="29" spans="1:8" x14ac:dyDescent="0.25">
      <c r="A29" s="134" t="s">
        <v>9</v>
      </c>
      <c r="B29" s="135" t="s">
        <v>518</v>
      </c>
      <c r="C29" s="140" t="e">
        <f>COUNTIFS(#REF!,A29,GLOBAL_DATA_01[Priority],"P0",#REF!,1)</f>
        <v>#REF!</v>
      </c>
      <c r="D29" s="138" t="str">
        <f>IFERROR((COUNTIFS(#REF!,A29,GLOBAL_DATA_01[Priority],"P0",#REF!,1)/AB10),"0 in scope")</f>
        <v>0 in scope</v>
      </c>
      <c r="E29" s="139" t="str">
        <f>IFERROR((COUNTIFS(#REF!,A29,GLOBAL_DATA_01[Priority],"P0",GLOBAL_DATA_01[Re-estimated end],"&gt;31/12/2019",GLOBAL_DATA_01[Re-estimated end],"&lt;01/01/2021",#REF!,1)/COUNTIFS(#REF!,A29,GLOBAL_DATA_01[Priority],"P0",GLOBAL_DATA_01[Re-estimated end],"&gt;31/12/2019",GLOBAL_DATA_01[Re-estimated end],"&lt;01/01/2021",GLOBAL_DATA_01[Status],"&lt;&gt;Status_No_Project")),"0 in scope")</f>
        <v>0 in scope</v>
      </c>
      <c r="F29" s="139" t="str">
        <f>IFERROR((COUNTIFS(#REF!,A29,GLOBAL_DATA_01[Priority],"P0",GLOBAL_DATA_01[Re-estimated end],"&gt;31/12/2020",GLOBAL_DATA_01[Re-estimated end],"&lt;01/01/2022",#REF!,1)/COUNTIFS(#REF!,A29,GLOBAL_DATA_01[Priority],"P0",GLOBAL_DATA_01[Re-estimated end],"&gt;31/12/2020",GLOBAL_DATA_01[Re-estimated end],"&lt;01/01/2022",GLOBAL_DATA_01[Status],"&lt;&gt;Status_No_Project")),"0 in scope")</f>
        <v>0 in scope</v>
      </c>
      <c r="G29" s="139" t="str">
        <f>IFERROR((COUNTIFS(#REF!,A29,#REF!,"P0",#REF!,"&gt;31/12/2021",#REF!,"&lt;01/01/2022",#REF!,1)/COUNTIFS(#REF!,A29,#REF!,"P0",#REF!,"&gt;31/12/2021",#REF!,"&lt;01/01/2023",GLOBAL_DATA_01[Implementation progress rate],"&lt;&gt;Status_No_Project")), "0 in scope")</f>
        <v>0 in scope</v>
      </c>
    </row>
    <row r="30" spans="1:8" x14ac:dyDescent="0.25">
      <c r="A30" s="134" t="s">
        <v>9</v>
      </c>
      <c r="B30" s="135" t="s">
        <v>486</v>
      </c>
      <c r="C30" s="141" t="e">
        <f>COUNTIFS(#REF!,A30,GLOBAL_DATA_01[Priority],"P1",#REF!,1)</f>
        <v>#REF!</v>
      </c>
      <c r="D30" s="139" t="str">
        <f>IFERROR((COUNTIFS(#REF!,A30,GLOBAL_DATA_01[Priority],"P1",#REF!,1)/AC10),"0 in scope")</f>
        <v>0 in scope</v>
      </c>
      <c r="E30" s="139" t="str">
        <f>IFERROR((COUNTIFS(#REF!,A30,GLOBAL_DATA_01[Priority],"P1",GLOBAL_DATA_01[Re-estimated end],"&gt;31/12/2019",GLOBAL_DATA_01[Re-estimated end],"&lt;01/01/2021",#REF!,1)/COUNTIFS(#REF!,A30,GLOBAL_DATA_01[Priority],"P1",GLOBAL_DATA_01[Re-estimated end],"&gt;31/12/2019",GLOBAL_DATA_01[Re-estimated end],"&lt;01/01/2021",GLOBAL_DATA_01[Status],"&lt;&gt;Status_No_Project")),"0 in scope")</f>
        <v>0 in scope</v>
      </c>
      <c r="F30" s="139" t="str">
        <f>IFERROR((COUNTIFS(#REF!,A30,GLOBAL_DATA_01[Priority],"P1",GLOBAL_DATA_01[Re-estimated end],"&gt;31/12/2020",GLOBAL_DATA_01[Re-estimated end],"&lt;01/01/2022",#REF!,1)/COUNTIFS(#REF!,A30,GLOBAL_DATA_01[Priority],"P1",GLOBAL_DATA_01[Re-estimated end],"&gt;31/12/2020",GLOBAL_DATA_01[Re-estimated end],"&lt;01/01/2022",GLOBAL_DATA_01[Status],"&lt;&gt;Status_No_Project")),"0 in scope")</f>
        <v>0 in scope</v>
      </c>
      <c r="G30" s="139" t="str">
        <f>IFERROR((COUNTIFS(#REF!,A30,#REF!,"P1",#REF!,"&gt;31/12/2020",#REF!,"&lt;01/01/2022",#REF!,1)/COUNTIFS(#REF!,A30,#REF!,"P1",#REF!,"&gt;31/12/2020",#REF!,"&lt;01/01/2022",GLOBAL_DATA_01[Implementation progress rate],"&lt;&gt;Status_No_Project")),"0 in scope")</f>
        <v>0 in scope</v>
      </c>
    </row>
    <row r="31" spans="1:8" x14ac:dyDescent="0.25">
      <c r="A31" s="134" t="s">
        <v>10</v>
      </c>
      <c r="B31" s="135" t="s">
        <v>518</v>
      </c>
      <c r="C31" s="140" t="e">
        <f>COUNTIFS(#REF!,A31,GLOBAL_DATA_01[Priority],"P0",#REF!,1)</f>
        <v>#REF!</v>
      </c>
      <c r="D31" s="138" t="str">
        <f>IFERROR((COUNTIFS(#REF!,A31,GLOBAL_DATA_01[Priority],"P0",#REF!,1)/AB11),"0 in scope")</f>
        <v>0 in scope</v>
      </c>
      <c r="E31" s="139" t="str">
        <f>IFERROR((COUNTIFS(#REF!,A31,GLOBAL_DATA_01[Priority],"P0",GLOBAL_DATA_01[Re-estimated end],"&gt;31/12/2019",GLOBAL_DATA_01[Re-estimated end],"&lt;01/01/2021",#REF!,1)/COUNTIFS(#REF!,A31,GLOBAL_DATA_01[Priority],"P0",GLOBAL_DATA_01[Re-estimated end],"&gt;31/12/2019",GLOBAL_DATA_01[Re-estimated end],"&lt;01/01/2021",GLOBAL_DATA_01[Status],"&lt;&gt;Status_No_Project")),"0 in scope")</f>
        <v>0 in scope</v>
      </c>
      <c r="F31" s="139" t="str">
        <f>IFERROR((COUNTIFS(#REF!,A31,GLOBAL_DATA_01[Priority],"P0",GLOBAL_DATA_01[Re-estimated end],"&gt;31/12/2020",GLOBAL_DATA_01[Re-estimated end],"&lt;01/01/2022",#REF!,1)/COUNTIFS(#REF!,A31,GLOBAL_DATA_01[Priority],"P0",GLOBAL_DATA_01[Re-estimated end],"&gt;31/12/2020",GLOBAL_DATA_01[Re-estimated end],"&lt;01/01/2022",GLOBAL_DATA_01[Status],"&lt;&gt;Status_No_Project")),"0 in scope")</f>
        <v>0 in scope</v>
      </c>
      <c r="G31" s="139" t="str">
        <f>IFERROR((COUNTIFS(#REF!,A31,#REF!,"P0",#REF!,"&gt;31/12/2021",#REF!,"&lt;01/01/2022",#REF!,1)/COUNTIFS(#REF!,A31,#REF!,"P0",#REF!,"&gt;31/12/2021",#REF!,"&lt;01/01/2023",GLOBAL_DATA_01[Implementation progress rate],"&lt;&gt;Status_No_Project")), "0 in scope")</f>
        <v>0 in scope</v>
      </c>
    </row>
    <row r="32" spans="1:8" x14ac:dyDescent="0.25">
      <c r="A32" s="134" t="s">
        <v>10</v>
      </c>
      <c r="B32" s="135" t="s">
        <v>486</v>
      </c>
      <c r="C32" s="141" t="e">
        <f>COUNTIFS(#REF!,A32,GLOBAL_DATA_01[Priority],"P1",#REF!,1)</f>
        <v>#REF!</v>
      </c>
      <c r="D32" s="139" t="str">
        <f>IFERROR((COUNTIFS(#REF!,A32,GLOBAL_DATA_01[Priority],"P1",#REF!,1)/AC11),"0 in scope")</f>
        <v>0 in scope</v>
      </c>
      <c r="E32" s="139" t="str">
        <f>IFERROR((COUNTIFS(#REF!,A32,GLOBAL_DATA_01[Priority],"P1",GLOBAL_DATA_01[Re-estimated end],"&gt;31/12/2019",GLOBAL_DATA_01[Re-estimated end],"&lt;01/01/2021",#REF!,1)/COUNTIFS(#REF!,A32,GLOBAL_DATA_01[Priority],"P1",GLOBAL_DATA_01[Re-estimated end],"&gt;31/12/2019",GLOBAL_DATA_01[Re-estimated end],"&lt;01/01/2021",GLOBAL_DATA_01[Status],"&lt;&gt;Status_No_Project")),"0 in scope")</f>
        <v>0 in scope</v>
      </c>
      <c r="F32" s="139" t="str">
        <f>IFERROR((COUNTIFS(#REF!,A32,GLOBAL_DATA_01[Priority],"P1",GLOBAL_DATA_01[Re-estimated end],"&gt;31/12/2020",GLOBAL_DATA_01[Re-estimated end],"&lt;01/01/2022",#REF!,1)/COUNTIFS(#REF!,A32,GLOBAL_DATA_01[Priority],"P1",GLOBAL_DATA_01[Re-estimated end],"&gt;31/12/2020",GLOBAL_DATA_01[Re-estimated end],"&lt;01/01/2022",GLOBAL_DATA_01[Status],"&lt;&gt;Status_No_Project")),"0 in scope")</f>
        <v>0 in scope</v>
      </c>
      <c r="G32" s="139" t="str">
        <f>IFERROR((COUNTIFS(#REF!,A32,#REF!,"P1",#REF!,"&gt;31/12/2020",#REF!,"&lt;01/01/2022",#REF!,1)/COUNTIFS(#REF!,A32,#REF!,"P1",#REF!,"&gt;31/12/2020",#REF!,"&lt;01/01/2022",GLOBAL_DATA_01[Implementation progress rate],"&lt;&gt;Status_No_Project")),"0 in scope")</f>
        <v>0 in scope</v>
      </c>
    </row>
    <row r="33" spans="1:7" x14ac:dyDescent="0.25">
      <c r="A33" s="135" t="s">
        <v>613</v>
      </c>
      <c r="B33" s="135" t="s">
        <v>518</v>
      </c>
      <c r="C33" s="140" t="e">
        <f>COUNTIFS(GLOBAL_DATA_01[Priority],"P0",#REF!,1)</f>
        <v>#REF!</v>
      </c>
      <c r="D33" s="138" t="str">
        <f>IFERROR((COUNTIFS(GLOBAL_DATA_01[Priority],"P0",#REF!,1)/AA12),"0 in scope")</f>
        <v>0 in scope</v>
      </c>
      <c r="E33" s="139" t="str">
        <f>IFERROR((COUNTIFS(GLOBAL_DATA_01[Priority],"P0",GLOBAL_DATA_01[Re-estimated end],"&gt;31/12/2019",GLOBAL_DATA_01[Re-estimated end],"&lt;01/01/2021",#REF!,1)/COUNTIFS(GLOBAL_DATA_01[Priority],"P0",GLOBAL_DATA_01[Re-estimated end],"&gt;31/12/2019",GLOBAL_DATA_01[Re-estimated end],"&lt;01/01/2021",GLOBAL_DATA_01[Status],"&lt;&gt;Status_No_Project")),"0 in scope")</f>
        <v>0 in scope</v>
      </c>
      <c r="F33" s="139" t="str">
        <f>IFERROR((COUNTIFS(GLOBAL_DATA_01[Priority],"P0",GLOBAL_DATA_01[Re-estimated end],"&gt;31/12/2020",GLOBAL_DATA_01[Re-estimated end],"&lt;01/01/2022",#REF!,1)/COUNTIFS(GLOBAL_DATA_01[Priority],"P0",GLOBAL_DATA_01[Re-estimated end],"&gt;31/12/2020",GLOBAL_DATA_01[Re-estimated end],"&lt;01/01/2022",GLOBAL_DATA_01[Status],"&lt;&gt;Status_No_Project")),"0 in scope")</f>
        <v>0 in scope</v>
      </c>
      <c r="G33" s="139" t="str">
        <f>IFERROR((COUNTIFS(#REF!,"P0",#REF!,"&gt;31/12/2021",#REF!,"&lt;01/01/2022",#REF!,1)/COUNTIFS(#REF!,"P0",#REF!,"&gt;31/12/2021",#REF!,"&lt;01/01/2023",GLOBAL_DATA_01[Implementation progress rate],"&lt;&gt;Status_No_Project")), "0 in scope")</f>
        <v>0 in scope</v>
      </c>
    </row>
    <row r="34" spans="1:7" x14ac:dyDescent="0.25">
      <c r="A34" s="135" t="s">
        <v>613</v>
      </c>
      <c r="B34" s="135" t="s">
        <v>486</v>
      </c>
      <c r="C34" s="141" t="e">
        <f>COUNTIFS(GLOBAL_DATA_01[Priority],"P1",#REF!,1)</f>
        <v>#REF!</v>
      </c>
      <c r="D34" s="139" t="str">
        <f>IFERROR((COUNTIFS(GLOBAL_DATA_01[Priority],"P1",#REF!,1)/AB12),"0 in scope")</f>
        <v>0 in scope</v>
      </c>
      <c r="E34" s="139" t="str">
        <f>IFERROR((COUNTIFS(GLOBAL_DATA_01[Priority],"P1",GLOBAL_DATA_01[Re-estimated end],"&gt;31/12/2019",GLOBAL_DATA_01[Re-estimated end],"&lt;01/01/2021",#REF!,1)/COUNTIFS(GLOBAL_DATA_01[Priority],"P1",GLOBAL_DATA_01[Re-estimated end],"&gt;31/12/2019",GLOBAL_DATA_01[Re-estimated end],"&lt;01/01/2021",GLOBAL_DATA_01[Status],"&lt;&gt;Status_No_Project")),"0 in scope")</f>
        <v>0 in scope</v>
      </c>
      <c r="F34" s="139" t="str">
        <f>IFERROR((COUNTIFS(GLOBAL_DATA_01[Priority],"P1",GLOBAL_DATA_01[Re-estimated end],"&gt;31/12/2020",GLOBAL_DATA_01[Re-estimated end],"&lt;01/01/2022",#REF!,1)/COUNTIFS(GLOBAL_DATA_01[Priority],"P1",GLOBAL_DATA_01[Re-estimated end],"&gt;31/12/2020",GLOBAL_DATA_01[Re-estimated end],"&lt;01/01/2022",GLOBAL_DATA_01[Status],"&lt;&gt;Status_No_Project")),"0 in scope")</f>
        <v>0 in scope</v>
      </c>
      <c r="G34" s="139" t="str">
        <f>IFERROR((COUNTIFS(#REF!,"P1",#REF!,"&gt;31/12/2020",#REF!,"&lt;01/01/2022",#REF!,1)/COUNTIFS(#REF!,"P1",#REF!,"&gt;31/12/2020",#REF!,"&lt;01/01/2022",GLOBAL_DATA_01[Implementation progress rate],"&lt;&gt;Status_No_Project")),"0 in scope")</f>
        <v>0 in scope</v>
      </c>
    </row>
  </sheetData>
  <conditionalFormatting sqref="D15:G34">
    <cfRule type="containsText" dxfId="105" priority="1" operator="containsText" text="0 in scope">
      <formula>NOT(ISERROR(SEARCH("0 in scope",D15)))</formula>
    </cfRule>
    <cfRule type="colorScale" priority="2">
      <colorScale>
        <cfvo type="min"/>
        <cfvo type="percentile" val="50"/>
        <cfvo type="max"/>
        <color rgb="FFFF8585"/>
        <color rgb="FFFFEB84"/>
        <color rgb="FF1DA34A"/>
      </colorScale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B0F0"/>
  </sheetPr>
  <dimension ref="A1:AA37"/>
  <sheetViews>
    <sheetView showGridLines="0" topLeftCell="XEA1" zoomScale="55" zoomScaleNormal="55" workbookViewId="0">
      <selection activeCell="V13" sqref="V13:XFD13"/>
    </sheetView>
  </sheetViews>
  <sheetFormatPr baseColWidth="10" defaultColWidth="11.42578125" defaultRowHeight="15" customHeight="1" zeroHeight="1" x14ac:dyDescent="0.25"/>
  <cols>
    <col min="1" max="1" width="1.7109375" style="15" customWidth="1"/>
    <col min="2" max="2" width="23.42578125" style="15" customWidth="1"/>
    <col min="3" max="3" width="3.28515625" style="15" customWidth="1"/>
    <col min="4" max="4" width="16.140625" style="15" customWidth="1"/>
    <col min="5" max="5" width="7.140625" style="15" customWidth="1"/>
    <col min="6" max="6" width="1.7109375" style="15" customWidth="1"/>
    <col min="7" max="7" width="22.7109375" style="15" customWidth="1"/>
    <col min="8" max="8" width="3.42578125" style="15" customWidth="1"/>
    <col min="9" max="9" width="16.140625" style="15" customWidth="1"/>
    <col min="10" max="10" width="7.140625" style="15" customWidth="1"/>
    <col min="11" max="11" width="1.7109375" style="15" customWidth="1"/>
    <col min="12" max="12" width="23.42578125" style="15" customWidth="1"/>
    <col min="13" max="13" width="3.42578125" style="15" customWidth="1"/>
    <col min="14" max="14" width="16.140625" style="15" customWidth="1"/>
    <col min="15" max="15" width="7.140625" style="15" customWidth="1"/>
    <col min="16" max="16" width="1.7109375" style="15" customWidth="1"/>
    <col min="17" max="17" width="23.42578125" style="15" customWidth="1"/>
    <col min="18" max="18" width="3.42578125" style="15" customWidth="1"/>
    <col min="19" max="19" width="16.140625" style="15" customWidth="1"/>
    <col min="20" max="20" width="7.140625" style="15" customWidth="1"/>
    <col min="21" max="21" width="1.7109375" style="15" customWidth="1"/>
    <col min="22" max="22" width="10.7109375" style="15" customWidth="1"/>
    <col min="23" max="23" width="100.7109375" style="15" customWidth="1"/>
    <col min="24" max="24" width="10.7109375" style="15" customWidth="1"/>
    <col min="25" max="25" width="1.7109375" style="15" customWidth="1"/>
    <col min="26" max="26" width="11.42578125" style="15" customWidth="1"/>
    <col min="27" max="27" width="46" style="15" customWidth="1"/>
    <col min="28" max="16384" width="11.42578125" style="15"/>
  </cols>
  <sheetData>
    <row r="1" spans="1:27" x14ac:dyDescent="0.25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</row>
    <row r="2" spans="1:27" x14ac:dyDescent="0.25">
      <c r="A2" s="28"/>
      <c r="B2" s="28"/>
      <c r="C2" s="28"/>
      <c r="D2" s="28"/>
      <c r="E2" s="48" t="str">
        <f>"VER "&amp;DATA!$A$3:$A$3</f>
        <v>VER 5.0</v>
      </c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</row>
    <row r="3" spans="1:27" x14ac:dyDescent="0.2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</row>
    <row r="4" spans="1:27" ht="23.25" x14ac:dyDescent="0.25">
      <c r="A4" s="28"/>
      <c r="B4" s="177" t="e">
        <f>CONCATENATE("DARWIN IMPLEMENTATION PROGRESS - ",#REF!)</f>
        <v>#REF!</v>
      </c>
      <c r="C4" s="177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7"/>
      <c r="T4" s="177"/>
      <c r="U4" s="28"/>
      <c r="V4" s="28"/>
      <c r="W4" s="28"/>
      <c r="X4" s="28"/>
      <c r="Y4" s="28"/>
      <c r="Z4" s="28"/>
      <c r="AA4" s="28"/>
    </row>
    <row r="5" spans="1:27" x14ac:dyDescent="0.25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</row>
    <row r="6" spans="1:27" ht="21.95" customHeight="1" thickBot="1" x14ac:dyDescent="0.3">
      <c r="B6" s="178" t="str">
        <f>DATA!$E$15</f>
        <v>Operational security</v>
      </c>
      <c r="C6" s="178"/>
      <c r="D6" s="178"/>
      <c r="E6" s="178"/>
      <c r="F6" s="29"/>
      <c r="G6" s="172" t="str">
        <f>DATA!$E$16</f>
        <v>Training and awareness</v>
      </c>
      <c r="H6" s="172"/>
      <c r="I6" s="172"/>
      <c r="J6" s="172"/>
      <c r="K6" s="29"/>
      <c r="L6" s="172" t="str">
        <f>DATA!$E$15</f>
        <v>Operational security</v>
      </c>
      <c r="M6" s="172"/>
      <c r="N6" s="172"/>
      <c r="O6" s="172"/>
      <c r="P6" s="29"/>
      <c r="Q6" s="172" t="str">
        <f>DATA!$E$16</f>
        <v>Training and awareness</v>
      </c>
      <c r="R6" s="172"/>
      <c r="S6" s="172"/>
      <c r="T6" s="172"/>
      <c r="U6" s="28"/>
      <c r="V6" s="179" t="s">
        <v>496</v>
      </c>
      <c r="W6" s="179"/>
      <c r="X6" s="179"/>
    </row>
    <row r="7" spans="1:27" ht="7.5" customHeight="1" thickTop="1" x14ac:dyDescent="0.25">
      <c r="B7" s="30"/>
      <c r="C7" s="30"/>
      <c r="D7" s="30"/>
      <c r="E7" s="30"/>
      <c r="F7" s="29"/>
      <c r="G7" s="30"/>
      <c r="H7" s="30"/>
      <c r="I7" s="30"/>
      <c r="J7" s="30"/>
      <c r="K7" s="29"/>
      <c r="L7" s="30"/>
      <c r="M7" s="30"/>
      <c r="N7" s="30"/>
      <c r="O7" s="30"/>
      <c r="P7" s="29"/>
      <c r="Q7" s="30"/>
      <c r="R7" s="30"/>
      <c r="S7" s="30"/>
      <c r="T7" s="30"/>
      <c r="U7" s="28"/>
      <c r="V7" s="28"/>
      <c r="W7" s="28"/>
      <c r="X7" s="28"/>
    </row>
    <row r="8" spans="1:27" ht="24.95" customHeight="1" x14ac:dyDescent="0.25">
      <c r="B8" s="173" t="s">
        <v>497</v>
      </c>
      <c r="C8" s="173"/>
      <c r="D8" s="173"/>
      <c r="E8" s="173"/>
      <c r="F8" s="29"/>
      <c r="G8" s="173" t="s">
        <v>497</v>
      </c>
      <c r="H8" s="173"/>
      <c r="I8" s="173"/>
      <c r="J8" s="173"/>
      <c r="K8" s="29"/>
      <c r="L8" s="173" t="s">
        <v>497</v>
      </c>
      <c r="M8" s="173"/>
      <c r="N8" s="173"/>
      <c r="O8" s="173"/>
      <c r="P8" s="29"/>
      <c r="Q8" s="173" t="s">
        <v>497</v>
      </c>
      <c r="R8" s="173"/>
      <c r="S8" s="173"/>
      <c r="T8" s="173"/>
      <c r="U8" s="28"/>
      <c r="V8" s="28"/>
      <c r="W8" s="31"/>
      <c r="X8" s="28"/>
    </row>
    <row r="9" spans="1:27" ht="18" customHeight="1" x14ac:dyDescent="0.25">
      <c r="B9" s="171" t="s">
        <v>498</v>
      </c>
      <c r="C9" s="171"/>
      <c r="D9" s="171"/>
      <c r="E9" s="32" t="e">
        <v>#REF!</v>
      </c>
      <c r="F9" s="33"/>
      <c r="G9" s="171" t="s">
        <v>498</v>
      </c>
      <c r="H9" s="171"/>
      <c r="I9" s="171"/>
      <c r="J9" s="32" t="e">
        <v>#REF!</v>
      </c>
      <c r="K9" s="33"/>
      <c r="L9" s="171" t="s">
        <v>498</v>
      </c>
      <c r="M9" s="171"/>
      <c r="N9" s="171"/>
      <c r="O9" s="32" t="e">
        <v>#REF!</v>
      </c>
      <c r="P9" s="33"/>
      <c r="Q9" s="171" t="s">
        <v>498</v>
      </c>
      <c r="R9" s="171"/>
      <c r="S9" s="171"/>
      <c r="T9" s="32" t="e">
        <v>#REF!</v>
      </c>
      <c r="U9" s="28"/>
      <c r="V9" s="28"/>
      <c r="W9" s="28"/>
      <c r="X9" s="28"/>
    </row>
    <row r="10" spans="1:27" ht="18" customHeight="1" x14ac:dyDescent="0.25">
      <c r="B10" s="170" t="s">
        <v>494</v>
      </c>
      <c r="C10" s="170"/>
      <c r="D10" s="170"/>
      <c r="E10" s="32" t="e">
        <v>#NAME?</v>
      </c>
      <c r="F10" s="33"/>
      <c r="G10" s="170" t="s">
        <v>494</v>
      </c>
      <c r="H10" s="170"/>
      <c r="I10" s="170"/>
      <c r="J10" s="34" t="e">
        <v>#NAME?</v>
      </c>
      <c r="K10" s="33"/>
      <c r="L10" s="170" t="s">
        <v>494</v>
      </c>
      <c r="M10" s="170"/>
      <c r="N10" s="170"/>
      <c r="O10" s="34" t="e">
        <v>#REF!</v>
      </c>
      <c r="P10" s="33"/>
      <c r="Q10" s="170" t="s">
        <v>494</v>
      </c>
      <c r="R10" s="170"/>
      <c r="S10" s="170"/>
      <c r="T10" s="34" t="e">
        <v>#NAME?</v>
      </c>
      <c r="U10" s="28"/>
      <c r="V10" s="28"/>
      <c r="W10" s="28"/>
      <c r="X10" s="28"/>
    </row>
    <row r="11" spans="1:27" ht="18" customHeight="1" x14ac:dyDescent="0.25">
      <c r="B11" s="170" t="s">
        <v>499</v>
      </c>
      <c r="C11" s="170"/>
      <c r="D11" s="170"/>
      <c r="E11" s="32" t="e">
        <v>#NAME?</v>
      </c>
      <c r="F11" s="33"/>
      <c r="G11" s="170" t="s">
        <v>499</v>
      </c>
      <c r="H11" s="170"/>
      <c r="I11" s="170"/>
      <c r="J11" s="34" t="e">
        <v>#NAME?</v>
      </c>
      <c r="K11" s="33"/>
      <c r="L11" s="170" t="s">
        <v>499</v>
      </c>
      <c r="M11" s="170"/>
      <c r="N11" s="170"/>
      <c r="O11" s="34" t="e">
        <v>#REF!</v>
      </c>
      <c r="P11" s="33"/>
      <c r="Q11" s="170" t="s">
        <v>499</v>
      </c>
      <c r="R11" s="170"/>
      <c r="S11" s="170"/>
      <c r="T11" s="34" t="e">
        <v>#NAME?</v>
      </c>
      <c r="U11" s="28"/>
      <c r="V11" s="28"/>
      <c r="W11" s="28"/>
      <c r="X11" s="28"/>
    </row>
    <row r="12" spans="1:27" ht="18" customHeight="1" x14ac:dyDescent="0.25">
      <c r="B12" s="170" t="s">
        <v>500</v>
      </c>
      <c r="C12" s="170"/>
      <c r="D12" s="170"/>
      <c r="E12" s="32" t="e">
        <v>#NAME?</v>
      </c>
      <c r="F12" s="33"/>
      <c r="G12" s="170" t="s">
        <v>500</v>
      </c>
      <c r="H12" s="170"/>
      <c r="I12" s="170"/>
      <c r="J12" s="34" t="e">
        <v>#NAME?</v>
      </c>
      <c r="K12" s="33"/>
      <c r="L12" s="170" t="s">
        <v>500</v>
      </c>
      <c r="M12" s="170"/>
      <c r="N12" s="170"/>
      <c r="O12" s="34" t="e">
        <v>#REF!</v>
      </c>
      <c r="P12" s="33"/>
      <c r="Q12" s="170" t="s">
        <v>500</v>
      </c>
      <c r="R12" s="170"/>
      <c r="S12" s="170"/>
      <c r="T12" s="34" t="e">
        <v>#NAME?</v>
      </c>
      <c r="U12" s="28"/>
      <c r="V12" s="28"/>
      <c r="W12" s="28"/>
      <c r="X12" s="28"/>
    </row>
    <row r="13" spans="1:27" ht="18" customHeight="1" x14ac:dyDescent="0.25">
      <c r="B13" s="176" t="s">
        <v>501</v>
      </c>
      <c r="C13" s="176"/>
      <c r="D13" s="176"/>
      <c r="E13" s="35" t="e">
        <v>#REF!</v>
      </c>
      <c r="F13" s="33"/>
      <c r="G13" s="169" t="s">
        <v>501</v>
      </c>
      <c r="H13" s="169"/>
      <c r="I13" s="169"/>
      <c r="J13" s="36" t="e">
        <v>#REF!</v>
      </c>
      <c r="K13" s="33"/>
      <c r="L13" s="169" t="s">
        <v>501</v>
      </c>
      <c r="M13" s="169"/>
      <c r="N13" s="169"/>
      <c r="O13" s="36" t="e">
        <v>#REF!</v>
      </c>
      <c r="P13" s="33"/>
      <c r="Q13" s="169" t="s">
        <v>501</v>
      </c>
      <c r="R13" s="169"/>
      <c r="S13" s="169"/>
      <c r="T13" s="36" t="e">
        <v>#REF!</v>
      </c>
      <c r="U13" s="28"/>
      <c r="V13" s="28"/>
      <c r="W13" s="28"/>
      <c r="X13" s="28"/>
    </row>
    <row r="14" spans="1:27" ht="263.25" customHeight="1" x14ac:dyDescent="0.25">
      <c r="B14" s="37" t="e">
        <v>#REF!</v>
      </c>
      <c r="C14" s="38" t="s">
        <v>502</v>
      </c>
      <c r="D14" s="39" t="e">
        <v>#REF!</v>
      </c>
      <c r="E14" s="40"/>
      <c r="F14" s="40"/>
      <c r="G14" s="37" t="e">
        <v>#REF!</v>
      </c>
      <c r="H14" s="38" t="s">
        <v>502</v>
      </c>
      <c r="I14" s="39" t="e">
        <v>#REF!</v>
      </c>
      <c r="J14" s="40"/>
      <c r="K14" s="41"/>
      <c r="L14" s="37" t="e">
        <v>#REF!</v>
      </c>
      <c r="M14" s="38" t="s">
        <v>502</v>
      </c>
      <c r="N14" s="39" t="e">
        <v>#REF!</v>
      </c>
      <c r="O14" s="40"/>
      <c r="P14" s="41"/>
      <c r="Q14" s="37" t="e">
        <v>#REF!</v>
      </c>
      <c r="R14" s="38" t="s">
        <v>502</v>
      </c>
      <c r="S14" s="39" t="e">
        <v>#REF!</v>
      </c>
      <c r="T14" s="40"/>
      <c r="U14" s="28"/>
      <c r="V14" s="28"/>
      <c r="W14" s="28"/>
      <c r="X14" s="28"/>
    </row>
    <row r="15" spans="1:27" ht="24.95" customHeight="1" x14ac:dyDescent="0.25">
      <c r="B15" s="168" t="s">
        <v>503</v>
      </c>
      <c r="C15" s="168"/>
      <c r="D15" s="168"/>
      <c r="E15" s="168"/>
      <c r="F15" s="28"/>
      <c r="G15" s="168" t="s">
        <v>503</v>
      </c>
      <c r="H15" s="168"/>
      <c r="I15" s="168"/>
      <c r="J15" s="168"/>
      <c r="K15" s="28"/>
      <c r="L15" s="168" t="s">
        <v>503</v>
      </c>
      <c r="M15" s="168"/>
      <c r="N15" s="168"/>
      <c r="O15" s="168"/>
      <c r="P15" s="28"/>
      <c r="Q15" s="168" t="s">
        <v>503</v>
      </c>
      <c r="R15" s="168"/>
      <c r="S15" s="168"/>
      <c r="T15" s="168"/>
      <c r="U15" s="28"/>
      <c r="V15" s="28"/>
      <c r="W15" s="28"/>
      <c r="X15" s="28"/>
    </row>
    <row r="16" spans="1:27" ht="90.75" customHeight="1" x14ac:dyDescent="0.25">
      <c r="B16" s="167"/>
      <c r="C16" s="167"/>
      <c r="D16" s="167"/>
      <c r="E16" s="167"/>
      <c r="F16" s="28"/>
      <c r="G16" s="167"/>
      <c r="H16" s="167"/>
      <c r="I16" s="167"/>
      <c r="J16" s="167"/>
      <c r="K16" s="28"/>
      <c r="L16" s="167"/>
      <c r="M16" s="167"/>
      <c r="N16" s="167"/>
      <c r="O16" s="167"/>
      <c r="P16" s="28"/>
      <c r="Q16" s="167"/>
      <c r="R16" s="167"/>
      <c r="S16" s="167"/>
      <c r="T16" s="167"/>
      <c r="U16" s="28"/>
      <c r="V16" s="28"/>
      <c r="W16" s="28"/>
      <c r="X16" s="28"/>
    </row>
    <row r="17" spans="2:24" ht="24.95" customHeight="1" x14ac:dyDescent="0.25">
      <c r="B17" s="168" t="s">
        <v>504</v>
      </c>
      <c r="C17" s="168"/>
      <c r="D17" s="168"/>
      <c r="E17" s="168"/>
      <c r="F17" s="28"/>
      <c r="G17" s="168" t="s">
        <v>504</v>
      </c>
      <c r="H17" s="168"/>
      <c r="I17" s="168"/>
      <c r="J17" s="168"/>
      <c r="K17" s="28"/>
      <c r="L17" s="168" t="s">
        <v>504</v>
      </c>
      <c r="M17" s="168"/>
      <c r="N17" s="168"/>
      <c r="O17" s="168"/>
      <c r="P17" s="28"/>
      <c r="Q17" s="168" t="s">
        <v>504</v>
      </c>
      <c r="R17" s="168"/>
      <c r="S17" s="168"/>
      <c r="T17" s="168"/>
      <c r="U17" s="28"/>
      <c r="V17" s="28"/>
      <c r="W17" s="42" t="s">
        <v>505</v>
      </c>
      <c r="X17" s="28"/>
    </row>
    <row r="18" spans="2:24" ht="18" customHeight="1" x14ac:dyDescent="0.25">
      <c r="B18" s="165" t="e">
        <f xml:space="preserve"> E13 &amp; " Security measure(s) in risk acceptance"</f>
        <v>#REF!</v>
      </c>
      <c r="C18" s="165"/>
      <c r="D18" s="165"/>
      <c r="E18" s="165"/>
      <c r="F18" s="43"/>
      <c r="G18" s="165" t="e">
        <f xml:space="preserve"> J13 &amp; " Security measure(s) in risk acceptance"</f>
        <v>#REF!</v>
      </c>
      <c r="H18" s="165"/>
      <c r="I18" s="165"/>
      <c r="J18" s="165"/>
      <c r="K18" s="43"/>
      <c r="L18" s="165" t="e">
        <f xml:space="preserve"> O13 &amp; " Security measure(s) in risk acceptance"</f>
        <v>#REF!</v>
      </c>
      <c r="M18" s="165"/>
      <c r="N18" s="165"/>
      <c r="O18" s="165"/>
      <c r="P18" s="43"/>
      <c r="Q18" s="165" t="e">
        <f xml:space="preserve"> T13 &amp; " Security measure(s) in risk acceptance"</f>
        <v>#REF!</v>
      </c>
      <c r="R18" s="165"/>
      <c r="S18" s="165"/>
      <c r="T18" s="165"/>
      <c r="U18" s="28"/>
      <c r="V18" s="28"/>
      <c r="W18" s="28"/>
      <c r="X18" s="28"/>
    </row>
    <row r="19" spans="2:24" ht="18" customHeight="1" x14ac:dyDescent="0.25">
      <c r="B19" s="166" t="e">
        <v>#REF!</v>
      </c>
      <c r="C19" s="166"/>
      <c r="D19" s="166"/>
      <c r="E19" s="166"/>
      <c r="F19" s="43"/>
      <c r="G19" s="166" t="e">
        <v>#REF!</v>
      </c>
      <c r="H19" s="166"/>
      <c r="I19" s="166"/>
      <c r="J19" s="166"/>
      <c r="K19" s="43"/>
      <c r="L19" s="166" t="e">
        <v>#REF!</v>
      </c>
      <c r="M19" s="166"/>
      <c r="N19" s="166"/>
      <c r="O19" s="166"/>
      <c r="P19" s="43"/>
      <c r="Q19" s="166" t="e">
        <v>#REF!</v>
      </c>
      <c r="R19" s="166"/>
      <c r="S19" s="166"/>
      <c r="T19" s="166"/>
      <c r="U19" s="28"/>
      <c r="V19" s="28"/>
      <c r="W19" s="174">
        <v>0</v>
      </c>
      <c r="X19" s="28"/>
    </row>
    <row r="20" spans="2:24" ht="65.099999999999994" customHeight="1" x14ac:dyDescent="0.25">
      <c r="B20" s="162">
        <v>0</v>
      </c>
      <c r="C20" s="163"/>
      <c r="D20" s="163"/>
      <c r="E20" s="164"/>
      <c r="F20" s="28"/>
      <c r="G20" s="162">
        <v>0</v>
      </c>
      <c r="H20" s="163"/>
      <c r="I20" s="163"/>
      <c r="J20" s="164"/>
      <c r="K20" s="28"/>
      <c r="L20" s="162">
        <v>0</v>
      </c>
      <c r="M20" s="163"/>
      <c r="N20" s="163"/>
      <c r="O20" s="164"/>
      <c r="P20" s="28"/>
      <c r="Q20" s="162">
        <v>0</v>
      </c>
      <c r="R20" s="163"/>
      <c r="S20" s="163"/>
      <c r="T20" s="164"/>
      <c r="U20" s="28"/>
      <c r="V20" s="28"/>
      <c r="W20" s="175"/>
      <c r="X20" s="28"/>
    </row>
    <row r="21" spans="2:24" ht="30" customHeight="1" x14ac:dyDescent="0.25"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44"/>
      <c r="R21" s="45"/>
      <c r="S21" s="45"/>
      <c r="T21" s="28"/>
      <c r="U21" s="28"/>
      <c r="V21" s="28"/>
      <c r="W21" s="46"/>
      <c r="X21" s="28"/>
    </row>
    <row r="22" spans="2:24" ht="21.95" customHeight="1" thickBot="1" x14ac:dyDescent="0.3">
      <c r="B22" s="172" t="str">
        <f>DATA!$E$17</f>
        <v>Data protection</v>
      </c>
      <c r="C22" s="172"/>
      <c r="D22" s="172"/>
      <c r="E22" s="172"/>
      <c r="F22" s="29"/>
      <c r="G22" s="172" t="str">
        <f>DATA!$E$18</f>
        <v>Internal fraud protection</v>
      </c>
      <c r="H22" s="172"/>
      <c r="I22" s="172"/>
      <c r="J22" s="172"/>
      <c r="K22" s="29"/>
      <c r="L22" s="172" t="str">
        <f>DATA!$E$19</f>
        <v>Advanced protection</v>
      </c>
      <c r="M22" s="172"/>
      <c r="N22" s="172"/>
      <c r="O22" s="172"/>
      <c r="P22" s="29"/>
      <c r="Q22" s="172" t="str">
        <f>DATA!$E$20</f>
        <v>Exposed services</v>
      </c>
      <c r="R22" s="172"/>
      <c r="S22" s="172"/>
      <c r="T22" s="172"/>
      <c r="U22" s="28"/>
      <c r="V22" s="28"/>
      <c r="W22" s="46"/>
      <c r="X22" s="28"/>
    </row>
    <row r="23" spans="2:24" ht="7.5" customHeight="1" thickTop="1" x14ac:dyDescent="0.25">
      <c r="B23" s="30"/>
      <c r="C23" s="30"/>
      <c r="D23" s="30"/>
      <c r="E23" s="30"/>
      <c r="F23" s="29"/>
      <c r="G23" s="30"/>
      <c r="H23" s="30"/>
      <c r="I23" s="30"/>
      <c r="J23" s="30"/>
      <c r="K23" s="29"/>
      <c r="L23" s="30"/>
      <c r="M23" s="30"/>
      <c r="N23" s="30"/>
      <c r="O23" s="30"/>
      <c r="P23" s="29"/>
      <c r="Q23" s="30"/>
      <c r="R23" s="30"/>
      <c r="S23" s="30"/>
      <c r="T23" s="30"/>
      <c r="U23" s="28"/>
      <c r="V23" s="28"/>
      <c r="W23" s="46"/>
      <c r="X23" s="28"/>
    </row>
    <row r="24" spans="2:24" ht="24.95" customHeight="1" x14ac:dyDescent="0.25">
      <c r="B24" s="173" t="s">
        <v>497</v>
      </c>
      <c r="C24" s="173"/>
      <c r="D24" s="173"/>
      <c r="E24" s="173"/>
      <c r="F24" s="29"/>
      <c r="G24" s="173" t="s">
        <v>497</v>
      </c>
      <c r="H24" s="173"/>
      <c r="I24" s="173"/>
      <c r="J24" s="173"/>
      <c r="K24" s="29"/>
      <c r="L24" s="173" t="s">
        <v>497</v>
      </c>
      <c r="M24" s="173"/>
      <c r="N24" s="173"/>
      <c r="O24" s="173"/>
      <c r="P24" s="29"/>
      <c r="Q24" s="173" t="s">
        <v>497</v>
      </c>
      <c r="R24" s="173"/>
      <c r="S24" s="173"/>
      <c r="T24" s="173"/>
      <c r="U24" s="28"/>
      <c r="V24" s="28"/>
      <c r="W24" s="46"/>
      <c r="X24" s="28"/>
    </row>
    <row r="25" spans="2:24" ht="18" customHeight="1" x14ac:dyDescent="0.25">
      <c r="B25" s="171" t="s">
        <v>498</v>
      </c>
      <c r="C25" s="171"/>
      <c r="D25" s="171"/>
      <c r="E25" s="32" t="e">
        <v>#REF!</v>
      </c>
      <c r="F25" s="33"/>
      <c r="G25" s="171" t="s">
        <v>498</v>
      </c>
      <c r="H25" s="171"/>
      <c r="I25" s="171"/>
      <c r="J25" s="32" t="e">
        <v>#REF!</v>
      </c>
      <c r="K25" s="33"/>
      <c r="L25" s="171" t="s">
        <v>498</v>
      </c>
      <c r="M25" s="171"/>
      <c r="N25" s="171"/>
      <c r="O25" s="32" t="e">
        <v>#REF!</v>
      </c>
      <c r="P25" s="33"/>
      <c r="Q25" s="171" t="s">
        <v>498</v>
      </c>
      <c r="R25" s="171"/>
      <c r="S25" s="171"/>
      <c r="T25" s="32" t="e">
        <v>#REF!</v>
      </c>
      <c r="U25" s="28"/>
      <c r="V25" s="28"/>
      <c r="W25" s="46"/>
      <c r="X25" s="28"/>
    </row>
    <row r="26" spans="2:24" ht="18" customHeight="1" x14ac:dyDescent="0.25">
      <c r="B26" s="170" t="s">
        <v>494</v>
      </c>
      <c r="C26" s="170"/>
      <c r="D26" s="170"/>
      <c r="E26" s="34" t="e">
        <v>#REF!</v>
      </c>
      <c r="F26" s="33"/>
      <c r="G26" s="170" t="s">
        <v>494</v>
      </c>
      <c r="H26" s="170"/>
      <c r="I26" s="170"/>
      <c r="J26" s="34" t="e">
        <v>#REF!</v>
      </c>
      <c r="K26" s="33"/>
      <c r="L26" s="170" t="s">
        <v>494</v>
      </c>
      <c r="M26" s="170"/>
      <c r="N26" s="170"/>
      <c r="O26" s="34" t="e">
        <v>#NAME?</v>
      </c>
      <c r="P26" s="33"/>
      <c r="Q26" s="170" t="s">
        <v>494</v>
      </c>
      <c r="R26" s="170"/>
      <c r="S26" s="170"/>
      <c r="T26" s="34" t="e">
        <v>#NAME?</v>
      </c>
      <c r="U26" s="28"/>
      <c r="V26" s="28"/>
      <c r="W26" s="46"/>
      <c r="X26" s="28"/>
    </row>
    <row r="27" spans="2:24" ht="18" customHeight="1" x14ac:dyDescent="0.25">
      <c r="B27" s="170" t="s">
        <v>499</v>
      </c>
      <c r="C27" s="170"/>
      <c r="D27" s="170"/>
      <c r="E27" s="34" t="e">
        <v>#REF!</v>
      </c>
      <c r="F27" s="33"/>
      <c r="G27" s="170" t="s">
        <v>499</v>
      </c>
      <c r="H27" s="170"/>
      <c r="I27" s="170"/>
      <c r="J27" s="34" t="e">
        <v>#REF!</v>
      </c>
      <c r="K27" s="33"/>
      <c r="L27" s="170" t="s">
        <v>499</v>
      </c>
      <c r="M27" s="170"/>
      <c r="N27" s="170"/>
      <c r="O27" s="34" t="e">
        <v>#NAME?</v>
      </c>
      <c r="P27" s="33"/>
      <c r="Q27" s="170" t="s">
        <v>499</v>
      </c>
      <c r="R27" s="170"/>
      <c r="S27" s="170"/>
      <c r="T27" s="34" t="e">
        <v>#NAME?</v>
      </c>
      <c r="U27" s="28"/>
      <c r="V27" s="28"/>
      <c r="W27" s="46"/>
      <c r="X27" s="28"/>
    </row>
    <row r="28" spans="2:24" ht="18" customHeight="1" x14ac:dyDescent="0.25">
      <c r="B28" s="170" t="s">
        <v>500</v>
      </c>
      <c r="C28" s="170"/>
      <c r="D28" s="170"/>
      <c r="E28" s="34" t="e">
        <v>#REF!</v>
      </c>
      <c r="F28" s="33"/>
      <c r="G28" s="170" t="s">
        <v>500</v>
      </c>
      <c r="H28" s="170"/>
      <c r="I28" s="170"/>
      <c r="J28" s="34" t="e">
        <v>#REF!</v>
      </c>
      <c r="K28" s="33"/>
      <c r="L28" s="170" t="s">
        <v>500</v>
      </c>
      <c r="M28" s="170"/>
      <c r="N28" s="170"/>
      <c r="O28" s="34" t="e">
        <v>#NAME?</v>
      </c>
      <c r="P28" s="33"/>
      <c r="Q28" s="170" t="s">
        <v>500</v>
      </c>
      <c r="R28" s="170"/>
      <c r="S28" s="170"/>
      <c r="T28" s="34" t="e">
        <v>#NAME?</v>
      </c>
      <c r="U28" s="28"/>
      <c r="V28" s="28"/>
      <c r="W28" s="46"/>
      <c r="X28" s="28"/>
    </row>
    <row r="29" spans="2:24" ht="18" customHeight="1" x14ac:dyDescent="0.25">
      <c r="B29" s="169" t="s">
        <v>501</v>
      </c>
      <c r="C29" s="169"/>
      <c r="D29" s="169"/>
      <c r="E29" s="36" t="e">
        <v>#REF!</v>
      </c>
      <c r="F29" s="33"/>
      <c r="G29" s="169" t="s">
        <v>501</v>
      </c>
      <c r="H29" s="169"/>
      <c r="I29" s="169"/>
      <c r="J29" s="36" t="e">
        <v>#REF!</v>
      </c>
      <c r="K29" s="33"/>
      <c r="L29" s="169" t="s">
        <v>501</v>
      </c>
      <c r="M29" s="169"/>
      <c r="N29" s="169"/>
      <c r="O29" s="36" t="e">
        <v>#REF!</v>
      </c>
      <c r="P29" s="33"/>
      <c r="Q29" s="169" t="s">
        <v>501</v>
      </c>
      <c r="R29" s="169"/>
      <c r="S29" s="169"/>
      <c r="T29" s="36" t="e">
        <v>#REF!</v>
      </c>
      <c r="U29" s="28"/>
      <c r="V29" s="28"/>
      <c r="W29" s="46"/>
      <c r="X29" s="28"/>
    </row>
    <row r="30" spans="2:24" ht="262.5" customHeight="1" x14ac:dyDescent="0.25">
      <c r="B30" s="37" t="e">
        <v>#REF!</v>
      </c>
      <c r="C30" s="38" t="s">
        <v>502</v>
      </c>
      <c r="D30" s="39" t="e">
        <v>#REF!</v>
      </c>
      <c r="E30" s="40"/>
      <c r="F30" s="47"/>
      <c r="G30" s="37" t="e">
        <v>#REF!</v>
      </c>
      <c r="H30" s="38" t="s">
        <v>502</v>
      </c>
      <c r="I30" s="39" t="e">
        <v>#REF!</v>
      </c>
      <c r="J30" s="40"/>
      <c r="K30" s="47"/>
      <c r="L30" s="37" t="e">
        <v>#REF!</v>
      </c>
      <c r="M30" s="38" t="s">
        <v>502</v>
      </c>
      <c r="N30" s="39" t="e">
        <v>#REF!</v>
      </c>
      <c r="O30" s="40"/>
      <c r="P30" s="41"/>
      <c r="Q30" s="37" t="e">
        <v>#REF!</v>
      </c>
      <c r="R30" s="38" t="s">
        <v>502</v>
      </c>
      <c r="S30" s="39" t="e">
        <v>#REF!</v>
      </c>
      <c r="T30" s="40"/>
      <c r="U30" s="28"/>
      <c r="V30" s="28"/>
      <c r="W30" s="28"/>
      <c r="X30" s="28"/>
    </row>
    <row r="31" spans="2:24" ht="24.95" customHeight="1" x14ac:dyDescent="0.25">
      <c r="B31" s="168" t="s">
        <v>503</v>
      </c>
      <c r="C31" s="168"/>
      <c r="D31" s="168"/>
      <c r="E31" s="168"/>
      <c r="F31" s="28"/>
      <c r="G31" s="168" t="s">
        <v>503</v>
      </c>
      <c r="H31" s="168"/>
      <c r="I31" s="168"/>
      <c r="J31" s="168"/>
      <c r="K31" s="28"/>
      <c r="L31" s="168" t="s">
        <v>503</v>
      </c>
      <c r="M31" s="168"/>
      <c r="N31" s="168"/>
      <c r="O31" s="168"/>
      <c r="P31" s="28"/>
      <c r="Q31" s="168" t="s">
        <v>503</v>
      </c>
      <c r="R31" s="168"/>
      <c r="S31" s="168"/>
      <c r="T31" s="168"/>
      <c r="U31" s="28"/>
      <c r="V31" s="28"/>
      <c r="W31" s="28"/>
      <c r="X31" s="28"/>
    </row>
    <row r="32" spans="2:24" ht="90.75" customHeight="1" x14ac:dyDescent="0.25">
      <c r="B32" s="167"/>
      <c r="C32" s="167"/>
      <c r="D32" s="167"/>
      <c r="E32" s="167"/>
      <c r="F32" s="28"/>
      <c r="G32" s="167"/>
      <c r="H32" s="167"/>
      <c r="I32" s="167"/>
      <c r="J32" s="167"/>
      <c r="K32" s="28"/>
      <c r="L32" s="167"/>
      <c r="M32" s="167"/>
      <c r="N32" s="167"/>
      <c r="O32" s="167"/>
      <c r="P32" s="28"/>
      <c r="Q32" s="167"/>
      <c r="R32" s="167"/>
      <c r="S32" s="167"/>
      <c r="T32" s="167"/>
      <c r="U32" s="28"/>
      <c r="V32" s="28"/>
      <c r="W32" s="28"/>
      <c r="X32" s="28"/>
    </row>
    <row r="33" spans="2:24" ht="24.95" customHeight="1" x14ac:dyDescent="0.25">
      <c r="B33" s="168" t="s">
        <v>504</v>
      </c>
      <c r="C33" s="168"/>
      <c r="D33" s="168"/>
      <c r="E33" s="168"/>
      <c r="F33" s="28"/>
      <c r="G33" s="168" t="s">
        <v>504</v>
      </c>
      <c r="H33" s="168"/>
      <c r="I33" s="168"/>
      <c r="J33" s="168"/>
      <c r="K33" s="28"/>
      <c r="L33" s="168" t="s">
        <v>504</v>
      </c>
      <c r="M33" s="168"/>
      <c r="N33" s="168"/>
      <c r="O33" s="168"/>
      <c r="P33" s="28"/>
      <c r="Q33" s="168" t="s">
        <v>504</v>
      </c>
      <c r="R33" s="168"/>
      <c r="S33" s="168"/>
      <c r="T33" s="168"/>
      <c r="U33" s="28"/>
      <c r="V33" s="28"/>
      <c r="W33" s="28"/>
      <c r="X33" s="28"/>
    </row>
    <row r="34" spans="2:24" ht="18" customHeight="1" x14ac:dyDescent="0.25">
      <c r="B34" s="165" t="e">
        <f xml:space="preserve"> E29 &amp; " Security measure(s) in risk acceptance"</f>
        <v>#REF!</v>
      </c>
      <c r="C34" s="165"/>
      <c r="D34" s="165"/>
      <c r="E34" s="165"/>
      <c r="F34" s="43"/>
      <c r="G34" s="165" t="e">
        <f xml:space="preserve"> J29 &amp; " Security measure(s) in risk acceptance"</f>
        <v>#REF!</v>
      </c>
      <c r="H34" s="165"/>
      <c r="I34" s="165"/>
      <c r="J34" s="165"/>
      <c r="K34" s="43"/>
      <c r="L34" s="165" t="e">
        <f xml:space="preserve"> O29 &amp; " Security measure(s) in risk acceptance"</f>
        <v>#REF!</v>
      </c>
      <c r="M34" s="165"/>
      <c r="N34" s="165"/>
      <c r="O34" s="165"/>
      <c r="P34" s="43"/>
      <c r="Q34" s="165" t="e">
        <f xml:space="preserve"> T29 &amp; " Security measure(s) in risk acceptance"</f>
        <v>#REF!</v>
      </c>
      <c r="R34" s="165"/>
      <c r="S34" s="165"/>
      <c r="T34" s="165"/>
      <c r="U34" s="28"/>
      <c r="V34" s="28"/>
      <c r="W34" s="28"/>
      <c r="X34" s="28"/>
    </row>
    <row r="35" spans="2:24" ht="18" customHeight="1" x14ac:dyDescent="0.25">
      <c r="B35" s="166" t="e">
        <v>#REF!</v>
      </c>
      <c r="C35" s="166"/>
      <c r="D35" s="166"/>
      <c r="E35" s="166"/>
      <c r="F35" s="43"/>
      <c r="G35" s="166" t="e">
        <v>#REF!</v>
      </c>
      <c r="H35" s="166"/>
      <c r="I35" s="166"/>
      <c r="J35" s="166"/>
      <c r="K35" s="43"/>
      <c r="L35" s="166" t="e">
        <v>#REF!</v>
      </c>
      <c r="M35" s="166"/>
      <c r="N35" s="166"/>
      <c r="O35" s="166"/>
      <c r="P35" s="43"/>
      <c r="Q35" s="166" t="e">
        <v>#REF!</v>
      </c>
      <c r="R35" s="166"/>
      <c r="S35" s="166"/>
      <c r="T35" s="166"/>
      <c r="U35" s="28"/>
      <c r="V35" s="28"/>
      <c r="W35" s="28"/>
      <c r="X35" s="28"/>
    </row>
    <row r="36" spans="2:24" ht="65.099999999999994" customHeight="1" x14ac:dyDescent="0.25">
      <c r="B36" s="162">
        <v>0</v>
      </c>
      <c r="C36" s="163"/>
      <c r="D36" s="163"/>
      <c r="E36" s="164"/>
      <c r="F36" s="28"/>
      <c r="G36" s="162">
        <v>0</v>
      </c>
      <c r="H36" s="163"/>
      <c r="I36" s="163"/>
      <c r="J36" s="164"/>
      <c r="K36" s="28"/>
      <c r="L36" s="162">
        <v>0</v>
      </c>
      <c r="M36" s="163"/>
      <c r="N36" s="163"/>
      <c r="O36" s="164"/>
      <c r="P36" s="28"/>
      <c r="Q36" s="162">
        <v>0</v>
      </c>
      <c r="R36" s="163"/>
      <c r="S36" s="163"/>
      <c r="T36" s="164"/>
      <c r="U36" s="28"/>
      <c r="V36" s="28"/>
      <c r="W36" s="28"/>
      <c r="X36" s="28"/>
    </row>
    <row r="37" spans="2:24" x14ac:dyDescent="0.25"/>
  </sheetData>
  <sheetProtection formatCells="0" formatColumns="0" formatRows="0"/>
  <mergeCells count="107">
    <mergeCell ref="B4:T4"/>
    <mergeCell ref="B6:E6"/>
    <mergeCell ref="G6:J6"/>
    <mergeCell ref="L6:O6"/>
    <mergeCell ref="Q6:T6"/>
    <mergeCell ref="V6:X6"/>
    <mergeCell ref="B10:D10"/>
    <mergeCell ref="G10:I10"/>
    <mergeCell ref="L10:N10"/>
    <mergeCell ref="Q10:S10"/>
    <mergeCell ref="B11:D11"/>
    <mergeCell ref="G11:I11"/>
    <mergeCell ref="L11:N11"/>
    <mergeCell ref="Q11:S11"/>
    <mergeCell ref="B8:E8"/>
    <mergeCell ref="G8:J8"/>
    <mergeCell ref="L8:O8"/>
    <mergeCell ref="Q8:T8"/>
    <mergeCell ref="B9:D9"/>
    <mergeCell ref="G9:I9"/>
    <mergeCell ref="L9:N9"/>
    <mergeCell ref="Q9:S9"/>
    <mergeCell ref="B15:E15"/>
    <mergeCell ref="G15:J15"/>
    <mergeCell ref="L15:O15"/>
    <mergeCell ref="Q15:T15"/>
    <mergeCell ref="B16:E16"/>
    <mergeCell ref="G16:J16"/>
    <mergeCell ref="L16:O16"/>
    <mergeCell ref="Q16:T16"/>
    <mergeCell ref="B12:D12"/>
    <mergeCell ref="G12:I12"/>
    <mergeCell ref="L12:N12"/>
    <mergeCell ref="Q12:S12"/>
    <mergeCell ref="B13:D13"/>
    <mergeCell ref="G13:I13"/>
    <mergeCell ref="L13:N13"/>
    <mergeCell ref="Q13:S13"/>
    <mergeCell ref="W19:W20"/>
    <mergeCell ref="B20:E20"/>
    <mergeCell ref="G20:J20"/>
    <mergeCell ref="L20:O20"/>
    <mergeCell ref="Q20:T20"/>
    <mergeCell ref="B17:E17"/>
    <mergeCell ref="G17:J17"/>
    <mergeCell ref="L17:O17"/>
    <mergeCell ref="Q17:T17"/>
    <mergeCell ref="B18:E18"/>
    <mergeCell ref="G18:J18"/>
    <mergeCell ref="L18:O18"/>
    <mergeCell ref="Q18:T18"/>
    <mergeCell ref="B22:E22"/>
    <mergeCell ref="G22:J22"/>
    <mergeCell ref="L22:O22"/>
    <mergeCell ref="Q22:T22"/>
    <mergeCell ref="B24:E24"/>
    <mergeCell ref="G24:J24"/>
    <mergeCell ref="L24:O24"/>
    <mergeCell ref="Q24:T24"/>
    <mergeCell ref="B19:E19"/>
    <mergeCell ref="G19:J19"/>
    <mergeCell ref="L19:O19"/>
    <mergeCell ref="Q19:T19"/>
    <mergeCell ref="B27:D27"/>
    <mergeCell ref="G27:I27"/>
    <mergeCell ref="L27:N27"/>
    <mergeCell ref="Q27:S27"/>
    <mergeCell ref="B28:D28"/>
    <mergeCell ref="G28:I28"/>
    <mergeCell ref="L28:N28"/>
    <mergeCell ref="Q28:S28"/>
    <mergeCell ref="B25:D25"/>
    <mergeCell ref="G25:I25"/>
    <mergeCell ref="L25:N25"/>
    <mergeCell ref="Q25:S25"/>
    <mergeCell ref="B26:D26"/>
    <mergeCell ref="G26:I26"/>
    <mergeCell ref="L26:N26"/>
    <mergeCell ref="Q26:S26"/>
    <mergeCell ref="B32:E32"/>
    <mergeCell ref="G32:J32"/>
    <mergeCell ref="L32:O32"/>
    <mergeCell ref="Q32:T32"/>
    <mergeCell ref="B33:E33"/>
    <mergeCell ref="G33:J33"/>
    <mergeCell ref="L33:O33"/>
    <mergeCell ref="Q33:T33"/>
    <mergeCell ref="B29:D29"/>
    <mergeCell ref="G29:I29"/>
    <mergeCell ref="L29:N29"/>
    <mergeCell ref="Q29:S29"/>
    <mergeCell ref="B31:E31"/>
    <mergeCell ref="G31:J31"/>
    <mergeCell ref="L31:O31"/>
    <mergeCell ref="Q31:T31"/>
    <mergeCell ref="B36:E36"/>
    <mergeCell ref="G36:J36"/>
    <mergeCell ref="L36:O36"/>
    <mergeCell ref="Q36:T36"/>
    <mergeCell ref="B34:E34"/>
    <mergeCell ref="G34:J34"/>
    <mergeCell ref="L34:O34"/>
    <mergeCell ref="Q34:T34"/>
    <mergeCell ref="B35:E35"/>
    <mergeCell ref="G35:J35"/>
    <mergeCell ref="L35:O35"/>
    <mergeCell ref="Q35:T35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1"/>
  <sheetViews>
    <sheetView tabSelected="1" workbookViewId="0">
      <selection activeCell="B14" sqref="B14"/>
    </sheetView>
  </sheetViews>
  <sheetFormatPr baseColWidth="10" defaultRowHeight="15" x14ac:dyDescent="0.25"/>
  <cols>
    <col min="1" max="1" width="13.42578125" bestFit="1" customWidth="1"/>
    <col min="2" max="2" width="54.140625" bestFit="1" customWidth="1"/>
    <col min="3" max="3" width="22" bestFit="1" customWidth="1"/>
    <col min="4" max="4" width="29" bestFit="1" customWidth="1"/>
    <col min="5" max="5" width="27.5703125" bestFit="1" customWidth="1"/>
    <col min="6" max="6" width="30.140625" bestFit="1" customWidth="1"/>
    <col min="7" max="7" width="19" bestFit="1" customWidth="1"/>
    <col min="8" max="8" width="59.28515625" bestFit="1" customWidth="1"/>
    <col min="9" max="9" width="22.42578125" bestFit="1" customWidth="1"/>
    <col min="10" max="10" width="25.5703125" bestFit="1" customWidth="1"/>
    <col min="11" max="12" width="18.7109375" bestFit="1" customWidth="1"/>
    <col min="13" max="13" width="20.140625" bestFit="1" customWidth="1"/>
    <col min="14" max="15" width="14" bestFit="1" customWidth="1"/>
    <col min="16" max="17" width="21.28515625" bestFit="1" customWidth="1"/>
    <col min="18" max="18" width="22.7109375" bestFit="1" customWidth="1"/>
    <col min="19" max="19" width="17.85546875" bestFit="1" customWidth="1"/>
  </cols>
  <sheetData>
    <row r="1" spans="1:19" x14ac:dyDescent="0.25">
      <c r="A1" s="180" t="s">
        <v>521</v>
      </c>
      <c r="B1" s="181" t="s">
        <v>527</v>
      </c>
      <c r="C1" s="181" t="s">
        <v>539</v>
      </c>
      <c r="D1" s="181" t="s">
        <v>540</v>
      </c>
      <c r="E1" s="181" t="s">
        <v>522</v>
      </c>
      <c r="F1" s="181" t="s">
        <v>526</v>
      </c>
      <c r="G1" s="181" t="s">
        <v>383</v>
      </c>
      <c r="H1" s="181" t="s">
        <v>545</v>
      </c>
      <c r="I1" s="181" t="s">
        <v>536</v>
      </c>
      <c r="J1" s="181" t="s">
        <v>542</v>
      </c>
      <c r="K1" s="181" t="s">
        <v>537</v>
      </c>
      <c r="L1" s="181" t="s">
        <v>538</v>
      </c>
      <c r="M1" s="181" t="s">
        <v>553</v>
      </c>
      <c r="N1" s="181" t="s">
        <v>523</v>
      </c>
      <c r="O1" s="181" t="s">
        <v>524</v>
      </c>
      <c r="P1" s="181" t="s">
        <v>510</v>
      </c>
      <c r="Q1" s="181" t="s">
        <v>38</v>
      </c>
      <c r="R1" s="181" t="s">
        <v>37</v>
      </c>
      <c r="S1" s="181" t="s">
        <v>520</v>
      </c>
    </row>
    <row r="2" spans="1:19" x14ac:dyDescent="0.25">
      <c r="A2" s="181" t="s">
        <v>466</v>
      </c>
      <c r="B2" s="181" t="s">
        <v>625</v>
      </c>
      <c r="C2" s="181" t="s">
        <v>626</v>
      </c>
      <c r="D2" s="181" t="s">
        <v>627</v>
      </c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</row>
    <row r="3" spans="1:19" x14ac:dyDescent="0.25">
      <c r="A3" s="181" t="s">
        <v>473</v>
      </c>
      <c r="B3" s="181"/>
      <c r="C3" s="181"/>
      <c r="D3" s="181"/>
      <c r="E3" s="181" t="s">
        <v>628</v>
      </c>
      <c r="F3" s="181"/>
      <c r="G3" s="181"/>
      <c r="H3" s="181" t="s">
        <v>629</v>
      </c>
      <c r="I3" s="181"/>
      <c r="J3" s="181"/>
      <c r="K3" s="181"/>
      <c r="L3" s="181"/>
      <c r="M3" s="181"/>
      <c r="N3" s="181"/>
      <c r="O3" s="181"/>
      <c r="P3" s="181"/>
      <c r="Q3" s="181"/>
      <c r="R3" s="181"/>
      <c r="S3" s="181"/>
    </row>
    <row r="4" spans="1:19" x14ac:dyDescent="0.25">
      <c r="A4" s="181" t="s">
        <v>474</v>
      </c>
      <c r="B4" s="181" t="s">
        <v>630</v>
      </c>
      <c r="C4" s="181" t="s">
        <v>631</v>
      </c>
      <c r="D4" s="181"/>
      <c r="E4" s="181" t="s">
        <v>632</v>
      </c>
      <c r="F4" s="181" t="s">
        <v>633</v>
      </c>
      <c r="G4" s="181"/>
      <c r="H4" s="181"/>
      <c r="I4" s="181"/>
      <c r="J4" s="181"/>
      <c r="K4" s="181"/>
      <c r="L4" s="181"/>
      <c r="M4" s="181" t="s">
        <v>634</v>
      </c>
      <c r="N4" s="181" t="s">
        <v>635</v>
      </c>
      <c r="O4" s="181" t="s">
        <v>636</v>
      </c>
      <c r="P4" s="181"/>
      <c r="Q4" s="181"/>
      <c r="R4" s="181"/>
      <c r="S4" s="181"/>
    </row>
    <row r="5" spans="1:19" x14ac:dyDescent="0.25">
      <c r="A5" s="181" t="s">
        <v>388</v>
      </c>
      <c r="B5" s="181" t="s">
        <v>630</v>
      </c>
      <c r="C5" s="181" t="s">
        <v>631</v>
      </c>
      <c r="D5" s="181" t="s">
        <v>637</v>
      </c>
      <c r="E5" s="181" t="s">
        <v>632</v>
      </c>
      <c r="F5" s="181" t="s">
        <v>626</v>
      </c>
      <c r="G5" s="181" t="s">
        <v>638</v>
      </c>
      <c r="H5" s="181" t="s">
        <v>639</v>
      </c>
      <c r="I5" s="181" t="s">
        <v>640</v>
      </c>
      <c r="J5" s="181" t="s">
        <v>641</v>
      </c>
      <c r="K5" s="181" t="s">
        <v>642</v>
      </c>
      <c r="L5" s="181"/>
      <c r="M5" s="181"/>
      <c r="N5" s="181"/>
      <c r="O5" s="181"/>
      <c r="P5" s="181"/>
      <c r="Q5" s="181"/>
      <c r="R5" s="181"/>
      <c r="S5" s="181"/>
    </row>
    <row r="6" spans="1:19" x14ac:dyDescent="0.25">
      <c r="A6" s="181" t="s">
        <v>389</v>
      </c>
      <c r="B6" s="181" t="s">
        <v>643</v>
      </c>
      <c r="C6" s="181" t="s">
        <v>644</v>
      </c>
      <c r="D6" s="181" t="s">
        <v>645</v>
      </c>
      <c r="E6" s="181"/>
      <c r="F6" s="181"/>
      <c r="G6" s="181"/>
      <c r="H6" s="181"/>
      <c r="I6" s="181"/>
      <c r="J6" s="181"/>
      <c r="K6" s="181"/>
      <c r="L6" s="181" t="s">
        <v>642</v>
      </c>
      <c r="M6" s="181"/>
      <c r="N6" s="181"/>
      <c r="O6" s="181"/>
      <c r="P6" s="181"/>
      <c r="Q6" s="181"/>
      <c r="R6" s="181"/>
      <c r="S6" s="181"/>
    </row>
    <row r="7" spans="1:19" x14ac:dyDescent="0.25">
      <c r="A7" s="181" t="s">
        <v>392</v>
      </c>
      <c r="B7" s="181" t="s">
        <v>625</v>
      </c>
      <c r="C7" s="181" t="s">
        <v>626</v>
      </c>
      <c r="D7" s="181" t="s">
        <v>627</v>
      </c>
      <c r="E7" s="181" t="s">
        <v>646</v>
      </c>
      <c r="F7" s="181" t="s">
        <v>633</v>
      </c>
      <c r="G7" s="181" t="s">
        <v>647</v>
      </c>
      <c r="H7" s="181" t="s">
        <v>648</v>
      </c>
      <c r="I7" s="181"/>
      <c r="J7" s="181"/>
      <c r="K7" s="181"/>
      <c r="L7" s="181"/>
      <c r="M7" s="181" t="s">
        <v>634</v>
      </c>
      <c r="N7" s="181"/>
      <c r="O7" s="181"/>
      <c r="P7" s="181"/>
      <c r="Q7" s="181"/>
      <c r="R7" s="181"/>
      <c r="S7" s="181"/>
    </row>
    <row r="8" spans="1:19" x14ac:dyDescent="0.25">
      <c r="A8" s="181" t="s">
        <v>398</v>
      </c>
      <c r="B8" s="181" t="s">
        <v>649</v>
      </c>
      <c r="C8" s="181" t="s">
        <v>650</v>
      </c>
      <c r="D8" s="181" t="s">
        <v>627</v>
      </c>
      <c r="E8" s="181" t="s">
        <v>632</v>
      </c>
      <c r="F8" s="181" t="s">
        <v>651</v>
      </c>
      <c r="G8" s="181" t="s">
        <v>652</v>
      </c>
      <c r="H8" s="181"/>
      <c r="I8" s="181"/>
      <c r="J8" s="181"/>
      <c r="K8" s="181"/>
      <c r="L8" s="181"/>
      <c r="M8" s="181"/>
      <c r="N8" s="181"/>
      <c r="O8" s="181"/>
      <c r="P8" s="181"/>
      <c r="Q8" s="181"/>
      <c r="R8" s="181"/>
      <c r="S8" s="181"/>
    </row>
    <row r="9" spans="1:19" x14ac:dyDescent="0.25">
      <c r="A9" s="181" t="s">
        <v>412</v>
      </c>
      <c r="B9" s="181"/>
      <c r="C9" s="181"/>
      <c r="D9" s="181"/>
      <c r="E9" s="181"/>
      <c r="F9" s="181"/>
      <c r="G9" s="181"/>
      <c r="H9" s="181"/>
      <c r="I9" s="181"/>
      <c r="J9" s="181"/>
      <c r="K9" s="181" t="s">
        <v>653</v>
      </c>
      <c r="L9" s="181" t="s">
        <v>653</v>
      </c>
      <c r="M9" s="181"/>
      <c r="N9" s="181"/>
      <c r="O9" s="181"/>
      <c r="P9" s="181"/>
      <c r="Q9" s="181"/>
      <c r="R9" s="181"/>
      <c r="S9" s="181"/>
    </row>
    <row r="10" spans="1:19" x14ac:dyDescent="0.25">
      <c r="A10" s="181" t="s">
        <v>413</v>
      </c>
      <c r="B10" s="181"/>
      <c r="C10" s="181"/>
      <c r="D10" s="181"/>
      <c r="E10" s="181" t="s">
        <v>654</v>
      </c>
      <c r="F10" s="181"/>
      <c r="G10" s="181"/>
      <c r="H10" s="181" t="s">
        <v>655</v>
      </c>
      <c r="I10" s="181"/>
      <c r="J10" s="181"/>
      <c r="K10" s="181"/>
      <c r="L10" s="181"/>
      <c r="M10" s="181" t="s">
        <v>634</v>
      </c>
      <c r="N10" s="181"/>
      <c r="O10" s="181"/>
      <c r="P10" s="181"/>
      <c r="Q10" s="181"/>
      <c r="R10" s="181"/>
      <c r="S10" s="181"/>
    </row>
    <row r="11" spans="1:19" x14ac:dyDescent="0.25">
      <c r="A11" s="181" t="s">
        <v>623</v>
      </c>
      <c r="B11" s="181" t="s">
        <v>656</v>
      </c>
      <c r="C11" s="181" t="s">
        <v>657</v>
      </c>
      <c r="D11" s="181" t="s">
        <v>658</v>
      </c>
      <c r="E11" s="181" t="s">
        <v>659</v>
      </c>
      <c r="F11" s="181" t="s">
        <v>660</v>
      </c>
      <c r="G11" s="181"/>
      <c r="H11" s="181"/>
      <c r="I11" s="181" t="s">
        <v>661</v>
      </c>
      <c r="J11" s="181" t="s">
        <v>662</v>
      </c>
      <c r="K11" s="181"/>
      <c r="L11" s="181"/>
      <c r="M11" s="181"/>
      <c r="N11" s="181"/>
      <c r="O11" s="181"/>
      <c r="P11" s="181" t="s">
        <v>663</v>
      </c>
      <c r="Q11" s="181" t="s">
        <v>664</v>
      </c>
      <c r="R11" s="181" t="s">
        <v>665</v>
      </c>
      <c r="S11" s="181" t="s">
        <v>666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25E8187F8CC2F45AD4D85AD7CEC427F" ma:contentTypeVersion="2" ma:contentTypeDescription="Create a new document." ma:contentTypeScope="" ma:versionID="ddf0718783eb2f926c72577d81fa3282">
  <xsd:schema xmlns:xsd="http://www.w3.org/2001/XMLSchema" xmlns:xs="http://www.w3.org/2001/XMLSchema" xmlns:p="http://schemas.microsoft.com/office/2006/metadata/properties" xmlns:ns3="ee3fcf7f-4c3e-4ff8-b473-0b7d6da149ad" targetNamespace="http://schemas.microsoft.com/office/2006/metadata/properties" ma:root="true" ma:fieldsID="4b66df5ef13e17ff3b5eafe79bddef55" ns3:_="">
    <xsd:import namespace="ee3fcf7f-4c3e-4ff8-b473-0b7d6da149a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3fcf7f-4c3e-4ff8-b473-0b7d6da149a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�� 
</file>

<file path=customXml/itemProps1.xml><?xml version="1.0" encoding="utf-8"?>
<ds:datastoreItem xmlns:ds="http://schemas.openxmlformats.org/officeDocument/2006/customXml" ds:itemID="{627EFF61-C7C3-409E-AB85-3430E7A421B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8AAE17-328D-4F01-8199-C4BDE81D7309}">
  <ds:schemaRefs>
    <ds:schemaRef ds:uri="http://purl.org/dc/elements/1.1/"/>
    <ds:schemaRef ds:uri="ee3fcf7f-4c3e-4ff8-b473-0b7d6da149ad"/>
    <ds:schemaRef ds:uri="http://schemas.microsoft.com/office/infopath/2007/PartnerControls"/>
    <ds:schemaRef ds:uri="http://purl.org/dc/terms/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FA7BD99B-6A69-45B7-BEDC-5C7F98A7BD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3fcf7f-4c3e-4ff8-b473-0b7d6da149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323DB5AC-F412-45F8-B82C-D44EE9DA1E3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REPORTING_SEPTEMBRE</vt:lpstr>
      <vt:lpstr>REPORTING_DECEMBRE</vt:lpstr>
      <vt:lpstr>DATA</vt:lpstr>
      <vt:lpstr>CALCULATION</vt:lpstr>
      <vt:lpstr>DASHBOARD_2</vt:lpstr>
      <vt:lpstr>Feuil1</vt:lpstr>
      <vt:lpstr>DATA_FileVersion</vt:lpstr>
      <vt:lpstr>DASHBOARD_2!PreviousCell2</vt:lpstr>
      <vt:lpstr>Status_No_Project</vt:lpstr>
      <vt:lpstr>Target_Not_Applicable</vt:lpstr>
      <vt:lpstr>THEME_P1</vt:lpstr>
      <vt:lpstr>TPL_ver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LARINA</dc:creator>
  <cp:lastModifiedBy>CA</cp:lastModifiedBy>
  <dcterms:created xsi:type="dcterms:W3CDTF">2015-06-05T18:17:20Z</dcterms:created>
  <dcterms:modified xsi:type="dcterms:W3CDTF">2020-06-26T12:34:52Z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0x010100525E8187F8CC2F45AD4D85AD7CEC427F</vt:lpwstr>
  </property>
  <property fmtid="{D5CDD505-2E9C-101B-9397-08002B2CF9AE}" pid="3" name="MSIP_Label_7fa661c7-26ae-4657-b815-44993f82ceaf_Enabled">
    <vt:lpwstr>True</vt:lpwstr>
  </property>
  <property fmtid="{D5CDD505-2E9C-101B-9397-08002B2CF9AE}" pid="4" name="MSIP_Label_7fa661c7-26ae-4657-b815-44993f82ceaf_SiteId">
    <vt:lpwstr>c9a7d621-4bc4-4407-b730-f428e656aa9e</vt:lpwstr>
  </property>
  <property fmtid="{D5CDD505-2E9C-101B-9397-08002B2CF9AE}" pid="5" name="MSIP_Label_7fa661c7-26ae-4657-b815-44993f82ceaf_Owner">
    <vt:lpwstr>jerome.tissier@socgen.com</vt:lpwstr>
  </property>
  <property fmtid="{D5CDD505-2E9C-101B-9397-08002B2CF9AE}" pid="6" name="MSIP_Label_7fa661c7-26ae-4657-b815-44993f82ceaf_SetDate">
    <vt:lpwstr>2020-05-11T15:32:00.2919987Z</vt:lpwstr>
  </property>
  <property fmtid="{D5CDD505-2E9C-101B-9397-08002B2CF9AE}" pid="7" name="MSIP_Label_7fa661c7-26ae-4657-b815-44993f82ceaf_Name">
    <vt:lpwstr>C2 - Confidential</vt:lpwstr>
  </property>
  <property fmtid="{D5CDD505-2E9C-101B-9397-08002B2CF9AE}" pid="8" name="MSIP_Label_7fa661c7-26ae-4657-b815-44993f82ceaf_Application">
    <vt:lpwstr>Microsoft Azure Information Protection</vt:lpwstr>
  </property>
  <property fmtid="{D5CDD505-2E9C-101B-9397-08002B2CF9AE}" pid="9" name="MSIP_Label_7fa661c7-26ae-4657-b815-44993f82ceaf_ActionId">
    <vt:lpwstr>36a0910d-b482-4ec9-bf37-a6604561276b</vt:lpwstr>
  </property>
  <property fmtid="{D5CDD505-2E9C-101B-9397-08002B2CF9AE}" pid="10" name="MSIP_Label_7fa661c7-26ae-4657-b815-44993f82ceaf_Extended_MSFT_Method">
    <vt:lpwstr>Manual</vt:lpwstr>
  </property>
  <property fmtid="{D5CDD505-2E9C-101B-9397-08002B2CF9AE}" pid="11" name="Sensitivity">
    <vt:lpwstr>C2 - Confidential</vt:lpwstr>
  </property>
</Properties>
</file>