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menth\Desktop\"/>
    </mc:Choice>
  </mc:AlternateContent>
  <xr:revisionPtr revIDLastSave="0" documentId="13_ncr:1_{28F873A9-DD41-43E2-9A4A-697857501321}" xr6:coauthVersionLast="45" xr6:coauthVersionMax="45" xr10:uidLastSave="{00000000-0000-0000-0000-000000000000}"/>
  <bookViews>
    <workbookView xWindow="28680" yWindow="-120" windowWidth="29040" windowHeight="15840" xr2:uid="{807F93F4-7054-4115-8C1B-372DCC43008B}"/>
  </bookViews>
  <sheets>
    <sheet name="Machine1" sheetId="1" r:id="rId1"/>
    <sheet name="Machine 2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31" i="3" l="1"/>
  <c r="AJ31" i="3"/>
  <c r="M31" i="3"/>
  <c r="N31" i="3" s="1"/>
  <c r="K31" i="3"/>
  <c r="E31" i="3"/>
  <c r="AM30" i="3"/>
  <c r="AJ30" i="3"/>
  <c r="W30" i="3" a="1"/>
  <c r="W30" i="3" s="1"/>
  <c r="M30" i="3"/>
  <c r="K30" i="3"/>
  <c r="F30" i="3" a="1"/>
  <c r="F30" i="3" s="1"/>
  <c r="D30" i="3" a="1"/>
  <c r="D30" i="3" s="1"/>
  <c r="AR30" i="3" s="1"/>
  <c r="AM29" i="3"/>
  <c r="AJ29" i="3"/>
  <c r="AG29" i="3"/>
  <c r="T29" i="3"/>
  <c r="U29" i="3" s="1"/>
  <c r="N29" i="3"/>
  <c r="M29" i="3"/>
  <c r="K29" i="3"/>
  <c r="F29" i="3"/>
  <c r="F31" i="3" s="1"/>
  <c r="F29" i="3" a="1"/>
  <c r="D29" i="3" a="1"/>
  <c r="D29" i="3" s="1"/>
  <c r="AF28" i="3"/>
  <c r="AC28" i="3"/>
  <c r="AC31" i="3" s="1"/>
  <c r="AG31" i="3" s="1"/>
  <c r="AB28" i="3"/>
  <c r="AA28" i="3"/>
  <c r="X27" i="3"/>
  <c r="N16" i="3" a="1"/>
  <c r="N16" i="3" s="1"/>
  <c r="L16" i="3" a="1"/>
  <c r="L16" i="3" s="1"/>
  <c r="AM31" i="1"/>
  <c r="AJ31" i="1"/>
  <c r="M31" i="1"/>
  <c r="N31" i="1" s="1"/>
  <c r="K31" i="1"/>
  <c r="E31" i="1"/>
  <c r="AM30" i="1"/>
  <c r="AJ30" i="1"/>
  <c r="W30" i="1" a="1"/>
  <c r="W30" i="1" s="1"/>
  <c r="M30" i="1"/>
  <c r="N30" i="1" s="1"/>
  <c r="K30" i="1"/>
  <c r="F30" i="1" a="1"/>
  <c r="F30" i="1" s="1"/>
  <c r="D30" i="1"/>
  <c r="L30" i="1" s="1"/>
  <c r="D30" i="1" a="1"/>
  <c r="AM29" i="1"/>
  <c r="AJ29" i="1"/>
  <c r="AG29" i="1"/>
  <c r="M29" i="1"/>
  <c r="N29" i="1" s="1"/>
  <c r="K29" i="1"/>
  <c r="F29" i="1" a="1"/>
  <c r="F29" i="1" s="1"/>
  <c r="F31" i="1" s="1"/>
  <c r="D29" i="1" a="1"/>
  <c r="D29" i="1" s="1"/>
  <c r="AF28" i="1"/>
  <c r="AC28" i="1"/>
  <c r="AC31" i="1" s="1"/>
  <c r="AG31" i="1" s="1"/>
  <c r="AB28" i="1"/>
  <c r="AA28" i="1"/>
  <c r="X27" i="1"/>
  <c r="N16" i="1" a="1"/>
  <c r="N16" i="1" s="1"/>
  <c r="L16" i="1"/>
  <c r="H16" i="1" s="1"/>
  <c r="L16" i="1" a="1"/>
  <c r="L30" i="3" l="1"/>
  <c r="D31" i="3"/>
  <c r="L29" i="3"/>
  <c r="AR29" i="3"/>
  <c r="H16" i="3"/>
  <c r="O29" i="3"/>
  <c r="T31" i="3"/>
  <c r="U31" i="3" s="1"/>
  <c r="O31" i="3"/>
  <c r="AC30" i="3"/>
  <c r="AG30" i="3" s="1"/>
  <c r="N30" i="3"/>
  <c r="T31" i="1"/>
  <c r="U31" i="1" s="1"/>
  <c r="T29" i="1"/>
  <c r="U29" i="1" s="1"/>
  <c r="O29" i="1"/>
  <c r="O30" i="1"/>
  <c r="T30" i="1"/>
  <c r="U30" i="1" s="1"/>
  <c r="L29" i="1"/>
  <c r="AR29" i="1"/>
  <c r="D31" i="1"/>
  <c r="AR30" i="1"/>
  <c r="AC30" i="1"/>
  <c r="AG30" i="1" s="1"/>
  <c r="T30" i="3" l="1"/>
  <c r="U30" i="3" s="1"/>
  <c r="O30" i="3"/>
  <c r="Q31" i="3"/>
  <c r="P31" i="3"/>
  <c r="R31" i="3" s="1"/>
  <c r="Q29" i="3"/>
  <c r="P29" i="3"/>
  <c r="R29" i="3" s="1"/>
  <c r="L31" i="3"/>
  <c r="AR31" i="3"/>
  <c r="L31" i="1"/>
  <c r="AR31" i="1"/>
  <c r="P29" i="1"/>
  <c r="R29" i="1" s="1"/>
  <c r="Q29" i="1"/>
  <c r="Q30" i="1"/>
  <c r="P30" i="1"/>
  <c r="R30" i="1" s="1"/>
  <c r="O31" i="1"/>
  <c r="X31" i="3" l="1"/>
  <c r="Y31" i="3" s="1"/>
  <c r="AO31" i="3" s="1"/>
  <c r="AP31" i="3" s="1"/>
  <c r="AS31" i="3" s="1"/>
  <c r="AT31" i="3" s="1"/>
  <c r="AQ31" i="3"/>
  <c r="X29" i="3"/>
  <c r="Y29" i="3" s="1"/>
  <c r="AO29" i="3" s="1"/>
  <c r="AP29" i="3" s="1"/>
  <c r="AQ29" i="3"/>
  <c r="Q30" i="3"/>
  <c r="P30" i="3"/>
  <c r="R30" i="3" s="1"/>
  <c r="X29" i="1"/>
  <c r="Y29" i="1" s="1"/>
  <c r="AO29" i="1" s="1"/>
  <c r="AP29" i="1" s="1"/>
  <c r="AS29" i="1" s="1"/>
  <c r="AQ29" i="1"/>
  <c r="X30" i="1"/>
  <c r="Y30" i="1" s="1"/>
  <c r="AO30" i="1" s="1"/>
  <c r="AP30" i="1" s="1"/>
  <c r="AS30" i="1" s="1"/>
  <c r="AT30" i="1" s="1"/>
  <c r="AQ30" i="1"/>
  <c r="P31" i="1"/>
  <c r="R31" i="1" s="1"/>
  <c r="Q31" i="1"/>
  <c r="X30" i="3" l="1"/>
  <c r="Y30" i="3" s="1"/>
  <c r="AO30" i="3" s="1"/>
  <c r="AP30" i="3" s="1"/>
  <c r="AS30" i="3" s="1"/>
  <c r="AT30" i="3" s="1"/>
  <c r="AQ30" i="3"/>
  <c r="AS29" i="3"/>
  <c r="AQ31" i="1"/>
  <c r="X31" i="1"/>
  <c r="Y31" i="1" s="1"/>
  <c r="AO31" i="1" s="1"/>
  <c r="AP31" i="1" s="1"/>
  <c r="AS31" i="1" s="1"/>
  <c r="AT31" i="1" s="1"/>
  <c r="AT29" i="1"/>
  <c r="AS32" i="3" l="1"/>
  <c r="AU32" i="3" s="1"/>
  <c r="C14" i="3" s="1"/>
  <c r="AT29" i="3"/>
  <c r="AS32" i="1"/>
  <c r="AU32" i="1" s="1"/>
  <c r="C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PARMENTIER, Thomas</author>
  </authors>
  <commentList>
    <comment ref="V27" authorId="0" shapeId="0" xr:uid="{C20AF6EA-FFE1-47B3-9563-88D68E278D1C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</t>
        </r>
      </text>
    </comment>
    <comment ref="T28" authorId="0" shapeId="0" xr:uid="{A459ECFD-F7F5-490F-B45C-0ADC3B672FCA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IDELCHIK https://www.hydraucalc.com/wp-content/uploads/delightful-downloads/2019/03/T%c3%a9-sym%c3%a9trique-brusque-avec-s%c3%a9paration-des-courants-soud%c3%a9-Section-circulaire-IDELCHIK-mar-2019.pdf</t>
        </r>
      </text>
    </comment>
    <comment ref="X28" authorId="0" shapeId="0" xr:uid="{6AD82C3F-7544-408D-B617-9BEA25C98EF7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- Equation 15.1
https://www.hydraucalc.com/wp-content/uploads/delightful-downloads/2018/12/Coude-progressif-Section-circulaire-Pipe-Flow-Guide-nov-2018.pdf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PARMENTIER, Thomas</author>
  </authors>
  <commentList>
    <comment ref="V27" authorId="0" shapeId="0" xr:uid="{E84B601D-0A0B-4318-96F8-15FE0DF3F67C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</t>
        </r>
      </text>
    </comment>
    <comment ref="T28" authorId="0" shapeId="0" xr:uid="{5131B7F9-7C10-4419-A15E-A60B215CA4A7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IDELCHIK https://www.hydraucalc.com/wp-content/uploads/delightful-downloads/2019/03/T%c3%a9-sym%c3%a9trique-brusque-avec-s%c3%a9paration-des-courants-soud%c3%a9-Section-circulaire-IDELCHIK-mar-2019.pdf</t>
        </r>
      </text>
    </comment>
    <comment ref="X28" authorId="0" shapeId="0" xr:uid="{707F09DE-4B3A-4152-86D1-590F6B96D3FC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- Equation 15.1
https://www.hydraucalc.com/wp-content/uploads/delightful-downloads/2018/12/Coude-progressif-Section-circulaire-Pipe-Flow-Guide-nov-2018.pdf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<sst xmlns="http://schemas.openxmlformats.org/spreadsheetml/2006/main" count="211" uniqueCount="83">
  <si>
    <t>Valid in TURBULENT FLOW</t>
  </si>
  <si>
    <t>Valid for incompressible fluid (~liquid)</t>
  </si>
  <si>
    <t>Instruction</t>
  </si>
  <si>
    <t>Split the pipe layout in sections and describe sections line by line including the number of pipes and fitting in each section</t>
  </si>
  <si>
    <t>If you wish to calculate the pressure drop at a given mass flowrate, enter the flow in cell C13 and read the total pressure drop in cell C14. Pressure drop in each section is in column BP</t>
  </si>
  <si>
    <t>To modify</t>
  </si>
  <si>
    <t>Calculated</t>
  </si>
  <si>
    <r>
      <t>Flow [m</t>
    </r>
    <r>
      <rPr>
        <vertAlign val="superscript"/>
        <sz val="11"/>
        <color theme="1"/>
        <rFont val="Arial"/>
        <family val="2"/>
      </rPr>
      <t>3</t>
    </r>
    <r>
      <rPr>
        <sz val="10"/>
        <rFont val="Arial"/>
        <family val="2"/>
        <charset val="1"/>
      </rPr>
      <t>/h]</t>
    </r>
  </si>
  <si>
    <t>∆P Piping [kPa]</t>
  </si>
  <si>
    <t>Vol flow rate</t>
  </si>
  <si>
    <t>m3/h</t>
  </si>
  <si>
    <t>Actual DP</t>
  </si>
  <si>
    <t>kPa</t>
  </si>
  <si>
    <t>Piping ∆P equation</t>
  </si>
  <si>
    <t>y=ax^b</t>
  </si>
  <si>
    <t>Coef a</t>
  </si>
  <si>
    <t>Coef b</t>
  </si>
  <si>
    <t>Various pressure drops</t>
  </si>
  <si>
    <t>EG30%</t>
  </si>
  <si>
    <r>
      <t>ρ [kg/m</t>
    </r>
    <r>
      <rPr>
        <b/>
        <vertAlign val="superscript"/>
        <sz val="11"/>
        <color theme="0" tint="-0.34998626667073579"/>
        <rFont val="Calibri"/>
        <family val="2"/>
      </rPr>
      <t>3</t>
    </r>
    <r>
      <rPr>
        <b/>
        <sz val="11"/>
        <color theme="0" tint="-0.34998626667073579"/>
        <rFont val="Calibri"/>
        <family val="2"/>
      </rPr>
      <t>]</t>
    </r>
  </si>
  <si>
    <t>µ [Pa-s]</t>
  </si>
  <si>
    <t>15/10</t>
  </si>
  <si>
    <t>Pipe section</t>
  </si>
  <si>
    <t>Fluid</t>
  </si>
  <si>
    <t>Specific gravity</t>
  </si>
  <si>
    <t>Temperature</t>
  </si>
  <si>
    <t>Dynamic viscosity</t>
  </si>
  <si>
    <t>Pipe internal diameter</t>
  </si>
  <si>
    <t>Pipe length</t>
  </si>
  <si>
    <t>Height difference DZ</t>
  </si>
  <si>
    <t>Roughness</t>
  </si>
  <si>
    <t>Relative roughness</t>
  </si>
  <si>
    <t>Mass flow rate</t>
  </si>
  <si>
    <t>Volumetric flow rate</t>
  </si>
  <si>
    <t>Fluid velocity</t>
  </si>
  <si>
    <t>Reynolds</t>
  </si>
  <si>
    <r>
      <rPr>
        <b/>
        <sz val="10"/>
        <color rgb="FF000000"/>
        <rFont val="Calibri"/>
        <family val="2"/>
        <charset val="1"/>
      </rPr>
      <t>Moody</t>
    </r>
    <r>
      <rPr>
        <sz val="10"/>
        <color rgb="FF000000"/>
        <rFont val="Calibri"/>
        <family val="2"/>
        <charset val="1"/>
      </rPr>
      <t xml:space="preserve"> friction factor</t>
    </r>
  </si>
  <si>
    <t>Té soudé</t>
  </si>
  <si>
    <t>Bends</t>
  </si>
  <si>
    <t>Alpha [°]</t>
  </si>
  <si>
    <t>Sum k</t>
  </si>
  <si>
    <t>Valve and fitting pressure drop (Pa)</t>
  </si>
  <si>
    <t>Straight pipe pressure drop</t>
  </si>
  <si>
    <t>Elevation</t>
  </si>
  <si>
    <t>Total</t>
  </si>
  <si>
    <t>rho</t>
  </si>
  <si>
    <t>mu</t>
  </si>
  <si>
    <t>D</t>
  </si>
  <si>
    <t>L</t>
  </si>
  <si>
    <t>H</t>
  </si>
  <si>
    <t>e</t>
  </si>
  <si>
    <t>e/D</t>
  </si>
  <si>
    <t>Qm</t>
  </si>
  <si>
    <t>Qv</t>
  </si>
  <si>
    <t>u</t>
  </si>
  <si>
    <t>Re</t>
  </si>
  <si>
    <t>A</t>
  </si>
  <si>
    <t>B</t>
  </si>
  <si>
    <t>f</t>
  </si>
  <si>
    <t>Té normalisé</t>
  </si>
  <si>
    <r>
      <rPr>
        <sz val="10"/>
        <rFont val="Arial"/>
        <family val="2"/>
        <charset val="1"/>
      </rPr>
      <t>90</t>
    </r>
    <r>
      <rPr>
        <sz val="11"/>
        <color rgb="FF000000"/>
        <rFont val="Calibri"/>
        <family val="2"/>
        <charset val="1"/>
      </rPr>
      <t>° elbow</t>
    </r>
  </si>
  <si>
    <t>-&gt;</t>
  </si>
  <si>
    <t>rad</t>
  </si>
  <si>
    <t>XX° Miter</t>
  </si>
  <si>
    <t>x</t>
  </si>
  <si>
    <t>Coupling</t>
  </si>
  <si>
    <t>Ball Valve</t>
  </si>
  <si>
    <t>kg/m3</t>
  </si>
  <si>
    <t>c</t>
  </si>
  <si>
    <t>Pa.s</t>
  </si>
  <si>
    <t>m</t>
  </si>
  <si>
    <t>mm</t>
  </si>
  <si>
    <t>-</t>
  </si>
  <si>
    <t>kg/h</t>
  </si>
  <si>
    <t>m/s</t>
  </si>
  <si>
    <t>Number</t>
  </si>
  <si>
    <t>k</t>
  </si>
  <si>
    <t>Total k</t>
  </si>
  <si>
    <t>r</t>
  </si>
  <si>
    <t>Tronçon 1</t>
  </si>
  <si>
    <t>Tronçon 2</t>
  </si>
  <si>
    <t>Tronçon 3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</si>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</sst>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00"/>
    <numFmt numFmtId="165" formatCode="0.00000000"/>
    <numFmt numFmtId="166" formatCode="0.0"/>
    <numFmt numFmtId="167" formatCode="0.000E+00"/>
    <numFmt numFmtId="168" formatCode="0.00000E+00"/>
    <numFmt numFmtId="169" formatCode="0.000"/>
    <numFmt numFmtId="170" formatCode="0.0000"/>
  </numFmts>
  <fonts count="33" x14ac:knownFonts="1">
    <font>
      <sz val="10"/>
      <name val="Arial"/>
      <family val="2"/>
      <charset val="1"/>
    </font>
    <font>
      <sz val="10"/>
      <name val="Arial"/>
      <family val="2"/>
      <charset val="1"/>
    </font>
    <font>
      <b/>
      <sz val="11"/>
      <color rgb="FF1F497D"/>
      <name val="Calibri"/>
      <family val="2"/>
      <charset val="1"/>
    </font>
    <font>
      <b/>
      <sz val="11"/>
      <color rgb="FFFF0000"/>
      <name val="Calibri"/>
      <family val="2"/>
      <charset val="1"/>
    </font>
    <font>
      <vertAlign val="superscript"/>
      <sz val="11"/>
      <color theme="1"/>
      <name val="Arial"/>
      <family val="2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theme="0" tint="-0.34998626667073579"/>
      <name val="Arial"/>
      <family val="2"/>
      <charset val="1"/>
    </font>
    <font>
      <i/>
      <sz val="11"/>
      <color rgb="FF000000"/>
      <name val="Calibri"/>
      <family val="2"/>
      <charset val="1"/>
    </font>
    <font>
      <sz val="11"/>
      <color theme="1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</font>
    <font>
      <b/>
      <vertAlign val="superscript"/>
      <sz val="11"/>
      <color theme="0" tint="-0.34998626667073579"/>
      <name val="Calibri"/>
      <family val="2"/>
    </font>
    <font>
      <sz val="11"/>
      <color theme="0" tint="-0.34998626667073579"/>
      <name val="Calibri"/>
      <family val="2"/>
      <scheme val="minor"/>
    </font>
    <font>
      <b/>
      <sz val="10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theme="6"/>
      <name val="Arial"/>
      <family val="2"/>
      <charset val="1"/>
    </font>
    <font>
      <sz val="10"/>
      <color theme="2" tint="-0.249977111117893"/>
      <name val="Arial"/>
      <family val="2"/>
      <charset val="1"/>
    </font>
    <font>
      <b/>
      <sz val="8"/>
      <color rgb="FFFF0000"/>
      <name val="Calibri"/>
      <family val="2"/>
      <charset val="1"/>
    </font>
    <font>
      <b/>
      <sz val="10"/>
      <color rgb="FFFF0000"/>
      <name val="Arial"/>
      <family val="2"/>
    </font>
    <font>
      <sz val="11"/>
      <color theme="0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  <charset val="1"/>
    </font>
    <font>
      <sz val="9"/>
      <color rgb="FF000000"/>
      <name val="Tahoma"/>
      <family val="2"/>
    </font>
    <font>
      <sz val="10"/>
      <color rgb="FF0000FF"/>
      <name val="Arial"/>
      <family val="2"/>
      <charset val="1"/>
    </font>
    <font>
      <sz val="10"/>
      <name val="Times New Roman"/>
      <family val="1"/>
      <charset val="1"/>
    </font>
    <font>
      <i/>
      <sz val="7"/>
      <name val="Times New Roman"/>
      <family val="1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EBF1DE"/>
        <bgColor rgb="FFFFFFFF"/>
      </patternFill>
    </fill>
    <fill>
      <patternFill patternType="solid">
        <fgColor rgb="FFFCD5B5"/>
        <bgColor rgb="FFEBF1DE"/>
      </patternFill>
    </fill>
    <fill>
      <patternFill patternType="solid">
        <fgColor theme="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hair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hair">
        <color theme="8" tint="-0.24994659260841701"/>
      </top>
      <bottom style="thin">
        <color theme="8" tint="-0.249946592608417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/>
      <right/>
      <top style="thin">
        <color auto="1"/>
      </top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153">
    <xf numFmtId="0" fontId="0" fillId="0" borderId="0" xfId="0"/>
    <xf numFmtId="0" fontId="2" fillId="2" borderId="0" xfId="0" applyFont="1" applyFill="1"/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6" fillId="0" borderId="3" xfId="0" applyFont="1" applyBorder="1" applyAlignment="1">
      <alignment vertical="center"/>
    </xf>
    <xf numFmtId="0" fontId="2" fillId="2" borderId="4" xfId="0" applyFont="1" applyFill="1" applyBorder="1" applyAlignment="1" applyProtection="1">
      <alignment vertical="center"/>
      <protection locked="0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66" fontId="3" fillId="3" borderId="7" xfId="0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9" xfId="0" applyFont="1" applyBorder="1"/>
    <xf numFmtId="0" fontId="0" fillId="0" borderId="10" xfId="0" applyBorder="1"/>
    <xf numFmtId="0" fontId="8" fillId="0" borderId="11" xfId="0" applyFont="1" applyBorder="1" applyAlignment="1">
      <alignment horizontal="left"/>
    </xf>
    <xf numFmtId="0" fontId="0" fillId="0" borderId="12" xfId="0" applyBorder="1"/>
    <xf numFmtId="0" fontId="8" fillId="0" borderId="13" xfId="0" applyFont="1" applyBorder="1" applyAlignment="1">
      <alignment horizontal="left"/>
    </xf>
    <xf numFmtId="0" fontId="0" fillId="0" borderId="0" xfId="0" quotePrefix="1"/>
    <xf numFmtId="0" fontId="7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8" fillId="0" borderId="17" xfId="0" applyFont="1" applyBorder="1" applyAlignment="1">
      <alignment horizontal="right"/>
    </xf>
    <xf numFmtId="165" fontId="7" fillId="0" borderId="18" xfId="0" applyNumberFormat="1" applyFont="1" applyBorder="1"/>
    <xf numFmtId="165" fontId="7" fillId="0" borderId="19" xfId="0" applyNumberFormat="1" applyFont="1" applyBorder="1"/>
    <xf numFmtId="0" fontId="0" fillId="0" borderId="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9" fillId="0" borderId="0" xfId="0" applyFont="1" applyAlignment="1">
      <alignment horizontal="center"/>
    </xf>
    <xf numFmtId="0" fontId="0" fillId="0" borderId="24" xfId="0" applyBorder="1" applyAlignment="1">
      <alignment horizontal="center"/>
    </xf>
    <xf numFmtId="0" fontId="10" fillId="0" borderId="0" xfId="0" applyFont="1"/>
    <xf numFmtId="0" fontId="0" fillId="0" borderId="25" xfId="0" applyBorder="1"/>
    <xf numFmtId="0" fontId="12" fillId="0" borderId="26" xfId="2" applyFont="1" applyBorder="1" applyAlignment="1">
      <alignment horizontal="center"/>
    </xf>
    <xf numFmtId="0" fontId="13" fillId="4" borderId="27" xfId="2" applyFont="1" applyFill="1" applyBorder="1" applyAlignment="1">
      <alignment horizontal="center"/>
    </xf>
    <xf numFmtId="2" fontId="0" fillId="0" borderId="0" xfId="0" applyNumberFormat="1"/>
    <xf numFmtId="16" fontId="12" fillId="4" borderId="28" xfId="2" quotePrefix="1" applyNumberFormat="1" applyFont="1" applyFill="1" applyBorder="1" applyAlignment="1">
      <alignment horizontal="center"/>
    </xf>
    <xf numFmtId="0" fontId="15" fillId="4" borderId="28" xfId="2" applyFont="1" applyFill="1" applyBorder="1" applyAlignment="1">
      <alignment horizontal="center" vertical="center"/>
    </xf>
    <xf numFmtId="167" fontId="15" fillId="4" borderId="28" xfId="2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5" fillId="0" borderId="0" xfId="0" applyFont="1"/>
    <xf numFmtId="0" fontId="6" fillId="0" borderId="2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23" xfId="0" applyFont="1" applyBorder="1"/>
    <xf numFmtId="0" fontId="0" fillId="0" borderId="0" xfId="0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30" xfId="0" applyFont="1" applyBorder="1"/>
    <xf numFmtId="0" fontId="6" fillId="0" borderId="3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9" fillId="0" borderId="0" xfId="0" quotePrefix="1" applyFont="1" applyAlignment="1">
      <alignment horizontal="center"/>
    </xf>
    <xf numFmtId="0" fontId="20" fillId="0" borderId="0" xfId="0" applyFont="1"/>
    <xf numFmtId="0" fontId="19" fillId="0" borderId="23" xfId="0" applyFont="1" applyBorder="1"/>
    <xf numFmtId="0" fontId="0" fillId="5" borderId="0" xfId="0" applyFill="1" applyAlignment="1">
      <alignment horizontal="center"/>
    </xf>
    <xf numFmtId="0" fontId="0" fillId="0" borderId="25" xfId="0" applyBorder="1" applyProtection="1">
      <protection locked="0"/>
    </xf>
    <xf numFmtId="0" fontId="6" fillId="0" borderId="30" xfId="0" quotePrefix="1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1" fillId="6" borderId="7" xfId="0" applyFont="1" applyFill="1" applyBorder="1"/>
    <xf numFmtId="0" fontId="0" fillId="0" borderId="6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" fillId="2" borderId="32" xfId="0" applyFont="1" applyFill="1" applyBorder="1" applyAlignment="1" applyProtection="1">
      <alignment vertical="center"/>
      <protection locked="0"/>
    </xf>
    <xf numFmtId="0" fontId="2" fillId="2" borderId="33" xfId="0" applyFont="1" applyFill="1" applyBorder="1" applyAlignment="1" applyProtection="1">
      <alignment horizontal="center"/>
      <protection locked="0"/>
    </xf>
    <xf numFmtId="12" fontId="2" fillId="2" borderId="33" xfId="0" quotePrefix="1" applyNumberFormat="1" applyFont="1" applyFill="1" applyBorder="1" applyAlignment="1" applyProtection="1">
      <alignment horizontal="center"/>
      <protection locked="0"/>
    </xf>
    <xf numFmtId="11" fontId="2" fillId="2" borderId="33" xfId="0" applyNumberFormat="1" applyFont="1" applyFill="1" applyBorder="1" applyAlignment="1" applyProtection="1">
      <alignment horizontal="center"/>
      <protection locked="0"/>
    </xf>
    <xf numFmtId="11" fontId="3" fillId="3" borderId="33" xfId="0" applyNumberFormat="1" applyFont="1" applyFill="1" applyBorder="1"/>
    <xf numFmtId="0" fontId="3" fillId="3" borderId="33" xfId="0" applyFont="1" applyFill="1" applyBorder="1"/>
    <xf numFmtId="166" fontId="3" fillId="3" borderId="33" xfId="0" applyNumberFormat="1" applyFont="1" applyFill="1" applyBorder="1"/>
    <xf numFmtId="2" fontId="3" fillId="3" borderId="33" xfId="0" applyNumberFormat="1" applyFont="1" applyFill="1" applyBorder="1"/>
    <xf numFmtId="11" fontId="22" fillId="3" borderId="33" xfId="0" applyNumberFormat="1" applyFont="1" applyFill="1" applyBorder="1"/>
    <xf numFmtId="168" fontId="3" fillId="3" borderId="33" xfId="0" applyNumberFormat="1" applyFont="1" applyFill="1" applyBorder="1"/>
    <xf numFmtId="0" fontId="3" fillId="3" borderId="34" xfId="0" applyFont="1" applyFill="1" applyBorder="1"/>
    <xf numFmtId="0" fontId="0" fillId="0" borderId="20" xfId="0" applyBorder="1" applyProtection="1">
      <protection locked="0"/>
    </xf>
    <xf numFmtId="169" fontId="0" fillId="6" borderId="35" xfId="0" applyNumberFormat="1" applyFill="1" applyBorder="1"/>
    <xf numFmtId="169" fontId="0" fillId="6" borderId="36" xfId="0" applyNumberFormat="1" applyFill="1" applyBorder="1"/>
    <xf numFmtId="0" fontId="0" fillId="6" borderId="35" xfId="0" applyFill="1" applyBorder="1" applyAlignment="1">
      <alignment horizontal="center"/>
    </xf>
    <xf numFmtId="170" fontId="0" fillId="6" borderId="37" xfId="0" applyNumberFormat="1" applyFill="1" applyBorder="1"/>
    <xf numFmtId="0" fontId="0" fillId="6" borderId="36" xfId="0" applyFill="1" applyBorder="1"/>
    <xf numFmtId="169" fontId="0" fillId="5" borderId="35" xfId="0" applyNumberFormat="1" applyFill="1" applyBorder="1" applyAlignment="1">
      <alignment horizontal="center"/>
    </xf>
    <xf numFmtId="166" fontId="0" fillId="5" borderId="35" xfId="0" applyNumberFormat="1" applyFill="1" applyBorder="1" applyAlignment="1">
      <alignment horizontal="center"/>
    </xf>
    <xf numFmtId="0" fontId="0" fillId="6" borderId="35" xfId="0" applyFill="1" applyBorder="1"/>
    <xf numFmtId="169" fontId="0" fillId="6" borderId="20" xfId="0" applyNumberFormat="1" applyFill="1" applyBorder="1"/>
    <xf numFmtId="0" fontId="0" fillId="6" borderId="21" xfId="0" applyFill="1" applyBorder="1"/>
    <xf numFmtId="0" fontId="0" fillId="6" borderId="38" xfId="0" applyFill="1" applyBorder="1"/>
    <xf numFmtId="169" fontId="23" fillId="0" borderId="23" xfId="0" applyNumberFormat="1" applyFont="1" applyBorder="1"/>
    <xf numFmtId="0" fontId="2" fillId="2" borderId="39" xfId="0" applyFont="1" applyFill="1" applyBorder="1" applyProtection="1">
      <protection locked="0"/>
    </xf>
    <xf numFmtId="0" fontId="0" fillId="0" borderId="23" xfId="0" applyBorder="1" applyProtection="1">
      <protection locked="0"/>
    </xf>
    <xf numFmtId="169" fontId="0" fillId="6" borderId="40" xfId="0" applyNumberFormat="1" applyFill="1" applyBorder="1"/>
    <xf numFmtId="169" fontId="0" fillId="6" borderId="41" xfId="0" applyNumberFormat="1" applyFill="1" applyBorder="1"/>
    <xf numFmtId="0" fontId="0" fillId="6" borderId="40" xfId="0" applyFill="1" applyBorder="1" applyAlignment="1">
      <alignment horizontal="center"/>
    </xf>
    <xf numFmtId="170" fontId="0" fillId="6" borderId="42" xfId="0" applyNumberFormat="1" applyFill="1" applyBorder="1"/>
    <xf numFmtId="0" fontId="0" fillId="6" borderId="41" xfId="0" applyFill="1" applyBorder="1"/>
    <xf numFmtId="169" fontId="0" fillId="5" borderId="40" xfId="0" applyNumberFormat="1" applyFill="1" applyBorder="1" applyAlignment="1">
      <alignment horizontal="center"/>
    </xf>
    <xf numFmtId="169" fontId="0" fillId="5" borderId="43" xfId="0" applyNumberFormat="1" applyFill="1" applyBorder="1" applyAlignment="1">
      <alignment horizontal="center"/>
    </xf>
    <xf numFmtId="166" fontId="0" fillId="5" borderId="40" xfId="0" applyNumberFormat="1" applyFill="1" applyBorder="1" applyAlignment="1">
      <alignment horizontal="center"/>
    </xf>
    <xf numFmtId="0" fontId="0" fillId="6" borderId="40" xfId="0" applyFill="1" applyBorder="1"/>
    <xf numFmtId="169" fontId="0" fillId="6" borderId="23" xfId="0" applyNumberFormat="1" applyFill="1" applyBorder="1"/>
    <xf numFmtId="0" fontId="0" fillId="6" borderId="0" xfId="0" applyFill="1"/>
    <xf numFmtId="0" fontId="0" fillId="6" borderId="44" xfId="0" applyFill="1" applyBorder="1"/>
    <xf numFmtId="12" fontId="2" fillId="2" borderId="33" xfId="0" applyNumberFormat="1" applyFont="1" applyFill="1" applyBorder="1" applyAlignment="1" applyProtection="1">
      <alignment horizontal="center"/>
      <protection locked="0"/>
    </xf>
    <xf numFmtId="0" fontId="3" fillId="3" borderId="45" xfId="0" applyFont="1" applyFill="1" applyBorder="1"/>
    <xf numFmtId="169" fontId="0" fillId="6" borderId="46" xfId="0" applyNumberFormat="1" applyFill="1" applyBorder="1"/>
    <xf numFmtId="0" fontId="0" fillId="6" borderId="43" xfId="0" applyFill="1" applyBorder="1" applyAlignment="1">
      <alignment horizontal="center"/>
    </xf>
    <xf numFmtId="170" fontId="0" fillId="6" borderId="47" xfId="0" applyNumberFormat="1" applyFill="1" applyBorder="1"/>
    <xf numFmtId="0" fontId="0" fillId="6" borderId="46" xfId="0" applyFill="1" applyBorder="1"/>
    <xf numFmtId="166" fontId="0" fillId="5" borderId="43" xfId="0" applyNumberFormat="1" applyFill="1" applyBorder="1" applyAlignment="1">
      <alignment horizontal="center"/>
    </xf>
    <xf numFmtId="0" fontId="0" fillId="6" borderId="43" xfId="0" applyFill="1" applyBorder="1"/>
    <xf numFmtId="0" fontId="0" fillId="0" borderId="21" xfId="0" applyBorder="1" applyAlignment="1">
      <alignment horizontal="center"/>
    </xf>
    <xf numFmtId="11" fontId="0" fillId="0" borderId="21" xfId="0" applyNumberFormat="1" applyBorder="1" applyAlignment="1">
      <alignment vertical="center"/>
    </xf>
    <xf numFmtId="169" fontId="24" fillId="0" borderId="21" xfId="0" applyNumberFormat="1" applyFont="1" applyBorder="1" applyAlignment="1">
      <alignment vertical="center"/>
    </xf>
    <xf numFmtId="0" fontId="3" fillId="3" borderId="4" xfId="0" applyFont="1" applyFill="1" applyBorder="1"/>
    <xf numFmtId="0" fontId="0" fillId="0" borderId="5" xfId="0" applyBorder="1"/>
    <xf numFmtId="166" fontId="23" fillId="0" borderId="48" xfId="0" applyNumberFormat="1" applyFont="1" applyBorder="1"/>
    <xf numFmtId="169" fontId="0" fillId="0" borderId="0" xfId="0" applyNumberFormat="1"/>
    <xf numFmtId="11" fontId="0" fillId="0" borderId="0" xfId="0" applyNumberFormat="1" applyAlignment="1">
      <alignment vertical="center"/>
    </xf>
    <xf numFmtId="169" fontId="24" fillId="0" borderId="0" xfId="0" applyNumberFormat="1" applyFont="1" applyAlignment="1">
      <alignment vertical="center"/>
    </xf>
    <xf numFmtId="0" fontId="25" fillId="0" borderId="0" xfId="0" applyFont="1" applyAlignment="1">
      <alignment horizontal="center"/>
    </xf>
    <xf numFmtId="0" fontId="0" fillId="0" borderId="0" xfId="0" applyAlignment="1">
      <alignment horizontal="left"/>
    </xf>
    <xf numFmtId="170" fontId="0" fillId="0" borderId="0" xfId="0" applyNumberFormat="1" applyAlignment="1">
      <alignment horizontal="center"/>
    </xf>
    <xf numFmtId="9" fontId="0" fillId="0" borderId="0" xfId="1" applyFont="1"/>
    <xf numFmtId="0" fontId="0" fillId="0" borderId="0" xfId="0" quotePrefix="1" applyAlignment="1">
      <alignment vertical="center"/>
    </xf>
    <xf numFmtId="166" fontId="0" fillId="0" borderId="0" xfId="1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0" fontId="0" fillId="0" borderId="0" xfId="1" applyNumberFormat="1" applyFont="1" applyBorder="1" applyAlignment="1">
      <alignment horizontal="left"/>
    </xf>
    <xf numFmtId="2" fontId="0" fillId="0" borderId="0" xfId="1" applyNumberFormat="1" applyFont="1" applyAlignment="1">
      <alignment horizontal="center"/>
    </xf>
    <xf numFmtId="0" fontId="26" fillId="0" borderId="0" xfId="0" applyFont="1"/>
    <xf numFmtId="0" fontId="27" fillId="0" borderId="0" xfId="0" applyFont="1"/>
    <xf numFmtId="2" fontId="0" fillId="0" borderId="0" xfId="1" applyNumberFormat="1" applyFont="1" applyBorder="1" applyAlignment="1">
      <alignment horizontal="center"/>
    </xf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 wrapText="1"/>
    </xf>
    <xf numFmtId="0" fontId="12" fillId="0" borderId="29" xfId="2" quotePrefix="1" applyFont="1" applyFill="1" applyBorder="1" applyAlignment="1">
      <alignment horizontal="center"/>
    </xf>
    <xf numFmtId="0" fontId="15" fillId="0" borderId="29" xfId="2" applyFont="1" applyFill="1" applyBorder="1" applyAlignment="1">
      <alignment horizontal="center" vertical="center"/>
    </xf>
    <xf numFmtId="167" fontId="15" fillId="0" borderId="29" xfId="2" applyNumberFormat="1" applyFont="1" applyFill="1" applyBorder="1" applyAlignment="1">
      <alignment horizontal="center" vertical="center"/>
    </xf>
    <xf numFmtId="0" fontId="12" fillId="0" borderId="0" xfId="2" quotePrefix="1" applyFont="1" applyFill="1" applyAlignment="1">
      <alignment horizontal="center"/>
    </xf>
    <xf numFmtId="0" fontId="15" fillId="0" borderId="0" xfId="2" applyFont="1" applyFill="1" applyAlignment="1">
      <alignment horizontal="center" vertical="center"/>
    </xf>
    <xf numFmtId="167" fontId="15" fillId="0" borderId="0" xfId="2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165" fontId="0" fillId="0" borderId="0" xfId="0" applyNumberFormat="1" applyFill="1"/>
  </cellXfs>
  <cellStyles count="3">
    <cellStyle name="Normal" xfId="0" builtinId="0"/>
    <cellStyle name="Normal 2 2 2" xfId="2" xr:uid="{32750A73-043A-4045-8B53-FF61DC6336B3}"/>
    <cellStyle name="Pourcentage" xfId="1" builtinId="5"/>
  </cellStyles>
  <dxfs count="8"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Machine1!$E$10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Machine1!$G$10:$Y$10</c:f>
              <c:numCache>
                <c:formatCode>General</c:formatCod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</c:numCache>
            </c:numRef>
          </c:xVal>
          <c:yVal>
            <c:numRef>
              <c:f>Machine1!$G$11:$Y$11</c:f>
              <c:numCache>
                <c:formatCode>General</c:formatCode>
                <c:ptCount val="1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F2-42CF-A203-16F99DF4D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6256992"/>
        <c:axId val="816257648"/>
      </c:scatterChart>
      <c:valAx>
        <c:axId val="81625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7648"/>
        <c:crosses val="autoZero"/>
        <c:crossBetween val="midCat"/>
      </c:valAx>
      <c:valAx>
        <c:axId val="8162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6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'Machine 2'!$E$10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'Machine 2'!$G$10:$Y$10</c:f>
              <c:numCache>
                <c:formatCode>General</c:formatCod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</c:numCache>
            </c:numRef>
          </c:xVal>
          <c:yVal>
            <c:numRef>
              <c:f>'Machine 2'!$G$11:$Y$11</c:f>
              <c:numCache>
                <c:formatCode>General</c:formatCode>
                <c:ptCount val="1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06-41BD-B65F-075506465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6256992"/>
        <c:axId val="816257648"/>
      </c:scatterChart>
      <c:valAx>
        <c:axId val="81625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7648"/>
        <c:crosses val="autoZero"/>
        <c:crossBetween val="midCat"/>
      </c:valAx>
      <c:valAx>
        <c:axId val="8162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6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273383</xdr:colOff>
      <xdr:row>17</xdr:row>
      <xdr:rowOff>82711</xdr:rowOff>
    </xdr:from>
    <xdr:to>
      <xdr:col>24</xdr:col>
      <xdr:colOff>169543</xdr:colOff>
      <xdr:row>23</xdr:row>
      <xdr:rowOff>78741</xdr:rowOff>
    </xdr:to>
    <xdr:pic>
      <xdr:nvPicPr>
        <xdr:cNvPr id="2" name="Picture 19">
          <a:extLst>
            <a:ext uri="{FF2B5EF4-FFF2-40B4-BE49-F238E27FC236}">
              <a16:creationId xmlns:a16="http://schemas.microsoft.com/office/drawing/2014/main" id="{1A0D305C-656F-4BB2-8F18-A551B9E4A18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 rot="5400000">
          <a:off x="20153558" y="3190171"/>
          <a:ext cx="1194275" cy="178401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33</xdr:col>
      <xdr:colOff>363750</xdr:colOff>
      <xdr:row>19</xdr:row>
      <xdr:rowOff>59970</xdr:rowOff>
    </xdr:from>
    <xdr:to>
      <xdr:col>35</xdr:col>
      <xdr:colOff>93837</xdr:colOff>
      <xdr:row>22</xdr:row>
      <xdr:rowOff>130256</xdr:rowOff>
    </xdr:to>
    <xdr:pic>
      <xdr:nvPicPr>
        <xdr:cNvPr id="3" name="Picture 25">
          <a:extLst>
            <a:ext uri="{FF2B5EF4-FFF2-40B4-BE49-F238E27FC236}">
              <a16:creationId xmlns:a16="http://schemas.microsoft.com/office/drawing/2014/main" id="{41D025CF-1F98-42F5-951F-54F66A4FAC72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7144240" y="3856635"/>
          <a:ext cx="918807" cy="67798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36</xdr:col>
      <xdr:colOff>280820</xdr:colOff>
      <xdr:row>17</xdr:row>
      <xdr:rowOff>66251</xdr:rowOff>
    </xdr:from>
    <xdr:to>
      <xdr:col>38</xdr:col>
      <xdr:colOff>266703</xdr:colOff>
      <xdr:row>25</xdr:row>
      <xdr:rowOff>9524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5B946C6A-A097-41C9-98A7-424BD2E35A8A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 rot="16200000">
          <a:off x="28648525" y="3656826"/>
          <a:ext cx="1547283" cy="1163173"/>
        </a:xfrm>
        <a:prstGeom prst="rect">
          <a:avLst/>
        </a:prstGeom>
        <a:ln>
          <a:noFill/>
        </a:ln>
      </xdr:spPr>
    </xdr:pic>
    <xdr:clientData fLocksWithSheet="0"/>
  </xdr:twoCellAnchor>
  <xdr:twoCellAnchor>
    <xdr:from>
      <xdr:col>39</xdr:col>
      <xdr:colOff>132873</xdr:colOff>
      <xdr:row>0</xdr:row>
      <xdr:rowOff>154782</xdr:rowOff>
    </xdr:from>
    <xdr:to>
      <xdr:col>47</xdr:col>
      <xdr:colOff>380998</xdr:colOff>
      <xdr:row>15</xdr:row>
      <xdr:rowOff>55722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32718-539B-4540-97B9-8EC826CDAB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18</xdr:col>
      <xdr:colOff>85725</xdr:colOff>
      <xdr:row>18</xdr:row>
      <xdr:rowOff>66675</xdr:rowOff>
    </xdr:from>
    <xdr:to>
      <xdr:col>20</xdr:col>
      <xdr:colOff>516178</xdr:colOff>
      <xdr:row>22</xdr:row>
      <xdr:rowOff>167640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53A16A2-C3C5-4C9F-AB22-9750D4E5D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851755" y="3665220"/>
          <a:ext cx="1653463" cy="906780"/>
        </a:xfrm>
        <a:prstGeom prst="rect">
          <a:avLst/>
        </a:prstGeom>
      </xdr:spPr>
    </xdr:pic>
    <xdr:clientData/>
  </xdr:twoCellAnchor>
  <xdr:twoCellAnchor editAs="oneCell">
    <xdr:from>
      <xdr:col>27</xdr:col>
      <xdr:colOff>303372</xdr:colOff>
      <xdr:row>16</xdr:row>
      <xdr:rowOff>163668</xdr:rowOff>
    </xdr:from>
    <xdr:to>
      <xdr:col>30</xdr:col>
      <xdr:colOff>251091</xdr:colOff>
      <xdr:row>23</xdr:row>
      <xdr:rowOff>35300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F60E9D43-C77A-4067-A7FC-9C492104F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544372" y="3365973"/>
          <a:ext cx="1715559" cy="12699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273383</xdr:colOff>
      <xdr:row>17</xdr:row>
      <xdr:rowOff>82711</xdr:rowOff>
    </xdr:from>
    <xdr:to>
      <xdr:col>24</xdr:col>
      <xdr:colOff>169543</xdr:colOff>
      <xdr:row>23</xdr:row>
      <xdr:rowOff>78741</xdr:rowOff>
    </xdr:to>
    <xdr:pic>
      <xdr:nvPicPr>
        <xdr:cNvPr id="2" name="Picture 19">
          <a:extLst>
            <a:ext uri="{FF2B5EF4-FFF2-40B4-BE49-F238E27FC236}">
              <a16:creationId xmlns:a16="http://schemas.microsoft.com/office/drawing/2014/main" id="{6E7BACE2-3CC5-4F64-A4DB-6A782ADC64D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 rot="5400000">
          <a:off x="20153558" y="3190171"/>
          <a:ext cx="1194275" cy="178401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33</xdr:col>
      <xdr:colOff>363750</xdr:colOff>
      <xdr:row>19</xdr:row>
      <xdr:rowOff>59970</xdr:rowOff>
    </xdr:from>
    <xdr:to>
      <xdr:col>35</xdr:col>
      <xdr:colOff>93837</xdr:colOff>
      <xdr:row>22</xdr:row>
      <xdr:rowOff>130256</xdr:rowOff>
    </xdr:to>
    <xdr:pic>
      <xdr:nvPicPr>
        <xdr:cNvPr id="3" name="Picture 25">
          <a:extLst>
            <a:ext uri="{FF2B5EF4-FFF2-40B4-BE49-F238E27FC236}">
              <a16:creationId xmlns:a16="http://schemas.microsoft.com/office/drawing/2014/main" id="{BB1FF60C-F52B-428C-BEB4-CD9DB732E5D8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7144240" y="3856635"/>
          <a:ext cx="918807" cy="67798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36</xdr:col>
      <xdr:colOff>280820</xdr:colOff>
      <xdr:row>17</xdr:row>
      <xdr:rowOff>66251</xdr:rowOff>
    </xdr:from>
    <xdr:to>
      <xdr:col>38</xdr:col>
      <xdr:colOff>266703</xdr:colOff>
      <xdr:row>25</xdr:row>
      <xdr:rowOff>9524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7B55FADE-A4CB-4E73-959B-5B48A0F902A3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 rot="16200000">
          <a:off x="28648525" y="3656826"/>
          <a:ext cx="1547283" cy="1163173"/>
        </a:xfrm>
        <a:prstGeom prst="rect">
          <a:avLst/>
        </a:prstGeom>
        <a:ln>
          <a:noFill/>
        </a:ln>
      </xdr:spPr>
    </xdr:pic>
    <xdr:clientData fLocksWithSheet="0"/>
  </xdr:twoCellAnchor>
  <xdr:twoCellAnchor>
    <xdr:from>
      <xdr:col>39</xdr:col>
      <xdr:colOff>132873</xdr:colOff>
      <xdr:row>0</xdr:row>
      <xdr:rowOff>154782</xdr:rowOff>
    </xdr:from>
    <xdr:to>
      <xdr:col>47</xdr:col>
      <xdr:colOff>380998</xdr:colOff>
      <xdr:row>15</xdr:row>
      <xdr:rowOff>55722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388DCF5-962F-4D48-B578-0D27596975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18</xdr:col>
      <xdr:colOff>85725</xdr:colOff>
      <xdr:row>18</xdr:row>
      <xdr:rowOff>66675</xdr:rowOff>
    </xdr:from>
    <xdr:to>
      <xdr:col>20</xdr:col>
      <xdr:colOff>516178</xdr:colOff>
      <xdr:row>22</xdr:row>
      <xdr:rowOff>167640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FA7231C-5062-401A-B957-4953EEFD0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851755" y="3665220"/>
          <a:ext cx="1653463" cy="906780"/>
        </a:xfrm>
        <a:prstGeom prst="rect">
          <a:avLst/>
        </a:prstGeom>
      </xdr:spPr>
    </xdr:pic>
    <xdr:clientData/>
  </xdr:twoCellAnchor>
  <xdr:twoCellAnchor editAs="oneCell">
    <xdr:from>
      <xdr:col>27</xdr:col>
      <xdr:colOff>303372</xdr:colOff>
      <xdr:row>16</xdr:row>
      <xdr:rowOff>163668</xdr:rowOff>
    </xdr:from>
    <xdr:to>
      <xdr:col>30</xdr:col>
      <xdr:colOff>251091</xdr:colOff>
      <xdr:row>23</xdr:row>
      <xdr:rowOff>35300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B8F04BC-6912-409D-9EB9-EF83E1C10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544372" y="3365973"/>
          <a:ext cx="1715559" cy="12699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rcgl.sharepoint.com/sites/CHVAC_Europe_NPD_MTL_Freecooling/Shared%20Documents/P10193%20FREE%20COOLING%20OPTION/Documents_travail/Engineering/3%20-%20COMPONENTS/3%20-%20HYDRAULIC/1%20-%20Pressure%20Drop/Pressure_Drop_M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V-12Coils - 5&quot; T"/>
      <sheetName val="5V-10Coils - 4&quot; T"/>
      <sheetName val="6V-12Coils - 4&quot;"/>
      <sheetName val="6V-12Coils - 4&quot; T"/>
      <sheetName val="2V-3Coils - 3'' Phénix"/>
      <sheetName val="2V-4Coils - 3'' Phénix"/>
      <sheetName val="3V-5Coils - 3'' Phénix"/>
      <sheetName val="3V-6Coils - 3'' Phénix"/>
      <sheetName val="4V-7Coils - 4'' Phénix"/>
      <sheetName val="4V-8Coils - 4'' Phénix"/>
      <sheetName val="5V-9Coils - 4'' Phénix"/>
      <sheetName val="5V-10Coils - 4'' Phénix"/>
      <sheetName val="6V-11Coils - 4'' Phénix"/>
      <sheetName val="6V-12Coils - 4'' Phénix"/>
      <sheetName val="FC partiel 5V-5Coils - 4&quot;"/>
      <sheetName val="3V-First Coil - 4&quot;"/>
      <sheetName val="3V-Last Coil - 4&quot;"/>
      <sheetName val="    "/>
      <sheetName val="6V-First Coil - 4&quot;"/>
      <sheetName val="6V-Last Coil - 4&quot;"/>
      <sheetName val="     "/>
      <sheetName val="MC - 3V"/>
      <sheetName val="MC - 6V - 4-3inch"/>
      <sheetName val="MC - 6V - 5-3inch"/>
      <sheetName val="MC - 6V - 5-4inch"/>
      <sheetName val="MC - 6V - 4-4inch"/>
      <sheetName val="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0">
          <cell r="G10">
            <v>10</v>
          </cell>
          <cell r="H10">
            <v>15</v>
          </cell>
          <cell r="I10">
            <v>20</v>
          </cell>
          <cell r="J10">
            <v>25</v>
          </cell>
          <cell r="K10">
            <v>30</v>
          </cell>
          <cell r="L10">
            <v>35</v>
          </cell>
          <cell r="M10">
            <v>40</v>
          </cell>
          <cell r="N10">
            <v>45</v>
          </cell>
          <cell r="O10">
            <v>50</v>
          </cell>
          <cell r="P10">
            <v>55</v>
          </cell>
          <cell r="Q10">
            <v>60</v>
          </cell>
          <cell r="R10">
            <v>65</v>
          </cell>
          <cell r="S10">
            <v>70</v>
          </cell>
          <cell r="T10">
            <v>75</v>
          </cell>
          <cell r="U10">
            <v>80</v>
          </cell>
          <cell r="V10">
            <v>85</v>
          </cell>
          <cell r="W10">
            <v>90</v>
          </cell>
          <cell r="X10">
            <v>95</v>
          </cell>
          <cell r="Y10">
            <v>100</v>
          </cell>
        </row>
      </sheetData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B2CE-A7C2-4DC7-8BD9-073426B536DB}">
  <sheetPr codeName="Feuil62">
    <tabColor rgb="FFFF0000"/>
  </sheetPr>
  <dimension ref="B1:AV50"/>
  <sheetViews>
    <sheetView tabSelected="1" zoomScale="80" zoomScaleNormal="80" workbookViewId="0">
      <pane xSplit="2" topLeftCell="C1" activePane="topRight" state="frozen"/>
      <selection pane="topRight" activeCell="G18" sqref="G18"/>
    </sheetView>
  </sheetViews>
  <sheetFormatPr baseColWidth="10" defaultColWidth="8.6640625" defaultRowHeight="13.2" x14ac:dyDescent="0.25"/>
  <cols>
    <col min="2" max="10" width="14.33203125" customWidth="1"/>
    <col min="11" max="11" width="21.5546875" bestFit="1" customWidth="1"/>
    <col min="12" max="18" width="14.33203125" customWidth="1"/>
    <col min="20" max="20" width="9.33203125" bestFit="1" customWidth="1"/>
    <col min="22" max="22" width="10.21875" bestFit="1" customWidth="1"/>
    <col min="28" max="31" width="8.6640625" customWidth="1"/>
    <col min="38" max="39" width="8.6640625" customWidth="1"/>
    <col min="40" max="40" width="20.109375" bestFit="1" customWidth="1"/>
    <col min="41" max="41" width="8.5546875" customWidth="1"/>
    <col min="44" max="44" width="10.109375" customWidth="1"/>
    <col min="46" max="46" width="12.6640625" bestFit="1" customWidth="1"/>
  </cols>
  <sheetData>
    <row r="1" spans="2:35" ht="15.75" customHeight="1" x14ac:dyDescent="0.25"/>
    <row r="2" spans="2:35" ht="15.75" customHeight="1" x14ac:dyDescent="0.25"/>
    <row r="3" spans="2:35" ht="15.75" customHeight="1" x14ac:dyDescent="0.25"/>
    <row r="4" spans="2:35" ht="15.75" customHeight="1" x14ac:dyDescent="0.25"/>
    <row r="5" spans="2:35" ht="15.75" customHeight="1" x14ac:dyDescent="0.25"/>
    <row r="6" spans="2:35" ht="15.75" customHeight="1" x14ac:dyDescent="0.25"/>
    <row r="7" spans="2:35" ht="15.75" customHeight="1" x14ac:dyDescent="0.25"/>
    <row r="8" spans="2:35" ht="15.75" customHeight="1" x14ac:dyDescent="0.25"/>
    <row r="9" spans="2:35" ht="15.75" customHeight="1" x14ac:dyDescent="0.25"/>
    <row r="10" spans="2:35" ht="15.75" customHeight="1" x14ac:dyDescent="0.3">
      <c r="B10" s="1" t="s">
        <v>5</v>
      </c>
      <c r="C10" s="2" t="s">
        <v>6</v>
      </c>
      <c r="F10" s="3" t="s">
        <v>7</v>
      </c>
      <c r="G10" s="3">
        <v>10</v>
      </c>
      <c r="H10" s="3">
        <v>15</v>
      </c>
      <c r="I10" s="3">
        <v>20</v>
      </c>
      <c r="J10" s="3">
        <v>25</v>
      </c>
      <c r="K10" s="3">
        <v>30</v>
      </c>
      <c r="L10" s="3">
        <v>35</v>
      </c>
      <c r="M10" s="3">
        <v>40</v>
      </c>
      <c r="N10" s="3">
        <v>45</v>
      </c>
      <c r="O10" s="3">
        <v>50</v>
      </c>
      <c r="P10" s="3">
        <v>55</v>
      </c>
      <c r="Q10" s="3">
        <v>60</v>
      </c>
      <c r="R10" s="3">
        <v>65</v>
      </c>
      <c r="S10" s="3">
        <v>70</v>
      </c>
      <c r="T10" s="3">
        <v>75</v>
      </c>
      <c r="U10" s="3">
        <v>80</v>
      </c>
      <c r="V10" s="3">
        <v>85</v>
      </c>
      <c r="W10" s="3">
        <v>90</v>
      </c>
      <c r="X10" s="3">
        <v>95</v>
      </c>
      <c r="Y10" s="3">
        <v>100</v>
      </c>
      <c r="Z10" s="3">
        <v>105</v>
      </c>
      <c r="AA10" s="3">
        <v>110</v>
      </c>
      <c r="AB10" s="3">
        <v>115</v>
      </c>
      <c r="AC10" s="3">
        <v>120</v>
      </c>
      <c r="AD10" s="3">
        <v>125</v>
      </c>
      <c r="AE10" s="3">
        <v>130</v>
      </c>
      <c r="AF10" s="3">
        <v>135</v>
      </c>
      <c r="AG10" s="3">
        <v>140</v>
      </c>
      <c r="AH10" s="3">
        <v>145</v>
      </c>
      <c r="AI10" s="3">
        <v>150</v>
      </c>
    </row>
    <row r="11" spans="2:35" ht="15.75" customHeight="1" x14ac:dyDescent="0.25">
      <c r="F11" s="4" t="s">
        <v>8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2:35" ht="15.75" customHeight="1" thickBot="1" x14ac:dyDescent="0.35">
      <c r="F12" s="5"/>
      <c r="G12" s="6"/>
      <c r="H12" s="7"/>
      <c r="I12" s="7"/>
      <c r="O12" s="8"/>
    </row>
    <row r="13" spans="2:35" ht="15.75" customHeight="1" thickBot="1" x14ac:dyDescent="0.35">
      <c r="B13" s="9" t="s">
        <v>9</v>
      </c>
      <c r="C13" s="10">
        <v>175</v>
      </c>
      <c r="D13" s="11" t="s">
        <v>10</v>
      </c>
      <c r="F13" s="5"/>
      <c r="G13" s="6"/>
      <c r="H13" s="7"/>
      <c r="I13" s="7"/>
      <c r="O13" s="8"/>
    </row>
    <row r="14" spans="2:35" ht="15.75" customHeight="1" thickTop="1" thickBot="1" x14ac:dyDescent="0.35">
      <c r="B14" s="12" t="s">
        <v>11</v>
      </c>
      <c r="C14" s="13">
        <f>AU32</f>
        <v>91.77001227795833</v>
      </c>
      <c r="D14" s="14" t="s">
        <v>12</v>
      </c>
      <c r="H14" s="15" t="s">
        <v>13</v>
      </c>
      <c r="I14" s="16"/>
      <c r="J14" s="16" t="s">
        <v>14</v>
      </c>
      <c r="K14" s="16"/>
      <c r="L14" s="16"/>
      <c r="M14" s="16"/>
      <c r="N14" s="17"/>
    </row>
    <row r="15" spans="2:35" ht="15.75" customHeight="1" x14ac:dyDescent="0.3">
      <c r="H15" s="18"/>
      <c r="N15" s="19"/>
      <c r="Q15" s="20"/>
    </row>
    <row r="16" spans="2:35" ht="15.75" customHeight="1" thickBot="1" x14ac:dyDescent="0.35">
      <c r="H16" s="21" t="e">
        <f>"Y = " &amp; TEXT(L16,"# ##0.00000000") &amp; "*X^" &amp; TEXT(N16,"# ##0.00000000")</f>
        <v>#NUM!</v>
      </c>
      <c r="I16" s="22"/>
      <c r="J16" s="23"/>
      <c r="K16" s="24" t="s">
        <v>15</v>
      </c>
      <c r="L16" s="25" t="e" cm="1">
        <f t="array" ref="L16">EXP(INTERCEPT(LN(G11:Y11),LN(G10:Y10)))</f>
        <v>#NUM!</v>
      </c>
      <c r="M16" s="24" t="s">
        <v>16</v>
      </c>
      <c r="N16" s="26" t="e" cm="1">
        <f t="array" ref="N16">SLOPE(LN(G11:Y11),LN(G10:Y10))</f>
        <v>#NUM!</v>
      </c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2:48" ht="15.75" customHeight="1" thickTop="1" thickBot="1" x14ac:dyDescent="0.3">
      <c r="S17" s="28"/>
      <c r="T17" s="29"/>
      <c r="U17" s="30"/>
      <c r="V17" s="31"/>
      <c r="Z17" s="28"/>
      <c r="AA17" s="32"/>
      <c r="AB17" s="32"/>
      <c r="AC17" s="32"/>
      <c r="AD17" s="32"/>
      <c r="AE17" s="32"/>
      <c r="AF17" s="32"/>
      <c r="AG17" s="32"/>
      <c r="AH17" s="28"/>
      <c r="AI17" s="29"/>
      <c r="AJ17" s="30"/>
      <c r="AK17" s="28"/>
      <c r="AL17" s="29"/>
      <c r="AM17" s="30"/>
      <c r="AN17" s="33" t="s">
        <v>17</v>
      </c>
    </row>
    <row r="18" spans="2:48" ht="15.75" customHeight="1" thickBot="1" x14ac:dyDescent="0.35">
      <c r="E18" s="34"/>
      <c r="J18" s="150"/>
      <c r="S18" s="31"/>
      <c r="U18" s="35"/>
      <c r="V18" s="31"/>
      <c r="Z18" s="31"/>
      <c r="AA18" s="32"/>
      <c r="AB18" s="32"/>
      <c r="AC18" s="32"/>
      <c r="AD18" s="32"/>
      <c r="AE18" s="32"/>
      <c r="AF18" s="32"/>
      <c r="AG18" s="32"/>
      <c r="AH18" s="31"/>
      <c r="AJ18" s="35"/>
      <c r="AK18" s="31"/>
      <c r="AM18" s="35"/>
      <c r="AN18" s="33"/>
    </row>
    <row r="19" spans="2:48" ht="15.75" customHeight="1" thickBot="1" x14ac:dyDescent="0.35">
      <c r="J19" s="151"/>
      <c r="O19" s="36" t="s">
        <v>18</v>
      </c>
      <c r="P19" s="37" t="s">
        <v>19</v>
      </c>
      <c r="Q19" s="37" t="s">
        <v>20</v>
      </c>
      <c r="S19" s="31"/>
      <c r="U19" s="35"/>
      <c r="V19" s="31"/>
      <c r="Z19" s="31"/>
      <c r="AA19" s="32"/>
      <c r="AB19" s="32"/>
      <c r="AC19" s="32"/>
      <c r="AD19" s="32"/>
      <c r="AE19" s="32"/>
      <c r="AF19" s="32"/>
      <c r="AG19" s="32"/>
      <c r="AH19" s="31"/>
      <c r="AJ19" s="35"/>
      <c r="AK19" s="31"/>
      <c r="AM19" s="35"/>
      <c r="AN19" s="33"/>
    </row>
    <row r="20" spans="2:48" ht="15.75" customHeight="1" thickBot="1" x14ac:dyDescent="0.35">
      <c r="J20" s="152"/>
      <c r="K20" s="38"/>
      <c r="O20" s="39" t="s">
        <v>21</v>
      </c>
      <c r="P20" s="40">
        <v>1041.5999999999999</v>
      </c>
      <c r="Q20" s="41">
        <v>2.7339999999999999E-3</v>
      </c>
      <c r="S20" s="31"/>
      <c r="U20" s="35"/>
      <c r="V20" s="31"/>
      <c r="Z20" s="31"/>
      <c r="AA20" s="32"/>
      <c r="AB20" s="32"/>
      <c r="AC20" s="32"/>
      <c r="AD20" s="32"/>
      <c r="AE20" s="32"/>
      <c r="AF20" s="32"/>
      <c r="AG20" s="32"/>
      <c r="AH20" s="31"/>
      <c r="AJ20" s="35"/>
      <c r="AK20" s="31"/>
      <c r="AM20" s="35"/>
      <c r="AN20" s="33"/>
    </row>
    <row r="21" spans="2:48" ht="15.75" customHeight="1" thickBot="1" x14ac:dyDescent="0.35">
      <c r="J21" s="7"/>
      <c r="K21" s="38"/>
      <c r="L21" s="7"/>
      <c r="O21" s="144"/>
      <c r="P21" s="145"/>
      <c r="Q21" s="146"/>
      <c r="S21" s="31"/>
      <c r="U21" s="35"/>
      <c r="V21" s="31"/>
      <c r="Y21" s="35"/>
      <c r="Z21" s="31"/>
      <c r="AA21" s="32"/>
      <c r="AB21" s="32"/>
      <c r="AC21" s="32"/>
      <c r="AD21" s="32"/>
      <c r="AE21" s="32"/>
      <c r="AF21" s="32"/>
      <c r="AG21" s="32"/>
      <c r="AH21" s="31"/>
      <c r="AJ21" s="35"/>
      <c r="AK21" s="31"/>
      <c r="AM21" s="35"/>
      <c r="AN21" s="33"/>
    </row>
    <row r="22" spans="2:48" ht="15.75" customHeight="1" thickBot="1" x14ac:dyDescent="0.35">
      <c r="K22" s="38"/>
      <c r="L22" s="7"/>
      <c r="O22" s="147"/>
      <c r="P22" s="148"/>
      <c r="Q22" s="149"/>
      <c r="S22" s="31"/>
      <c r="U22" s="35"/>
      <c r="Z22" s="42"/>
      <c r="AA22" s="32"/>
      <c r="AB22" s="32"/>
      <c r="AC22" s="32"/>
      <c r="AD22" s="32"/>
      <c r="AE22" s="32"/>
      <c r="AF22" s="32"/>
      <c r="AG22" s="32"/>
      <c r="AH22" s="31"/>
      <c r="AJ22" s="35"/>
      <c r="AK22" s="31"/>
      <c r="AM22" s="35"/>
      <c r="AN22" s="33"/>
    </row>
    <row r="23" spans="2:48" ht="15.75" customHeight="1" thickBot="1" x14ac:dyDescent="0.35">
      <c r="K23" s="38"/>
      <c r="O23" s="147"/>
      <c r="P23" s="148"/>
      <c r="Q23" s="149"/>
      <c r="S23" s="31"/>
      <c r="U23" s="35"/>
      <c r="Z23" s="42"/>
      <c r="AA23" s="32"/>
      <c r="AB23" s="32"/>
      <c r="AC23" s="32"/>
      <c r="AD23" s="32"/>
      <c r="AE23" s="32"/>
      <c r="AF23" s="32"/>
      <c r="AG23" s="32"/>
      <c r="AH23" s="31"/>
      <c r="AJ23" s="35"/>
      <c r="AK23" s="31"/>
      <c r="AM23" s="35"/>
      <c r="AN23" s="33"/>
    </row>
    <row r="24" spans="2:48" ht="15.75" customHeight="1" thickBot="1" x14ac:dyDescent="0.35">
      <c r="O24" s="147"/>
      <c r="P24" s="148"/>
      <c r="Q24" s="149"/>
      <c r="S24" s="31"/>
      <c r="U24" s="35"/>
      <c r="Z24" s="42"/>
      <c r="AA24" s="32"/>
      <c r="AB24" s="32"/>
      <c r="AC24" s="32"/>
      <c r="AD24" s="32"/>
      <c r="AE24" s="32"/>
      <c r="AF24" s="32"/>
      <c r="AG24" s="32"/>
      <c r="AH24" s="31"/>
      <c r="AJ24" s="35"/>
      <c r="AK24" s="31"/>
      <c r="AM24" s="35"/>
      <c r="AN24" s="33"/>
      <c r="AQ24" s="43"/>
    </row>
    <row r="25" spans="2:48" ht="15.75" customHeight="1" thickBot="1" x14ac:dyDescent="0.3">
      <c r="O25" s="150"/>
      <c r="P25" s="150"/>
      <c r="Q25" s="150"/>
      <c r="S25" s="31"/>
      <c r="U25" s="35"/>
      <c r="Z25" s="42"/>
      <c r="AA25" s="32"/>
      <c r="AB25" s="32"/>
      <c r="AC25" s="32"/>
      <c r="AD25" s="32"/>
      <c r="AE25" s="32"/>
      <c r="AF25" s="32"/>
      <c r="AG25" s="32"/>
      <c r="AH25" s="31"/>
      <c r="AJ25" s="35"/>
      <c r="AK25" s="31"/>
      <c r="AM25" s="35"/>
      <c r="AN25" s="33"/>
    </row>
    <row r="26" spans="2:48" ht="23.25" customHeight="1" thickBot="1" x14ac:dyDescent="0.35">
      <c r="B26" s="44" t="s">
        <v>22</v>
      </c>
      <c r="C26" s="44" t="s">
        <v>23</v>
      </c>
      <c r="D26" s="44" t="s">
        <v>24</v>
      </c>
      <c r="E26" s="44" t="s">
        <v>25</v>
      </c>
      <c r="F26" s="44" t="s">
        <v>26</v>
      </c>
      <c r="G26" s="44" t="s">
        <v>27</v>
      </c>
      <c r="H26" s="44" t="s">
        <v>28</v>
      </c>
      <c r="I26" s="44" t="s">
        <v>29</v>
      </c>
      <c r="J26" s="44" t="s">
        <v>30</v>
      </c>
      <c r="K26" s="44" t="s">
        <v>31</v>
      </c>
      <c r="L26" s="44" t="s">
        <v>32</v>
      </c>
      <c r="M26" s="44" t="s">
        <v>33</v>
      </c>
      <c r="N26" s="44" t="s">
        <v>34</v>
      </c>
      <c r="O26" s="44" t="s">
        <v>35</v>
      </c>
      <c r="P26" s="45" t="s">
        <v>36</v>
      </c>
      <c r="Q26" s="45"/>
      <c r="R26" s="45"/>
      <c r="S26" s="31" t="s">
        <v>37</v>
      </c>
      <c r="T26">
        <v>0.3</v>
      </c>
      <c r="U26" s="35"/>
      <c r="V26" s="46" t="s">
        <v>38</v>
      </c>
      <c r="Y26" s="35"/>
      <c r="Z26" s="46" t="s">
        <v>38</v>
      </c>
      <c r="AA26" s="47" t="s">
        <v>39</v>
      </c>
      <c r="AB26" s="47"/>
      <c r="AC26" s="47"/>
      <c r="AD26" s="47"/>
      <c r="AE26" s="47"/>
      <c r="AF26" s="47"/>
      <c r="AG26" s="32"/>
      <c r="AH26" s="31"/>
      <c r="AJ26" s="35"/>
      <c r="AK26" s="31"/>
      <c r="AM26" s="35"/>
      <c r="AN26" s="33"/>
      <c r="AO26" s="48" t="s">
        <v>40</v>
      </c>
      <c r="AP26" s="49" t="s">
        <v>41</v>
      </c>
      <c r="AQ26" s="49" t="s">
        <v>42</v>
      </c>
      <c r="AR26" s="49" t="s">
        <v>43</v>
      </c>
      <c r="AS26" s="50" t="s">
        <v>44</v>
      </c>
    </row>
    <row r="27" spans="2:48" ht="14.4" x14ac:dyDescent="0.3">
      <c r="B27" s="51"/>
      <c r="C27" s="51"/>
      <c r="D27" s="52" t="s">
        <v>45</v>
      </c>
      <c r="E27" s="52" t="s">
        <v>25</v>
      </c>
      <c r="F27" s="52" t="s">
        <v>46</v>
      </c>
      <c r="G27" s="52" t="s">
        <v>47</v>
      </c>
      <c r="H27" s="52" t="s">
        <v>48</v>
      </c>
      <c r="I27" s="52" t="s">
        <v>49</v>
      </c>
      <c r="J27" s="52" t="s">
        <v>50</v>
      </c>
      <c r="K27" s="52" t="s">
        <v>51</v>
      </c>
      <c r="L27" s="52" t="s">
        <v>52</v>
      </c>
      <c r="M27" s="52" t="s">
        <v>53</v>
      </c>
      <c r="N27" s="52" t="s">
        <v>54</v>
      </c>
      <c r="O27" s="52" t="s">
        <v>55</v>
      </c>
      <c r="P27" s="53" t="s">
        <v>56</v>
      </c>
      <c r="Q27" s="53" t="s">
        <v>57</v>
      </c>
      <c r="R27" s="54" t="s">
        <v>58</v>
      </c>
      <c r="S27" s="55" t="s">
        <v>59</v>
      </c>
      <c r="T27">
        <v>1.5</v>
      </c>
      <c r="U27" s="35"/>
      <c r="V27" s="31" t="s">
        <v>60</v>
      </c>
      <c r="W27" s="56" t="s">
        <v>61</v>
      </c>
      <c r="X27" s="57">
        <f>PI()*90/180</f>
        <v>1.5707963267948966</v>
      </c>
      <c r="Y27" s="57" t="s">
        <v>62</v>
      </c>
      <c r="Z27" s="58" t="s">
        <v>63</v>
      </c>
      <c r="AA27" s="59">
        <v>23</v>
      </c>
      <c r="AB27" s="59">
        <v>42</v>
      </c>
      <c r="AC27" s="59">
        <v>45</v>
      </c>
      <c r="AD27" s="59"/>
      <c r="AE27" s="59"/>
      <c r="AF27" s="59" t="s">
        <v>64</v>
      </c>
      <c r="AH27" s="58" t="s">
        <v>65</v>
      </c>
      <c r="AJ27" s="35"/>
      <c r="AK27" s="31" t="s">
        <v>66</v>
      </c>
      <c r="AM27" s="60"/>
      <c r="AN27" s="33"/>
      <c r="AO27" s="48"/>
      <c r="AP27" s="49"/>
      <c r="AQ27" s="49"/>
      <c r="AR27" s="49"/>
      <c r="AS27" s="50"/>
    </row>
    <row r="28" spans="2:48" ht="14.4" thickBot="1" x14ac:dyDescent="0.35">
      <c r="B28" s="51"/>
      <c r="C28" s="51"/>
      <c r="D28" s="52" t="s">
        <v>67</v>
      </c>
      <c r="E28" s="52" t="s">
        <v>68</v>
      </c>
      <c r="F28" s="52" t="s">
        <v>69</v>
      </c>
      <c r="G28" s="52" t="s">
        <v>70</v>
      </c>
      <c r="H28" s="52" t="s">
        <v>70</v>
      </c>
      <c r="I28" s="52" t="s">
        <v>70</v>
      </c>
      <c r="J28" s="52" t="s">
        <v>71</v>
      </c>
      <c r="K28" s="61" t="s">
        <v>72</v>
      </c>
      <c r="L28" s="52" t="s">
        <v>73</v>
      </c>
      <c r="M28" s="52" t="s">
        <v>10</v>
      </c>
      <c r="N28" s="52" t="s">
        <v>74</v>
      </c>
      <c r="O28" s="52" t="s">
        <v>72</v>
      </c>
      <c r="P28" s="52"/>
      <c r="Q28" s="52"/>
      <c r="R28" s="54"/>
      <c r="S28" s="62" t="s">
        <v>75</v>
      </c>
      <c r="T28" s="8" t="s">
        <v>76</v>
      </c>
      <c r="U28" s="63" t="s">
        <v>77</v>
      </c>
      <c r="V28" s="31" t="s">
        <v>75</v>
      </c>
      <c r="W28" s="64" t="s">
        <v>78</v>
      </c>
      <c r="X28" s="64" t="s">
        <v>76</v>
      </c>
      <c r="Y28" s="65" t="s">
        <v>77</v>
      </c>
      <c r="Z28" s="31" t="s">
        <v>75</v>
      </c>
      <c r="AA28" s="66">
        <f>PI()*AA27/180</f>
        <v>0.40142572795869574</v>
      </c>
      <c r="AB28" s="66">
        <f>IFERROR(PI()*AB27/180,0)</f>
        <v>0.73303828583761843</v>
      </c>
      <c r="AC28" s="66">
        <f>IFERROR(PI()*AC27/180,0)</f>
        <v>0.78539816339744828</v>
      </c>
      <c r="AD28" s="66"/>
      <c r="AE28" s="66"/>
      <c r="AF28" s="66">
        <f>IFERROR(PI()*AF27/180,0)</f>
        <v>0</v>
      </c>
      <c r="AG28" s="65" t="s">
        <v>77</v>
      </c>
      <c r="AH28" s="31" t="s">
        <v>75</v>
      </c>
      <c r="AI28" t="s">
        <v>76</v>
      </c>
      <c r="AJ28" s="35" t="s">
        <v>77</v>
      </c>
      <c r="AK28" s="31" t="s">
        <v>75</v>
      </c>
      <c r="AL28" t="s">
        <v>76</v>
      </c>
      <c r="AM28" s="35" t="s">
        <v>77</v>
      </c>
      <c r="AN28" s="67" t="s">
        <v>76</v>
      </c>
      <c r="AO28" s="68"/>
      <c r="AP28" s="69"/>
      <c r="AQ28" s="69"/>
      <c r="AR28" s="69"/>
      <c r="AS28" s="70"/>
      <c r="AT28" s="8" t="s">
        <v>12</v>
      </c>
    </row>
    <row r="29" spans="2:48" ht="14.4" x14ac:dyDescent="0.3">
      <c r="B29" s="71" t="s">
        <v>79</v>
      </c>
      <c r="C29" s="72" t="s">
        <v>18</v>
      </c>
      <c r="D29" s="72" cm="1">
        <f t="array" ref="D29">_xlfn.IFS(E29=$O$20,$P$20,E29=$O$21,$P$21,E29=$O$22,$P$22,E29=$O$23,$P$23,E29=$O$24,$P$24)</f>
        <v>1041.5999999999999</v>
      </c>
      <c r="E29" s="73" t="s">
        <v>21</v>
      </c>
      <c r="F29" s="74" cm="1">
        <f t="array" ref="F29">_xlfn.IFS(E29=$O$20,$Q$20,E29=$O$21,$Q$21,E29=$O$22,$Q$22,E29=$O$23,$Q$23,E29=$O$24,$Q$24)</f>
        <v>2.7339999999999999E-3</v>
      </c>
      <c r="G29" s="72">
        <v>0.1071</v>
      </c>
      <c r="H29" s="72">
        <v>2.3879999999999999</v>
      </c>
      <c r="I29" s="72">
        <v>0</v>
      </c>
      <c r="J29" s="72">
        <v>4.4999999999999998E-2</v>
      </c>
      <c r="K29" s="75">
        <f>(J29/1000)/G29</f>
        <v>4.2016806722689073E-4</v>
      </c>
      <c r="L29" s="76">
        <f>M29*D29</f>
        <v>182279.99999999997</v>
      </c>
      <c r="M29" s="77">
        <f>$C$13</f>
        <v>175</v>
      </c>
      <c r="N29" s="78">
        <f>(M29/(PI()*(G29/2)^2))/3600</f>
        <v>5.3959351915216214</v>
      </c>
      <c r="O29" s="79">
        <f>G29*N29*D29/F29</f>
        <v>220170.26072672397</v>
      </c>
      <c r="P29" s="80">
        <f>(2.457*LN((((7/O29)^0.9+0.27*(J29/1000)/G29))^(-1)))^16</f>
        <v>1.3153900837323368E+21</v>
      </c>
      <c r="Q29" s="80">
        <f>(37530/O29)^16</f>
        <v>5.0806411709551106E-13</v>
      </c>
      <c r="R29" s="81">
        <f>IF(O29&lt;2000,64/O29,8*((8/O29)^12+1/(P29+Q29)^1.5)^(1/12))</f>
        <v>1.8331929000264736E-2</v>
      </c>
      <c r="S29" s="82">
        <v>0</v>
      </c>
      <c r="T29" s="83">
        <f>1+$T$26*(N29/N29)^2</f>
        <v>1.3</v>
      </c>
      <c r="U29" s="84">
        <f>T29*S29</f>
        <v>0</v>
      </c>
      <c r="V29" s="82">
        <v>0</v>
      </c>
      <c r="W29" s="85">
        <v>152</v>
      </c>
      <c r="X29" s="86">
        <f>R29*$X$27*(W29*10^-3/G29)+(0.1+2.4*R29)*SIN($X$27/2)+6.6*R29*(SQRT(SIN($X$27/2))+SIN($X$27/2))/((W29*10^-3/G29)^(4*($X$27/PI())))</f>
        <v>0.23567448304979594</v>
      </c>
      <c r="Y29" s="87">
        <f t="shared" ref="Y29:Y30" si="0">V29*X29</f>
        <v>0</v>
      </c>
      <c r="Z29" s="82">
        <v>0</v>
      </c>
      <c r="AA29" s="88"/>
      <c r="AB29" s="88"/>
      <c r="AC29" s="88"/>
      <c r="AD29" s="88"/>
      <c r="AE29" s="88"/>
      <c r="AF29" s="89"/>
      <c r="AG29" s="84">
        <f t="shared" ref="AG29" si="1">IF(Z29&gt;1,SUM(AA29:AF29),0)</f>
        <v>0</v>
      </c>
      <c r="AH29" s="82">
        <v>2</v>
      </c>
      <c r="AI29" s="90">
        <v>0.04</v>
      </c>
      <c r="AJ29" s="87">
        <f t="shared" ref="AJ29:AJ31" si="2">AH29*AI29</f>
        <v>0.08</v>
      </c>
      <c r="AK29" s="82">
        <v>0</v>
      </c>
      <c r="AL29" s="90">
        <v>9.8999999999999999E-4</v>
      </c>
      <c r="AM29" s="87">
        <f>AK29*AL29</f>
        <v>0</v>
      </c>
      <c r="AN29" s="82"/>
      <c r="AO29" s="91">
        <f>IF(H29=0,0,U29+Y29+AG29+AJ29+AM29+AN29)</f>
        <v>0.08</v>
      </c>
      <c r="AP29" s="92">
        <f>(AO29*D29*N29^2/2)/100000</f>
        <v>1.2130938816516518E-2</v>
      </c>
      <c r="AQ29" s="92">
        <f>(R29*H29/G29*D29*N29^2/2)/100000</f>
        <v>6.1980837967922031E-2</v>
      </c>
      <c r="AR29" s="92">
        <f>(9.81*D29*I29)/100000</f>
        <v>0</v>
      </c>
      <c r="AS29" s="93">
        <f>AP29+AQ29+AR29</f>
        <v>7.4111776784438546E-2</v>
      </c>
      <c r="AT29" s="94">
        <f>AS29*100</f>
        <v>7.4111776784438543</v>
      </c>
    </row>
    <row r="30" spans="2:48" ht="14.4" x14ac:dyDescent="0.3">
      <c r="B30" s="95" t="s">
        <v>80</v>
      </c>
      <c r="C30" s="72" t="s">
        <v>18</v>
      </c>
      <c r="D30" s="72" cm="1">
        <f t="array" ref="D30">_xlfn.IFS(E30=$O$20,$P$20,E30=$O$21,$P$21,E30=$O$22,$P$22,E30=$O$23,$P$23,E30=$O$24,$P$24)</f>
        <v>1041.5999999999999</v>
      </c>
      <c r="E30" s="73" t="s">
        <v>21</v>
      </c>
      <c r="F30" s="74" cm="1">
        <f t="array" ref="F30">_xlfn.IFS(E30=$O$20,$Q$20,E30=$O$21,$Q$21,E30=$O$22,$Q$22,E30=$O$23,$Q$23,E30=$O$24,$Q$24)</f>
        <v>2.7339999999999999E-3</v>
      </c>
      <c r="G30" s="72">
        <v>0.1071</v>
      </c>
      <c r="H30" s="72">
        <v>0.61199999999999999</v>
      </c>
      <c r="I30" s="72">
        <v>0</v>
      </c>
      <c r="J30" s="72">
        <v>4.4999999999999998E-2</v>
      </c>
      <c r="K30" s="75">
        <f>(J30/1000)/G30</f>
        <v>4.2016806722689073E-4</v>
      </c>
      <c r="L30" s="76">
        <f>M30*D30</f>
        <v>182279.99999999997</v>
      </c>
      <c r="M30" s="77">
        <f>$C$13</f>
        <v>175</v>
      </c>
      <c r="N30" s="78">
        <f>(M30/(PI()*(G30/2)^2))/3600</f>
        <v>5.3959351915216214</v>
      </c>
      <c r="O30" s="79">
        <f>G30*N30*D30/F30</f>
        <v>220170.26072672397</v>
      </c>
      <c r="P30" s="80">
        <f>(2.457*LN((((7/O30)^0.9+0.27*(J30/1000)/G30))^(-1)))^16</f>
        <v>1.3153900837323368E+21</v>
      </c>
      <c r="Q30" s="80">
        <f>(37530/O30)^16</f>
        <v>5.0806411709551106E-13</v>
      </c>
      <c r="R30" s="81">
        <f>IF(O30&lt;2000,64/O30,8*((8/O30)^12+1/(P30+Q30)^1.5)^(1/12))</f>
        <v>1.8331929000264736E-2</v>
      </c>
      <c r="S30" s="96">
        <v>2</v>
      </c>
      <c r="T30" s="97">
        <f>1+$T$26*(N30/N30)^2</f>
        <v>1.3</v>
      </c>
      <c r="U30" s="98">
        <f>T30*S30</f>
        <v>2.6</v>
      </c>
      <c r="V30" s="96">
        <v>1</v>
      </c>
      <c r="W30" s="99" cm="1">
        <f t="array" ref="W30">_xlfn.IFS(G30=0.032125,76,G30=0.038075,52,G30=0.0808,175,G30=0.1071,152,G30=0.1317,190,G30=0.036,60,G30=0.0419,70)</f>
        <v>152</v>
      </c>
      <c r="X30" s="100">
        <f>R30*$X$27*(W30*10^-3/G30)+(0.1+2.4*R30)*SIN($X$27/2)+6.6*R30*(SQRT(SIN($X$27/2))+SIN($X$27/2))/((W30*10^-3/G30)^(4*($X$27/PI())))</f>
        <v>0.23567448304979594</v>
      </c>
      <c r="Y30" s="101">
        <f t="shared" si="0"/>
        <v>0.23567448304979594</v>
      </c>
      <c r="Z30" s="96">
        <v>2</v>
      </c>
      <c r="AA30" s="102"/>
      <c r="AB30" s="102"/>
      <c r="AC30" s="103">
        <f>0.42*SIN(AC$28/2)+2.56*(SIN(AC$28/2))^3</f>
        <v>0.30419633092708653</v>
      </c>
      <c r="AD30" s="102"/>
      <c r="AE30" s="102"/>
      <c r="AF30" s="104"/>
      <c r="AG30" s="98">
        <f>2*AC30</f>
        <v>0.60839266185417307</v>
      </c>
      <c r="AH30" s="96">
        <v>2</v>
      </c>
      <c r="AI30" s="105">
        <v>0.04</v>
      </c>
      <c r="AJ30" s="101">
        <f t="shared" si="2"/>
        <v>0.08</v>
      </c>
      <c r="AK30" s="96">
        <v>1</v>
      </c>
      <c r="AL30" s="105">
        <v>9.8999999999999999E-4</v>
      </c>
      <c r="AM30" s="101">
        <f>AK30*AL30</f>
        <v>9.8999999999999999E-4</v>
      </c>
      <c r="AN30" s="96"/>
      <c r="AO30" s="106">
        <f t="shared" ref="AO30:AO31" si="3">IF(H30=0,0,U30+Y30+AG30+AJ30+AM30+AN30)</f>
        <v>3.5250571449039692</v>
      </c>
      <c r="AP30" s="107">
        <f>(AO30*D30*N30^2/2)/100000</f>
        <v>0.53452815686943067</v>
      </c>
      <c r="AQ30" s="107">
        <f>(R30*H30/G30*D30*N30^2/2)/100000</f>
        <v>1.5884536363638312E-2</v>
      </c>
      <c r="AR30" s="107">
        <f>(9.81*D30*I30)/100000</f>
        <v>0</v>
      </c>
      <c r="AS30" s="108">
        <f>AP30+AQ30+AR30</f>
        <v>0.55041269323306896</v>
      </c>
      <c r="AT30" s="94">
        <f>AS30*100</f>
        <v>55.041269323306899</v>
      </c>
    </row>
    <row r="31" spans="2:48" ht="15" thickBot="1" x14ac:dyDescent="0.35">
      <c r="B31" s="95" t="s">
        <v>81</v>
      </c>
      <c r="C31" s="72" t="s">
        <v>18</v>
      </c>
      <c r="D31" s="72">
        <f>D$29</f>
        <v>1041.5999999999999</v>
      </c>
      <c r="E31" s="109" t="str">
        <f>E$29</f>
        <v>15/10</v>
      </c>
      <c r="F31" s="74">
        <f>F$29</f>
        <v>2.7339999999999999E-3</v>
      </c>
      <c r="G31" s="72">
        <v>0.1071</v>
      </c>
      <c r="H31" s="72">
        <v>2.9094000000000002</v>
      </c>
      <c r="I31" s="72">
        <v>0</v>
      </c>
      <c r="J31" s="72">
        <v>4.4999999999999998E-2</v>
      </c>
      <c r="K31" s="75">
        <f t="shared" ref="K31" si="4">(J31/1000)/G31</f>
        <v>4.2016806722689073E-4</v>
      </c>
      <c r="L31" s="76">
        <f t="shared" ref="L31" si="5">M31*D31</f>
        <v>182279.99999999997</v>
      </c>
      <c r="M31" s="77">
        <f t="shared" ref="M31" si="6">$C$13</f>
        <v>175</v>
      </c>
      <c r="N31" s="78">
        <f t="shared" ref="N31" si="7">(M31/(PI()*(G31/2)^2))/3600</f>
        <v>5.3959351915216214</v>
      </c>
      <c r="O31" s="79">
        <f>G31*N31*D31/F31</f>
        <v>220170.26072672397</v>
      </c>
      <c r="P31" s="80">
        <f t="shared" ref="P31" si="8">(2.457*LN((((7/O31)^0.9+0.27*(J31/1000)/G31))^(-1)))^16</f>
        <v>1.3153900837323368E+21</v>
      </c>
      <c r="Q31" s="80">
        <f t="shared" ref="Q31" si="9">(37530/O31)^16</f>
        <v>5.0806411709551106E-13</v>
      </c>
      <c r="R31" s="110">
        <f>IF(O31&lt;2000,64/O31,8*((8/O31)^12+1/(P31+Q31)^1.5)^(1/12))</f>
        <v>1.8331929000264736E-2</v>
      </c>
      <c r="S31" s="96">
        <v>0</v>
      </c>
      <c r="T31" s="97">
        <f t="shared" ref="T31" si="10">1+$T$26*(N31/N31)^2</f>
        <v>1.3</v>
      </c>
      <c r="U31" s="111">
        <f t="shared" ref="U31" si="11">T31*S31</f>
        <v>0</v>
      </c>
      <c r="V31" s="96">
        <v>3</v>
      </c>
      <c r="W31" s="112">
        <v>152</v>
      </c>
      <c r="X31" s="113">
        <f>R31*$X$27*(W31*10^-3/G31)+(0.1+2.4*R31)*SIN($X$27/2)+6.6*R31*(SQRT(SIN($X$27/2))+SIN($X$27/2))/((W31*10^-3/G31)^(4*($X$27/PI())))</f>
        <v>0.23567448304979594</v>
      </c>
      <c r="Y31" s="114">
        <f>V31*X31</f>
        <v>0.70702344914938786</v>
      </c>
      <c r="Z31" s="96">
        <v>2</v>
      </c>
      <c r="AA31" s="103"/>
      <c r="AB31" s="103"/>
      <c r="AC31" s="103">
        <f t="shared" ref="AC31" si="12">0.42*SIN(AC$28/2)+2.56*(SIN(AC$28/2))^3</f>
        <v>0.30419633092708653</v>
      </c>
      <c r="AD31" s="115"/>
      <c r="AE31" s="115"/>
      <c r="AF31" s="115"/>
      <c r="AG31" s="98">
        <f>2*AC31</f>
        <v>0.60839266185417307</v>
      </c>
      <c r="AH31" s="96">
        <v>3</v>
      </c>
      <c r="AI31" s="116">
        <v>0.04</v>
      </c>
      <c r="AJ31" s="114">
        <f t="shared" si="2"/>
        <v>0.12</v>
      </c>
      <c r="AK31" s="96">
        <v>0</v>
      </c>
      <c r="AL31" s="116">
        <v>9.8999999999999999E-4</v>
      </c>
      <c r="AM31" s="114">
        <f t="shared" ref="AM31" si="13">AK31*AL31</f>
        <v>0</v>
      </c>
      <c r="AN31" s="96"/>
      <c r="AO31" s="106">
        <f t="shared" si="3"/>
        <v>1.435416111003561</v>
      </c>
      <c r="AP31" s="107">
        <f>(AO31*D31*N31^2/2)/100000</f>
        <v>0.21766181273532853</v>
      </c>
      <c r="AQ31" s="107">
        <f>(R31*H31/G31*D31*N31^2/2)/100000</f>
        <v>7.5513840026747228E-2</v>
      </c>
      <c r="AR31" s="107">
        <f>(9.81*D31*I31)/100000</f>
        <v>0</v>
      </c>
      <c r="AS31" s="108">
        <f t="shared" ref="AS31" si="14">AP31+AQ31+AR31</f>
        <v>0.29317565276207574</v>
      </c>
      <c r="AT31" s="94">
        <f t="shared" ref="AT31" si="15">AS31*100</f>
        <v>29.317565276207574</v>
      </c>
    </row>
    <row r="32" spans="2:48" ht="15" thickBot="1" x14ac:dyDescent="0.35">
      <c r="B32" s="29"/>
      <c r="C32" s="29"/>
      <c r="D32" s="29"/>
      <c r="E32" s="29"/>
      <c r="F32" s="29"/>
      <c r="G32" s="29"/>
      <c r="H32" s="29"/>
      <c r="I32" s="117"/>
      <c r="J32" s="29"/>
      <c r="K32" s="29"/>
      <c r="L32" s="29"/>
      <c r="M32" s="29"/>
      <c r="N32" s="29"/>
      <c r="O32" s="29"/>
      <c r="P32" s="29"/>
      <c r="Q32" s="29"/>
      <c r="S32" s="29"/>
      <c r="T32" s="29"/>
      <c r="U32" s="29"/>
      <c r="V32" s="29"/>
      <c r="W32" s="29"/>
      <c r="X32" s="29"/>
      <c r="Y32" s="29"/>
      <c r="Z32" s="118"/>
      <c r="AA32" s="118"/>
      <c r="AB32" s="118"/>
      <c r="AC32" s="118"/>
      <c r="AD32" s="118"/>
      <c r="AE32" s="118"/>
      <c r="AF32" s="118"/>
      <c r="AG32" s="118"/>
      <c r="AH32" s="119"/>
      <c r="AI32" s="29"/>
      <c r="AJ32" s="29"/>
      <c r="AK32" s="29"/>
      <c r="AL32" s="29"/>
      <c r="AM32" s="29"/>
      <c r="AN32" s="29"/>
      <c r="AO32" s="29"/>
      <c r="AP32" s="29"/>
      <c r="AQ32" s="29"/>
      <c r="AR32" s="30"/>
      <c r="AS32" s="120">
        <f>SUM(AS29:AS31)</f>
        <v>0.91770012277958335</v>
      </c>
      <c r="AT32" s="121" t="s">
        <v>82</v>
      </c>
      <c r="AU32" s="122">
        <f>AS32*100</f>
        <v>91.77001227795833</v>
      </c>
      <c r="AV32" s="121" t="s">
        <v>12</v>
      </c>
    </row>
    <row r="33" spans="2:44" ht="14.4" x14ac:dyDescent="0.25">
      <c r="I33" s="8"/>
      <c r="T33" s="123"/>
      <c r="Z33" s="124"/>
      <c r="AA33" s="124"/>
      <c r="AB33" s="124"/>
      <c r="AC33" s="124"/>
      <c r="AD33" s="124"/>
      <c r="AE33" s="124"/>
      <c r="AF33" s="124"/>
      <c r="AG33" s="124"/>
      <c r="AH33" s="125"/>
    </row>
    <row r="34" spans="2:44" ht="14.4" x14ac:dyDescent="0.25">
      <c r="I34" s="8"/>
      <c r="K34" s="126"/>
      <c r="L34" s="127"/>
      <c r="M34" s="128"/>
      <c r="Z34" s="124"/>
      <c r="AA34" s="124"/>
      <c r="AB34" s="124"/>
      <c r="AC34" s="124"/>
      <c r="AD34" s="124"/>
      <c r="AE34" s="124"/>
      <c r="AF34" s="124"/>
      <c r="AG34" s="124"/>
      <c r="AH34" s="125"/>
    </row>
    <row r="35" spans="2:44" ht="14.4" x14ac:dyDescent="0.25">
      <c r="H35" s="8"/>
      <c r="I35" s="8"/>
      <c r="J35" s="8"/>
      <c r="L35" s="127"/>
      <c r="M35" s="128"/>
      <c r="O35" s="8"/>
      <c r="P35" s="8"/>
      <c r="Q35" s="8"/>
      <c r="R35" s="8"/>
      <c r="Z35" s="124"/>
      <c r="AA35" s="124"/>
      <c r="AB35" s="124"/>
      <c r="AC35" s="124"/>
      <c r="AD35" s="124"/>
      <c r="AE35" s="124"/>
      <c r="AF35" s="124"/>
      <c r="AG35" s="124"/>
      <c r="AH35" s="125"/>
      <c r="AP35" s="38"/>
      <c r="AQ35" s="38"/>
      <c r="AR35" s="38"/>
    </row>
    <row r="36" spans="2:44" ht="14.4" x14ac:dyDescent="0.25">
      <c r="H36" s="8"/>
      <c r="I36" s="8"/>
      <c r="J36" s="8"/>
      <c r="K36" s="8"/>
      <c r="L36" s="8"/>
      <c r="M36" s="128"/>
      <c r="O36" s="8"/>
      <c r="P36" s="8"/>
      <c r="Q36" s="8"/>
      <c r="R36" s="8"/>
      <c r="Z36" s="124"/>
      <c r="AA36" s="124"/>
      <c r="AB36" s="124"/>
      <c r="AC36" s="124"/>
      <c r="AD36" s="124"/>
      <c r="AE36" s="124"/>
      <c r="AF36" s="124"/>
      <c r="AG36" s="124"/>
      <c r="AH36" s="125"/>
      <c r="AP36" s="129"/>
      <c r="AQ36" s="129"/>
      <c r="AR36" s="129"/>
    </row>
    <row r="37" spans="2:44" ht="14.4" x14ac:dyDescent="0.25">
      <c r="H37" s="8"/>
      <c r="I37" s="8"/>
      <c r="J37" s="130"/>
      <c r="K37" s="127"/>
      <c r="L37" s="131"/>
      <c r="M37" s="132"/>
      <c r="N37" s="8"/>
      <c r="O37" s="8"/>
      <c r="P37" s="8"/>
      <c r="Q37" s="8"/>
      <c r="R37" s="8"/>
      <c r="AH37" s="125"/>
    </row>
    <row r="38" spans="2:44" ht="14.4" x14ac:dyDescent="0.25">
      <c r="H38" s="133"/>
      <c r="I38" s="134"/>
      <c r="J38" s="130"/>
      <c r="K38" s="135"/>
      <c r="L38" s="131"/>
      <c r="M38" s="131"/>
      <c r="O38" s="136"/>
      <c r="P38" s="133"/>
      <c r="Q38" s="133"/>
      <c r="R38" s="133"/>
      <c r="Z38" s="124"/>
      <c r="AA38" s="124"/>
      <c r="AB38" s="124"/>
      <c r="AC38" s="124"/>
      <c r="AD38" s="124"/>
      <c r="AE38" s="124"/>
      <c r="AF38" s="124"/>
      <c r="AG38" s="124"/>
      <c r="AH38" s="125"/>
    </row>
    <row r="39" spans="2:44" ht="14.4" x14ac:dyDescent="0.25">
      <c r="B39" s="137"/>
      <c r="K39" s="8"/>
      <c r="L39" s="132"/>
      <c r="M39" s="131"/>
      <c r="O39" s="136"/>
      <c r="Z39" s="124"/>
      <c r="AA39" s="124"/>
      <c r="AB39" s="124"/>
      <c r="AC39" s="124"/>
      <c r="AD39" s="124"/>
      <c r="AE39" s="124"/>
      <c r="AF39" s="124"/>
      <c r="AG39" s="124"/>
      <c r="AH39" s="125"/>
    </row>
    <row r="40" spans="2:44" ht="14.4" x14ac:dyDescent="0.25">
      <c r="B40" s="138"/>
      <c r="M40" s="139"/>
      <c r="O40" s="136"/>
      <c r="Z40" s="124"/>
      <c r="AA40" s="124"/>
      <c r="AB40" s="124"/>
      <c r="AC40" s="124"/>
      <c r="AD40" s="124"/>
      <c r="AE40" s="124"/>
      <c r="AF40" s="124"/>
      <c r="AG40" s="124"/>
      <c r="AH40" s="125"/>
    </row>
    <row r="41" spans="2:44" ht="14.4" x14ac:dyDescent="0.25">
      <c r="B41" s="138"/>
      <c r="M41" s="139"/>
      <c r="O41" s="136"/>
      <c r="Z41" s="124"/>
      <c r="AA41" s="124"/>
      <c r="AB41" s="124"/>
      <c r="AC41" s="124"/>
      <c r="AD41" s="124"/>
      <c r="AE41" s="124"/>
      <c r="AF41" s="124"/>
      <c r="AG41" s="124"/>
      <c r="AH41" s="125"/>
    </row>
    <row r="42" spans="2:44" ht="14.4" x14ac:dyDescent="0.25">
      <c r="B42" s="138"/>
      <c r="M42" s="139"/>
      <c r="O42" s="136"/>
      <c r="Z42" s="124"/>
      <c r="AA42" s="124"/>
      <c r="AB42" s="124"/>
      <c r="AC42" s="124"/>
      <c r="AD42" s="124"/>
      <c r="AE42" s="124"/>
      <c r="AF42" s="124"/>
      <c r="AG42" s="124"/>
      <c r="AH42" s="125"/>
    </row>
    <row r="43" spans="2:44" x14ac:dyDescent="0.25">
      <c r="M43" s="136"/>
      <c r="O43" s="136"/>
    </row>
    <row r="44" spans="2:44" x14ac:dyDescent="0.25">
      <c r="B44" s="140"/>
      <c r="M44" s="136"/>
      <c r="O44" s="136"/>
    </row>
    <row r="45" spans="2:44" x14ac:dyDescent="0.25">
      <c r="M45" s="136"/>
      <c r="O45" s="136"/>
    </row>
    <row r="46" spans="2:44" x14ac:dyDescent="0.25">
      <c r="B46" s="141"/>
      <c r="M46" s="136"/>
      <c r="O46" s="136"/>
    </row>
    <row r="47" spans="2:44" x14ac:dyDescent="0.25">
      <c r="M47" s="136"/>
      <c r="O47" s="136"/>
    </row>
    <row r="48" spans="2:44" x14ac:dyDescent="0.25">
      <c r="B48" s="142"/>
      <c r="C48" s="143"/>
      <c r="D48" s="143"/>
      <c r="E48" s="143"/>
      <c r="F48" s="143"/>
      <c r="G48" s="143"/>
      <c r="H48" s="143"/>
      <c r="I48" s="143"/>
      <c r="J48" s="143"/>
      <c r="M48" s="136"/>
      <c r="O48" s="136"/>
    </row>
    <row r="49" spans="13:15" x14ac:dyDescent="0.25">
      <c r="M49" s="136"/>
      <c r="O49" s="136"/>
    </row>
    <row r="50" spans="13:15" x14ac:dyDescent="0.25">
      <c r="O50" s="38"/>
    </row>
  </sheetData>
  <scenarios current="0" sqref="C15">
    <scenario name="10" locked="1" count="1" user="PARMENTIER, THOMAS" comment="Créé par PARMENTIER, THOMAS le 08/04/2021">
      <inputCells r="C13" val="10"/>
    </scenario>
    <scenario name="15" locked="1" count="1" user="PARMENTIER, THOMAS" comment="Créé par PARMENTIER, THOMAS le 08/04/2021">
      <inputCells r="C13" val="15"/>
    </scenario>
    <scenario name="20" locked="1" count="1" user="PARMENTIER, THOMAS" comment="Créé par PARMENTIER, THOMAS le 08/04/2021">
      <inputCells r="C13" val="20"/>
    </scenario>
  </scenarios>
  <mergeCells count="8">
    <mergeCell ref="AR26:AR28"/>
    <mergeCell ref="AS26:AS28"/>
    <mergeCell ref="AN17:AN27"/>
    <mergeCell ref="P26:R26"/>
    <mergeCell ref="AA26:AF26"/>
    <mergeCell ref="AO26:AO28"/>
    <mergeCell ref="AP26:AP28"/>
    <mergeCell ref="AQ26:AQ28"/>
  </mergeCells>
  <conditionalFormatting sqref="AH29 AK29 AN29 V29 S29 Z29 Z31 V31 AN31 AK31">
    <cfRule type="cellIs" dxfId="7" priority="3" operator="greaterThan">
      <formula>0</formula>
    </cfRule>
    <cfRule type="cellIs" dxfId="6" priority="4" operator="equal">
      <formula>0</formula>
    </cfRule>
  </conditionalFormatting>
  <conditionalFormatting sqref="AK30 AN30 V30 Z30 S30:S31 AH30:AH31">
    <cfRule type="cellIs" dxfId="5" priority="1" operator="greaterThan">
      <formula>0</formula>
    </cfRule>
    <cfRule type="cellIs" dxfId="4" priority="2" operator="equal">
      <formula>0</formula>
    </cfRule>
  </conditionalFormatting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>
    <oddHeader>&amp;C&amp;A</oddHeader>
    <oddFooter>&amp;CPage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1C77-5FCF-4819-96FE-A7A6449A4EA2}">
  <sheetPr codeName="Feuil63">
    <tabColor rgb="FFFF0000"/>
  </sheetPr>
  <dimension ref="A1:AV50"/>
  <sheetViews>
    <sheetView zoomScale="80" zoomScaleNormal="80" workbookViewId="0">
      <pane xSplit="2" topLeftCell="C1" activePane="topRight" state="frozen"/>
      <selection pane="topRight" activeCell="I18" sqref="I18:J21"/>
    </sheetView>
  </sheetViews>
  <sheetFormatPr baseColWidth="10" defaultColWidth="8.6640625" defaultRowHeight="13.2" x14ac:dyDescent="0.25"/>
  <cols>
    <col min="2" max="10" width="14.33203125" customWidth="1"/>
    <col min="11" max="11" width="21.5546875" bestFit="1" customWidth="1"/>
    <col min="12" max="18" width="14.33203125" customWidth="1"/>
    <col min="20" max="20" width="9.33203125" bestFit="1" customWidth="1"/>
    <col min="22" max="22" width="10.21875" bestFit="1" customWidth="1"/>
    <col min="28" max="31" width="8.6640625" customWidth="1"/>
    <col min="38" max="39" width="8.6640625" customWidth="1"/>
    <col min="40" max="40" width="20.109375" bestFit="1" customWidth="1"/>
    <col min="41" max="41" width="8.5546875" customWidth="1"/>
    <col min="44" max="44" width="10.109375" customWidth="1"/>
    <col min="46" max="46" width="12.6640625" bestFit="1" customWidth="1"/>
  </cols>
  <sheetData>
    <row r="1" spans="1:35" ht="15.75" customHeight="1" x14ac:dyDescent="0.25"/>
    <row r="2" spans="1:35" ht="15.75" customHeight="1" x14ac:dyDescent="0.25">
      <c r="A2" t="s">
        <v>0</v>
      </c>
    </row>
    <row r="3" spans="1:35" ht="15.75" customHeight="1" x14ac:dyDescent="0.25">
      <c r="A3" t="s">
        <v>1</v>
      </c>
    </row>
    <row r="4" spans="1:35" ht="15.75" customHeight="1" x14ac:dyDescent="0.25"/>
    <row r="5" spans="1:35" ht="15.75" customHeight="1" x14ac:dyDescent="0.25">
      <c r="B5" t="s">
        <v>2</v>
      </c>
    </row>
    <row r="6" spans="1:35" ht="15.75" customHeight="1" x14ac:dyDescent="0.25">
      <c r="B6">
        <v>1</v>
      </c>
      <c r="C6" t="s">
        <v>3</v>
      </c>
    </row>
    <row r="7" spans="1:35" ht="15.75" customHeight="1" x14ac:dyDescent="0.25">
      <c r="B7">
        <v>2</v>
      </c>
      <c r="C7" t="s">
        <v>4</v>
      </c>
    </row>
    <row r="8" spans="1:35" ht="15.75" customHeight="1" x14ac:dyDescent="0.25"/>
    <row r="9" spans="1:35" ht="15.75" customHeight="1" x14ac:dyDescent="0.25"/>
    <row r="10" spans="1:35" ht="15.75" customHeight="1" x14ac:dyDescent="0.3">
      <c r="B10" s="1" t="s">
        <v>5</v>
      </c>
      <c r="C10" s="2" t="s">
        <v>6</v>
      </c>
      <c r="F10" s="3" t="s">
        <v>7</v>
      </c>
      <c r="G10" s="3">
        <v>10</v>
      </c>
      <c r="H10" s="3">
        <v>15</v>
      </c>
      <c r="I10" s="3">
        <v>20</v>
      </c>
      <c r="J10" s="3">
        <v>25</v>
      </c>
      <c r="K10" s="3">
        <v>30</v>
      </c>
      <c r="L10" s="3">
        <v>35</v>
      </c>
      <c r="M10" s="3">
        <v>40</v>
      </c>
      <c r="N10" s="3">
        <v>45</v>
      </c>
      <c r="O10" s="3">
        <v>50</v>
      </c>
      <c r="P10" s="3">
        <v>55</v>
      </c>
      <c r="Q10" s="3">
        <v>60</v>
      </c>
      <c r="R10" s="3">
        <v>65</v>
      </c>
      <c r="S10" s="3">
        <v>70</v>
      </c>
      <c r="T10" s="3">
        <v>75</v>
      </c>
      <c r="U10" s="3">
        <v>80</v>
      </c>
      <c r="V10" s="3">
        <v>85</v>
      </c>
      <c r="W10" s="3">
        <v>90</v>
      </c>
      <c r="X10" s="3">
        <v>95</v>
      </c>
      <c r="Y10" s="3">
        <v>100</v>
      </c>
      <c r="Z10" s="3">
        <v>105</v>
      </c>
      <c r="AA10" s="3">
        <v>110</v>
      </c>
      <c r="AB10" s="3">
        <v>115</v>
      </c>
      <c r="AC10" s="3">
        <v>120</v>
      </c>
      <c r="AD10" s="3">
        <v>125</v>
      </c>
      <c r="AE10" s="3">
        <v>130</v>
      </c>
      <c r="AF10" s="3">
        <v>135</v>
      </c>
      <c r="AG10" s="3">
        <v>140</v>
      </c>
      <c r="AH10" s="3">
        <v>145</v>
      </c>
      <c r="AI10" s="3">
        <v>150</v>
      </c>
    </row>
    <row r="11" spans="1:35" ht="15.75" customHeight="1" x14ac:dyDescent="0.25">
      <c r="F11" s="4" t="s">
        <v>8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 ht="15.75" customHeight="1" thickBot="1" x14ac:dyDescent="0.35">
      <c r="F12" s="5"/>
      <c r="G12" s="6"/>
      <c r="H12" s="7"/>
      <c r="I12" s="7"/>
      <c r="O12" s="8"/>
    </row>
    <row r="13" spans="1:35" ht="15.75" customHeight="1" thickBot="1" x14ac:dyDescent="0.35">
      <c r="B13" s="9" t="s">
        <v>9</v>
      </c>
      <c r="C13" s="10">
        <v>175</v>
      </c>
      <c r="D13" s="11" t="s">
        <v>10</v>
      </c>
      <c r="F13" s="5"/>
      <c r="G13" s="6"/>
      <c r="H13" s="7"/>
      <c r="I13" s="7"/>
      <c r="O13" s="8"/>
    </row>
    <row r="14" spans="1:35" ht="15.75" customHeight="1" thickTop="1" thickBot="1" x14ac:dyDescent="0.35">
      <c r="B14" s="12" t="s">
        <v>11</v>
      </c>
      <c r="C14" s="13">
        <f>AU32</f>
        <v>97.097753291708926</v>
      </c>
      <c r="D14" s="14" t="s">
        <v>12</v>
      </c>
      <c r="H14" s="15" t="s">
        <v>13</v>
      </c>
      <c r="I14" s="16"/>
      <c r="J14" s="16" t="s">
        <v>14</v>
      </c>
      <c r="K14" s="16"/>
      <c r="L14" s="16"/>
      <c r="M14" s="16"/>
      <c r="N14" s="17"/>
    </row>
    <row r="15" spans="1:35" ht="15.75" customHeight="1" x14ac:dyDescent="0.3">
      <c r="H15" s="18"/>
      <c r="N15" s="19"/>
      <c r="Q15" s="20"/>
    </row>
    <row r="16" spans="1:35" ht="15.75" customHeight="1" thickBot="1" x14ac:dyDescent="0.35">
      <c r="H16" s="21" t="e">
        <f>"Y = " &amp; TEXT(L16,"# ##0.00000000") &amp; "*X^" &amp; TEXT(N16,"# ##0.00000000")</f>
        <v>#NUM!</v>
      </c>
      <c r="I16" s="22"/>
      <c r="J16" s="23"/>
      <c r="K16" s="24" t="s">
        <v>15</v>
      </c>
      <c r="L16" s="25" t="e" cm="1">
        <f t="array" ref="L16">EXP(INTERCEPT(LN(G11:Y11),LN(G10:Y10)))</f>
        <v>#NUM!</v>
      </c>
      <c r="M16" s="24" t="s">
        <v>16</v>
      </c>
      <c r="N16" s="26" t="e" cm="1">
        <f t="array" ref="N16">SLOPE(LN(G11:Y11),LN(G10:Y10))</f>
        <v>#NUM!</v>
      </c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2:48" ht="15.75" customHeight="1" thickTop="1" thickBot="1" x14ac:dyDescent="0.3">
      <c r="S17" s="28"/>
      <c r="T17" s="29"/>
      <c r="U17" s="30"/>
      <c r="V17" s="31"/>
      <c r="Z17" s="28"/>
      <c r="AA17" s="32"/>
      <c r="AB17" s="32"/>
      <c r="AC17" s="32"/>
      <c r="AD17" s="32"/>
      <c r="AE17" s="32"/>
      <c r="AF17" s="32"/>
      <c r="AG17" s="32"/>
      <c r="AH17" s="28"/>
      <c r="AI17" s="29"/>
      <c r="AJ17" s="30"/>
      <c r="AK17" s="28"/>
      <c r="AL17" s="29"/>
      <c r="AM17" s="30"/>
      <c r="AN17" s="33" t="s">
        <v>17</v>
      </c>
    </row>
    <row r="18" spans="2:48" ht="15.75" customHeight="1" thickBot="1" x14ac:dyDescent="0.35">
      <c r="E18" s="34"/>
      <c r="I18" s="150"/>
      <c r="J18" s="150"/>
      <c r="S18" s="31"/>
      <c r="U18" s="35"/>
      <c r="V18" s="31"/>
      <c r="Z18" s="31"/>
      <c r="AA18" s="32"/>
      <c r="AB18" s="32"/>
      <c r="AC18" s="32"/>
      <c r="AD18" s="32"/>
      <c r="AE18" s="32"/>
      <c r="AF18" s="32"/>
      <c r="AG18" s="32"/>
      <c r="AH18" s="31"/>
      <c r="AJ18" s="35"/>
      <c r="AK18" s="31"/>
      <c r="AM18" s="35"/>
      <c r="AN18" s="33"/>
    </row>
    <row r="19" spans="2:48" ht="15.75" customHeight="1" thickBot="1" x14ac:dyDescent="0.35">
      <c r="I19" s="150"/>
      <c r="J19" s="151"/>
      <c r="O19" s="36" t="s">
        <v>18</v>
      </c>
      <c r="P19" s="37" t="s">
        <v>19</v>
      </c>
      <c r="Q19" s="37" t="s">
        <v>20</v>
      </c>
      <c r="S19" s="31"/>
      <c r="U19" s="35"/>
      <c r="V19" s="31"/>
      <c r="Z19" s="31"/>
      <c r="AA19" s="32"/>
      <c r="AB19" s="32"/>
      <c r="AC19" s="32"/>
      <c r="AD19" s="32"/>
      <c r="AE19" s="32"/>
      <c r="AF19" s="32"/>
      <c r="AG19" s="32"/>
      <c r="AH19" s="31"/>
      <c r="AJ19" s="35"/>
      <c r="AK19" s="31"/>
      <c r="AM19" s="35"/>
      <c r="AN19" s="33"/>
    </row>
    <row r="20" spans="2:48" ht="15.75" customHeight="1" thickBot="1" x14ac:dyDescent="0.35">
      <c r="I20" s="150"/>
      <c r="J20" s="152"/>
      <c r="K20" s="38"/>
      <c r="O20" s="39" t="s">
        <v>21</v>
      </c>
      <c r="P20" s="40">
        <v>1041.5999999999999</v>
      </c>
      <c r="Q20" s="41">
        <v>2.7339999999999999E-3</v>
      </c>
      <c r="S20" s="31"/>
      <c r="U20" s="35"/>
      <c r="V20" s="31"/>
      <c r="Z20" s="31"/>
      <c r="AA20" s="32"/>
      <c r="AB20" s="32"/>
      <c r="AC20" s="32"/>
      <c r="AD20" s="32"/>
      <c r="AE20" s="32"/>
      <c r="AF20" s="32"/>
      <c r="AG20" s="32"/>
      <c r="AH20" s="31"/>
      <c r="AJ20" s="35"/>
      <c r="AK20" s="31"/>
      <c r="AM20" s="35"/>
      <c r="AN20" s="33"/>
    </row>
    <row r="21" spans="2:48" ht="15.75" customHeight="1" thickBot="1" x14ac:dyDescent="0.35">
      <c r="I21" s="150"/>
      <c r="J21" s="152"/>
      <c r="K21" s="38"/>
      <c r="L21" s="7"/>
      <c r="O21" s="144"/>
      <c r="P21" s="145"/>
      <c r="Q21" s="146"/>
      <c r="S21" s="31"/>
      <c r="U21" s="35"/>
      <c r="V21" s="31"/>
      <c r="Y21" s="35"/>
      <c r="Z21" s="31"/>
      <c r="AA21" s="32"/>
      <c r="AB21" s="32"/>
      <c r="AC21" s="32"/>
      <c r="AD21" s="32"/>
      <c r="AE21" s="32"/>
      <c r="AF21" s="32"/>
      <c r="AG21" s="32"/>
      <c r="AH21" s="31"/>
      <c r="AJ21" s="35"/>
      <c r="AK21" s="31"/>
      <c r="AM21" s="35"/>
      <c r="AN21" s="33"/>
    </row>
    <row r="22" spans="2:48" ht="15.75" customHeight="1" thickBot="1" x14ac:dyDescent="0.35">
      <c r="K22" s="38"/>
      <c r="L22" s="7"/>
      <c r="O22" s="147"/>
      <c r="P22" s="148"/>
      <c r="Q22" s="149"/>
      <c r="S22" s="31"/>
      <c r="U22" s="35"/>
      <c r="Z22" s="42"/>
      <c r="AA22" s="32"/>
      <c r="AB22" s="32"/>
      <c r="AC22" s="32"/>
      <c r="AD22" s="32"/>
      <c r="AE22" s="32"/>
      <c r="AF22" s="32"/>
      <c r="AG22" s="32"/>
      <c r="AH22" s="31"/>
      <c r="AJ22" s="35"/>
      <c r="AK22" s="31"/>
      <c r="AM22" s="35"/>
      <c r="AN22" s="33"/>
    </row>
    <row r="23" spans="2:48" ht="15.75" customHeight="1" thickBot="1" x14ac:dyDescent="0.35">
      <c r="K23" s="38"/>
      <c r="O23" s="147"/>
      <c r="P23" s="148"/>
      <c r="Q23" s="149"/>
      <c r="S23" s="31"/>
      <c r="U23" s="35"/>
      <c r="Z23" s="42"/>
      <c r="AA23" s="32"/>
      <c r="AB23" s="32"/>
      <c r="AC23" s="32"/>
      <c r="AD23" s="32"/>
      <c r="AE23" s="32"/>
      <c r="AF23" s="32"/>
      <c r="AG23" s="32"/>
      <c r="AH23" s="31"/>
      <c r="AJ23" s="35"/>
      <c r="AK23" s="31"/>
      <c r="AM23" s="35"/>
      <c r="AN23" s="33"/>
    </row>
    <row r="24" spans="2:48" ht="15.75" customHeight="1" thickBot="1" x14ac:dyDescent="0.35">
      <c r="O24" s="147"/>
      <c r="P24" s="148"/>
      <c r="Q24" s="149"/>
      <c r="S24" s="31"/>
      <c r="U24" s="35"/>
      <c r="Z24" s="42"/>
      <c r="AA24" s="32"/>
      <c r="AB24" s="32"/>
      <c r="AC24" s="32"/>
      <c r="AD24" s="32"/>
      <c r="AE24" s="32"/>
      <c r="AF24" s="32"/>
      <c r="AG24" s="32"/>
      <c r="AH24" s="31"/>
      <c r="AJ24" s="35"/>
      <c r="AK24" s="31"/>
      <c r="AM24" s="35"/>
      <c r="AN24" s="33"/>
      <c r="AQ24" s="43"/>
    </row>
    <row r="25" spans="2:48" ht="15.75" customHeight="1" thickBot="1" x14ac:dyDescent="0.3">
      <c r="O25" s="150"/>
      <c r="P25" s="150"/>
      <c r="Q25" s="150"/>
      <c r="S25" s="31"/>
      <c r="U25" s="35"/>
      <c r="Z25" s="42"/>
      <c r="AA25" s="32"/>
      <c r="AB25" s="32"/>
      <c r="AC25" s="32"/>
      <c r="AD25" s="32"/>
      <c r="AE25" s="32"/>
      <c r="AF25" s="32"/>
      <c r="AG25" s="32"/>
      <c r="AH25" s="31"/>
      <c r="AJ25" s="35"/>
      <c r="AK25" s="31"/>
      <c r="AM25" s="35"/>
      <c r="AN25" s="33"/>
    </row>
    <row r="26" spans="2:48" ht="23.25" customHeight="1" thickBot="1" x14ac:dyDescent="0.35">
      <c r="B26" s="44" t="s">
        <v>22</v>
      </c>
      <c r="C26" s="44" t="s">
        <v>23</v>
      </c>
      <c r="D26" s="44" t="s">
        <v>24</v>
      </c>
      <c r="E26" s="44" t="s">
        <v>25</v>
      </c>
      <c r="F26" s="44" t="s">
        <v>26</v>
      </c>
      <c r="G26" s="44" t="s">
        <v>27</v>
      </c>
      <c r="H26" s="44" t="s">
        <v>28</v>
      </c>
      <c r="I26" s="44" t="s">
        <v>29</v>
      </c>
      <c r="J26" s="44" t="s">
        <v>30</v>
      </c>
      <c r="K26" s="44" t="s">
        <v>31</v>
      </c>
      <c r="L26" s="44" t="s">
        <v>32</v>
      </c>
      <c r="M26" s="44" t="s">
        <v>33</v>
      </c>
      <c r="N26" s="44" t="s">
        <v>34</v>
      </c>
      <c r="O26" s="44" t="s">
        <v>35</v>
      </c>
      <c r="P26" s="45" t="s">
        <v>36</v>
      </c>
      <c r="Q26" s="45"/>
      <c r="R26" s="45"/>
      <c r="S26" s="31" t="s">
        <v>37</v>
      </c>
      <c r="T26">
        <v>0.3</v>
      </c>
      <c r="U26" s="35"/>
      <c r="V26" s="46" t="s">
        <v>38</v>
      </c>
      <c r="Y26" s="35"/>
      <c r="Z26" s="46" t="s">
        <v>38</v>
      </c>
      <c r="AA26" s="47" t="s">
        <v>39</v>
      </c>
      <c r="AB26" s="47"/>
      <c r="AC26" s="47"/>
      <c r="AD26" s="47"/>
      <c r="AE26" s="47"/>
      <c r="AF26" s="47"/>
      <c r="AG26" s="32"/>
      <c r="AH26" s="31"/>
      <c r="AJ26" s="35"/>
      <c r="AK26" s="31"/>
      <c r="AM26" s="35"/>
      <c r="AN26" s="33"/>
      <c r="AO26" s="48" t="s">
        <v>40</v>
      </c>
      <c r="AP26" s="49" t="s">
        <v>41</v>
      </c>
      <c r="AQ26" s="49" t="s">
        <v>42</v>
      </c>
      <c r="AR26" s="49" t="s">
        <v>43</v>
      </c>
      <c r="AS26" s="50" t="s">
        <v>44</v>
      </c>
    </row>
    <row r="27" spans="2:48" ht="14.4" x14ac:dyDescent="0.3">
      <c r="B27" s="51"/>
      <c r="C27" s="51"/>
      <c r="D27" s="52" t="s">
        <v>45</v>
      </c>
      <c r="E27" s="52" t="s">
        <v>25</v>
      </c>
      <c r="F27" s="52" t="s">
        <v>46</v>
      </c>
      <c r="G27" s="52" t="s">
        <v>47</v>
      </c>
      <c r="H27" s="52" t="s">
        <v>48</v>
      </c>
      <c r="I27" s="52" t="s">
        <v>49</v>
      </c>
      <c r="J27" s="52" t="s">
        <v>50</v>
      </c>
      <c r="K27" s="52" t="s">
        <v>51</v>
      </c>
      <c r="L27" s="52" t="s">
        <v>52</v>
      </c>
      <c r="M27" s="52" t="s">
        <v>53</v>
      </c>
      <c r="N27" s="52" t="s">
        <v>54</v>
      </c>
      <c r="O27" s="52" t="s">
        <v>55</v>
      </c>
      <c r="P27" s="53" t="s">
        <v>56</v>
      </c>
      <c r="Q27" s="53" t="s">
        <v>57</v>
      </c>
      <c r="R27" s="54" t="s">
        <v>58</v>
      </c>
      <c r="S27" s="55" t="s">
        <v>59</v>
      </c>
      <c r="T27">
        <v>1.5</v>
      </c>
      <c r="U27" s="35"/>
      <c r="V27" s="31" t="s">
        <v>60</v>
      </c>
      <c r="W27" s="56" t="s">
        <v>61</v>
      </c>
      <c r="X27" s="57">
        <f>PI()*90/180</f>
        <v>1.5707963267948966</v>
      </c>
      <c r="Y27" s="57" t="s">
        <v>62</v>
      </c>
      <c r="Z27" s="58" t="s">
        <v>63</v>
      </c>
      <c r="AA27" s="59">
        <v>23</v>
      </c>
      <c r="AB27" s="59">
        <v>42</v>
      </c>
      <c r="AC27" s="59">
        <v>45</v>
      </c>
      <c r="AD27" s="59"/>
      <c r="AE27" s="59"/>
      <c r="AF27" s="59" t="s">
        <v>64</v>
      </c>
      <c r="AH27" s="58" t="s">
        <v>65</v>
      </c>
      <c r="AJ27" s="35"/>
      <c r="AK27" s="31" t="s">
        <v>66</v>
      </c>
      <c r="AM27" s="60"/>
      <c r="AN27" s="33"/>
      <c r="AO27" s="48"/>
      <c r="AP27" s="49"/>
      <c r="AQ27" s="49"/>
      <c r="AR27" s="49"/>
      <c r="AS27" s="50"/>
    </row>
    <row r="28" spans="2:48" ht="14.4" thickBot="1" x14ac:dyDescent="0.35">
      <c r="B28" s="51"/>
      <c r="C28" s="51"/>
      <c r="D28" s="52" t="s">
        <v>67</v>
      </c>
      <c r="E28" s="52" t="s">
        <v>68</v>
      </c>
      <c r="F28" s="52" t="s">
        <v>69</v>
      </c>
      <c r="G28" s="52" t="s">
        <v>70</v>
      </c>
      <c r="H28" s="52" t="s">
        <v>70</v>
      </c>
      <c r="I28" s="52" t="s">
        <v>70</v>
      </c>
      <c r="J28" s="52" t="s">
        <v>71</v>
      </c>
      <c r="K28" s="61" t="s">
        <v>72</v>
      </c>
      <c r="L28" s="52" t="s">
        <v>73</v>
      </c>
      <c r="M28" s="52" t="s">
        <v>10</v>
      </c>
      <c r="N28" s="52" t="s">
        <v>74</v>
      </c>
      <c r="O28" s="52" t="s">
        <v>72</v>
      </c>
      <c r="P28" s="52"/>
      <c r="Q28" s="52"/>
      <c r="R28" s="54"/>
      <c r="S28" s="62" t="s">
        <v>75</v>
      </c>
      <c r="T28" s="8" t="s">
        <v>76</v>
      </c>
      <c r="U28" s="63" t="s">
        <v>77</v>
      </c>
      <c r="V28" s="31" t="s">
        <v>75</v>
      </c>
      <c r="W28" s="64" t="s">
        <v>78</v>
      </c>
      <c r="X28" s="64" t="s">
        <v>76</v>
      </c>
      <c r="Y28" s="65" t="s">
        <v>77</v>
      </c>
      <c r="Z28" s="31" t="s">
        <v>75</v>
      </c>
      <c r="AA28" s="66">
        <f>PI()*AA27/180</f>
        <v>0.40142572795869574</v>
      </c>
      <c r="AB28" s="66">
        <f>IFERROR(PI()*AB27/180,0)</f>
        <v>0.73303828583761843</v>
      </c>
      <c r="AC28" s="66">
        <f>IFERROR(PI()*AC27/180,0)</f>
        <v>0.78539816339744828</v>
      </c>
      <c r="AD28" s="66"/>
      <c r="AE28" s="66"/>
      <c r="AF28" s="66">
        <f>IFERROR(PI()*AF27/180,0)</f>
        <v>0</v>
      </c>
      <c r="AG28" s="65" t="s">
        <v>77</v>
      </c>
      <c r="AH28" s="31" t="s">
        <v>75</v>
      </c>
      <c r="AI28" t="s">
        <v>76</v>
      </c>
      <c r="AJ28" s="35" t="s">
        <v>77</v>
      </c>
      <c r="AK28" s="31" t="s">
        <v>75</v>
      </c>
      <c r="AL28" t="s">
        <v>76</v>
      </c>
      <c r="AM28" s="35" t="s">
        <v>77</v>
      </c>
      <c r="AN28" s="67" t="s">
        <v>76</v>
      </c>
      <c r="AO28" s="68"/>
      <c r="AP28" s="69"/>
      <c r="AQ28" s="69"/>
      <c r="AR28" s="69"/>
      <c r="AS28" s="70"/>
      <c r="AT28" s="8" t="s">
        <v>12</v>
      </c>
    </row>
    <row r="29" spans="2:48" ht="14.4" x14ac:dyDescent="0.3">
      <c r="B29" s="71" t="s">
        <v>79</v>
      </c>
      <c r="C29" s="72" t="s">
        <v>18</v>
      </c>
      <c r="D29" s="72" cm="1">
        <f t="array" ref="D29">_xlfn.IFS(E29=$O$20,$P$20,E29=$O$21,$P$21,E29=$O$22,$P$22,E29=$O$23,$P$23,E29=$O$24,$P$24)</f>
        <v>1041.5999999999999</v>
      </c>
      <c r="E29" s="73" t="s">
        <v>21</v>
      </c>
      <c r="F29" s="74" cm="1">
        <f t="array" ref="F29">_xlfn.IFS(E29=$O$20,$Q$20,E29=$O$21,$Q$21,E29=$O$22,$Q$22,E29=$O$23,$Q$23,E29=$O$24,$Q$24)</f>
        <v>2.7339999999999999E-3</v>
      </c>
      <c r="G29" s="72">
        <v>0.1071</v>
      </c>
      <c r="H29" s="72">
        <v>2.3879999999999999</v>
      </c>
      <c r="I29" s="72">
        <v>0</v>
      </c>
      <c r="J29" s="72">
        <v>4.4999999999999998E-2</v>
      </c>
      <c r="K29" s="75">
        <f>(J29/1000)/G29</f>
        <v>4.2016806722689073E-4</v>
      </c>
      <c r="L29" s="76">
        <f>M29*D29</f>
        <v>182279.99999999997</v>
      </c>
      <c r="M29" s="77">
        <f>$C$13</f>
        <v>175</v>
      </c>
      <c r="N29" s="78">
        <f>(M29/(PI()*(G29/2)^2))/3600</f>
        <v>5.3959351915216214</v>
      </c>
      <c r="O29" s="79">
        <f>G29*N29*D29/F29</f>
        <v>220170.26072672397</v>
      </c>
      <c r="P29" s="80">
        <f>(2.457*LN((((7/O29)^0.9+0.27*(J29/1000)/G29))^(-1)))^16</f>
        <v>1.3153900837323368E+21</v>
      </c>
      <c r="Q29" s="80">
        <f>(37530/O29)^16</f>
        <v>5.0806411709551106E-13</v>
      </c>
      <c r="R29" s="81">
        <f>IF(O29&lt;2000,64/O29,8*((8/O29)^12+1/(P29+Q29)^1.5)^(1/12))</f>
        <v>1.8331929000264736E-2</v>
      </c>
      <c r="S29" s="82">
        <v>1</v>
      </c>
      <c r="T29" s="83">
        <f>1+$T$26*(N29/N29)^2</f>
        <v>1.3</v>
      </c>
      <c r="U29" s="84">
        <f>T29*S29</f>
        <v>1.3</v>
      </c>
      <c r="V29" s="82">
        <v>5</v>
      </c>
      <c r="W29" s="85">
        <v>152</v>
      </c>
      <c r="X29" s="86">
        <f>R29*$X$27*(W29*10^-3/G29)+(0.1+2.4*R29)*SIN($X$27/2)+6.6*R29*(SQRT(SIN($X$27/2))+SIN($X$27/2))/((W29*10^-3/G29)^(4*($X$27/PI())))</f>
        <v>0.23567448304979594</v>
      </c>
      <c r="Y29" s="87">
        <f t="shared" ref="Y29:Y30" si="0">V29*X29</f>
        <v>1.1783724152489796</v>
      </c>
      <c r="Z29" s="82">
        <v>0</v>
      </c>
      <c r="AA29" s="88"/>
      <c r="AB29" s="88"/>
      <c r="AC29" s="88"/>
      <c r="AD29" s="88"/>
      <c r="AE29" s="88"/>
      <c r="AF29" s="89"/>
      <c r="AG29" s="84">
        <f t="shared" ref="AG29" si="1">IF(Z29&gt;1,SUM(AA29:AF29),0)</f>
        <v>0</v>
      </c>
      <c r="AH29" s="82">
        <v>1</v>
      </c>
      <c r="AI29" s="90">
        <v>0.04</v>
      </c>
      <c r="AJ29" s="87">
        <f t="shared" ref="AJ29:AJ31" si="2">AH29*AI29</f>
        <v>0.04</v>
      </c>
      <c r="AK29" s="82">
        <v>0</v>
      </c>
      <c r="AL29" s="90">
        <v>9.8999999999999999E-4</v>
      </c>
      <c r="AM29" s="87">
        <f>AK29*AL29</f>
        <v>0</v>
      </c>
      <c r="AN29" s="82"/>
      <c r="AO29" s="91">
        <f>IF(H29=0,0,U29+Y29+AG29+AJ29+AM29+AN29)</f>
        <v>2.5183724152489795</v>
      </c>
      <c r="AP29" s="92">
        <f>(AO29*D29*N29^2/2)/100000</f>
        <v>0.38187777108235371</v>
      </c>
      <c r="AQ29" s="92">
        <f>(R29*H29/G29*D29*N29^2/2)/100000</f>
        <v>6.1980837967922031E-2</v>
      </c>
      <c r="AR29" s="92">
        <f>(9.81*D29*I29)/100000</f>
        <v>0</v>
      </c>
      <c r="AS29" s="93">
        <f>AP29+AQ29+AR29</f>
        <v>0.44385860905027574</v>
      </c>
      <c r="AT29" s="94">
        <f>AS29*100</f>
        <v>44.385860905027577</v>
      </c>
    </row>
    <row r="30" spans="2:48" ht="14.4" x14ac:dyDescent="0.3">
      <c r="B30" s="95" t="s">
        <v>80</v>
      </c>
      <c r="C30" s="72" t="s">
        <v>18</v>
      </c>
      <c r="D30" s="72" cm="1">
        <f t="array" ref="D30">_xlfn.IFS(E30=$O$20,$P$20,E30=$O$21,$P$21,E30=$O$22,$P$22,E30=$O$23,$P$23,E30=$O$24,$P$24)</f>
        <v>1041.5999999999999</v>
      </c>
      <c r="E30" s="73" t="s">
        <v>21</v>
      </c>
      <c r="F30" s="74" cm="1">
        <f t="array" ref="F30">_xlfn.IFS(E30=$O$20,$Q$20,E30=$O$21,$Q$21,E30=$O$22,$Q$22,E30=$O$23,$Q$23,E30=$O$24,$Q$24)</f>
        <v>2.7339999999999999E-3</v>
      </c>
      <c r="G30" s="72">
        <v>0.1071</v>
      </c>
      <c r="H30" s="72">
        <v>0.61199999999999999</v>
      </c>
      <c r="I30" s="72">
        <v>0</v>
      </c>
      <c r="J30" s="72">
        <v>4.4999999999999998E-2</v>
      </c>
      <c r="K30" s="75">
        <f>(J30/1000)/G30</f>
        <v>4.2016806722689073E-4</v>
      </c>
      <c r="L30" s="76">
        <f>M30*D30</f>
        <v>182279.99999999997</v>
      </c>
      <c r="M30" s="77">
        <f>$C$13</f>
        <v>175</v>
      </c>
      <c r="N30" s="78">
        <f>(M30/(PI()*(G30/2)^2))/3600</f>
        <v>5.3959351915216214</v>
      </c>
      <c r="O30" s="79">
        <f>G30*N30*D30/F30</f>
        <v>220170.26072672397</v>
      </c>
      <c r="P30" s="80">
        <f>(2.457*LN((((7/O30)^0.9+0.27*(J30/1000)/G30))^(-1)))^16</f>
        <v>1.3153900837323368E+21</v>
      </c>
      <c r="Q30" s="80">
        <f>(37530/O30)^16</f>
        <v>5.0806411709551106E-13</v>
      </c>
      <c r="R30" s="81">
        <f>IF(O30&lt;2000,64/O30,8*((8/O30)^12+1/(P30+Q30)^1.5)^(1/12))</f>
        <v>1.8331929000264736E-2</v>
      </c>
      <c r="S30" s="96">
        <v>0</v>
      </c>
      <c r="T30" s="97">
        <f>1+$T$26*(N30/N30)^2</f>
        <v>1.3</v>
      </c>
      <c r="U30" s="98">
        <f>T30*S30</f>
        <v>0</v>
      </c>
      <c r="V30" s="96">
        <v>1</v>
      </c>
      <c r="W30" s="99" cm="1">
        <f t="array" ref="W30">_xlfn.IFS(G30=0.032125,76,G30=0.038075,52,G30=0.0808,175,G30=0.1071,152,G30=0.1317,190,G30=0.036,60,G30=0.0419,70)</f>
        <v>152</v>
      </c>
      <c r="X30" s="100">
        <f>R30*$X$27*(W30*10^-3/G30)+(0.1+2.4*R30)*SIN($X$27/2)+6.6*R30*(SQRT(SIN($X$27/2))+SIN($X$27/2))/((W30*10^-3/G30)^(4*($X$27/PI())))</f>
        <v>0.23567448304979594</v>
      </c>
      <c r="Y30" s="101">
        <f t="shared" si="0"/>
        <v>0.23567448304979594</v>
      </c>
      <c r="Z30" s="96">
        <v>2</v>
      </c>
      <c r="AA30" s="102"/>
      <c r="AB30" s="102"/>
      <c r="AC30" s="103">
        <f>0.42*SIN(AC$28/2)+2.56*(SIN(AC$28/2))^3</f>
        <v>0.30419633092708653</v>
      </c>
      <c r="AD30" s="102"/>
      <c r="AE30" s="102"/>
      <c r="AF30" s="104"/>
      <c r="AG30" s="98">
        <f>2*AC30</f>
        <v>0.60839266185417307</v>
      </c>
      <c r="AH30" s="96">
        <v>2</v>
      </c>
      <c r="AI30" s="105">
        <v>0.04</v>
      </c>
      <c r="AJ30" s="101">
        <f t="shared" si="2"/>
        <v>0.08</v>
      </c>
      <c r="AK30" s="96">
        <v>1</v>
      </c>
      <c r="AL30" s="105">
        <v>9.8999999999999999E-4</v>
      </c>
      <c r="AM30" s="101">
        <f>AK30*AL30</f>
        <v>9.8999999999999999E-4</v>
      </c>
      <c r="AN30" s="96"/>
      <c r="AO30" s="106">
        <f t="shared" ref="AO30:AO31" si="3">IF(H30=0,0,U30+Y30+AG30+AJ30+AM30+AN30)</f>
        <v>0.92505714490396895</v>
      </c>
      <c r="AP30" s="107">
        <f>(AO30*D30*N30^2/2)/100000</f>
        <v>0.14027264533264377</v>
      </c>
      <c r="AQ30" s="107">
        <f>(R30*H30/G30*D30*N30^2/2)/100000</f>
        <v>1.5884536363638312E-2</v>
      </c>
      <c r="AR30" s="107">
        <f>(9.81*D30*I30)/100000</f>
        <v>0</v>
      </c>
      <c r="AS30" s="108">
        <f>AP30+AQ30+AR30</f>
        <v>0.15615718169628209</v>
      </c>
      <c r="AT30" s="94">
        <f>AS30*100</f>
        <v>15.615718169628209</v>
      </c>
    </row>
    <row r="31" spans="2:48" ht="15" thickBot="1" x14ac:dyDescent="0.35">
      <c r="B31" s="95" t="s">
        <v>81</v>
      </c>
      <c r="C31" s="72" t="s">
        <v>18</v>
      </c>
      <c r="D31" s="72">
        <f>D$29</f>
        <v>1041.5999999999999</v>
      </c>
      <c r="E31" s="109" t="str">
        <f>E$29</f>
        <v>15/10</v>
      </c>
      <c r="F31" s="74">
        <f>F$29</f>
        <v>2.7339999999999999E-3</v>
      </c>
      <c r="G31" s="72">
        <v>0.1071</v>
      </c>
      <c r="H31" s="72">
        <v>2.9094000000000002</v>
      </c>
      <c r="I31" s="72">
        <v>0</v>
      </c>
      <c r="J31" s="72">
        <v>4.4999999999999998E-2</v>
      </c>
      <c r="K31" s="75">
        <f t="shared" ref="K31" si="4">(J31/1000)/G31</f>
        <v>4.2016806722689073E-4</v>
      </c>
      <c r="L31" s="76">
        <f t="shared" ref="L31" si="5">M31*D31</f>
        <v>182279.99999999997</v>
      </c>
      <c r="M31" s="77">
        <f t="shared" ref="M31" si="6">$C$13</f>
        <v>175</v>
      </c>
      <c r="N31" s="78">
        <f t="shared" ref="N31" si="7">(M31/(PI()*(G31/2)^2))/3600</f>
        <v>5.3959351915216214</v>
      </c>
      <c r="O31" s="79">
        <f>G31*N31*D31/F31</f>
        <v>220170.26072672397</v>
      </c>
      <c r="P31" s="80">
        <f t="shared" ref="P31" si="8">(2.457*LN((((7/O31)^0.9+0.27*(J31/1000)/G31))^(-1)))^16</f>
        <v>1.3153900837323368E+21</v>
      </c>
      <c r="Q31" s="80">
        <f t="shared" ref="Q31" si="9">(37530/O31)^16</f>
        <v>5.0806411709551106E-13</v>
      </c>
      <c r="R31" s="110">
        <f>IF(O31&lt;2000,64/O31,8*((8/O31)^12+1/(P31+Q31)^1.5)^(1/12))</f>
        <v>1.8331929000264736E-2</v>
      </c>
      <c r="S31" s="96">
        <v>1</v>
      </c>
      <c r="T31" s="97">
        <f t="shared" ref="T31" si="10">1+$T$26*(N31/N31)^2</f>
        <v>1.3</v>
      </c>
      <c r="U31" s="111">
        <f t="shared" ref="U31" si="11">T31*S31</f>
        <v>1.3</v>
      </c>
      <c r="V31" s="96">
        <v>0</v>
      </c>
      <c r="W31" s="112">
        <v>152</v>
      </c>
      <c r="X31" s="113">
        <f>R31*$X$27*(W31*10^-3/G31)+(0.1+2.4*R31)*SIN($X$27/2)+6.6*R31*(SQRT(SIN($X$27/2))+SIN($X$27/2))/((W31*10^-3/G31)^(4*($X$27/PI())))</f>
        <v>0.23567448304979594</v>
      </c>
      <c r="Y31" s="114">
        <f>V31*X31</f>
        <v>0</v>
      </c>
      <c r="Z31" s="96">
        <v>2</v>
      </c>
      <c r="AA31" s="103"/>
      <c r="AB31" s="103"/>
      <c r="AC31" s="103">
        <f t="shared" ref="AC31" si="12">0.42*SIN(AC$28/2)+2.56*(SIN(AC$28/2))^3</f>
        <v>0.30419633092708653</v>
      </c>
      <c r="AD31" s="115"/>
      <c r="AE31" s="115"/>
      <c r="AF31" s="115"/>
      <c r="AG31" s="98">
        <f>2*AC31</f>
        <v>0.60839266185417307</v>
      </c>
      <c r="AH31" s="96">
        <v>1</v>
      </c>
      <c r="AI31" s="116">
        <v>0.04</v>
      </c>
      <c r="AJ31" s="114">
        <f t="shared" si="2"/>
        <v>0.04</v>
      </c>
      <c r="AK31" s="96">
        <v>0</v>
      </c>
      <c r="AL31" s="116">
        <v>9.8999999999999999E-4</v>
      </c>
      <c r="AM31" s="114">
        <f t="shared" ref="AM31" si="13">AK31*AL31</f>
        <v>0</v>
      </c>
      <c r="AN31" s="96"/>
      <c r="AO31" s="106">
        <f t="shared" si="3"/>
        <v>1.9483926618541731</v>
      </c>
      <c r="AP31" s="107">
        <f>(AO31*D31*N31^2/2)/100000</f>
        <v>0.29544790214378414</v>
      </c>
      <c r="AQ31" s="107">
        <f>(R31*H31/G31*D31*N31^2/2)/100000</f>
        <v>7.5513840026747228E-2</v>
      </c>
      <c r="AR31" s="107">
        <f>(9.81*D31*I31)/100000</f>
        <v>0</v>
      </c>
      <c r="AS31" s="108">
        <f t="shared" ref="AS31" si="14">AP31+AQ31+AR31</f>
        <v>0.37096174217053135</v>
      </c>
      <c r="AT31" s="94">
        <f t="shared" ref="AT31" si="15">AS31*100</f>
        <v>37.096174217053132</v>
      </c>
    </row>
    <row r="32" spans="2:48" ht="15" thickBot="1" x14ac:dyDescent="0.35">
      <c r="B32" s="29"/>
      <c r="C32" s="29"/>
      <c r="D32" s="29"/>
      <c r="E32" s="29"/>
      <c r="F32" s="29"/>
      <c r="G32" s="29"/>
      <c r="H32" s="29"/>
      <c r="I32" s="117"/>
      <c r="J32" s="29"/>
      <c r="K32" s="29"/>
      <c r="L32" s="29"/>
      <c r="M32" s="29"/>
      <c r="N32" s="29"/>
      <c r="O32" s="29"/>
      <c r="P32" s="29"/>
      <c r="Q32" s="29"/>
      <c r="S32" s="29"/>
      <c r="T32" s="29"/>
      <c r="U32" s="29"/>
      <c r="V32" s="29"/>
      <c r="W32" s="29"/>
      <c r="X32" s="29"/>
      <c r="Y32" s="29"/>
      <c r="Z32" s="118"/>
      <c r="AA32" s="118"/>
      <c r="AB32" s="118"/>
      <c r="AC32" s="118"/>
      <c r="AD32" s="118"/>
      <c r="AE32" s="118"/>
      <c r="AF32" s="118"/>
      <c r="AG32" s="118"/>
      <c r="AH32" s="119"/>
      <c r="AI32" s="29"/>
      <c r="AJ32" s="29"/>
      <c r="AK32" s="29"/>
      <c r="AL32" s="29"/>
      <c r="AM32" s="29"/>
      <c r="AN32" s="29"/>
      <c r="AO32" s="29"/>
      <c r="AP32" s="29"/>
      <c r="AQ32" s="29"/>
      <c r="AR32" s="30"/>
      <c r="AS32" s="120">
        <f>SUM(AS29:AS31)</f>
        <v>0.97097753291708921</v>
      </c>
      <c r="AT32" s="121" t="s">
        <v>82</v>
      </c>
      <c r="AU32" s="122">
        <f>AS32*100</f>
        <v>97.097753291708926</v>
      </c>
      <c r="AV32" s="121" t="s">
        <v>12</v>
      </c>
    </row>
    <row r="33" spans="2:44" ht="14.4" x14ac:dyDescent="0.25">
      <c r="I33" s="8"/>
      <c r="T33" s="123"/>
      <c r="Z33" s="124"/>
      <c r="AA33" s="124"/>
      <c r="AB33" s="124"/>
      <c r="AC33" s="124"/>
      <c r="AD33" s="124"/>
      <c r="AE33" s="124"/>
      <c r="AF33" s="124"/>
      <c r="AG33" s="124"/>
      <c r="AH33" s="125"/>
    </row>
    <row r="34" spans="2:44" ht="14.4" x14ac:dyDescent="0.25">
      <c r="I34" s="8"/>
      <c r="K34" s="126"/>
      <c r="L34" s="127"/>
      <c r="M34" s="128"/>
      <c r="Z34" s="124"/>
      <c r="AA34" s="124"/>
      <c r="AB34" s="124"/>
      <c r="AC34" s="124"/>
      <c r="AD34" s="124"/>
      <c r="AE34" s="124"/>
      <c r="AF34" s="124"/>
      <c r="AG34" s="124"/>
      <c r="AH34" s="125"/>
    </row>
    <row r="35" spans="2:44" ht="14.4" x14ac:dyDescent="0.25">
      <c r="H35" s="8"/>
      <c r="I35" s="8"/>
      <c r="J35" s="8"/>
      <c r="L35" s="127"/>
      <c r="M35" s="128"/>
      <c r="O35" s="8"/>
      <c r="P35" s="8"/>
      <c r="Q35" s="8"/>
      <c r="R35" s="8"/>
      <c r="Z35" s="124"/>
      <c r="AA35" s="124"/>
      <c r="AB35" s="124"/>
      <c r="AC35" s="124"/>
      <c r="AD35" s="124"/>
      <c r="AE35" s="124"/>
      <c r="AF35" s="124"/>
      <c r="AG35" s="124"/>
      <c r="AH35" s="125"/>
      <c r="AP35" s="38"/>
      <c r="AQ35" s="38"/>
      <c r="AR35" s="38"/>
    </row>
    <row r="36" spans="2:44" ht="14.4" x14ac:dyDescent="0.25">
      <c r="H36" s="8"/>
      <c r="I36" s="8"/>
      <c r="J36" s="8"/>
      <c r="K36" s="8"/>
      <c r="L36" s="8"/>
      <c r="M36" s="128"/>
      <c r="O36" s="8"/>
      <c r="P36" s="8"/>
      <c r="Q36" s="8"/>
      <c r="R36" s="8"/>
      <c r="Z36" s="124"/>
      <c r="AA36" s="124"/>
      <c r="AB36" s="124"/>
      <c r="AC36" s="124"/>
      <c r="AD36" s="124"/>
      <c r="AE36" s="124"/>
      <c r="AF36" s="124"/>
      <c r="AG36" s="124"/>
      <c r="AH36" s="125"/>
      <c r="AP36" s="129"/>
      <c r="AQ36" s="129"/>
      <c r="AR36" s="129"/>
    </row>
    <row r="37" spans="2:44" ht="14.4" x14ac:dyDescent="0.25">
      <c r="H37" s="8"/>
      <c r="I37" s="8"/>
      <c r="J37" s="130"/>
      <c r="K37" s="127"/>
      <c r="L37" s="131"/>
      <c r="M37" s="132"/>
      <c r="N37" s="8"/>
      <c r="O37" s="8"/>
      <c r="P37" s="8"/>
      <c r="Q37" s="8"/>
      <c r="R37" s="8"/>
      <c r="AH37" s="125"/>
    </row>
    <row r="38" spans="2:44" ht="14.4" x14ac:dyDescent="0.25">
      <c r="H38" s="133"/>
      <c r="I38" s="134"/>
      <c r="J38" s="130"/>
      <c r="K38" s="135"/>
      <c r="L38" s="131"/>
      <c r="M38" s="131"/>
      <c r="O38" s="136"/>
      <c r="P38" s="133"/>
      <c r="Q38" s="133"/>
      <c r="R38" s="133"/>
      <c r="Z38" s="124"/>
      <c r="AA38" s="124"/>
      <c r="AB38" s="124"/>
      <c r="AC38" s="124"/>
      <c r="AD38" s="124"/>
      <c r="AE38" s="124"/>
      <c r="AF38" s="124"/>
      <c r="AG38" s="124"/>
      <c r="AH38" s="125"/>
    </row>
    <row r="39" spans="2:44" ht="14.4" x14ac:dyDescent="0.25">
      <c r="B39" s="137"/>
      <c r="K39" s="8"/>
      <c r="L39" s="132"/>
      <c r="M39" s="131"/>
      <c r="O39" s="136"/>
      <c r="Z39" s="124"/>
      <c r="AA39" s="124"/>
      <c r="AB39" s="124"/>
      <c r="AC39" s="124"/>
      <c r="AD39" s="124"/>
      <c r="AE39" s="124"/>
      <c r="AF39" s="124"/>
      <c r="AG39" s="124"/>
      <c r="AH39" s="125"/>
    </row>
    <row r="40" spans="2:44" ht="14.4" x14ac:dyDescent="0.25">
      <c r="B40" s="138"/>
      <c r="M40" s="139"/>
      <c r="O40" s="136"/>
      <c r="Z40" s="124"/>
      <c r="AA40" s="124"/>
      <c r="AB40" s="124"/>
      <c r="AC40" s="124"/>
      <c r="AD40" s="124"/>
      <c r="AE40" s="124"/>
      <c r="AF40" s="124"/>
      <c r="AG40" s="124"/>
      <c r="AH40" s="125"/>
    </row>
    <row r="41" spans="2:44" ht="14.4" x14ac:dyDescent="0.25">
      <c r="B41" s="138"/>
      <c r="M41" s="139"/>
      <c r="O41" s="136"/>
      <c r="Z41" s="124"/>
      <c r="AA41" s="124"/>
      <c r="AB41" s="124"/>
      <c r="AC41" s="124"/>
      <c r="AD41" s="124"/>
      <c r="AE41" s="124"/>
      <c r="AF41" s="124"/>
      <c r="AG41" s="124"/>
      <c r="AH41" s="125"/>
    </row>
    <row r="42" spans="2:44" ht="14.4" x14ac:dyDescent="0.25">
      <c r="B42" s="138"/>
      <c r="M42" s="139"/>
      <c r="O42" s="136"/>
      <c r="Z42" s="124"/>
      <c r="AA42" s="124"/>
      <c r="AB42" s="124"/>
      <c r="AC42" s="124"/>
      <c r="AD42" s="124"/>
      <c r="AE42" s="124"/>
      <c r="AF42" s="124"/>
      <c r="AG42" s="124"/>
      <c r="AH42" s="125"/>
    </row>
    <row r="43" spans="2:44" x14ac:dyDescent="0.25">
      <c r="M43" s="136"/>
      <c r="O43" s="136"/>
    </row>
    <row r="44" spans="2:44" x14ac:dyDescent="0.25">
      <c r="B44" s="140"/>
      <c r="M44" s="136"/>
      <c r="O44" s="136"/>
    </row>
    <row r="45" spans="2:44" x14ac:dyDescent="0.25">
      <c r="M45" s="136"/>
      <c r="O45" s="136"/>
    </row>
    <row r="46" spans="2:44" x14ac:dyDescent="0.25">
      <c r="B46" s="141"/>
      <c r="M46" s="136"/>
      <c r="O46" s="136"/>
    </row>
    <row r="47" spans="2:44" x14ac:dyDescent="0.25">
      <c r="M47" s="136"/>
      <c r="O47" s="136"/>
    </row>
    <row r="48" spans="2:44" x14ac:dyDescent="0.25">
      <c r="B48" s="142"/>
      <c r="C48" s="143"/>
      <c r="D48" s="143"/>
      <c r="E48" s="143"/>
      <c r="F48" s="143"/>
      <c r="G48" s="143"/>
      <c r="H48" s="143"/>
      <c r="I48" s="143"/>
      <c r="J48" s="143"/>
      <c r="M48" s="136"/>
      <c r="O48" s="136"/>
    </row>
    <row r="49" spans="13:15" x14ac:dyDescent="0.25">
      <c r="M49" s="136"/>
      <c r="O49" s="136"/>
    </row>
    <row r="50" spans="13:15" x14ac:dyDescent="0.25">
      <c r="O50" s="38"/>
    </row>
  </sheetData>
  <scenarios current="0" sqref="C15">
    <scenario name="10" locked="1" count="1" user="PARMENTIER, THOMAS" comment="Créé par PARMENTIER, THOMAS le 08/04/2021">
      <inputCells r="C13" val="10"/>
    </scenario>
    <scenario name="15" locked="1" count="1" user="PARMENTIER, THOMAS" comment="Créé par PARMENTIER, THOMAS le 08/04/2021">
      <inputCells r="C13" val="15"/>
    </scenario>
    <scenario name="20" locked="1" count="1" user="PARMENTIER, THOMAS" comment="Créé par PARMENTIER, THOMAS le 08/04/2021">
      <inputCells r="C13" val="20"/>
    </scenario>
  </scenarios>
  <mergeCells count="8">
    <mergeCell ref="AR26:AR28"/>
    <mergeCell ref="AS26:AS28"/>
    <mergeCell ref="AN17:AN27"/>
    <mergeCell ref="P26:R26"/>
    <mergeCell ref="AA26:AF26"/>
    <mergeCell ref="AO26:AO28"/>
    <mergeCell ref="AP26:AP28"/>
    <mergeCell ref="AQ26:AQ28"/>
  </mergeCells>
  <conditionalFormatting sqref="AH29 AK29 AN29 V29 S29 Z29 Z31 V31 AN31 AK31">
    <cfRule type="cellIs" dxfId="3" priority="3" operator="greaterThan">
      <formula>0</formula>
    </cfRule>
    <cfRule type="cellIs" dxfId="2" priority="4" operator="equal">
      <formula>0</formula>
    </cfRule>
  </conditionalFormatting>
  <conditionalFormatting sqref="AK30 AN30 V30 Z30 S30:S31 AH30:AH31">
    <cfRule type="cellIs" dxfId="1" priority="1" operator="greaterThan">
      <formula>0</formula>
    </cfRule>
    <cfRule type="cellIs" dxfId="0" priority="2" operator="equal">
      <formula>0</formula>
    </cfRule>
  </conditionalFormatting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>
    <oddHeader>&amp;C&amp;A</oddHead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Machine1</vt:lpstr>
      <vt:lpstr>Machine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PARMENTIER, Thomas</dc:creator>
  <cp:lastModifiedBy>PARMENTIER, Thomas</cp:lastModifiedBy>
  <dcterms:created xsi:type="dcterms:W3CDTF">2021-08-27T09:12:07Z</dcterms:created>
  <dcterms:modified xsi:type="dcterms:W3CDTF">2021-08-27T09:13:38Z</dcterms:modified>
</cp:coreProperties>
</file>