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updateLinks="never" defaultThemeVersion="166925"/>
  <mc:AlternateContent xmlns:mc="http://schemas.openxmlformats.org/markup-compatibility/2006">
    <mc:Choice Requires="x15">
      <x15ac:absPath xmlns:x15ac="http://schemas.microsoft.com/office/spreadsheetml/2010/11/ac" url="C:\Users\spivot\Desktop\"/>
    </mc:Choice>
  </mc:AlternateContent>
  <xr:revisionPtr revIDLastSave="0" documentId="13_ncr:1_{7AF49A6A-5AF6-4394-B82A-650EEF399EBD}" xr6:coauthVersionLast="45" xr6:coauthVersionMax="45" xr10:uidLastSave="{00000000-0000-0000-0000-000000000000}"/>
  <bookViews>
    <workbookView xWindow="-120" yWindow="-120" windowWidth="29040" windowHeight="15840" xr2:uid="{A26BDA15-90F5-4F89-AC9B-2E940A35F113}"/>
  </bookViews>
  <sheets>
    <sheet name="HBA1C EEQ+IM" sheetId="11" r:id="rId1"/>
    <sheet name="Base de données" sheetId="13" state="hidden" r:id="rId2"/>
    <sheet name="Formule consolidation" sheetId="1" state="hidden" r:id="rId3"/>
  </sheets>
  <externalReferences>
    <externalReference r:id="rId4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W4" i="11" l="1"/>
  <c r="H27" i="11" l="1"/>
  <c r="H28" i="11"/>
  <c r="H29" i="11"/>
  <c r="H30" i="11"/>
  <c r="H31" i="11"/>
  <c r="H32" i="11"/>
  <c r="G27" i="11"/>
  <c r="G32" i="11"/>
  <c r="G31" i="11"/>
  <c r="G30" i="11"/>
  <c r="G29" i="11"/>
  <c r="G28" i="11"/>
  <c r="E27" i="11"/>
  <c r="E28" i="11"/>
  <c r="E29" i="11"/>
  <c r="E30" i="11"/>
  <c r="E31" i="11"/>
  <c r="E32" i="11"/>
  <c r="D32" i="11"/>
  <c r="D31" i="11"/>
  <c r="D30" i="11"/>
  <c r="D29" i="11"/>
  <c r="D28" i="11"/>
  <c r="D27" i="11"/>
  <c r="AP18" i="11" l="1"/>
  <c r="AI18" i="11"/>
  <c r="AB18" i="11"/>
  <c r="T18" i="11"/>
  <c r="T19" i="11" s="1"/>
  <c r="T20" i="11" s="1"/>
  <c r="L18" i="11"/>
  <c r="AL27" i="11"/>
  <c r="AJ27" i="11"/>
  <c r="AI27" i="11"/>
  <c r="T182" i="13"/>
  <c r="S182" i="13"/>
  <c r="R182" i="13"/>
  <c r="Q182" i="13"/>
  <c r="AC182" i="13" s="1"/>
  <c r="P182" i="13"/>
  <c r="O182" i="13"/>
  <c r="T181" i="13"/>
  <c r="AC181" i="13" s="1"/>
  <c r="S181" i="13"/>
  <c r="R181" i="13"/>
  <c r="Q181" i="13"/>
  <c r="W181" i="13" s="1"/>
  <c r="P181" i="13"/>
  <c r="V181" i="13" s="1"/>
  <c r="O181" i="13"/>
  <c r="T178" i="13"/>
  <c r="AC178" i="13" s="1"/>
  <c r="S178" i="13"/>
  <c r="R178" i="13"/>
  <c r="Q178" i="13"/>
  <c r="P178" i="13"/>
  <c r="V178" i="13" s="1"/>
  <c r="O178" i="13"/>
  <c r="U178" i="13" s="1"/>
  <c r="Z177" i="13"/>
  <c r="Y177" i="13"/>
  <c r="X177" i="13"/>
  <c r="Z176" i="13"/>
  <c r="Y176" i="13"/>
  <c r="X176" i="13"/>
  <c r="V176" i="13"/>
  <c r="T176" i="13"/>
  <c r="S176" i="13"/>
  <c r="R176" i="13"/>
  <c r="U176" i="13" s="1"/>
  <c r="Q176" i="13"/>
  <c r="W176" i="13" s="1"/>
  <c r="P176" i="13"/>
  <c r="O176" i="13"/>
  <c r="Z175" i="13"/>
  <c r="Y175" i="13"/>
  <c r="X175" i="13"/>
  <c r="T175" i="13"/>
  <c r="S175" i="13"/>
  <c r="R175" i="13"/>
  <c r="Q175" i="13"/>
  <c r="P175" i="13"/>
  <c r="O175" i="13"/>
  <c r="Z174" i="13"/>
  <c r="Y174" i="13"/>
  <c r="X174" i="13"/>
  <c r="T174" i="13"/>
  <c r="S174" i="13"/>
  <c r="R174" i="13"/>
  <c r="Q174" i="13"/>
  <c r="AC174" i="13" s="1"/>
  <c r="P174" i="13"/>
  <c r="O174" i="13"/>
  <c r="T173" i="13"/>
  <c r="AC173" i="13" s="1"/>
  <c r="S173" i="13"/>
  <c r="R173" i="13"/>
  <c r="Q173" i="13"/>
  <c r="W173" i="13" s="1"/>
  <c r="P173" i="13"/>
  <c r="V173" i="13" s="1"/>
  <c r="O173" i="13"/>
  <c r="Z172" i="13"/>
  <c r="Y172" i="13"/>
  <c r="X172" i="13"/>
  <c r="T172" i="13"/>
  <c r="S172" i="13"/>
  <c r="R172" i="13"/>
  <c r="Q172" i="13"/>
  <c r="P172" i="13"/>
  <c r="O172" i="13"/>
  <c r="U172" i="13" s="1"/>
  <c r="Z171" i="13"/>
  <c r="Y171" i="13"/>
  <c r="X171" i="13"/>
  <c r="T171" i="13"/>
  <c r="S171" i="13"/>
  <c r="V171" i="13" s="1"/>
  <c r="R171" i="13"/>
  <c r="Q171" i="13"/>
  <c r="P171" i="13"/>
  <c r="O171" i="13"/>
  <c r="Z165" i="13"/>
  <c r="Y165" i="13"/>
  <c r="X165" i="13"/>
  <c r="U165" i="13"/>
  <c r="T165" i="13"/>
  <c r="S165" i="13"/>
  <c r="R165" i="13"/>
  <c r="Q165" i="13"/>
  <c r="W165" i="13" s="1"/>
  <c r="P165" i="13"/>
  <c r="V165" i="13" s="1"/>
  <c r="O165" i="13"/>
  <c r="U164" i="13"/>
  <c r="T164" i="13"/>
  <c r="S164" i="13"/>
  <c r="R164" i="13"/>
  <c r="AA164" i="13" s="1"/>
  <c r="Q164" i="13"/>
  <c r="P164" i="13"/>
  <c r="V164" i="13" s="1"/>
  <c r="O164" i="13"/>
  <c r="U163" i="13"/>
  <c r="T163" i="13"/>
  <c r="S163" i="13"/>
  <c r="R163" i="13"/>
  <c r="AA163" i="13" s="1"/>
  <c r="Q163" i="13"/>
  <c r="W163" i="13" s="1"/>
  <c r="P163" i="13"/>
  <c r="V163" i="13" s="1"/>
  <c r="O163" i="13"/>
  <c r="U162" i="13"/>
  <c r="T162" i="13"/>
  <c r="S162" i="13"/>
  <c r="R162" i="13"/>
  <c r="AA162" i="13" s="1"/>
  <c r="Q162" i="13"/>
  <c r="P162" i="13"/>
  <c r="V162" i="13" s="1"/>
  <c r="O162" i="13"/>
  <c r="U161" i="13"/>
  <c r="T161" i="13"/>
  <c r="S161" i="13"/>
  <c r="R161" i="13"/>
  <c r="AA161" i="13" s="1"/>
  <c r="Q161" i="13"/>
  <c r="W161" i="13" s="1"/>
  <c r="P161" i="13"/>
  <c r="V161" i="13" s="1"/>
  <c r="O161" i="13"/>
  <c r="Z160" i="13"/>
  <c r="Y160" i="13"/>
  <c r="X160" i="13"/>
  <c r="T160" i="13"/>
  <c r="S160" i="13"/>
  <c r="R160" i="13"/>
  <c r="Q160" i="13"/>
  <c r="P160" i="13"/>
  <c r="O160" i="13"/>
  <c r="Z159" i="13"/>
  <c r="Y159" i="13"/>
  <c r="X159" i="13"/>
  <c r="V159" i="13"/>
  <c r="T159" i="13"/>
  <c r="S159" i="13"/>
  <c r="R159" i="13"/>
  <c r="Q159" i="13"/>
  <c r="AC159" i="13" s="1"/>
  <c r="P159" i="13"/>
  <c r="O159" i="13"/>
  <c r="Z158" i="13"/>
  <c r="Y158" i="13"/>
  <c r="X158" i="13"/>
  <c r="V155" i="13"/>
  <c r="T155" i="13"/>
  <c r="S155" i="13"/>
  <c r="AB155" i="13" s="1"/>
  <c r="R155" i="13"/>
  <c r="AA155" i="13" s="1"/>
  <c r="Q155" i="13"/>
  <c r="W155" i="13" s="1"/>
  <c r="P155" i="13"/>
  <c r="O155" i="13"/>
  <c r="Z154" i="13"/>
  <c r="Y154" i="13"/>
  <c r="X154" i="13"/>
  <c r="T154" i="13"/>
  <c r="S154" i="13"/>
  <c r="R154" i="13"/>
  <c r="Q154" i="13"/>
  <c r="P154" i="13"/>
  <c r="O154" i="13"/>
  <c r="Z153" i="13"/>
  <c r="Y153" i="13"/>
  <c r="X153" i="13"/>
  <c r="T153" i="13"/>
  <c r="S153" i="13"/>
  <c r="R153" i="13"/>
  <c r="Q153" i="13"/>
  <c r="AC153" i="13" s="1"/>
  <c r="P153" i="13"/>
  <c r="O153" i="13"/>
  <c r="Z151" i="13"/>
  <c r="Y151" i="13"/>
  <c r="X151" i="13"/>
  <c r="V151" i="13"/>
  <c r="T151" i="13"/>
  <c r="S151" i="13"/>
  <c r="R151" i="13"/>
  <c r="Q151" i="13"/>
  <c r="P151" i="13"/>
  <c r="AB151" i="13" s="1"/>
  <c r="O151" i="13"/>
  <c r="Z150" i="13"/>
  <c r="Y150" i="13"/>
  <c r="X150" i="13"/>
  <c r="T150" i="13"/>
  <c r="S150" i="13"/>
  <c r="R150" i="13"/>
  <c r="Q150" i="13"/>
  <c r="P150" i="13"/>
  <c r="O150" i="13"/>
  <c r="Z149" i="13"/>
  <c r="Y149" i="13"/>
  <c r="X149" i="13"/>
  <c r="T149" i="13"/>
  <c r="S149" i="13"/>
  <c r="R149" i="13"/>
  <c r="U149" i="13" s="1"/>
  <c r="Q149" i="13"/>
  <c r="W149" i="13" s="1"/>
  <c r="P149" i="13"/>
  <c r="O149" i="13"/>
  <c r="T148" i="13"/>
  <c r="S148" i="13"/>
  <c r="R148" i="13"/>
  <c r="U148" i="13" s="1"/>
  <c r="Q148" i="13"/>
  <c r="W148" i="13" s="1"/>
  <c r="P148" i="13"/>
  <c r="O148" i="13"/>
  <c r="T147" i="13"/>
  <c r="S147" i="13"/>
  <c r="R147" i="13"/>
  <c r="U147" i="13" s="1"/>
  <c r="Q147" i="13"/>
  <c r="W147" i="13" s="1"/>
  <c r="P147" i="13"/>
  <c r="O147" i="13"/>
  <c r="Z146" i="13"/>
  <c r="Y146" i="13"/>
  <c r="X146" i="13"/>
  <c r="T146" i="13"/>
  <c r="S146" i="13"/>
  <c r="R146" i="13"/>
  <c r="Q146" i="13"/>
  <c r="P146" i="13"/>
  <c r="O146" i="13"/>
  <c r="U146" i="13" s="1"/>
  <c r="Z145" i="13"/>
  <c r="Y145" i="13"/>
  <c r="X145" i="13"/>
  <c r="AC144" i="13"/>
  <c r="T144" i="13"/>
  <c r="S144" i="13"/>
  <c r="AB144" i="13" s="1"/>
  <c r="R144" i="13"/>
  <c r="Q144" i="13"/>
  <c r="W144" i="13" s="1"/>
  <c r="P144" i="13"/>
  <c r="O144" i="13"/>
  <c r="U144" i="13" s="1"/>
  <c r="Z143" i="13"/>
  <c r="Y143" i="13"/>
  <c r="X143" i="13"/>
  <c r="V143" i="13"/>
  <c r="T143" i="13"/>
  <c r="S143" i="13"/>
  <c r="R143" i="13"/>
  <c r="Q143" i="13"/>
  <c r="W143" i="13" s="1"/>
  <c r="P143" i="13"/>
  <c r="O143" i="13"/>
  <c r="Z142" i="13"/>
  <c r="Y142" i="13"/>
  <c r="X142" i="13"/>
  <c r="U142" i="13"/>
  <c r="T142" i="13"/>
  <c r="S142" i="13"/>
  <c r="R142" i="13"/>
  <c r="Q142" i="13"/>
  <c r="W142" i="13" s="1"/>
  <c r="P142" i="13"/>
  <c r="V142" i="13" s="1"/>
  <c r="O142" i="13"/>
  <c r="AA142" i="13" s="1"/>
  <c r="Z141" i="13"/>
  <c r="Y141" i="13"/>
  <c r="X141" i="13"/>
  <c r="T141" i="13"/>
  <c r="S141" i="13"/>
  <c r="R141" i="13"/>
  <c r="Q141" i="13"/>
  <c r="P141" i="13"/>
  <c r="V141" i="13" s="1"/>
  <c r="O141" i="13"/>
  <c r="AB140" i="13"/>
  <c r="T140" i="13"/>
  <c r="S140" i="13"/>
  <c r="R140" i="13"/>
  <c r="U140" i="13" s="1"/>
  <c r="Q140" i="13"/>
  <c r="P140" i="13"/>
  <c r="V140" i="13" s="1"/>
  <c r="O140" i="13"/>
  <c r="AB139" i="13"/>
  <c r="T139" i="13"/>
  <c r="S139" i="13"/>
  <c r="R139" i="13"/>
  <c r="U139" i="13" s="1"/>
  <c r="Q139" i="13"/>
  <c r="P139" i="13"/>
  <c r="V139" i="13" s="1"/>
  <c r="O139" i="13"/>
  <c r="Z138" i="13"/>
  <c r="Y138" i="13"/>
  <c r="X138" i="13"/>
  <c r="T138" i="13"/>
  <c r="S138" i="13"/>
  <c r="R138" i="13"/>
  <c r="Q138" i="13"/>
  <c r="AC138" i="13" s="1"/>
  <c r="P138" i="13"/>
  <c r="O138" i="13"/>
  <c r="U138" i="13" s="1"/>
  <c r="Z137" i="13"/>
  <c r="Y137" i="13"/>
  <c r="X137" i="13"/>
  <c r="T137" i="13"/>
  <c r="S137" i="13"/>
  <c r="R137" i="13"/>
  <c r="AA137" i="13" s="1"/>
  <c r="Q137" i="13"/>
  <c r="AC137" i="13" s="1"/>
  <c r="P137" i="13"/>
  <c r="AB137" i="13" s="1"/>
  <c r="O137" i="13"/>
  <c r="Z136" i="13"/>
  <c r="Y136" i="13"/>
  <c r="X136" i="13"/>
  <c r="Z135" i="13"/>
  <c r="Y135" i="13"/>
  <c r="X135" i="13"/>
  <c r="T135" i="13"/>
  <c r="S135" i="13"/>
  <c r="R135" i="13"/>
  <c r="Q135" i="13"/>
  <c r="W135" i="13" s="1"/>
  <c r="P135" i="13"/>
  <c r="O135" i="13"/>
  <c r="W134" i="13"/>
  <c r="V134" i="13"/>
  <c r="U134" i="13"/>
  <c r="Z132" i="13"/>
  <c r="Y132" i="13"/>
  <c r="X132" i="13"/>
  <c r="T132" i="13"/>
  <c r="S132" i="13"/>
  <c r="R132" i="13"/>
  <c r="Q132" i="13"/>
  <c r="P132" i="13"/>
  <c r="AB132" i="13" s="1"/>
  <c r="O132" i="13"/>
  <c r="U132" i="13" s="1"/>
  <c r="Z131" i="13"/>
  <c r="Y131" i="13"/>
  <c r="X131" i="13"/>
  <c r="Z130" i="13"/>
  <c r="Y130" i="13"/>
  <c r="X130" i="13"/>
  <c r="U130" i="13"/>
  <c r="T130" i="13"/>
  <c r="S130" i="13"/>
  <c r="R130" i="13"/>
  <c r="Q130" i="13"/>
  <c r="W130" i="13" s="1"/>
  <c r="P130" i="13"/>
  <c r="V130" i="13" s="1"/>
  <c r="O130" i="13"/>
  <c r="AA130" i="13" s="1"/>
  <c r="Z129" i="13"/>
  <c r="Y129" i="13"/>
  <c r="X129" i="13"/>
  <c r="T127" i="13"/>
  <c r="S127" i="13"/>
  <c r="R127" i="13"/>
  <c r="Q127" i="13"/>
  <c r="P127" i="13"/>
  <c r="O127" i="13"/>
  <c r="AA126" i="13"/>
  <c r="T126" i="13"/>
  <c r="S126" i="13"/>
  <c r="R126" i="13"/>
  <c r="Q126" i="13"/>
  <c r="P126" i="13"/>
  <c r="O126" i="13"/>
  <c r="Z125" i="13"/>
  <c r="Y125" i="13"/>
  <c r="X125" i="13"/>
  <c r="T125" i="13"/>
  <c r="S125" i="13"/>
  <c r="R125" i="13"/>
  <c r="Q125" i="13"/>
  <c r="P125" i="13"/>
  <c r="O125" i="13"/>
  <c r="U125" i="13" s="1"/>
  <c r="Z124" i="13"/>
  <c r="Y124" i="13"/>
  <c r="X124" i="13"/>
  <c r="Z123" i="13"/>
  <c r="Y123" i="13"/>
  <c r="X123" i="13"/>
  <c r="U123" i="13"/>
  <c r="T123" i="13"/>
  <c r="S123" i="13"/>
  <c r="R123" i="13"/>
  <c r="Q123" i="13"/>
  <c r="W123" i="13" s="1"/>
  <c r="P123" i="13"/>
  <c r="V123" i="13" s="1"/>
  <c r="O123" i="13"/>
  <c r="AA123" i="13" s="1"/>
  <c r="Z122" i="13"/>
  <c r="Y122" i="13"/>
  <c r="X122" i="13"/>
  <c r="T122" i="13"/>
  <c r="S122" i="13"/>
  <c r="R122" i="13"/>
  <c r="Q122" i="13"/>
  <c r="AC122" i="13" s="1"/>
  <c r="P122" i="13"/>
  <c r="V122" i="13" s="1"/>
  <c r="O122" i="13"/>
  <c r="AA121" i="13"/>
  <c r="T121" i="13"/>
  <c r="S121" i="13"/>
  <c r="R121" i="13"/>
  <c r="Q121" i="13"/>
  <c r="P121" i="13"/>
  <c r="O121" i="13"/>
  <c r="U121" i="13" s="1"/>
  <c r="Z120" i="13"/>
  <c r="Y120" i="13"/>
  <c r="X120" i="13"/>
  <c r="T119" i="13"/>
  <c r="S119" i="13"/>
  <c r="R119" i="13"/>
  <c r="Q119" i="13"/>
  <c r="AC119" i="13" s="1"/>
  <c r="P119" i="13"/>
  <c r="O119" i="13"/>
  <c r="Z118" i="13"/>
  <c r="Y118" i="13"/>
  <c r="X118" i="13"/>
  <c r="T118" i="13"/>
  <c r="S118" i="13"/>
  <c r="R118" i="13"/>
  <c r="Q118" i="13"/>
  <c r="P118" i="13"/>
  <c r="AB118" i="13" s="1"/>
  <c r="O118" i="13"/>
  <c r="V117" i="13"/>
  <c r="T117" i="13"/>
  <c r="S117" i="13"/>
  <c r="R117" i="13"/>
  <c r="Q117" i="13"/>
  <c r="P117" i="13"/>
  <c r="AB117" i="13" s="1"/>
  <c r="O117" i="13"/>
  <c r="T116" i="13"/>
  <c r="S116" i="13"/>
  <c r="R116" i="13"/>
  <c r="Q116" i="13"/>
  <c r="P116" i="13"/>
  <c r="AB116" i="13" s="1"/>
  <c r="O116" i="13"/>
  <c r="Z115" i="13"/>
  <c r="Y115" i="13"/>
  <c r="X115" i="13"/>
  <c r="T115" i="13"/>
  <c r="S115" i="13"/>
  <c r="R115" i="13"/>
  <c r="Q115" i="13"/>
  <c r="W115" i="13" s="1"/>
  <c r="P115" i="13"/>
  <c r="O115" i="13"/>
  <c r="Z114" i="13"/>
  <c r="Y114" i="13"/>
  <c r="X114" i="13"/>
  <c r="T114" i="13"/>
  <c r="W114" i="13" s="1"/>
  <c r="S114" i="13"/>
  <c r="R114" i="13"/>
  <c r="Q114" i="13"/>
  <c r="P114" i="13"/>
  <c r="V114" i="13" s="1"/>
  <c r="O114" i="13"/>
  <c r="U114" i="13" s="1"/>
  <c r="Z113" i="13"/>
  <c r="Y113" i="13"/>
  <c r="X113" i="13"/>
  <c r="T113" i="13"/>
  <c r="S113" i="13"/>
  <c r="V113" i="13" s="1"/>
  <c r="R113" i="13"/>
  <c r="Q113" i="13"/>
  <c r="AC113" i="13" s="1"/>
  <c r="P113" i="13"/>
  <c r="O113" i="13"/>
  <c r="Z112" i="13"/>
  <c r="Y112" i="13"/>
  <c r="X112" i="13"/>
  <c r="V112" i="13"/>
  <c r="T112" i="13"/>
  <c r="S112" i="13"/>
  <c r="R112" i="13"/>
  <c r="Q112" i="13"/>
  <c r="W112" i="13" s="1"/>
  <c r="P112" i="13"/>
  <c r="AB112" i="13" s="1"/>
  <c r="O112" i="13"/>
  <c r="AA112" i="13" s="1"/>
  <c r="Z111" i="13"/>
  <c r="Y111" i="13"/>
  <c r="X111" i="13"/>
  <c r="Z110" i="13"/>
  <c r="Y110" i="13"/>
  <c r="X110" i="13"/>
  <c r="T110" i="13"/>
  <c r="S110" i="13"/>
  <c r="R110" i="13"/>
  <c r="Q110" i="13"/>
  <c r="P110" i="13"/>
  <c r="V110" i="13" s="1"/>
  <c r="O110" i="13"/>
  <c r="U110" i="13" s="1"/>
  <c r="T106" i="13"/>
  <c r="S106" i="13"/>
  <c r="R106" i="13"/>
  <c r="Q106" i="13"/>
  <c r="P106" i="13"/>
  <c r="O106" i="13"/>
  <c r="T105" i="13"/>
  <c r="S105" i="13"/>
  <c r="R105" i="13"/>
  <c r="AA105" i="13" s="1"/>
  <c r="Q105" i="13"/>
  <c r="P105" i="13"/>
  <c r="O105" i="13"/>
  <c r="Z103" i="13"/>
  <c r="Y103" i="13"/>
  <c r="X103" i="13"/>
  <c r="T103" i="13"/>
  <c r="S103" i="13"/>
  <c r="R103" i="13"/>
  <c r="Q103" i="13"/>
  <c r="AC103" i="13" s="1"/>
  <c r="P103" i="13"/>
  <c r="O103" i="13"/>
  <c r="AA103" i="13" s="1"/>
  <c r="Z102" i="13"/>
  <c r="Y102" i="13"/>
  <c r="X102" i="13"/>
  <c r="T102" i="13"/>
  <c r="S102" i="13"/>
  <c r="R102" i="13"/>
  <c r="Q102" i="13"/>
  <c r="P102" i="13"/>
  <c r="O102" i="13"/>
  <c r="AA102" i="13" s="1"/>
  <c r="Z101" i="13"/>
  <c r="Y101" i="13"/>
  <c r="X101" i="13"/>
  <c r="W100" i="13"/>
  <c r="V100" i="13"/>
  <c r="U100" i="13"/>
  <c r="Q100" i="13"/>
  <c r="P100" i="13"/>
  <c r="O100" i="13"/>
  <c r="Z99" i="13"/>
  <c r="Y99" i="13"/>
  <c r="X99" i="13"/>
  <c r="Z98" i="13"/>
  <c r="Y98" i="13"/>
  <c r="X98" i="13"/>
  <c r="T98" i="13"/>
  <c r="S98" i="13"/>
  <c r="R98" i="13"/>
  <c r="AA98" i="13" s="1"/>
  <c r="AF27" i="11" s="1"/>
  <c r="Q98" i="13"/>
  <c r="P98" i="13"/>
  <c r="V98" i="13" s="1"/>
  <c r="O98" i="13"/>
  <c r="Z97" i="13"/>
  <c r="Y97" i="13"/>
  <c r="X97" i="13"/>
  <c r="T97" i="13"/>
  <c r="S97" i="13"/>
  <c r="AB97" i="13" s="1"/>
  <c r="R97" i="13"/>
  <c r="Q97" i="13"/>
  <c r="P97" i="13"/>
  <c r="O97" i="13"/>
  <c r="Z96" i="13"/>
  <c r="Y96" i="13"/>
  <c r="X96" i="13"/>
  <c r="Z95" i="13"/>
  <c r="Y95" i="13"/>
  <c r="X95" i="13"/>
  <c r="T95" i="13"/>
  <c r="S95" i="13"/>
  <c r="R95" i="13"/>
  <c r="Q95" i="13"/>
  <c r="P95" i="13"/>
  <c r="AB95" i="13" s="1"/>
  <c r="O95" i="13"/>
  <c r="AA95" i="13" s="1"/>
  <c r="Z94" i="13"/>
  <c r="Y94" i="13"/>
  <c r="X94" i="13"/>
  <c r="T94" i="13"/>
  <c r="S94" i="13"/>
  <c r="R94" i="13"/>
  <c r="Q94" i="13"/>
  <c r="AC94" i="13" s="1"/>
  <c r="P94" i="13"/>
  <c r="O94" i="13"/>
  <c r="Z93" i="13"/>
  <c r="Y93" i="13"/>
  <c r="X93" i="13"/>
  <c r="V92" i="13"/>
  <c r="T92" i="13"/>
  <c r="S92" i="13"/>
  <c r="R92" i="13"/>
  <c r="Q92" i="13"/>
  <c r="W92" i="13" s="1"/>
  <c r="P92" i="13"/>
  <c r="O92" i="13"/>
  <c r="W91" i="13"/>
  <c r="V91" i="13"/>
  <c r="T91" i="13"/>
  <c r="S91" i="13"/>
  <c r="AB91" i="13" s="1"/>
  <c r="R91" i="13"/>
  <c r="Q91" i="13"/>
  <c r="AC91" i="13" s="1"/>
  <c r="P91" i="13"/>
  <c r="O91" i="13"/>
  <c r="T90" i="13"/>
  <c r="W90" i="13" s="1"/>
  <c r="S90" i="13"/>
  <c r="R90" i="13"/>
  <c r="Q90" i="13"/>
  <c r="P90" i="13"/>
  <c r="V90" i="13" s="1"/>
  <c r="O90" i="13"/>
  <c r="Z89" i="13"/>
  <c r="Y89" i="13"/>
  <c r="X89" i="13"/>
  <c r="T89" i="13"/>
  <c r="S89" i="13"/>
  <c r="V89" i="13" s="1"/>
  <c r="R89" i="13"/>
  <c r="Q89" i="13"/>
  <c r="AC89" i="13" s="1"/>
  <c r="P89" i="13"/>
  <c r="O89" i="13"/>
  <c r="AA89" i="13" s="1"/>
  <c r="Z88" i="13"/>
  <c r="Y88" i="13"/>
  <c r="X88" i="13"/>
  <c r="U88" i="13"/>
  <c r="T88" i="13"/>
  <c r="S88" i="13"/>
  <c r="R88" i="13"/>
  <c r="Q88" i="13"/>
  <c r="AC88" i="13" s="1"/>
  <c r="P88" i="13"/>
  <c r="O88" i="13"/>
  <c r="AA88" i="13" s="1"/>
  <c r="Z87" i="13"/>
  <c r="Y87" i="13"/>
  <c r="X87" i="13"/>
  <c r="T87" i="13"/>
  <c r="S87" i="13"/>
  <c r="R87" i="13"/>
  <c r="Q87" i="13"/>
  <c r="AC87" i="13" s="1"/>
  <c r="P87" i="13"/>
  <c r="O87" i="13"/>
  <c r="AA87" i="13" s="1"/>
  <c r="Z86" i="13"/>
  <c r="Y86" i="13"/>
  <c r="X86" i="13"/>
  <c r="W86" i="13"/>
  <c r="T86" i="13"/>
  <c r="S86" i="13"/>
  <c r="R86" i="13"/>
  <c r="Q86" i="13"/>
  <c r="P86" i="13"/>
  <c r="AB86" i="13" s="1"/>
  <c r="O86" i="13"/>
  <c r="AC85" i="13"/>
  <c r="T85" i="13"/>
  <c r="S85" i="13"/>
  <c r="AB85" i="13" s="1"/>
  <c r="R85" i="13"/>
  <c r="Q85" i="13"/>
  <c r="W85" i="13" s="1"/>
  <c r="P85" i="13"/>
  <c r="O85" i="13"/>
  <c r="U85" i="13" s="1"/>
  <c r="Z84" i="13"/>
  <c r="Y84" i="13"/>
  <c r="X84" i="13"/>
  <c r="V84" i="13"/>
  <c r="T84" i="13"/>
  <c r="S84" i="13"/>
  <c r="R84" i="13"/>
  <c r="U84" i="13" s="1"/>
  <c r="Q84" i="13"/>
  <c r="P84" i="13"/>
  <c r="AB84" i="13" s="1"/>
  <c r="O84" i="13"/>
  <c r="Z83" i="13"/>
  <c r="Y83" i="13"/>
  <c r="X83" i="13"/>
  <c r="T83" i="13"/>
  <c r="S83" i="13"/>
  <c r="R83" i="13"/>
  <c r="Q83" i="13"/>
  <c r="P83" i="13"/>
  <c r="O83" i="13"/>
  <c r="T80" i="13"/>
  <c r="S80" i="13"/>
  <c r="R80" i="13"/>
  <c r="Q80" i="13"/>
  <c r="P80" i="13"/>
  <c r="O80" i="13"/>
  <c r="AC78" i="13"/>
  <c r="W78" i="13"/>
  <c r="T78" i="13"/>
  <c r="S78" i="13"/>
  <c r="AB78" i="13" s="1"/>
  <c r="R78" i="13"/>
  <c r="Q78" i="13"/>
  <c r="P78" i="13"/>
  <c r="O78" i="13"/>
  <c r="AC77" i="13"/>
  <c r="T77" i="13"/>
  <c r="W77" i="13" s="1"/>
  <c r="S77" i="13"/>
  <c r="R77" i="13"/>
  <c r="Q77" i="13"/>
  <c r="P77" i="13"/>
  <c r="V77" i="13" s="1"/>
  <c r="O77" i="13"/>
  <c r="T76" i="13"/>
  <c r="S76" i="13"/>
  <c r="R76" i="13"/>
  <c r="Q76" i="13"/>
  <c r="P76" i="13"/>
  <c r="O76" i="13"/>
  <c r="T74" i="13"/>
  <c r="S74" i="13"/>
  <c r="R74" i="13"/>
  <c r="U74" i="13" s="1"/>
  <c r="Q74" i="13"/>
  <c r="P74" i="13"/>
  <c r="AB74" i="13" s="1"/>
  <c r="O74" i="13"/>
  <c r="Z73" i="13"/>
  <c r="Y73" i="13"/>
  <c r="X73" i="13"/>
  <c r="T73" i="13"/>
  <c r="S73" i="13"/>
  <c r="R73" i="13"/>
  <c r="Q73" i="13"/>
  <c r="P73" i="13"/>
  <c r="O73" i="13"/>
  <c r="AA73" i="13" s="1"/>
  <c r="Z72" i="13"/>
  <c r="Y72" i="13"/>
  <c r="X72" i="13"/>
  <c r="Z71" i="13"/>
  <c r="Y71" i="13"/>
  <c r="X71" i="13"/>
  <c r="V70" i="13"/>
  <c r="T70" i="13"/>
  <c r="S70" i="13"/>
  <c r="AB70" i="13" s="1"/>
  <c r="R70" i="13"/>
  <c r="AA70" i="13" s="1"/>
  <c r="Q70" i="13"/>
  <c r="AC70" i="13" s="1"/>
  <c r="P70" i="13"/>
  <c r="O70" i="13"/>
  <c r="Z69" i="13"/>
  <c r="Y69" i="13"/>
  <c r="X69" i="13"/>
  <c r="T69" i="13"/>
  <c r="S69" i="13"/>
  <c r="R69" i="13"/>
  <c r="Q69" i="13"/>
  <c r="P69" i="13"/>
  <c r="AB69" i="13" s="1"/>
  <c r="O69" i="13"/>
  <c r="AA69" i="13" s="1"/>
  <c r="Z68" i="13"/>
  <c r="Y68" i="13"/>
  <c r="X68" i="13"/>
  <c r="T68" i="13"/>
  <c r="S68" i="13"/>
  <c r="R68" i="13"/>
  <c r="Q68" i="13"/>
  <c r="AC68" i="13" s="1"/>
  <c r="P68" i="13"/>
  <c r="O68" i="13"/>
  <c r="Z66" i="13"/>
  <c r="Y66" i="13"/>
  <c r="X66" i="13"/>
  <c r="V66" i="13"/>
  <c r="T66" i="13"/>
  <c r="S66" i="13"/>
  <c r="R66" i="13"/>
  <c r="Q66" i="13"/>
  <c r="AC66" i="13" s="1"/>
  <c r="P66" i="13"/>
  <c r="AB66" i="13" s="1"/>
  <c r="O66" i="13"/>
  <c r="Z65" i="13"/>
  <c r="Y65" i="13"/>
  <c r="X65" i="13"/>
  <c r="U65" i="13"/>
  <c r="T65" i="13"/>
  <c r="S65" i="13"/>
  <c r="R65" i="13"/>
  <c r="Q65" i="13"/>
  <c r="W65" i="13" s="1"/>
  <c r="P65" i="13"/>
  <c r="O65" i="13"/>
  <c r="AA65" i="13" s="1"/>
  <c r="Z61" i="13"/>
  <c r="Y61" i="13"/>
  <c r="X61" i="13"/>
  <c r="T61" i="13"/>
  <c r="S61" i="13"/>
  <c r="R61" i="13"/>
  <c r="Q61" i="13"/>
  <c r="P61" i="13"/>
  <c r="O61" i="13"/>
  <c r="AA61" i="13" s="1"/>
  <c r="Z59" i="13"/>
  <c r="Y59" i="13"/>
  <c r="X59" i="13"/>
  <c r="Z58" i="13"/>
  <c r="Y58" i="13"/>
  <c r="X58" i="13"/>
  <c r="T58" i="13"/>
  <c r="S58" i="13"/>
  <c r="R58" i="13"/>
  <c r="Q58" i="13"/>
  <c r="P58" i="13"/>
  <c r="AB58" i="13" s="1"/>
  <c r="O58" i="13"/>
  <c r="Z57" i="13"/>
  <c r="Y57" i="13"/>
  <c r="X57" i="13"/>
  <c r="T57" i="13"/>
  <c r="S57" i="13"/>
  <c r="R57" i="13"/>
  <c r="Q57" i="13"/>
  <c r="P57" i="13"/>
  <c r="O57" i="13"/>
  <c r="AA57" i="13" s="1"/>
  <c r="V56" i="13"/>
  <c r="T56" i="13"/>
  <c r="S56" i="13"/>
  <c r="R56" i="13"/>
  <c r="AA56" i="13" s="1"/>
  <c r="Q56" i="13"/>
  <c r="P56" i="13"/>
  <c r="AB56" i="13" s="1"/>
  <c r="O56" i="13"/>
  <c r="Z55" i="13"/>
  <c r="Y55" i="13"/>
  <c r="X55" i="13"/>
  <c r="Z53" i="13"/>
  <c r="Y53" i="13"/>
  <c r="X53" i="13"/>
  <c r="T53" i="13"/>
  <c r="S53" i="13"/>
  <c r="R53" i="13"/>
  <c r="Q53" i="13"/>
  <c r="P53" i="13"/>
  <c r="O53" i="13"/>
  <c r="Z52" i="13"/>
  <c r="Y52" i="13"/>
  <c r="X52" i="13"/>
  <c r="V52" i="13"/>
  <c r="T52" i="13"/>
  <c r="S52" i="13"/>
  <c r="R52" i="13"/>
  <c r="Q52" i="13"/>
  <c r="AC52" i="13" s="1"/>
  <c r="P52" i="13"/>
  <c r="O52" i="13"/>
  <c r="Z51" i="13"/>
  <c r="Y51" i="13"/>
  <c r="X51" i="13"/>
  <c r="T51" i="13"/>
  <c r="S51" i="13"/>
  <c r="R51" i="13"/>
  <c r="U51" i="13" s="1"/>
  <c r="Q51" i="13"/>
  <c r="P51" i="13"/>
  <c r="AB51" i="13" s="1"/>
  <c r="O51" i="13"/>
  <c r="Z50" i="13"/>
  <c r="Y50" i="13"/>
  <c r="X50" i="13"/>
  <c r="T50" i="13"/>
  <c r="S50" i="13"/>
  <c r="R50" i="13"/>
  <c r="Q50" i="13"/>
  <c r="P50" i="13"/>
  <c r="O50" i="13"/>
  <c r="Z49" i="13"/>
  <c r="Y49" i="13"/>
  <c r="X49" i="13"/>
  <c r="T49" i="13"/>
  <c r="S49" i="13"/>
  <c r="R49" i="13"/>
  <c r="Q49" i="13"/>
  <c r="AC49" i="13" s="1"/>
  <c r="P49" i="13"/>
  <c r="O49" i="13"/>
  <c r="Z48" i="13"/>
  <c r="Y48" i="13"/>
  <c r="X48" i="13"/>
  <c r="V48" i="13"/>
  <c r="T48" i="13"/>
  <c r="S48" i="13"/>
  <c r="R48" i="13"/>
  <c r="Q48" i="13"/>
  <c r="P48" i="13"/>
  <c r="O48" i="13"/>
  <c r="Z47" i="13"/>
  <c r="Y47" i="13"/>
  <c r="X47" i="13"/>
  <c r="T47" i="13"/>
  <c r="S47" i="13"/>
  <c r="V47" i="13" s="1"/>
  <c r="R47" i="13"/>
  <c r="Q47" i="13"/>
  <c r="P47" i="13"/>
  <c r="O47" i="13"/>
  <c r="Z46" i="13"/>
  <c r="Y46" i="13"/>
  <c r="X46" i="13"/>
  <c r="U46" i="13"/>
  <c r="T46" i="13"/>
  <c r="S46" i="13"/>
  <c r="R46" i="13"/>
  <c r="Q46" i="13"/>
  <c r="P46" i="13"/>
  <c r="V46" i="13" s="1"/>
  <c r="O46" i="13"/>
  <c r="Z45" i="13"/>
  <c r="Y45" i="13"/>
  <c r="X45" i="13"/>
  <c r="T45" i="13"/>
  <c r="S45" i="13"/>
  <c r="R45" i="13"/>
  <c r="Q45" i="13"/>
  <c r="P45" i="13"/>
  <c r="O45" i="13"/>
  <c r="T44" i="13"/>
  <c r="S44" i="13"/>
  <c r="R44" i="13"/>
  <c r="Q44" i="13"/>
  <c r="W44" i="13" s="1"/>
  <c r="P44" i="13"/>
  <c r="O44" i="13"/>
  <c r="Z43" i="13"/>
  <c r="Y43" i="13"/>
  <c r="X43" i="13"/>
  <c r="V42" i="13"/>
  <c r="T42" i="13"/>
  <c r="S42" i="13"/>
  <c r="AB42" i="13" s="1"/>
  <c r="R42" i="13"/>
  <c r="Q42" i="13"/>
  <c r="W42" i="13" s="1"/>
  <c r="P42" i="13"/>
  <c r="O42" i="13"/>
  <c r="AC41" i="13"/>
  <c r="W41" i="13"/>
  <c r="T41" i="13"/>
  <c r="S41" i="13"/>
  <c r="AB41" i="13" s="1"/>
  <c r="R41" i="13"/>
  <c r="Q41" i="13"/>
  <c r="P41" i="13"/>
  <c r="O41" i="13"/>
  <c r="U41" i="13" s="1"/>
  <c r="Z38" i="13"/>
  <c r="Y38" i="13"/>
  <c r="X38" i="13"/>
  <c r="V38" i="13"/>
  <c r="T38" i="13"/>
  <c r="S38" i="13"/>
  <c r="R38" i="13"/>
  <c r="U38" i="13" s="1"/>
  <c r="Q38" i="13"/>
  <c r="W38" i="13" s="1"/>
  <c r="P38" i="13"/>
  <c r="O38" i="13"/>
  <c r="U36" i="13"/>
  <c r="T36" i="13"/>
  <c r="S36" i="13"/>
  <c r="V36" i="13" s="1"/>
  <c r="R36" i="13"/>
  <c r="Q36" i="13"/>
  <c r="P36" i="13"/>
  <c r="O36" i="13"/>
  <c r="Z34" i="13"/>
  <c r="Y34" i="13"/>
  <c r="X34" i="13"/>
  <c r="T34" i="13"/>
  <c r="S34" i="13"/>
  <c r="R34" i="13"/>
  <c r="Q34" i="13"/>
  <c r="P34" i="13"/>
  <c r="O34" i="13"/>
  <c r="AA34" i="13" s="1"/>
  <c r="Z33" i="13"/>
  <c r="Y33" i="13"/>
  <c r="X33" i="13"/>
  <c r="T33" i="13"/>
  <c r="S33" i="13"/>
  <c r="R33" i="13"/>
  <c r="Q33" i="13"/>
  <c r="AC33" i="13" s="1"/>
  <c r="P33" i="13"/>
  <c r="O33" i="13"/>
  <c r="U33" i="13" s="1"/>
  <c r="Z32" i="13"/>
  <c r="Y32" i="13"/>
  <c r="X32" i="13"/>
  <c r="T32" i="13"/>
  <c r="W32" i="13" s="1"/>
  <c r="S32" i="13"/>
  <c r="R32" i="13"/>
  <c r="Q32" i="13"/>
  <c r="P32" i="13"/>
  <c r="AB32" i="13" s="1"/>
  <c r="O32" i="13"/>
  <c r="V31" i="13"/>
  <c r="T31" i="13"/>
  <c r="S31" i="13"/>
  <c r="AB31" i="13" s="1"/>
  <c r="R31" i="13"/>
  <c r="Q31" i="13"/>
  <c r="W31" i="13" s="1"/>
  <c r="P31" i="13"/>
  <c r="O31" i="13"/>
  <c r="W30" i="13"/>
  <c r="T30" i="13"/>
  <c r="AC30" i="13" s="1"/>
  <c r="S30" i="13"/>
  <c r="R30" i="13"/>
  <c r="Q30" i="13"/>
  <c r="P30" i="13"/>
  <c r="V30" i="13" s="1"/>
  <c r="O30" i="13"/>
  <c r="Z28" i="13"/>
  <c r="Y28" i="13"/>
  <c r="X28" i="13"/>
  <c r="Z27" i="13"/>
  <c r="Y27" i="13"/>
  <c r="X27" i="13"/>
  <c r="T26" i="13"/>
  <c r="S26" i="13"/>
  <c r="R26" i="13"/>
  <c r="U26" i="13" s="1"/>
  <c r="Q26" i="13"/>
  <c r="P26" i="13"/>
  <c r="O26" i="13"/>
  <c r="T25" i="13"/>
  <c r="S25" i="13"/>
  <c r="R25" i="13"/>
  <c r="U25" i="13" s="1"/>
  <c r="Q25" i="13"/>
  <c r="P25" i="13"/>
  <c r="O25" i="13"/>
  <c r="Z23" i="13"/>
  <c r="Y23" i="13"/>
  <c r="X23" i="13"/>
  <c r="T23" i="13"/>
  <c r="S23" i="13"/>
  <c r="R23" i="13"/>
  <c r="AA23" i="13" s="1"/>
  <c r="Q23" i="13"/>
  <c r="P23" i="13"/>
  <c r="AB23" i="13" s="1"/>
  <c r="O23" i="13"/>
  <c r="T22" i="13"/>
  <c r="S22" i="13"/>
  <c r="R22" i="13"/>
  <c r="Q22" i="13"/>
  <c r="W22" i="13" s="1"/>
  <c r="P22" i="13"/>
  <c r="O22" i="13"/>
  <c r="Z21" i="13"/>
  <c r="Y21" i="13"/>
  <c r="X21" i="13"/>
  <c r="T21" i="13"/>
  <c r="S21" i="13"/>
  <c r="R21" i="13"/>
  <c r="Q21" i="13"/>
  <c r="AC21" i="13" s="1"/>
  <c r="P21" i="13"/>
  <c r="O21" i="13"/>
  <c r="Z17" i="13"/>
  <c r="Y17" i="13"/>
  <c r="X17" i="13"/>
  <c r="T17" i="13"/>
  <c r="S17" i="13"/>
  <c r="R17" i="13"/>
  <c r="U17" i="13" s="1"/>
  <c r="Q17" i="13"/>
  <c r="P17" i="13"/>
  <c r="AB17" i="13" s="1"/>
  <c r="O17" i="13"/>
  <c r="Z16" i="13"/>
  <c r="Y16" i="13"/>
  <c r="X16" i="13"/>
  <c r="T16" i="13"/>
  <c r="S16" i="13"/>
  <c r="R16" i="13"/>
  <c r="Q16" i="13"/>
  <c r="P16" i="13"/>
  <c r="AB16" i="13" s="1"/>
  <c r="O16" i="13"/>
  <c r="Z15" i="13"/>
  <c r="Y15" i="13"/>
  <c r="X15" i="13"/>
  <c r="V15" i="13"/>
  <c r="T15" i="13"/>
  <c r="S15" i="13"/>
  <c r="R15" i="13"/>
  <c r="Q15" i="13"/>
  <c r="AC15" i="13" s="1"/>
  <c r="P15" i="13"/>
  <c r="O15" i="13"/>
  <c r="AA15" i="13" s="1"/>
  <c r="Z14" i="13"/>
  <c r="Y14" i="13"/>
  <c r="X14" i="13"/>
  <c r="T14" i="13"/>
  <c r="S14" i="13"/>
  <c r="R14" i="13"/>
  <c r="U14" i="13" s="1"/>
  <c r="Q14" i="13"/>
  <c r="P14" i="13"/>
  <c r="AB14" i="13" s="1"/>
  <c r="O14" i="13"/>
  <c r="U6" i="13"/>
  <c r="T6" i="13"/>
  <c r="S6" i="13"/>
  <c r="V6" i="13" s="1"/>
  <c r="R6" i="13"/>
  <c r="Q6" i="13"/>
  <c r="W6" i="13" s="1"/>
  <c r="P6" i="13"/>
  <c r="O6" i="13"/>
  <c r="AA6" i="13" s="1"/>
  <c r="Z5" i="13"/>
  <c r="Y5" i="13"/>
  <c r="X5" i="13"/>
  <c r="T5" i="13"/>
  <c r="S5" i="13"/>
  <c r="R5" i="13"/>
  <c r="Q5" i="13"/>
  <c r="AC5" i="13" s="1"/>
  <c r="P5" i="13"/>
  <c r="O5" i="13"/>
  <c r="AA5" i="13" s="1"/>
  <c r="Z4" i="13"/>
  <c r="Y4" i="13"/>
  <c r="X4" i="13"/>
  <c r="T4" i="13"/>
  <c r="S4" i="13"/>
  <c r="R4" i="13"/>
  <c r="Q4" i="13"/>
  <c r="AC4" i="13" s="1"/>
  <c r="P4" i="13"/>
  <c r="O4" i="13"/>
  <c r="U4" i="13" s="1"/>
  <c r="AR8" i="11"/>
  <c r="AS8" i="11"/>
  <c r="AR9" i="11"/>
  <c r="AS9" i="11"/>
  <c r="AR10" i="11"/>
  <c r="AS10" i="11"/>
  <c r="AR11" i="11"/>
  <c r="AS11" i="11"/>
  <c r="AR12" i="11"/>
  <c r="AS12" i="11"/>
  <c r="AR13" i="11"/>
  <c r="AS13" i="11"/>
  <c r="AR14" i="11"/>
  <c r="AS14" i="11"/>
  <c r="AR15" i="11"/>
  <c r="AS15" i="11"/>
  <c r="AR16" i="11"/>
  <c r="AS16" i="11"/>
  <c r="AR17" i="11"/>
  <c r="AS17" i="11"/>
  <c r="AL8" i="11"/>
  <c r="AL9" i="11"/>
  <c r="AL10" i="11"/>
  <c r="AL11" i="11"/>
  <c r="AL12" i="11"/>
  <c r="AL13" i="11"/>
  <c r="AL14" i="11"/>
  <c r="AL15" i="11"/>
  <c r="AL16" i="11"/>
  <c r="AL17" i="11"/>
  <c r="AK8" i="11"/>
  <c r="AK9" i="11"/>
  <c r="AK10" i="11"/>
  <c r="AK11" i="11"/>
  <c r="AK12" i="11"/>
  <c r="AK13" i="11"/>
  <c r="AK14" i="11"/>
  <c r="AK15" i="11"/>
  <c r="AK16" i="11"/>
  <c r="AK17" i="11"/>
  <c r="AD8" i="11"/>
  <c r="AE8" i="11"/>
  <c r="AD9" i="11"/>
  <c r="AE9" i="11"/>
  <c r="AD10" i="11"/>
  <c r="AE10" i="11"/>
  <c r="AD11" i="11"/>
  <c r="AE11" i="11"/>
  <c r="AD12" i="11"/>
  <c r="AE12" i="11"/>
  <c r="AD13" i="11"/>
  <c r="AE13" i="11"/>
  <c r="AD14" i="11"/>
  <c r="AE14" i="11"/>
  <c r="AD15" i="11"/>
  <c r="AE15" i="11"/>
  <c r="AD16" i="11"/>
  <c r="AE16" i="11"/>
  <c r="AD17" i="11"/>
  <c r="AE17" i="11"/>
  <c r="W8" i="11"/>
  <c r="W9" i="11"/>
  <c r="W10" i="11"/>
  <c r="W11" i="11"/>
  <c r="W12" i="11"/>
  <c r="W13" i="11"/>
  <c r="W14" i="11"/>
  <c r="W15" i="11"/>
  <c r="W16" i="11"/>
  <c r="W17" i="11"/>
  <c r="V8" i="11"/>
  <c r="V9" i="11"/>
  <c r="V10" i="11"/>
  <c r="V11" i="11"/>
  <c r="V12" i="11"/>
  <c r="V13" i="11"/>
  <c r="V14" i="11"/>
  <c r="V15" i="11"/>
  <c r="V16" i="11"/>
  <c r="V17" i="11"/>
  <c r="O8" i="11"/>
  <c r="O9" i="11"/>
  <c r="O10" i="11"/>
  <c r="O11" i="11"/>
  <c r="O12" i="11"/>
  <c r="O13" i="11"/>
  <c r="O14" i="11"/>
  <c r="O15" i="11"/>
  <c r="O16" i="11"/>
  <c r="O17" i="11"/>
  <c r="N8" i="11"/>
  <c r="N9" i="11"/>
  <c r="N10" i="11"/>
  <c r="N11" i="11"/>
  <c r="N12" i="11"/>
  <c r="N13" i="11"/>
  <c r="N14" i="11"/>
  <c r="N15" i="11"/>
  <c r="N16" i="11"/>
  <c r="N17" i="11"/>
  <c r="G8" i="11"/>
  <c r="G9" i="11"/>
  <c r="G10" i="11"/>
  <c r="G11" i="11"/>
  <c r="G12" i="11"/>
  <c r="G13" i="11"/>
  <c r="G14" i="11"/>
  <c r="G15" i="11"/>
  <c r="G16" i="11"/>
  <c r="G17" i="11"/>
  <c r="F8" i="11"/>
  <c r="F9" i="11"/>
  <c r="F10" i="11"/>
  <c r="F11" i="11"/>
  <c r="F12" i="11"/>
  <c r="F13" i="11"/>
  <c r="F14" i="11"/>
  <c r="F15" i="11"/>
  <c r="F16" i="11"/>
  <c r="F17" i="11"/>
  <c r="AR7" i="11"/>
  <c r="AS7" i="11" s="1"/>
  <c r="AR6" i="11"/>
  <c r="AS6" i="11" s="1"/>
  <c r="AK7" i="11"/>
  <c r="AL7" i="11" s="1"/>
  <c r="AL6" i="11"/>
  <c r="AK6" i="11"/>
  <c r="AD7" i="11"/>
  <c r="AE7" i="11" s="1"/>
  <c r="AD6" i="11"/>
  <c r="AE6" i="11" s="1"/>
  <c r="V7" i="11"/>
  <c r="V6" i="11"/>
  <c r="W6" i="11" s="1"/>
  <c r="N7" i="11"/>
  <c r="O7" i="11" s="1"/>
  <c r="N6" i="11"/>
  <c r="O6" i="11" s="1"/>
  <c r="W7" i="11"/>
  <c r="T32" i="11"/>
  <c r="Q32" i="11"/>
  <c r="L32" i="11"/>
  <c r="K32" i="11"/>
  <c r="J32" i="11"/>
  <c r="I32" i="11"/>
  <c r="T31" i="11"/>
  <c r="Q31" i="11"/>
  <c r="L31" i="11"/>
  <c r="K31" i="11"/>
  <c r="J31" i="11"/>
  <c r="I31" i="11"/>
  <c r="T30" i="11"/>
  <c r="Q30" i="11"/>
  <c r="L30" i="11"/>
  <c r="K30" i="11"/>
  <c r="J30" i="11"/>
  <c r="I30" i="11"/>
  <c r="T29" i="11"/>
  <c r="Q29" i="11"/>
  <c r="L29" i="11"/>
  <c r="K29" i="11"/>
  <c r="J29" i="11"/>
  <c r="I29" i="11"/>
  <c r="T28" i="11"/>
  <c r="Q28" i="11"/>
  <c r="L28" i="11"/>
  <c r="K28" i="11"/>
  <c r="J28" i="11"/>
  <c r="I28" i="11"/>
  <c r="L27" i="11"/>
  <c r="K27" i="11"/>
  <c r="I27" i="11"/>
  <c r="J27" i="11" s="1"/>
  <c r="S27" i="11" s="1"/>
  <c r="D19" i="11"/>
  <c r="D20" i="11" s="1"/>
  <c r="D18" i="11"/>
  <c r="F7" i="11"/>
  <c r="G7" i="11" s="1"/>
  <c r="F6" i="11"/>
  <c r="G6" i="11" s="1"/>
  <c r="E19" i="11" s="1"/>
  <c r="AC48" i="13" l="1"/>
  <c r="W48" i="13"/>
  <c r="AC151" i="13"/>
  <c r="W151" i="13"/>
  <c r="W174" i="13"/>
  <c r="U5" i="13"/>
  <c r="AB6" i="13"/>
  <c r="V14" i="13"/>
  <c r="AA25" i="13"/>
  <c r="AA26" i="13"/>
  <c r="AC31" i="13"/>
  <c r="U34" i="13"/>
  <c r="AB36" i="13"/>
  <c r="AC42" i="13"/>
  <c r="W49" i="13"/>
  <c r="AA50" i="13"/>
  <c r="U50" i="13"/>
  <c r="V51" i="13"/>
  <c r="AB57" i="13"/>
  <c r="V57" i="13"/>
  <c r="U61" i="13"/>
  <c r="AA74" i="13"/>
  <c r="V85" i="13"/>
  <c r="W87" i="13"/>
  <c r="U89" i="13"/>
  <c r="AC90" i="13"/>
  <c r="AA115" i="13"/>
  <c r="U115" i="13"/>
  <c r="AA143" i="13"/>
  <c r="U143" i="13"/>
  <c r="AA147" i="13"/>
  <c r="AA148" i="13"/>
  <c r="AB150" i="13"/>
  <c r="V150" i="13"/>
  <c r="W153" i="13"/>
  <c r="AA154" i="13"/>
  <c r="U154" i="13"/>
  <c r="W4" i="13"/>
  <c r="W33" i="13"/>
  <c r="AA47" i="13"/>
  <c r="U47" i="13"/>
  <c r="W117" i="13"/>
  <c r="AC117" i="13"/>
  <c r="AC19" i="11"/>
  <c r="AB4" i="13"/>
  <c r="AA14" i="13"/>
  <c r="AB15" i="13"/>
  <c r="AC16" i="13"/>
  <c r="W16" i="13"/>
  <c r="W21" i="13"/>
  <c r="AA22" i="13"/>
  <c r="U23" i="13"/>
  <c r="AA38" i="13"/>
  <c r="V41" i="13"/>
  <c r="AB48" i="13"/>
  <c r="V50" i="13"/>
  <c r="U56" i="13"/>
  <c r="W57" i="13"/>
  <c r="AC57" i="13"/>
  <c r="U57" i="13"/>
  <c r="AB65" i="13"/>
  <c r="V65" i="13"/>
  <c r="W66" i="13"/>
  <c r="AC69" i="13"/>
  <c r="U69" i="13"/>
  <c r="AB73" i="13"/>
  <c r="V78" i="13"/>
  <c r="AC84" i="13"/>
  <c r="AC86" i="13"/>
  <c r="V86" i="13"/>
  <c r="AB88" i="13"/>
  <c r="U90" i="13"/>
  <c r="AB90" i="13"/>
  <c r="U91" i="13"/>
  <c r="AC92" i="13"/>
  <c r="AA94" i="13"/>
  <c r="AC95" i="13"/>
  <c r="U95" i="13"/>
  <c r="W110" i="13"/>
  <c r="W118" i="13"/>
  <c r="V118" i="13"/>
  <c r="AA135" i="13"/>
  <c r="U135" i="13"/>
  <c r="V146" i="13"/>
  <c r="V154" i="13"/>
  <c r="W162" i="13"/>
  <c r="AB172" i="13"/>
  <c r="V172" i="13"/>
  <c r="AA83" i="13"/>
  <c r="U83" i="13"/>
  <c r="U106" i="13"/>
  <c r="AA106" i="13"/>
  <c r="U113" i="13"/>
  <c r="AA113" i="13"/>
  <c r="AA171" i="13"/>
  <c r="U171" i="13"/>
  <c r="AA175" i="13"/>
  <c r="U175" i="13"/>
  <c r="V5" i="13"/>
  <c r="W14" i="13"/>
  <c r="W15" i="13"/>
  <c r="U16" i="13"/>
  <c r="AC17" i="13"/>
  <c r="U21" i="13"/>
  <c r="V21" i="13"/>
  <c r="AC22" i="13"/>
  <c r="AC23" i="13"/>
  <c r="W23" i="13"/>
  <c r="W26" i="13"/>
  <c r="U30" i="13"/>
  <c r="AB30" i="13"/>
  <c r="AC32" i="13"/>
  <c r="V32" i="13"/>
  <c r="V34" i="13"/>
  <c r="AA36" i="13"/>
  <c r="U45" i="13"/>
  <c r="AB47" i="13"/>
  <c r="W51" i="13"/>
  <c r="W52" i="13"/>
  <c r="U53" i="13"/>
  <c r="AA53" i="13"/>
  <c r="AC58" i="13"/>
  <c r="W58" i="13"/>
  <c r="V58" i="13"/>
  <c r="W68" i="13"/>
  <c r="U70" i="13"/>
  <c r="W74" i="13"/>
  <c r="U77" i="13"/>
  <c r="AB77" i="13"/>
  <c r="U78" i="13"/>
  <c r="AB83" i="13"/>
  <c r="W94" i="13"/>
  <c r="AA97" i="13"/>
  <c r="W98" i="13"/>
  <c r="U98" i="13"/>
  <c r="U102" i="13"/>
  <c r="W103" i="13"/>
  <c r="W116" i="13"/>
  <c r="AC116" i="13"/>
  <c r="V116" i="13"/>
  <c r="V125" i="13"/>
  <c r="U127" i="13"/>
  <c r="AA127" i="13"/>
  <c r="W137" i="13"/>
  <c r="V144" i="13"/>
  <c r="AA150" i="13"/>
  <c r="U150" i="13"/>
  <c r="U155" i="13"/>
  <c r="W159" i="13"/>
  <c r="U160" i="13"/>
  <c r="W164" i="13"/>
  <c r="V175" i="13"/>
  <c r="W178" i="13"/>
  <c r="U112" i="13"/>
  <c r="AB113" i="13"/>
  <c r="AC114" i="13"/>
  <c r="V115" i="13"/>
  <c r="U118" i="13"/>
  <c r="U122" i="13"/>
  <c r="AC125" i="13"/>
  <c r="W125" i="13"/>
  <c r="U126" i="13"/>
  <c r="AC127" i="13"/>
  <c r="AC132" i="13"/>
  <c r="W132" i="13"/>
  <c r="V135" i="13"/>
  <c r="U137" i="13"/>
  <c r="V137" i="13"/>
  <c r="V138" i="13"/>
  <c r="W138" i="13"/>
  <c r="AA139" i="13"/>
  <c r="AA140" i="13"/>
  <c r="U141" i="13"/>
  <c r="AB143" i="13"/>
  <c r="AC146" i="13"/>
  <c r="W146" i="13"/>
  <c r="AA149" i="13"/>
  <c r="W150" i="13"/>
  <c r="U153" i="13"/>
  <c r="W154" i="13"/>
  <c r="U159" i="13"/>
  <c r="V160" i="13"/>
  <c r="AB171" i="13"/>
  <c r="AC172" i="13"/>
  <c r="U174" i="13"/>
  <c r="W175" i="13"/>
  <c r="AA176" i="13"/>
  <c r="U182" i="13"/>
  <c r="AB38" i="13"/>
  <c r="AC44" i="13"/>
  <c r="AC45" i="13"/>
  <c r="W45" i="13"/>
  <c r="AA46" i="13"/>
  <c r="W47" i="13"/>
  <c r="U49" i="13"/>
  <c r="AA51" i="13"/>
  <c r="AB52" i="13"/>
  <c r="AC53" i="13"/>
  <c r="W53" i="13"/>
  <c r="V61" i="13"/>
  <c r="AB68" i="13"/>
  <c r="AC73" i="13"/>
  <c r="W73" i="13"/>
  <c r="AC83" i="13"/>
  <c r="AA84" i="13"/>
  <c r="AA86" i="13"/>
  <c r="AB87" i="13"/>
  <c r="AB89" i="13"/>
  <c r="U92" i="13"/>
  <c r="AB92" i="13"/>
  <c r="AB94" i="13"/>
  <c r="AC97" i="13"/>
  <c r="W97" i="13"/>
  <c r="AB102" i="13"/>
  <c r="V103" i="13"/>
  <c r="W113" i="13"/>
  <c r="W119" i="13"/>
  <c r="W122" i="13"/>
  <c r="V147" i="13"/>
  <c r="V148" i="13"/>
  <c r="V149" i="13"/>
  <c r="U151" i="13"/>
  <c r="V153" i="13"/>
  <c r="AB159" i="13"/>
  <c r="AC160" i="13"/>
  <c r="W160" i="13"/>
  <c r="AA165" i="13"/>
  <c r="W171" i="13"/>
  <c r="W172" i="13"/>
  <c r="U173" i="13"/>
  <c r="V174" i="13"/>
  <c r="AB176" i="13"/>
  <c r="U181" i="13"/>
  <c r="V182" i="13"/>
  <c r="T27" i="11"/>
  <c r="Q27" i="11"/>
  <c r="AJ19" i="11"/>
  <c r="U19" i="11"/>
  <c r="AQ19" i="11"/>
  <c r="AP19" i="11"/>
  <c r="AP20" i="11" s="1"/>
  <c r="AI19" i="11"/>
  <c r="AI20" i="11" s="1"/>
  <c r="AB19" i="11"/>
  <c r="AB20" i="11" s="1"/>
  <c r="L19" i="11"/>
  <c r="L20" i="11" s="1"/>
  <c r="V4" i="13"/>
  <c r="W5" i="13"/>
  <c r="U15" i="13"/>
  <c r="V16" i="13"/>
  <c r="AA17" i="13"/>
  <c r="V22" i="13"/>
  <c r="AB22" i="13"/>
  <c r="V23" i="13"/>
  <c r="AB25" i="13"/>
  <c r="V25" i="13"/>
  <c r="AB26" i="13"/>
  <c r="V26" i="13"/>
  <c r="AA33" i="13"/>
  <c r="AC38" i="13"/>
  <c r="AA49" i="13"/>
  <c r="AA52" i="13"/>
  <c r="AB53" i="13"/>
  <c r="AA4" i="13"/>
  <c r="AB5" i="13"/>
  <c r="AC14" i="13"/>
  <c r="AA16" i="13"/>
  <c r="AA21" i="13"/>
  <c r="W25" i="13"/>
  <c r="AC25" i="13"/>
  <c r="AC6" i="13"/>
  <c r="W17" i="13"/>
  <c r="AB21" i="13"/>
  <c r="U31" i="13"/>
  <c r="AC36" i="13"/>
  <c r="W36" i="13"/>
  <c r="U42" i="13"/>
  <c r="AA44" i="13"/>
  <c r="U44" i="13"/>
  <c r="AB45" i="13"/>
  <c r="AC46" i="13"/>
  <c r="AB46" i="13"/>
  <c r="AC47" i="13"/>
  <c r="AA58" i="13"/>
  <c r="AC61" i="13"/>
  <c r="AB61" i="13"/>
  <c r="AC65" i="13"/>
  <c r="AA68" i="13"/>
  <c r="U68" i="13"/>
  <c r="V17" i="13"/>
  <c r="U22" i="13"/>
  <c r="AA32" i="13"/>
  <c r="AB33" i="13"/>
  <c r="AC34" i="13"/>
  <c r="AB34" i="13"/>
  <c r="V44" i="13"/>
  <c r="AA45" i="13"/>
  <c r="AA48" i="13"/>
  <c r="AB49" i="13"/>
  <c r="AC50" i="13"/>
  <c r="AB50" i="13"/>
  <c r="AC51" i="13"/>
  <c r="AC56" i="13"/>
  <c r="W56" i="13"/>
  <c r="AA66" i="13"/>
  <c r="AC26" i="13"/>
  <c r="AA30" i="13"/>
  <c r="AA31" i="13"/>
  <c r="AA41" i="13"/>
  <c r="AA42" i="13"/>
  <c r="AB44" i="13"/>
  <c r="V69" i="13"/>
  <c r="W70" i="13"/>
  <c r="U73" i="13"/>
  <c r="V74" i="13"/>
  <c r="AC74" i="13"/>
  <c r="AA77" i="13"/>
  <c r="AA78" i="13"/>
  <c r="V83" i="13"/>
  <c r="W84" i="13"/>
  <c r="AA85" i="13"/>
  <c r="U87" i="13"/>
  <c r="V88" i="13"/>
  <c r="W89" i="13"/>
  <c r="AA90" i="13"/>
  <c r="AA91" i="13"/>
  <c r="AA92" i="13"/>
  <c r="U94" i="13"/>
  <c r="V95" i="13"/>
  <c r="AB98" i="13"/>
  <c r="AG27" i="11" s="1"/>
  <c r="W102" i="13"/>
  <c r="AC102" i="13"/>
  <c r="U103" i="13"/>
  <c r="AB105" i="13"/>
  <c r="V105" i="13"/>
  <c r="W105" i="13"/>
  <c r="AC105" i="13"/>
  <c r="AB114" i="13"/>
  <c r="AA118" i="13"/>
  <c r="AB122" i="13"/>
  <c r="AB125" i="13"/>
  <c r="AC139" i="13"/>
  <c r="W139" i="13"/>
  <c r="AC140" i="13"/>
  <c r="W140" i="13"/>
  <c r="AC141" i="13"/>
  <c r="W141" i="13"/>
  <c r="U32" i="13"/>
  <c r="V33" i="13"/>
  <c r="W34" i="13"/>
  <c r="V45" i="13"/>
  <c r="W46" i="13"/>
  <c r="U48" i="13"/>
  <c r="V49" i="13"/>
  <c r="W50" i="13"/>
  <c r="U52" i="13"/>
  <c r="V53" i="13"/>
  <c r="U58" i="13"/>
  <c r="W61" i="13"/>
  <c r="U66" i="13"/>
  <c r="V68" i="13"/>
  <c r="W69" i="13"/>
  <c r="V73" i="13"/>
  <c r="W83" i="13"/>
  <c r="U86" i="13"/>
  <c r="V87" i="13"/>
  <c r="W88" i="13"/>
  <c r="V94" i="13"/>
  <c r="W95" i="13"/>
  <c r="V97" i="13"/>
  <c r="AC98" i="13"/>
  <c r="AH27" i="11" s="1"/>
  <c r="V102" i="13"/>
  <c r="AB121" i="13"/>
  <c r="V121" i="13"/>
  <c r="W121" i="13"/>
  <c r="AC121" i="13"/>
  <c r="AA125" i="13"/>
  <c r="AC130" i="13"/>
  <c r="AC135" i="13"/>
  <c r="AB138" i="13"/>
  <c r="AB110" i="13"/>
  <c r="AA119" i="13"/>
  <c r="U119" i="13"/>
  <c r="V119" i="13"/>
  <c r="AB119" i="13"/>
  <c r="AB127" i="13"/>
  <c r="V127" i="13"/>
  <c r="U97" i="13"/>
  <c r="AB103" i="13"/>
  <c r="U105" i="13"/>
  <c r="AB106" i="13"/>
  <c r="V106" i="13"/>
  <c r="W106" i="13"/>
  <c r="AC106" i="13"/>
  <c r="AC110" i="13"/>
  <c r="AC115" i="13"/>
  <c r="U116" i="13"/>
  <c r="AA116" i="13"/>
  <c r="U117" i="13"/>
  <c r="AA117" i="13"/>
  <c r="AC123" i="13"/>
  <c r="AB126" i="13"/>
  <c r="V126" i="13"/>
  <c r="W126" i="13"/>
  <c r="AC126" i="13"/>
  <c r="W127" i="13"/>
  <c r="AA132" i="13"/>
  <c r="AA141" i="13"/>
  <c r="AB142" i="13"/>
  <c r="AC143" i="13"/>
  <c r="AA146" i="13"/>
  <c r="AB149" i="13"/>
  <c r="AC150" i="13"/>
  <c r="AA153" i="13"/>
  <c r="AB154" i="13"/>
  <c r="AA160" i="13"/>
  <c r="AB165" i="13"/>
  <c r="AC171" i="13"/>
  <c r="AA174" i="13"/>
  <c r="AB175" i="13"/>
  <c r="AC176" i="13"/>
  <c r="W182" i="13"/>
  <c r="AA110" i="13"/>
  <c r="AC112" i="13"/>
  <c r="AA114" i="13"/>
  <c r="AB115" i="13"/>
  <c r="AC118" i="13"/>
  <c r="AA122" i="13"/>
  <c r="AB123" i="13"/>
  <c r="AB130" i="13"/>
  <c r="V132" i="13"/>
  <c r="AB135" i="13"/>
  <c r="AA138" i="13"/>
  <c r="AB141" i="13"/>
  <c r="AC142" i="13"/>
  <c r="AB146" i="13"/>
  <c r="AB147" i="13"/>
  <c r="AB148" i="13"/>
  <c r="AC149" i="13"/>
  <c r="AA151" i="13"/>
  <c r="AB153" i="13"/>
  <c r="AC154" i="13"/>
  <c r="AC155" i="13"/>
  <c r="AA159" i="13"/>
  <c r="AB160" i="13"/>
  <c r="AB161" i="13"/>
  <c r="AB162" i="13"/>
  <c r="AB163" i="13"/>
  <c r="AB164" i="13"/>
  <c r="AC165" i="13"/>
  <c r="AA172" i="13"/>
  <c r="AA173" i="13"/>
  <c r="AB174" i="13"/>
  <c r="AC175" i="13"/>
  <c r="AA178" i="13"/>
  <c r="AA181" i="13"/>
  <c r="AA182" i="13"/>
  <c r="AA144" i="13"/>
  <c r="AC147" i="13"/>
  <c r="AC148" i="13"/>
  <c r="AC161" i="13"/>
  <c r="AC162" i="13"/>
  <c r="AC163" i="13"/>
  <c r="AC164" i="13"/>
  <c r="AB173" i="13"/>
  <c r="AB178" i="13"/>
  <c r="AB181" i="13"/>
  <c r="AB182" i="13"/>
  <c r="M19" i="11"/>
  <c r="H15" i="1" l="1"/>
  <c r="B19" i="1"/>
  <c r="D18" i="1" s="1"/>
  <c r="B16" i="1"/>
  <c r="D15" i="1" s="1"/>
  <c r="B18" i="1"/>
  <c r="E18" i="1" s="1"/>
  <c r="B15" i="1"/>
  <c r="E15" i="1" s="1"/>
  <c r="F18" i="1" l="1"/>
</calcChain>
</file>

<file path=xl/sharedStrings.xml><?xml version="1.0" encoding="utf-8"?>
<sst xmlns="http://schemas.openxmlformats.org/spreadsheetml/2006/main" count="2482" uniqueCount="312">
  <si>
    <t>HBGT401</t>
  </si>
  <si>
    <t>5.5 - 5.6</t>
  </si>
  <si>
    <t>HBGT402</t>
  </si>
  <si>
    <t>5.3 - 5.7</t>
  </si>
  <si>
    <t>HBGT403</t>
  </si>
  <si>
    <t>HBGT404</t>
  </si>
  <si>
    <t>5.4 - 5.7</t>
  </si>
  <si>
    <t>HBGT405</t>
  </si>
  <si>
    <t>HBGT406</t>
  </si>
  <si>
    <t>5.4 - 5.6</t>
  </si>
  <si>
    <t>HBGT407</t>
  </si>
  <si>
    <t>HBGT408</t>
  </si>
  <si>
    <t>HBGT409</t>
  </si>
  <si>
    <t>HBGT410</t>
  </si>
  <si>
    <t>HBGT411</t>
  </si>
  <si>
    <t>HBGT412</t>
  </si>
  <si>
    <t>5.4 - 5.5</t>
  </si>
  <si>
    <t>ddl-x</t>
  </si>
  <si>
    <t>ddl</t>
  </si>
  <si>
    <t>TERA 4</t>
  </si>
  <si>
    <t>ET</t>
  </si>
  <si>
    <t>TERA 3</t>
  </si>
  <si>
    <t>TERA 1</t>
  </si>
  <si>
    <t>TERA 2</t>
  </si>
  <si>
    <t>TERA 5</t>
  </si>
  <si>
    <t>TERA 6</t>
  </si>
  <si>
    <t>N1</t>
  </si>
  <si>
    <t>N2</t>
  </si>
  <si>
    <t>FIB</t>
  </si>
  <si>
    <t>N3</t>
  </si>
  <si>
    <t>CCMH</t>
  </si>
  <si>
    <t>TCMH</t>
  </si>
  <si>
    <t>VGM</t>
  </si>
  <si>
    <t>VPM</t>
  </si>
  <si>
    <t>%</t>
  </si>
  <si>
    <t>SFBC</t>
  </si>
  <si>
    <t>TERA 1 /2916</t>
  </si>
  <si>
    <t>TERA 2/2916 A</t>
  </si>
  <si>
    <t>TERA 3/2916 B</t>
  </si>
  <si>
    <t>TERA 4 2916 C</t>
  </si>
  <si>
    <t>TERA 5 /2916 D</t>
  </si>
  <si>
    <t>TERA 6/2916 E</t>
  </si>
  <si>
    <t>Référence</t>
  </si>
  <si>
    <t>Résultat</t>
  </si>
  <si>
    <t>valeur pair</t>
  </si>
  <si>
    <t xml:space="preserve">Biais </t>
  </si>
  <si>
    <t>Z-Score</t>
  </si>
  <si>
    <t>Conclusion</t>
  </si>
  <si>
    <t>NC N°</t>
  </si>
  <si>
    <t>20BH01</t>
  </si>
  <si>
    <t>20BH02</t>
  </si>
  <si>
    <t>Moyenne=E</t>
  </si>
  <si>
    <t>% EEQ Conforme</t>
  </si>
  <si>
    <t xml:space="preserve"> U(EEQ)</t>
  </si>
  <si>
    <t>CIQ (Nom + N° lot + période d'utilisation)</t>
  </si>
  <si>
    <t>U (k=2)</t>
  </si>
  <si>
    <t>EXIGENCES DE PERFORMANCES</t>
  </si>
  <si>
    <t>Niveau 1</t>
  </si>
  <si>
    <t>Niveau 2</t>
  </si>
  <si>
    <t>Interprétation</t>
  </si>
  <si>
    <t>RICOS</t>
  </si>
  <si>
    <t>Commentaires 1</t>
  </si>
  <si>
    <t>Commentaires 2</t>
  </si>
  <si>
    <t>ET RICOS</t>
  </si>
  <si>
    <t>NIVEAU SFBC</t>
  </si>
  <si>
    <t>Moyenne</t>
  </si>
  <si>
    <t>Absolue</t>
  </si>
  <si>
    <t>relatif %</t>
  </si>
  <si>
    <t>Optimal</t>
  </si>
  <si>
    <t>Acceptable</t>
  </si>
  <si>
    <t>Minimum</t>
  </si>
  <si>
    <t>HbA1c</t>
  </si>
  <si>
    <t>Aide à l'interprétation d'un seuil clinique ou thérapeutique, à l'interprétation des resultats par rapport aux antécédents</t>
  </si>
  <si>
    <t>-</t>
  </si>
  <si>
    <t>VISA BIOLOGISTE</t>
  </si>
  <si>
    <t>D-DIMER</t>
  </si>
  <si>
    <t>TP sec</t>
  </si>
  <si>
    <t>TCA-SP</t>
  </si>
  <si>
    <t>TCA-SYN</t>
  </si>
  <si>
    <t>Unités</t>
  </si>
  <si>
    <t>Niveaux (modifiés)</t>
  </si>
  <si>
    <t>Reproductibilité ( % )</t>
  </si>
  <si>
    <t>Justesse ( % )</t>
  </si>
  <si>
    <t>CV intra-individuel (CVw)</t>
  </si>
  <si>
    <t>CV inter-individuel (CVg)</t>
  </si>
  <si>
    <t xml:space="preserve">Imprecision </t>
  </si>
  <si>
    <t>Biais</t>
  </si>
  <si>
    <t>Erreur Totale RICOS</t>
  </si>
  <si>
    <t>Exigence de performance SFBC</t>
  </si>
  <si>
    <t>Incertitude souhaitable avec FI et Biais Ricos</t>
  </si>
  <si>
    <t>Aide à l'interprétation d'un seuil clinique ou thérapeutique</t>
  </si>
  <si>
    <t>SELECTIONNER L'EXAMEN</t>
  </si>
  <si>
    <t>Bas</t>
  </si>
  <si>
    <t>Moyen</t>
  </si>
  <si>
    <t>Elevé</t>
  </si>
  <si>
    <t xml:space="preserve"> Optimale</t>
  </si>
  <si>
    <t>Souhaitable</t>
  </si>
  <si>
    <t>minimale</t>
  </si>
  <si>
    <t>Biais Optimum</t>
  </si>
  <si>
    <t>Biais Souhaitable</t>
  </si>
  <si>
    <t>Biais  minimum</t>
  </si>
  <si>
    <t xml:space="preserve"> Souhaitable</t>
  </si>
  <si>
    <t xml:space="preserve">  minimale</t>
  </si>
  <si>
    <t>Aide à l'interprétation des resultats par rapport aux antécédents</t>
  </si>
  <si>
    <t>a2-Macroglobuline</t>
  </si>
  <si>
    <t>g/l</t>
  </si>
  <si>
    <t>Aide à l'interprétation d'un seuil clinique ou thérapeutique, à l'interprétation des resultats par rapport aux antécédents, a l'ajustage des zones grises</t>
  </si>
  <si>
    <t>Amylase</t>
  </si>
  <si>
    <t>U/l</t>
  </si>
  <si>
    <t>Aide à l'interprétation des resultats par rapport aux antécédents,à l'ajustage des zones grises</t>
  </si>
  <si>
    <t>a-Amylase U</t>
  </si>
  <si>
    <t>?</t>
  </si>
  <si>
    <t>Ac HAV</t>
  </si>
  <si>
    <t>COI</t>
  </si>
  <si>
    <t>Ac HAV IgM</t>
  </si>
  <si>
    <t>Ac HBc</t>
  </si>
  <si>
    <t>Ac HBc IgM</t>
  </si>
  <si>
    <t>Ac HBe</t>
  </si>
  <si>
    <t>Ac HBs</t>
  </si>
  <si>
    <t>Ac HCV</t>
  </si>
  <si>
    <t>ACE</t>
  </si>
  <si>
    <t>ng/ml</t>
  </si>
  <si>
    <t>Acide urique</t>
  </si>
  <si>
    <t>µmol/l</t>
  </si>
  <si>
    <t>Acide urique U</t>
  </si>
  <si>
    <t>mmol/l</t>
  </si>
  <si>
    <t>AFP</t>
  </si>
  <si>
    <t>kUI/l</t>
  </si>
  <si>
    <t>Ag HBc</t>
  </si>
  <si>
    <t>Ag Hbe</t>
  </si>
  <si>
    <t>Ag HBs</t>
  </si>
  <si>
    <t>ALAT</t>
  </si>
  <si>
    <t>Albumin, concentration, first morning</t>
  </si>
  <si>
    <t>Albumine</t>
  </si>
  <si>
    <t>Alcool</t>
  </si>
  <si>
    <t>mg/dL</t>
  </si>
  <si>
    <t>Alpha 1</t>
  </si>
  <si>
    <t>Alpha 2</t>
  </si>
  <si>
    <t>Amikacine</t>
  </si>
  <si>
    <t>mg/l</t>
  </si>
  <si>
    <t>Ammonium</t>
  </si>
  <si>
    <t>Amphetamines</t>
  </si>
  <si>
    <t>ng/mL</t>
  </si>
  <si>
    <t>ANTI TG</t>
  </si>
  <si>
    <t>ANTI TPO</t>
  </si>
  <si>
    <t>APOA</t>
  </si>
  <si>
    <t>APOB</t>
  </si>
  <si>
    <t>AST</t>
  </si>
  <si>
    <t>ASLO</t>
  </si>
  <si>
    <t>IU/mL</t>
  </si>
  <si>
    <t>AT IIII</t>
  </si>
  <si>
    <t>AXA</t>
  </si>
  <si>
    <t>UI/L</t>
  </si>
  <si>
    <t>B2M</t>
  </si>
  <si>
    <t>Barbiturates</t>
  </si>
  <si>
    <t>Benzodiazepines</t>
  </si>
  <si>
    <t>Beta 1</t>
  </si>
  <si>
    <t>Béta 2</t>
  </si>
  <si>
    <t>BHCG</t>
  </si>
  <si>
    <t>UI/l</t>
  </si>
  <si>
    <t>Bilirubine D</t>
  </si>
  <si>
    <t>Bilirubine T</t>
  </si>
  <si>
    <t>C3C</t>
  </si>
  <si>
    <t>C4</t>
  </si>
  <si>
    <t>CA125</t>
  </si>
  <si>
    <t>kU/l</t>
  </si>
  <si>
    <t>CA153</t>
  </si>
  <si>
    <t>CA199</t>
  </si>
  <si>
    <t>Calcium ionisé</t>
  </si>
  <si>
    <t>Calcium</t>
  </si>
  <si>
    <t>Calcium U</t>
  </si>
  <si>
    <t>Cannabinoids</t>
  </si>
  <si>
    <t>carbamazépine</t>
  </si>
  <si>
    <t>Chlore</t>
  </si>
  <si>
    <t>Cholesterol</t>
  </si>
  <si>
    <t>Chlore U</t>
  </si>
  <si>
    <t>CK MB</t>
  </si>
  <si>
    <t>CPK</t>
  </si>
  <si>
    <t>CMV IgG</t>
  </si>
  <si>
    <t>CMV IgM</t>
  </si>
  <si>
    <t>Cocaine</t>
  </si>
  <si>
    <t>CORT</t>
  </si>
  <si>
    <t>nmol/l</t>
  </si>
  <si>
    <t>Créatinine</t>
  </si>
  <si>
    <t>Créatinine E</t>
  </si>
  <si>
    <t>Créatinine U</t>
  </si>
  <si>
    <t>CRP</t>
  </si>
  <si>
    <t>FEU/mL</t>
  </si>
  <si>
    <t>Dépakine</t>
  </si>
  <si>
    <t>Digoxine</t>
  </si>
  <si>
    <t>µg/l</t>
  </si>
  <si>
    <t>E2</t>
  </si>
  <si>
    <t>pmol/l</t>
  </si>
  <si>
    <t>F.Rhumatoide</t>
  </si>
  <si>
    <t>IU/ml</t>
  </si>
  <si>
    <t>FACTEUR II</t>
  </si>
  <si>
    <t>FACTEUR V</t>
  </si>
  <si>
    <t>---</t>
  </si>
  <si>
    <t>FACTEUR VII</t>
  </si>
  <si>
    <t>FACTEUR VIII</t>
  </si>
  <si>
    <t>FACTEUR IX</t>
  </si>
  <si>
    <t>FACTEUR X</t>
  </si>
  <si>
    <t>FACTEUR XI</t>
  </si>
  <si>
    <t>FACTEUR XII</t>
  </si>
  <si>
    <t>Fer</t>
  </si>
  <si>
    <t>Ferritine</t>
  </si>
  <si>
    <t>FOLATE</t>
  </si>
  <si>
    <t>FSH</t>
  </si>
  <si>
    <t>FT3 III</t>
  </si>
  <si>
    <t>FT4 II</t>
  </si>
  <si>
    <t>Gamma</t>
  </si>
  <si>
    <t>Giga/l</t>
  </si>
  <si>
    <t>Gentamycine</t>
  </si>
  <si>
    <t>GGT</t>
  </si>
  <si>
    <t>Glucose</t>
  </si>
  <si>
    <t>Glucose U</t>
  </si>
  <si>
    <t>Haptoglobine</t>
  </si>
  <si>
    <t>HbCO</t>
  </si>
  <si>
    <t>HBDH</t>
  </si>
  <si>
    <t xml:space="preserve"> - </t>
  </si>
  <si>
    <t>HbO2</t>
  </si>
  <si>
    <t>HEMATIES</t>
  </si>
  <si>
    <t>Terra/l</t>
  </si>
  <si>
    <t>HDL</t>
  </si>
  <si>
    <t>HEP</t>
  </si>
  <si>
    <t>HEMATOCRITE</t>
  </si>
  <si>
    <t>HEMOGLOBINE</t>
  </si>
  <si>
    <t>g/dl</t>
  </si>
  <si>
    <t>Hiv Ag p24</t>
  </si>
  <si>
    <t>HIV combi</t>
  </si>
  <si>
    <t>INDICE DE DISTRIBUTION DES GR</t>
  </si>
  <si>
    <t>IgA</t>
  </si>
  <si>
    <t>IGE</t>
  </si>
  <si>
    <t>IgG</t>
  </si>
  <si>
    <t>IgM</t>
  </si>
  <si>
    <t>Lactate</t>
  </si>
  <si>
    <t>LDH</t>
  </si>
  <si>
    <t>LDL Cholesterol</t>
  </si>
  <si>
    <t>LEUCOCYTES</t>
  </si>
  <si>
    <t>LH</t>
  </si>
  <si>
    <t>Lipase</t>
  </si>
  <si>
    <t>LITHIUM</t>
  </si>
  <si>
    <t>LYMPHOCYTES</t>
  </si>
  <si>
    <t>Magnesium</t>
  </si>
  <si>
    <t>Magnesium U</t>
  </si>
  <si>
    <t>metHb</t>
  </si>
  <si>
    <t>MicroAlb U</t>
  </si>
  <si>
    <t>MONOCYTES</t>
  </si>
  <si>
    <t>Myoglobine</t>
  </si>
  <si>
    <t>Opiates</t>
  </si>
  <si>
    <t>p02</t>
  </si>
  <si>
    <t>mmHg</t>
  </si>
  <si>
    <t>PAL</t>
  </si>
  <si>
    <t>Paracétamol</t>
  </si>
  <si>
    <t>pCO2</t>
  </si>
  <si>
    <t>PCT</t>
  </si>
  <si>
    <t>pH</t>
  </si>
  <si>
    <t>unité</t>
  </si>
  <si>
    <t>Phenobarbital</t>
  </si>
  <si>
    <t>Phosphore</t>
  </si>
  <si>
    <t>Phosphate U</t>
  </si>
  <si>
    <t>PLAQUETTES</t>
  </si>
  <si>
    <t>P. NEUTROPHILES</t>
  </si>
  <si>
    <t>Potassium</t>
  </si>
  <si>
    <t>Potassium U</t>
  </si>
  <si>
    <t>Préalbumine</t>
  </si>
  <si>
    <t>PROBNP</t>
  </si>
  <si>
    <t>PROGESTERONE</t>
  </si>
  <si>
    <t>PROLACTINE</t>
  </si>
  <si>
    <t>Protein C</t>
  </si>
  <si>
    <t>Protein S</t>
  </si>
  <si>
    <t>Protides T</t>
  </si>
  <si>
    <t>Protéines U</t>
  </si>
  <si>
    <t xml:space="preserve">PSA </t>
  </si>
  <si>
    <t>PSA L</t>
  </si>
  <si>
    <t>PTH</t>
  </si>
  <si>
    <t>ng/l</t>
  </si>
  <si>
    <t>Réserve alcaline</t>
  </si>
  <si>
    <t>RETICULOCYTES</t>
  </si>
  <si>
    <t>Rubeole IgG</t>
  </si>
  <si>
    <t>Rubéole IgM</t>
  </si>
  <si>
    <t>Salycilates</t>
  </si>
  <si>
    <t>Sodium</t>
  </si>
  <si>
    <t>Sodium U</t>
  </si>
  <si>
    <t>sec</t>
  </si>
  <si>
    <t>s</t>
  </si>
  <si>
    <t>TESTOSTERONE</t>
  </si>
  <si>
    <t>THC</t>
  </si>
  <si>
    <t>Tobramycine</t>
  </si>
  <si>
    <t>µg/ml</t>
  </si>
  <si>
    <t>Toxo IgG</t>
  </si>
  <si>
    <t>Toxo IgM</t>
  </si>
  <si>
    <t>TPLA</t>
  </si>
  <si>
    <t>Transferrine</t>
  </si>
  <si>
    <t>Triglycérides</t>
  </si>
  <si>
    <t>TNTHS</t>
  </si>
  <si>
    <t xml:space="preserve">TSH </t>
  </si>
  <si>
    <t>mUI/l</t>
  </si>
  <si>
    <t>Urée</t>
  </si>
  <si>
    <t>Urée U</t>
  </si>
  <si>
    <t>Vancomycine</t>
  </si>
  <si>
    <t>VITAMINE B12</t>
  </si>
  <si>
    <t>pmol/L</t>
  </si>
  <si>
    <t xml:space="preserve">VITAMINE D </t>
  </si>
  <si>
    <t>VS 1H</t>
  </si>
  <si>
    <t>fl</t>
  </si>
  <si>
    <t>SUIVI EEQ</t>
  </si>
  <si>
    <r>
      <t>ET</t>
    </r>
    <r>
      <rPr>
        <b/>
        <vertAlign val="subscript"/>
        <sz val="10"/>
        <color rgb="FF0070C0"/>
        <rFont val="Arial Narrow"/>
        <family val="2"/>
      </rPr>
      <t>E</t>
    </r>
  </si>
  <si>
    <r>
      <t xml:space="preserve"> U(EEQ)=((E</t>
    </r>
    <r>
      <rPr>
        <b/>
        <vertAlign val="superscript"/>
        <sz val="10"/>
        <color rgb="FF0070C0"/>
        <rFont val="Arial Narrow"/>
        <family val="2"/>
      </rPr>
      <t>2</t>
    </r>
    <r>
      <rPr>
        <b/>
        <sz val="10"/>
        <color rgb="FF0070C0"/>
        <rFont val="Arial Narrow"/>
        <family val="2"/>
      </rPr>
      <t>/ √3)+(ETE</t>
    </r>
    <r>
      <rPr>
        <b/>
        <vertAlign val="superscript"/>
        <sz val="10"/>
        <color rgb="FF0070C0"/>
        <rFont val="Arial Narrow"/>
        <family val="2"/>
      </rPr>
      <t>2</t>
    </r>
    <r>
      <rPr>
        <b/>
        <sz val="10"/>
        <color rgb="FF0070C0"/>
        <rFont val="Arial Narrow"/>
        <family val="2"/>
      </rPr>
      <t>)1/2</t>
    </r>
  </si>
  <si>
    <t>INCERTITUDE DE MESURE</t>
  </si>
  <si>
    <t>P. EOSINOPHILES</t>
  </si>
  <si>
    <t>P. BASOPHILES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</si>
</sst>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.0000000000000"/>
    <numFmt numFmtId="165" formatCode="0.000"/>
    <numFmt numFmtId="166" formatCode="0.0"/>
    <numFmt numFmtId="169" formatCode="0.0000"/>
  </numFmts>
  <fonts count="33">
    <font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b/>
      <sz val="10"/>
      <name val="Arial Narrow"/>
      <family val="2"/>
    </font>
    <font>
      <b/>
      <sz val="11"/>
      <name val="Arial Narrow"/>
      <family val="2"/>
    </font>
    <font>
      <b/>
      <sz val="11"/>
      <color theme="1"/>
      <name val="Arial Narrow"/>
      <family val="2"/>
    </font>
    <font>
      <sz val="11"/>
      <color rgb="FFFF0000"/>
      <name val="Arial Narrow"/>
      <family val="2"/>
    </font>
    <font>
      <b/>
      <sz val="11"/>
      <color rgb="FF00B050"/>
      <name val="Arial Narrow"/>
      <family val="2"/>
    </font>
    <font>
      <b/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0"/>
      <name val="Arial Narrow"/>
      <family val="2"/>
    </font>
    <font>
      <sz val="11"/>
      <name val="Times New Roman"/>
      <family val="1"/>
    </font>
    <font>
      <b/>
      <sz val="8"/>
      <name val="Imago"/>
    </font>
    <font>
      <sz val="8"/>
      <name val="Imago"/>
    </font>
    <font>
      <b/>
      <sz val="10"/>
      <color rgb="FFFF0000"/>
      <name val="Arial"/>
      <family val="2"/>
    </font>
    <font>
      <b/>
      <sz val="9"/>
      <color theme="1"/>
      <name val="Times New Roman"/>
      <family val="1"/>
    </font>
    <font>
      <b/>
      <sz val="9"/>
      <color theme="1"/>
      <name val="Calibri"/>
      <family val="2"/>
    </font>
    <font>
      <b/>
      <sz val="9"/>
      <name val="Times New Roman"/>
      <family val="1"/>
    </font>
    <font>
      <sz val="8"/>
      <name val="Tahoma"/>
      <family val="2"/>
    </font>
    <font>
      <sz val="11"/>
      <name val="Calibri"/>
      <family val="2"/>
      <scheme val="minor"/>
    </font>
    <font>
      <b/>
      <sz val="14"/>
      <color rgb="FF0070C0"/>
      <name val="Arial Narrow"/>
      <family val="2"/>
    </font>
    <font>
      <b/>
      <sz val="10"/>
      <color rgb="FF0070C0"/>
      <name val="Arial Narrow"/>
      <family val="2"/>
    </font>
    <font>
      <b/>
      <sz val="11"/>
      <color rgb="FF0070C0"/>
      <name val="Arial Narrow"/>
      <family val="2"/>
    </font>
    <font>
      <b/>
      <vertAlign val="subscript"/>
      <sz val="10"/>
      <color rgb="FF0070C0"/>
      <name val="Arial Narrow"/>
      <family val="2"/>
    </font>
    <font>
      <b/>
      <vertAlign val="superscript"/>
      <sz val="10"/>
      <color rgb="FF0070C0"/>
      <name val="Arial Narrow"/>
      <family val="2"/>
    </font>
    <font>
      <b/>
      <sz val="14"/>
      <color theme="0"/>
      <name val="Arial Narrow"/>
      <family val="2"/>
    </font>
    <font>
      <b/>
      <sz val="10"/>
      <color rgb="FF00B050"/>
      <name val="Arial Narrow"/>
      <family val="2"/>
    </font>
    <font>
      <sz val="11"/>
      <color rgb="FF6600CC"/>
      <name val="Arial Narrow"/>
      <family val="2"/>
    </font>
    <font>
      <sz val="11"/>
      <color rgb="FF0000FF"/>
      <name val="Arial Narrow"/>
      <family val="2"/>
    </font>
    <font>
      <sz val="11"/>
      <color rgb="FFFF00FF"/>
      <name val="Arial Narrow"/>
      <family val="2"/>
    </font>
    <font>
      <sz val="11"/>
      <name val="Arial Narrow"/>
      <family val="2"/>
    </font>
    <font>
      <b/>
      <sz val="11"/>
      <color rgb="FF006600"/>
      <name val="Arial Narrow"/>
      <family val="2"/>
    </font>
    <font>
      <sz val="10"/>
      <color theme="1"/>
      <name val="Arial Unicode MS"/>
    </font>
  </fonts>
  <fills count="15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  <fill>
      <patternFill patternType="solid">
        <fgColor rgb="FF66CCFF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D1F4F3"/>
        <bgColor indexed="64"/>
      </patternFill>
    </fill>
    <fill>
      <patternFill patternType="solid">
        <fgColor indexed="65"/>
        <bgColor auto="1"/>
      </patternFill>
    </fill>
    <fill>
      <patternFill patternType="solid">
        <fgColor indexed="4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rgb="FF00CCFF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rgb="FF00FF00"/>
        <bgColor indexed="64"/>
      </patternFill>
    </fill>
  </fills>
  <borders count="7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</borders>
  <cellStyleXfs count="4">
    <xf numFmtId="0" fontId="0" fillId="0" borderId="0"/>
    <xf numFmtId="0" fontId="8" fillId="0" borderId="0"/>
    <xf numFmtId="0" fontId="8" fillId="0" borderId="0"/>
    <xf numFmtId="0" fontId="11" fillId="0" borderId="0"/>
  </cellStyleXfs>
  <cellXfs count="317">
    <xf numFmtId="0" fontId="0" fillId="0" borderId="0" xfId="0"/>
    <xf numFmtId="10" fontId="0" fillId="0" borderId="0" xfId="0" applyNumberFormat="1"/>
    <xf numFmtId="164" fontId="0" fillId="0" borderId="0" xfId="0" applyNumberFormat="1"/>
    <xf numFmtId="0" fontId="1" fillId="0" borderId="0" xfId="0" applyFont="1"/>
    <xf numFmtId="0" fontId="3" fillId="0" borderId="5" xfId="0" applyFont="1" applyBorder="1" applyAlignment="1">
      <alignment horizontal="center" vertical="center"/>
    </xf>
    <xf numFmtId="0" fontId="3" fillId="0" borderId="32" xfId="0" applyFont="1" applyBorder="1" applyAlignment="1">
      <alignment horizontal="center" vertical="center"/>
    </xf>
    <xf numFmtId="0" fontId="0" fillId="0" borderId="43" xfId="0" applyBorder="1" applyAlignment="1" applyProtection="1">
      <alignment horizontal="center"/>
      <protection hidden="1"/>
    </xf>
    <xf numFmtId="0" fontId="0" fillId="0" borderId="37" xfId="0" applyBorder="1" applyAlignment="1" applyProtection="1">
      <alignment horizontal="center"/>
      <protection hidden="1"/>
    </xf>
    <xf numFmtId="0" fontId="0" fillId="0" borderId="0" xfId="0" applyAlignment="1">
      <alignment horizontal="right"/>
    </xf>
    <xf numFmtId="0" fontId="0" fillId="0" borderId="0" xfId="0" applyAlignment="1" applyProtection="1">
      <alignment horizontal="center"/>
      <protection hidden="1"/>
    </xf>
    <xf numFmtId="0" fontId="0" fillId="0" borderId="0" xfId="0" applyAlignment="1">
      <alignment horizontal="center"/>
    </xf>
    <xf numFmtId="0" fontId="7" fillId="0" borderId="0" xfId="0" applyFont="1" applyProtection="1">
      <protection hidden="1"/>
    </xf>
    <xf numFmtId="0" fontId="7" fillId="0" borderId="1" xfId="0" applyFont="1" applyBorder="1" applyProtection="1">
      <protection hidden="1"/>
    </xf>
    <xf numFmtId="0" fontId="7" fillId="0" borderId="1" xfId="0" applyFont="1" applyBorder="1" applyAlignment="1" applyProtection="1">
      <alignment horizontal="right"/>
      <protection hidden="1"/>
    </xf>
    <xf numFmtId="0" fontId="12" fillId="0" borderId="1" xfId="3" applyFont="1" applyBorder="1" applyAlignment="1" applyProtection="1">
      <alignment horizontal="center" vertical="center" wrapText="1"/>
      <protection hidden="1"/>
    </xf>
    <xf numFmtId="0" fontId="8" fillId="0" borderId="0" xfId="0" applyFont="1" applyAlignment="1" applyProtection="1">
      <alignment vertical="center"/>
      <protection hidden="1"/>
    </xf>
    <xf numFmtId="0" fontId="7" fillId="0" borderId="0" xfId="0" applyFont="1"/>
    <xf numFmtId="0" fontId="14" fillId="0" borderId="1" xfId="0" applyFont="1" applyBorder="1" applyAlignment="1" applyProtection="1">
      <alignment vertical="center"/>
      <protection hidden="1"/>
    </xf>
    <xf numFmtId="0" fontId="7" fillId="0" borderId="1" xfId="0" applyFont="1" applyBorder="1" applyAlignment="1" applyProtection="1">
      <alignment horizontal="right" vertical="center"/>
      <protection hidden="1"/>
    </xf>
    <xf numFmtId="0" fontId="7" fillId="0" borderId="1" xfId="2" applyFont="1" applyBorder="1" applyAlignment="1" applyProtection="1">
      <alignment horizontal="right" vertical="center"/>
      <protection hidden="1"/>
    </xf>
    <xf numFmtId="0" fontId="13" fillId="10" borderId="1" xfId="3" applyFont="1" applyFill="1" applyBorder="1" applyAlignment="1" applyProtection="1">
      <alignment horizontal="center" vertical="center" wrapText="1"/>
      <protection hidden="1"/>
    </xf>
    <xf numFmtId="0" fontId="13" fillId="9" borderId="1" xfId="3" applyFont="1" applyFill="1" applyBorder="1" applyAlignment="1" applyProtection="1">
      <alignment horizontal="center" vertical="center" wrapText="1"/>
      <protection hidden="1"/>
    </xf>
    <xf numFmtId="0" fontId="13" fillId="11" borderId="1" xfId="3" applyFont="1" applyFill="1" applyBorder="1" applyAlignment="1" applyProtection="1">
      <alignment horizontal="center" vertical="center" wrapText="1"/>
      <protection hidden="1"/>
    </xf>
    <xf numFmtId="0" fontId="13" fillId="12" borderId="1" xfId="3" applyFont="1" applyFill="1" applyBorder="1" applyAlignment="1" applyProtection="1">
      <alignment horizontal="center" vertical="center" wrapText="1"/>
      <protection hidden="1"/>
    </xf>
    <xf numFmtId="0" fontId="13" fillId="13" borderId="1" xfId="3" applyFont="1" applyFill="1" applyBorder="1" applyAlignment="1" applyProtection="1">
      <alignment horizontal="center" vertical="center" wrapText="1"/>
      <protection hidden="1"/>
    </xf>
    <xf numFmtId="0" fontId="7" fillId="0" borderId="1" xfId="0" applyFont="1" applyBorder="1" applyAlignment="1" applyProtection="1">
      <alignment horizontal="center"/>
      <protection hidden="1"/>
    </xf>
    <xf numFmtId="0" fontId="7" fillId="0" borderId="37" xfId="0" applyFont="1" applyBorder="1" applyAlignment="1" applyProtection="1">
      <alignment horizontal="center"/>
      <protection hidden="1"/>
    </xf>
    <xf numFmtId="0" fontId="13" fillId="10" borderId="1" xfId="3" applyFont="1" applyFill="1" applyBorder="1" applyAlignment="1">
      <alignment horizontal="center" vertical="center" wrapText="1"/>
    </xf>
    <xf numFmtId="0" fontId="13" fillId="9" borderId="1" xfId="3" applyFont="1" applyFill="1" applyBorder="1" applyAlignment="1">
      <alignment horizontal="center" vertical="center" wrapText="1"/>
    </xf>
    <xf numFmtId="0" fontId="13" fillId="13" borderId="1" xfId="3" applyFont="1" applyFill="1" applyBorder="1" applyAlignment="1">
      <alignment horizontal="center" vertical="center" wrapText="1"/>
    </xf>
    <xf numFmtId="0" fontId="0" fillId="0" borderId="0" xfId="0" applyProtection="1">
      <protection hidden="1"/>
    </xf>
    <xf numFmtId="0" fontId="0" fillId="0" borderId="1" xfId="0" applyBorder="1" applyAlignment="1" applyProtection="1">
      <alignment horizontal="left"/>
      <protection hidden="1"/>
    </xf>
    <xf numFmtId="0" fontId="0" fillId="0" borderId="1" xfId="0" applyBorder="1" applyAlignment="1" applyProtection="1">
      <alignment horizontal="center"/>
      <protection hidden="1"/>
    </xf>
    <xf numFmtId="0" fontId="8" fillId="0" borderId="1" xfId="2" applyBorder="1" applyAlignment="1" applyProtection="1">
      <alignment horizontal="center"/>
      <protection hidden="1"/>
    </xf>
    <xf numFmtId="166" fontId="0" fillId="0" borderId="1" xfId="0" applyNumberFormat="1" applyBorder="1" applyAlignment="1" applyProtection="1">
      <alignment horizontal="center"/>
      <protection hidden="1"/>
    </xf>
    <xf numFmtId="166" fontId="9" fillId="10" borderId="1" xfId="3" applyNumberFormat="1" applyFont="1" applyFill="1" applyBorder="1" applyAlignment="1" applyProtection="1">
      <alignment horizontal="center" wrapText="1"/>
      <protection hidden="1"/>
    </xf>
    <xf numFmtId="166" fontId="9" fillId="9" borderId="1" xfId="3" applyNumberFormat="1" applyFont="1" applyFill="1" applyBorder="1" applyAlignment="1" applyProtection="1">
      <alignment horizontal="center" wrapText="1"/>
      <protection hidden="1"/>
    </xf>
    <xf numFmtId="166" fontId="9" fillId="11" borderId="1" xfId="3" applyNumberFormat="1" applyFont="1" applyFill="1" applyBorder="1" applyAlignment="1" applyProtection="1">
      <alignment horizontal="center" wrapText="1"/>
      <protection hidden="1"/>
    </xf>
    <xf numFmtId="166" fontId="9" fillId="0" borderId="1" xfId="3" applyNumberFormat="1" applyFont="1" applyBorder="1" applyAlignment="1" applyProtection="1">
      <alignment horizontal="center" wrapText="1"/>
      <protection hidden="1"/>
    </xf>
    <xf numFmtId="166" fontId="9" fillId="14" borderId="1" xfId="3" applyNumberFormat="1" applyFont="1" applyFill="1" applyBorder="1" applyAlignment="1">
      <alignment horizontal="center" wrapText="1"/>
    </xf>
    <xf numFmtId="166" fontId="9" fillId="3" borderId="1" xfId="3" applyNumberFormat="1" applyFont="1" applyFill="1" applyBorder="1" applyAlignment="1">
      <alignment horizontal="center" wrapText="1"/>
    </xf>
    <xf numFmtId="166" fontId="9" fillId="13" borderId="1" xfId="3" applyNumberFormat="1" applyFont="1" applyFill="1" applyBorder="1" applyAlignment="1">
      <alignment horizontal="center" wrapText="1"/>
    </xf>
    <xf numFmtId="0" fontId="15" fillId="0" borderId="13" xfId="0" applyFont="1" applyBorder="1" applyAlignment="1" applyProtection="1">
      <alignment horizontal="left" vertical="center" wrapText="1"/>
      <protection hidden="1"/>
    </xf>
    <xf numFmtId="0" fontId="8" fillId="0" borderId="1" xfId="0" applyFont="1" applyBorder="1" applyAlignment="1" applyProtection="1">
      <alignment horizontal="left"/>
      <protection hidden="1"/>
    </xf>
    <xf numFmtId="0" fontId="0" fillId="14" borderId="1" xfId="0" applyFill="1" applyBorder="1" applyAlignment="1" applyProtection="1">
      <alignment horizontal="center"/>
      <protection hidden="1"/>
    </xf>
    <xf numFmtId="0" fontId="0" fillId="12" borderId="1" xfId="0" applyFill="1" applyBorder="1" applyAlignment="1" applyProtection="1">
      <alignment horizontal="center"/>
      <protection hidden="1"/>
    </xf>
    <xf numFmtId="0" fontId="0" fillId="13" borderId="1" xfId="0" applyFill="1" applyBorder="1" applyAlignment="1" applyProtection="1">
      <alignment horizontal="center"/>
      <protection hidden="1"/>
    </xf>
    <xf numFmtId="0" fontId="15" fillId="0" borderId="1" xfId="0" applyFont="1" applyBorder="1" applyAlignment="1" applyProtection="1">
      <alignment horizontal="left" vertical="center" wrapText="1"/>
      <protection hidden="1"/>
    </xf>
    <xf numFmtId="0" fontId="8" fillId="0" borderId="43" xfId="0" applyFont="1" applyBorder="1" applyAlignment="1" applyProtection="1">
      <alignment horizontal="center"/>
      <protection hidden="1"/>
    </xf>
    <xf numFmtId="2" fontId="0" fillId="0" borderId="1" xfId="0" applyNumberFormat="1" applyBorder="1" applyAlignment="1" applyProtection="1">
      <alignment horizontal="center"/>
      <protection hidden="1"/>
    </xf>
    <xf numFmtId="0" fontId="8" fillId="0" borderId="51" xfId="0" applyFont="1" applyBorder="1" applyAlignment="1">
      <alignment horizontal="left" vertical="center"/>
    </xf>
    <xf numFmtId="0" fontId="0" fillId="0" borderId="51" xfId="0" applyBorder="1" applyAlignment="1">
      <alignment horizontal="left" vertical="center"/>
    </xf>
    <xf numFmtId="0" fontId="15" fillId="0" borderId="51" xfId="0" applyFont="1" applyBorder="1" applyAlignment="1">
      <alignment horizontal="left" vertical="center" wrapText="1"/>
    </xf>
    <xf numFmtId="0" fontId="8" fillId="6" borderId="1" xfId="0" applyFont="1" applyFill="1" applyBorder="1" applyAlignment="1" applyProtection="1">
      <alignment horizontal="left" vertical="top"/>
      <protection hidden="1"/>
    </xf>
    <xf numFmtId="166" fontId="9" fillId="0" borderId="37" xfId="3" applyNumberFormat="1" applyFont="1" applyBorder="1" applyAlignment="1" applyProtection="1">
      <alignment horizontal="center" wrapText="1"/>
      <protection hidden="1"/>
    </xf>
    <xf numFmtId="0" fontId="15" fillId="6" borderId="1" xfId="0" applyFont="1" applyFill="1" applyBorder="1" applyAlignment="1" applyProtection="1">
      <alignment horizontal="left" vertical="center" wrapText="1"/>
      <protection hidden="1"/>
    </xf>
    <xf numFmtId="0" fontId="9" fillId="0" borderId="1" xfId="0" applyFont="1" applyBorder="1" applyAlignment="1" applyProtection="1">
      <alignment horizontal="left"/>
      <protection hidden="1"/>
    </xf>
    <xf numFmtId="0" fontId="16" fillId="0" borderId="1" xfId="0" applyFont="1" applyBorder="1" applyAlignment="1" applyProtection="1">
      <alignment horizontal="left" vertical="center" wrapText="1"/>
      <protection hidden="1"/>
    </xf>
    <xf numFmtId="0" fontId="8" fillId="0" borderId="1" xfId="0" applyFont="1" applyBorder="1" applyProtection="1">
      <protection hidden="1"/>
    </xf>
    <xf numFmtId="0" fontId="0" fillId="6" borderId="1" xfId="0" applyFill="1" applyBorder="1" applyAlignment="1" applyProtection="1">
      <alignment horizontal="left"/>
      <protection hidden="1"/>
    </xf>
    <xf numFmtId="0" fontId="15" fillId="0" borderId="15" xfId="0" applyFont="1" applyBorder="1" applyAlignment="1" applyProtection="1">
      <alignment vertical="center" wrapText="1"/>
      <protection hidden="1"/>
    </xf>
    <xf numFmtId="0" fontId="8" fillId="0" borderId="1" xfId="0" applyFont="1" applyBorder="1" applyAlignment="1" applyProtection="1">
      <alignment horizontal="left" vertical="top"/>
      <protection hidden="1"/>
    </xf>
    <xf numFmtId="166" fontId="0" fillId="0" borderId="37" xfId="0" applyNumberFormat="1" applyBorder="1" applyAlignment="1" applyProtection="1">
      <alignment horizontal="center"/>
      <protection hidden="1"/>
    </xf>
    <xf numFmtId="0" fontId="0" fillId="0" borderId="1" xfId="0" applyBorder="1" applyAlignment="1" applyProtection="1">
      <alignment horizontal="left" vertical="center"/>
      <protection hidden="1"/>
    </xf>
    <xf numFmtId="0" fontId="0" fillId="0" borderId="52" xfId="0" applyBorder="1" applyAlignment="1">
      <alignment horizontal="center" vertical="center"/>
    </xf>
    <xf numFmtId="2" fontId="9" fillId="9" borderId="1" xfId="3" applyNumberFormat="1" applyFont="1" applyFill="1" applyBorder="1" applyAlignment="1" applyProtection="1">
      <alignment horizontal="center" wrapText="1"/>
      <protection hidden="1"/>
    </xf>
    <xf numFmtId="0" fontId="17" fillId="0" borderId="1" xfId="0" applyFont="1" applyBorder="1" applyAlignment="1" applyProtection="1">
      <alignment horizontal="left" vertical="center" wrapText="1"/>
      <protection hidden="1"/>
    </xf>
    <xf numFmtId="0" fontId="8" fillId="0" borderId="1" xfId="0" applyFont="1" applyBorder="1" applyAlignment="1" applyProtection="1">
      <alignment vertical="top"/>
      <protection hidden="1"/>
    </xf>
    <xf numFmtId="0" fontId="9" fillId="0" borderId="1" xfId="0" applyFont="1" applyBorder="1" applyProtection="1">
      <protection hidden="1"/>
    </xf>
    <xf numFmtId="0" fontId="0" fillId="0" borderId="1" xfId="0" applyBorder="1" applyProtection="1">
      <protection hidden="1"/>
    </xf>
    <xf numFmtId="0" fontId="9" fillId="0" borderId="1" xfId="0" applyFont="1" applyBorder="1" applyAlignment="1" applyProtection="1">
      <alignment wrapText="1"/>
      <protection hidden="1"/>
    </xf>
    <xf numFmtId="0" fontId="15" fillId="0" borderId="1" xfId="0" applyFont="1" applyBorder="1" applyAlignment="1" applyProtection="1">
      <alignment horizontal="left"/>
      <protection hidden="1"/>
    </xf>
    <xf numFmtId="0" fontId="18" fillId="0" borderId="0" xfId="3" applyFont="1"/>
    <xf numFmtId="0" fontId="0" fillId="0" borderId="1" xfId="0" applyBorder="1" applyAlignment="1" applyProtection="1">
      <alignment horizontal="center" vertical="center" wrapText="1"/>
      <protection hidden="1"/>
    </xf>
    <xf numFmtId="0" fontId="0" fillId="0" borderId="1" xfId="0" quotePrefix="1" applyBorder="1" applyAlignment="1" applyProtection="1">
      <alignment horizontal="center"/>
      <protection hidden="1"/>
    </xf>
    <xf numFmtId="0" fontId="18" fillId="0" borderId="0" xfId="3" applyFont="1" applyProtection="1">
      <protection hidden="1"/>
    </xf>
    <xf numFmtId="0" fontId="19" fillId="0" borderId="1" xfId="0" applyFont="1" applyBorder="1" applyProtection="1">
      <protection hidden="1"/>
    </xf>
    <xf numFmtId="0" fontId="16" fillId="0" borderId="1" xfId="0" applyFont="1" applyBorder="1" applyAlignment="1" applyProtection="1">
      <alignment vertical="center" wrapText="1"/>
      <protection hidden="1"/>
    </xf>
    <xf numFmtId="0" fontId="0" fillId="0" borderId="1" xfId="0" applyBorder="1" applyAlignment="1" applyProtection="1">
      <alignment vertical="center"/>
      <protection hidden="1"/>
    </xf>
    <xf numFmtId="0" fontId="20" fillId="0" borderId="0" xfId="0" applyFont="1" applyAlignment="1" applyProtection="1">
      <alignment horizontal="center"/>
      <protection locked="0"/>
    </xf>
    <xf numFmtId="0" fontId="20" fillId="0" borderId="0" xfId="0" applyFont="1" applyAlignment="1">
      <alignment horizontal="center"/>
    </xf>
    <xf numFmtId="0" fontId="4" fillId="0" borderId="61" xfId="0" applyFont="1" applyBorder="1" applyAlignment="1" applyProtection="1">
      <alignment vertical="center"/>
      <protection hidden="1"/>
    </xf>
    <xf numFmtId="0" fontId="4" fillId="0" borderId="62" xfId="0" applyFont="1" applyBorder="1" applyAlignment="1">
      <alignment horizontal="center" vertical="center"/>
    </xf>
    <xf numFmtId="0" fontId="1" fillId="0" borderId="61" xfId="0" applyFont="1" applyBorder="1" applyAlignment="1" applyProtection="1">
      <alignment horizontal="center" vertical="center"/>
      <protection hidden="1"/>
    </xf>
    <xf numFmtId="0" fontId="1" fillId="0" borderId="37" xfId="0" applyFont="1" applyBorder="1" applyAlignment="1" applyProtection="1">
      <alignment horizontal="center"/>
      <protection locked="0" hidden="1"/>
    </xf>
    <xf numFmtId="0" fontId="1" fillId="0" borderId="1" xfId="0" applyFont="1" applyBorder="1" applyAlignment="1" applyProtection="1">
      <alignment horizontal="center"/>
      <protection locked="0" hidden="1"/>
    </xf>
    <xf numFmtId="0" fontId="1" fillId="0" borderId="2" xfId="0" applyFont="1" applyBorder="1" applyAlignment="1" applyProtection="1">
      <alignment horizontal="center"/>
      <protection locked="0" hidden="1"/>
    </xf>
    <xf numFmtId="0" fontId="1" fillId="0" borderId="63" xfId="0" applyFont="1" applyBorder="1" applyAlignment="1" applyProtection="1">
      <alignment horizontal="center"/>
      <protection locked="0" hidden="1"/>
    </xf>
    <xf numFmtId="0" fontId="1" fillId="0" borderId="23" xfId="0" applyFont="1" applyBorder="1" applyAlignment="1" applyProtection="1">
      <alignment horizontal="center" vertical="center"/>
      <protection hidden="1"/>
    </xf>
    <xf numFmtId="0" fontId="1" fillId="0" borderId="23" xfId="0" applyFont="1" applyBorder="1" applyAlignment="1" applyProtection="1">
      <alignment horizontal="center"/>
      <protection hidden="1"/>
    </xf>
    <xf numFmtId="0" fontId="1" fillId="0" borderId="4" xfId="0" applyFont="1" applyBorder="1" applyAlignment="1" applyProtection="1">
      <alignment horizontal="center"/>
      <protection locked="0" hidden="1"/>
    </xf>
    <xf numFmtId="0" fontId="1" fillId="0" borderId="62" xfId="0" applyFont="1" applyBorder="1" applyAlignment="1" applyProtection="1">
      <alignment horizontal="center"/>
      <protection locked="0" hidden="1"/>
    </xf>
    <xf numFmtId="0" fontId="1" fillId="0" borderId="59" xfId="0" applyFont="1" applyBorder="1" applyProtection="1">
      <protection hidden="1"/>
    </xf>
    <xf numFmtId="0" fontId="1" fillId="0" borderId="2" xfId="0" applyFont="1" applyBorder="1" applyProtection="1">
      <protection hidden="1"/>
    </xf>
    <xf numFmtId="0" fontId="21" fillId="0" borderId="64" xfId="0" applyFont="1" applyBorder="1" applyAlignment="1" applyProtection="1">
      <alignment horizontal="right" vertical="top"/>
      <protection hidden="1"/>
    </xf>
    <xf numFmtId="165" fontId="1" fillId="0" borderId="31" xfId="0" applyNumberFormat="1" applyFont="1" applyBorder="1" applyAlignment="1" applyProtection="1">
      <alignment horizontal="center"/>
      <protection hidden="1"/>
    </xf>
    <xf numFmtId="0" fontId="1" fillId="0" borderId="66" xfId="0" applyFont="1" applyBorder="1" applyProtection="1">
      <protection hidden="1"/>
    </xf>
    <xf numFmtId="0" fontId="1" fillId="0" borderId="39" xfId="0" applyFont="1" applyBorder="1" applyProtection="1">
      <protection hidden="1"/>
    </xf>
    <xf numFmtId="0" fontId="21" fillId="0" borderId="44" xfId="0" applyFont="1" applyBorder="1" applyAlignment="1" applyProtection="1">
      <alignment horizontal="right" vertical="top"/>
      <protection hidden="1"/>
    </xf>
    <xf numFmtId="165" fontId="1" fillId="0" borderId="30" xfId="0" applyNumberFormat="1" applyFont="1" applyBorder="1" applyAlignment="1" applyProtection="1">
      <alignment horizontal="center"/>
      <protection hidden="1"/>
    </xf>
    <xf numFmtId="165" fontId="2" fillId="0" borderId="71" xfId="0" applyNumberFormat="1" applyFont="1" applyBorder="1" applyAlignment="1" applyProtection="1">
      <alignment horizontal="center"/>
      <protection hidden="1"/>
    </xf>
    <xf numFmtId="0" fontId="20" fillId="0" borderId="0" xfId="0" applyFont="1" applyAlignment="1">
      <alignment horizontal="right"/>
    </xf>
    <xf numFmtId="0" fontId="25" fillId="0" borderId="0" xfId="0" applyFont="1" applyAlignment="1">
      <alignment horizontal="center"/>
    </xf>
    <xf numFmtId="0" fontId="20" fillId="0" borderId="0" xfId="0" applyFont="1" applyBorder="1" applyAlignment="1" applyProtection="1">
      <alignment horizontal="center"/>
      <protection locked="0"/>
    </xf>
    <xf numFmtId="9" fontId="20" fillId="0" borderId="0" xfId="0" applyNumberFormat="1" applyFont="1" applyAlignment="1">
      <alignment horizontal="center"/>
    </xf>
    <xf numFmtId="0" fontId="10" fillId="0" borderId="0" xfId="0" applyFont="1" applyAlignment="1">
      <alignment vertical="top"/>
    </xf>
    <xf numFmtId="0" fontId="1" fillId="0" borderId="0" xfId="0" applyFont="1" applyAlignment="1">
      <alignment horizontal="center" vertical="center"/>
    </xf>
    <xf numFmtId="0" fontId="21" fillId="0" borderId="0" xfId="0" applyFont="1" applyAlignment="1">
      <alignment horizontal="center" vertical="top"/>
    </xf>
    <xf numFmtId="2" fontId="21" fillId="0" borderId="0" xfId="0" applyNumberFormat="1" applyFont="1" applyAlignment="1">
      <alignment horizontal="center" vertical="top"/>
    </xf>
    <xf numFmtId="2" fontId="10" fillId="0" borderId="0" xfId="0" applyNumberFormat="1" applyFont="1" applyAlignment="1">
      <alignment horizontal="center" vertical="top"/>
    </xf>
    <xf numFmtId="2" fontId="26" fillId="0" borderId="0" xfId="0" applyNumberFormat="1" applyFont="1" applyAlignment="1" applyProtection="1">
      <alignment horizontal="center"/>
      <protection hidden="1"/>
    </xf>
    <xf numFmtId="169" fontId="26" fillId="0" borderId="0" xfId="0" applyNumberFormat="1" applyFont="1" applyAlignment="1" applyProtection="1">
      <alignment horizontal="center"/>
      <protection hidden="1"/>
    </xf>
    <xf numFmtId="0" fontId="4" fillId="7" borderId="28" xfId="0" applyFont="1" applyFill="1" applyBorder="1" applyAlignment="1">
      <alignment horizontal="center" vertical="center"/>
    </xf>
    <xf numFmtId="0" fontId="4" fillId="7" borderId="18" xfId="0" applyFont="1" applyFill="1" applyBorder="1" applyAlignment="1">
      <alignment horizontal="center"/>
    </xf>
    <xf numFmtId="0" fontId="4" fillId="7" borderId="44" xfId="0" applyFont="1" applyFill="1" applyBorder="1" applyAlignment="1">
      <alignment horizontal="center"/>
    </xf>
    <xf numFmtId="0" fontId="4" fillId="7" borderId="19" xfId="0" applyFont="1" applyFill="1" applyBorder="1" applyAlignment="1">
      <alignment horizontal="center"/>
    </xf>
    <xf numFmtId="0" fontId="4" fillId="7" borderId="48" xfId="0" applyFont="1" applyFill="1" applyBorder="1" applyAlignment="1">
      <alignment horizontal="center" vertical="center"/>
    </xf>
    <xf numFmtId="0" fontId="27" fillId="0" borderId="13" xfId="0" applyFont="1" applyBorder="1"/>
    <xf numFmtId="0" fontId="28" fillId="0" borderId="1" xfId="0" applyFont="1" applyBorder="1" applyAlignment="1">
      <alignment horizontal="center"/>
    </xf>
    <xf numFmtId="0" fontId="29" fillId="0" borderId="14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37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1" fillId="0" borderId="48" xfId="0" applyFont="1" applyBorder="1" applyAlignment="1">
      <alignment horizontal="center" vertical="center"/>
    </xf>
    <xf numFmtId="0" fontId="30" fillId="0" borderId="1" xfId="1" applyFont="1" applyBorder="1" applyAlignment="1" applyProtection="1">
      <alignment horizontal="center"/>
      <protection locked="0"/>
    </xf>
    <xf numFmtId="0" fontId="30" fillId="0" borderId="43" xfId="1" applyFont="1" applyBorder="1" applyAlignment="1" applyProtection="1">
      <alignment horizontal="center"/>
      <protection locked="0"/>
    </xf>
    <xf numFmtId="0" fontId="30" fillId="0" borderId="0" xfId="0" applyFont="1" applyAlignment="1">
      <alignment vertical="top"/>
    </xf>
    <xf numFmtId="0" fontId="3" fillId="0" borderId="1" xfId="0" applyFont="1" applyBorder="1" applyAlignment="1" applyProtection="1">
      <alignment horizontal="center" vertical="center" wrapText="1"/>
      <protection hidden="1"/>
    </xf>
    <xf numFmtId="0" fontId="3" fillId="0" borderId="1" xfId="0" applyFont="1" applyBorder="1" applyAlignment="1" applyProtection="1">
      <alignment horizontal="center" vertical="center"/>
      <protection hidden="1"/>
    </xf>
    <xf numFmtId="0" fontId="3" fillId="0" borderId="37" xfId="0" applyFont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horizontal="center" vertical="center" wrapText="1"/>
      <protection locked="0"/>
    </xf>
    <xf numFmtId="0" fontId="3" fillId="0" borderId="23" xfId="0" applyFont="1" applyBorder="1" applyAlignment="1" applyProtection="1">
      <alignment horizontal="center" vertical="center" wrapText="1"/>
      <protection locked="0"/>
    </xf>
    <xf numFmtId="0" fontId="3" fillId="7" borderId="0" xfId="0" applyFont="1" applyFill="1" applyBorder="1" applyAlignment="1">
      <alignment horizontal="center" vertical="center"/>
    </xf>
    <xf numFmtId="2" fontId="30" fillId="0" borderId="0" xfId="0" applyNumberFormat="1" applyFont="1" applyAlignment="1">
      <alignment horizontal="center" vertical="top"/>
    </xf>
    <xf numFmtId="2" fontId="6" fillId="0" borderId="0" xfId="0" applyNumberFormat="1" applyFont="1" applyAlignment="1" applyProtection="1">
      <alignment horizontal="center"/>
      <protection hidden="1"/>
    </xf>
    <xf numFmtId="169" fontId="6" fillId="0" borderId="0" xfId="0" applyNumberFormat="1" applyFont="1" applyAlignment="1" applyProtection="1">
      <alignment horizontal="center"/>
      <protection hidden="1"/>
    </xf>
    <xf numFmtId="0" fontId="3" fillId="0" borderId="28" xfId="0" applyFont="1" applyBorder="1" applyAlignment="1">
      <alignment horizontal="center" vertical="top"/>
    </xf>
    <xf numFmtId="0" fontId="3" fillId="0" borderId="6" xfId="0" applyFont="1" applyBorder="1" applyAlignment="1">
      <alignment horizontal="center" vertical="center"/>
    </xf>
    <xf numFmtId="0" fontId="3" fillId="0" borderId="5" xfId="0" applyFont="1" applyBorder="1" applyAlignment="1">
      <alignment vertical="center"/>
    </xf>
    <xf numFmtId="0" fontId="30" fillId="0" borderId="29" xfId="0" applyFont="1" applyBorder="1" applyAlignment="1">
      <alignment horizontal="center" vertical="center"/>
    </xf>
    <xf numFmtId="166" fontId="22" fillId="0" borderId="16" xfId="0" applyNumberFormat="1" applyFont="1" applyBorder="1" applyAlignment="1" applyProtection="1">
      <alignment horizontal="center" vertical="center"/>
      <protection hidden="1"/>
    </xf>
    <xf numFmtId="166" fontId="22" fillId="0" borderId="17" xfId="0" applyNumberFormat="1" applyFont="1" applyBorder="1" applyAlignment="1" applyProtection="1">
      <alignment horizontal="center" vertical="center"/>
      <protection hidden="1"/>
    </xf>
    <xf numFmtId="166" fontId="6" fillId="0" borderId="17" xfId="0" applyNumberFormat="1" applyFont="1" applyBorder="1" applyAlignment="1" applyProtection="1">
      <alignment horizontal="center" vertical="center"/>
      <protection hidden="1"/>
    </xf>
    <xf numFmtId="166" fontId="1" fillId="0" borderId="64" xfId="0" applyNumberFormat="1" applyFont="1" applyBorder="1" applyAlignment="1">
      <alignment horizontal="center" vertical="center"/>
    </xf>
    <xf numFmtId="166" fontId="1" fillId="8" borderId="18" xfId="0" applyNumberFormat="1" applyFont="1" applyFill="1" applyBorder="1" applyAlignment="1">
      <alignment horizontal="center" vertical="center"/>
    </xf>
    <xf numFmtId="166" fontId="1" fillId="8" borderId="19" xfId="0" applyNumberFormat="1" applyFont="1" applyFill="1" applyBorder="1" applyAlignment="1">
      <alignment horizontal="center" vertical="center"/>
    </xf>
    <xf numFmtId="166" fontId="1" fillId="8" borderId="20" xfId="0" applyNumberFormat="1" applyFont="1" applyFill="1" applyBorder="1" applyAlignment="1">
      <alignment horizontal="center" vertical="center"/>
    </xf>
    <xf numFmtId="166" fontId="1" fillId="0" borderId="18" xfId="0" applyNumberFormat="1" applyFont="1" applyBorder="1" applyAlignment="1">
      <alignment horizontal="center"/>
    </xf>
    <xf numFmtId="166" fontId="1" fillId="0" borderId="19" xfId="0" applyNumberFormat="1" applyFont="1" applyBorder="1" applyAlignment="1">
      <alignment horizontal="center"/>
    </xf>
    <xf numFmtId="166" fontId="1" fillId="0" borderId="30" xfId="0" applyNumberFormat="1" applyFont="1" applyBorder="1" applyAlignment="1">
      <alignment horizontal="center"/>
    </xf>
    <xf numFmtId="166" fontId="1" fillId="0" borderId="20" xfId="0" applyNumberFormat="1" applyFont="1" applyBorder="1" applyAlignment="1">
      <alignment horizontal="center"/>
    </xf>
    <xf numFmtId="0" fontId="30" fillId="0" borderId="37" xfId="0" applyFont="1" applyBorder="1" applyAlignment="1">
      <alignment horizontal="center" vertical="center"/>
    </xf>
    <xf numFmtId="166" fontId="22" fillId="0" borderId="13" xfId="0" applyNumberFormat="1" applyFont="1" applyBorder="1" applyAlignment="1" applyProtection="1">
      <alignment horizontal="center" vertical="center"/>
      <protection hidden="1"/>
    </xf>
    <xf numFmtId="166" fontId="22" fillId="0" borderId="14" xfId="0" applyNumberFormat="1" applyFont="1" applyBorder="1" applyAlignment="1" applyProtection="1">
      <alignment horizontal="center" vertical="center"/>
      <protection hidden="1"/>
    </xf>
    <xf numFmtId="166" fontId="6" fillId="0" borderId="14" xfId="0" applyNumberFormat="1" applyFont="1" applyBorder="1" applyAlignment="1" applyProtection="1">
      <alignment horizontal="center" vertical="center"/>
      <protection hidden="1"/>
    </xf>
    <xf numFmtId="166" fontId="1" fillId="0" borderId="43" xfId="0" applyNumberFormat="1" applyFont="1" applyBorder="1" applyAlignment="1">
      <alignment horizontal="center" vertical="center"/>
    </xf>
    <xf numFmtId="166" fontId="1" fillId="8" borderId="27" xfId="0" applyNumberFormat="1" applyFont="1" applyFill="1" applyBorder="1" applyAlignment="1">
      <alignment horizontal="center" vertical="center"/>
    </xf>
    <xf numFmtId="166" fontId="1" fillId="8" borderId="28" xfId="0" applyNumberFormat="1" applyFont="1" applyFill="1" applyBorder="1" applyAlignment="1">
      <alignment horizontal="center" vertical="center"/>
    </xf>
    <xf numFmtId="0" fontId="30" fillId="0" borderId="30" xfId="0" applyFont="1" applyBorder="1" applyAlignment="1">
      <alignment horizontal="center" vertical="center"/>
    </xf>
    <xf numFmtId="166" fontId="22" fillId="0" borderId="18" xfId="0" applyNumberFormat="1" applyFont="1" applyBorder="1" applyAlignment="1" applyProtection="1">
      <alignment horizontal="center" vertical="center"/>
      <protection hidden="1"/>
    </xf>
    <xf numFmtId="166" fontId="22" fillId="0" borderId="20" xfId="0" applyNumberFormat="1" applyFont="1" applyBorder="1" applyAlignment="1" applyProtection="1">
      <alignment horizontal="center" vertical="center"/>
      <protection hidden="1"/>
    </xf>
    <xf numFmtId="166" fontId="6" fillId="0" borderId="20" xfId="0" applyNumberFormat="1" applyFont="1" applyBorder="1" applyAlignment="1" applyProtection="1">
      <alignment horizontal="center" vertical="center"/>
      <protection hidden="1"/>
    </xf>
    <xf numFmtId="166" fontId="1" fillId="0" borderId="44" xfId="0" applyNumberFormat="1" applyFont="1" applyBorder="1" applyAlignment="1">
      <alignment horizontal="center" vertical="center"/>
    </xf>
    <xf numFmtId="166" fontId="22" fillId="0" borderId="64" xfId="0" applyNumberFormat="1" applyFont="1" applyBorder="1" applyAlignment="1" applyProtection="1">
      <alignment horizontal="center" vertical="center"/>
      <protection hidden="1"/>
    </xf>
    <xf numFmtId="166" fontId="22" fillId="0" borderId="43" xfId="0" applyNumberFormat="1" applyFont="1" applyBorder="1" applyAlignment="1" applyProtection="1">
      <alignment horizontal="center" vertical="center"/>
      <protection hidden="1"/>
    </xf>
    <xf numFmtId="166" fontId="22" fillId="0" borderId="44" xfId="0" applyNumberFormat="1" applyFont="1" applyBorder="1" applyAlignment="1" applyProtection="1">
      <alignment horizontal="center" vertical="center"/>
      <protection hidden="1"/>
    </xf>
    <xf numFmtId="0" fontId="3" fillId="0" borderId="42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2" fontId="22" fillId="0" borderId="10" xfId="0" applyNumberFormat="1" applyFont="1" applyBorder="1" applyAlignment="1" applyProtection="1">
      <alignment horizontal="center" vertical="center"/>
      <protection hidden="1"/>
    </xf>
    <xf numFmtId="2" fontId="22" fillId="0" borderId="12" xfId="0" applyNumberFormat="1" applyFont="1" applyBorder="1" applyAlignment="1" applyProtection="1">
      <alignment horizontal="center" vertical="center"/>
      <protection hidden="1"/>
    </xf>
    <xf numFmtId="2" fontId="22" fillId="0" borderId="13" xfId="0" applyNumberFormat="1" applyFont="1" applyBorder="1" applyAlignment="1" applyProtection="1">
      <alignment horizontal="center" vertical="center"/>
      <protection hidden="1"/>
    </xf>
    <xf numFmtId="2" fontId="22" fillId="0" borderId="14" xfId="0" applyNumberFormat="1" applyFont="1" applyBorder="1" applyAlignment="1" applyProtection="1">
      <alignment horizontal="center" vertical="center"/>
      <protection hidden="1"/>
    </xf>
    <xf numFmtId="2" fontId="22" fillId="0" borderId="18" xfId="0" applyNumberFormat="1" applyFont="1" applyBorder="1" applyAlignment="1" applyProtection="1">
      <alignment horizontal="center" vertical="center"/>
      <protection hidden="1"/>
    </xf>
    <xf numFmtId="2" fontId="22" fillId="0" borderId="20" xfId="0" applyNumberFormat="1" applyFont="1" applyBorder="1" applyAlignment="1" applyProtection="1">
      <alignment horizontal="center" vertical="center"/>
      <protection hidden="1"/>
    </xf>
    <xf numFmtId="2" fontId="22" fillId="0" borderId="23" xfId="0" applyNumberFormat="1" applyFont="1" applyBorder="1" applyAlignment="1" applyProtection="1">
      <alignment horizontal="center" vertical="center"/>
      <protection hidden="1"/>
    </xf>
    <xf numFmtId="0" fontId="1" fillId="0" borderId="23" xfId="0" applyFont="1" applyBorder="1" applyProtection="1">
      <protection hidden="1"/>
    </xf>
    <xf numFmtId="0" fontId="31" fillId="0" borderId="23" xfId="0" applyFont="1" applyBorder="1" applyAlignment="1" applyProtection="1">
      <alignment vertical="center" wrapText="1"/>
      <protection hidden="1"/>
    </xf>
    <xf numFmtId="0" fontId="32" fillId="0" borderId="0" xfId="0" applyFont="1" applyAlignment="1">
      <alignment vertical="center"/>
    </xf>
    <xf numFmtId="0" fontId="20" fillId="4" borderId="7" xfId="0" applyFont="1" applyFill="1" applyBorder="1" applyAlignment="1">
      <alignment horizontal="center"/>
    </xf>
    <xf numFmtId="0" fontId="20" fillId="4" borderId="8" xfId="0" applyFont="1" applyFill="1" applyBorder="1" applyAlignment="1">
      <alignment horizontal="center"/>
    </xf>
    <xf numFmtId="0" fontId="20" fillId="4" borderId="9" xfId="0" applyFont="1" applyFill="1" applyBorder="1" applyAlignment="1">
      <alignment horizontal="center"/>
    </xf>
    <xf numFmtId="0" fontId="3" fillId="5" borderId="56" xfId="0" applyFont="1" applyFill="1" applyBorder="1" applyAlignment="1" applyProtection="1">
      <alignment horizontal="center" vertical="center"/>
      <protection hidden="1"/>
    </xf>
    <xf numFmtId="0" fontId="3" fillId="5" borderId="57" xfId="0" applyFont="1" applyFill="1" applyBorder="1" applyAlignment="1" applyProtection="1">
      <alignment horizontal="center" vertical="center"/>
      <protection hidden="1"/>
    </xf>
    <xf numFmtId="0" fontId="3" fillId="5" borderId="58" xfId="0" applyFont="1" applyFill="1" applyBorder="1" applyAlignment="1" applyProtection="1">
      <alignment horizontal="center" vertical="center"/>
      <protection hidden="1"/>
    </xf>
    <xf numFmtId="0" fontId="3" fillId="5" borderId="59" xfId="0" applyFont="1" applyFill="1" applyBorder="1" applyAlignment="1" applyProtection="1">
      <alignment horizontal="center" vertical="center"/>
      <protection hidden="1"/>
    </xf>
    <xf numFmtId="0" fontId="3" fillId="5" borderId="2" xfId="0" applyFont="1" applyFill="1" applyBorder="1" applyAlignment="1" applyProtection="1">
      <alignment horizontal="center" vertical="center"/>
      <protection hidden="1"/>
    </xf>
    <xf numFmtId="0" fontId="3" fillId="5" borderId="60" xfId="0" applyFont="1" applyFill="1" applyBorder="1" applyAlignment="1" applyProtection="1">
      <alignment horizontal="center" vertical="center"/>
      <protection hidden="1"/>
    </xf>
    <xf numFmtId="0" fontId="3" fillId="0" borderId="37" xfId="0" applyFont="1" applyBorder="1" applyAlignment="1" applyProtection="1">
      <alignment horizontal="center" vertical="center" wrapText="1"/>
      <protection locked="0"/>
    </xf>
    <xf numFmtId="0" fontId="3" fillId="0" borderId="43" xfId="0" applyFont="1" applyBorder="1" applyAlignment="1" applyProtection="1">
      <alignment horizontal="center" vertical="center" wrapText="1"/>
      <protection locked="0"/>
    </xf>
    <xf numFmtId="0" fontId="20" fillId="0" borderId="0" xfId="0" applyFont="1" applyAlignment="1">
      <alignment horizontal="right"/>
    </xf>
    <xf numFmtId="0" fontId="20" fillId="0" borderId="0" xfId="0" applyFont="1" applyAlignment="1" applyProtection="1">
      <alignment horizontal="center"/>
      <protection locked="0"/>
    </xf>
    <xf numFmtId="0" fontId="1" fillId="0" borderId="23" xfId="0" applyFont="1" applyBorder="1" applyAlignment="1" applyProtection="1">
      <alignment horizontal="center"/>
      <protection hidden="1"/>
    </xf>
    <xf numFmtId="0" fontId="1" fillId="0" borderId="43" xfId="0" applyFont="1" applyBorder="1" applyAlignment="1" applyProtection="1">
      <alignment horizontal="center"/>
      <protection hidden="1"/>
    </xf>
    <xf numFmtId="0" fontId="5" fillId="0" borderId="23" xfId="0" applyFont="1" applyBorder="1" applyAlignment="1" applyProtection="1">
      <alignment horizontal="center"/>
      <protection hidden="1"/>
    </xf>
    <xf numFmtId="0" fontId="5" fillId="0" borderId="43" xfId="0" applyFont="1" applyBorder="1" applyAlignment="1" applyProtection="1">
      <alignment horizontal="center"/>
      <protection hidden="1"/>
    </xf>
    <xf numFmtId="165" fontId="22" fillId="2" borderId="27" xfId="0" applyNumberFormat="1" applyFont="1" applyFill="1" applyBorder="1" applyAlignment="1" applyProtection="1">
      <alignment horizontal="center"/>
      <protection hidden="1"/>
    </xf>
    <xf numFmtId="165" fontId="22" fillId="2" borderId="28" xfId="0" applyNumberFormat="1" applyFont="1" applyFill="1" applyBorder="1" applyAlignment="1" applyProtection="1">
      <alignment horizontal="center"/>
      <protection hidden="1"/>
    </xf>
    <xf numFmtId="165" fontId="22" fillId="2" borderId="65" xfId="0" applyNumberFormat="1" applyFont="1" applyFill="1" applyBorder="1" applyAlignment="1" applyProtection="1">
      <alignment horizontal="center"/>
      <protection hidden="1"/>
    </xf>
    <xf numFmtId="9" fontId="20" fillId="2" borderId="25" xfId="0" applyNumberFormat="1" applyFont="1" applyFill="1" applyBorder="1" applyAlignment="1">
      <alignment horizontal="center" vertical="center"/>
    </xf>
    <xf numFmtId="9" fontId="20" fillId="2" borderId="0" xfId="0" applyNumberFormat="1" applyFont="1" applyFill="1" applyBorder="1" applyAlignment="1">
      <alignment horizontal="center" vertical="center"/>
    </xf>
    <xf numFmtId="9" fontId="20" fillId="2" borderId="67" xfId="0" applyNumberFormat="1" applyFont="1" applyFill="1" applyBorder="1" applyAlignment="1">
      <alignment horizontal="center" vertical="center"/>
    </xf>
    <xf numFmtId="9" fontId="20" fillId="2" borderId="72" xfId="0" applyNumberFormat="1" applyFont="1" applyFill="1" applyBorder="1" applyAlignment="1">
      <alignment horizontal="center" vertical="center"/>
    </xf>
    <xf numFmtId="9" fontId="20" fillId="2" borderId="73" xfId="0" applyNumberFormat="1" applyFont="1" applyFill="1" applyBorder="1" applyAlignment="1">
      <alignment horizontal="center" vertical="center"/>
    </xf>
    <xf numFmtId="9" fontId="20" fillId="2" borderId="74" xfId="0" applyNumberFormat="1" applyFont="1" applyFill="1" applyBorder="1" applyAlignment="1">
      <alignment horizontal="center" vertical="center"/>
    </xf>
    <xf numFmtId="9" fontId="20" fillId="2" borderId="0" xfId="0" applyNumberFormat="1" applyFont="1" applyFill="1" applyAlignment="1">
      <alignment horizontal="center" vertical="center"/>
    </xf>
    <xf numFmtId="9" fontId="20" fillId="2" borderId="25" xfId="0" applyNumberFormat="1" applyFont="1" applyFill="1" applyBorder="1" applyAlignment="1" applyProtection="1">
      <alignment horizontal="center" vertical="center"/>
      <protection hidden="1"/>
    </xf>
    <xf numFmtId="9" fontId="20" fillId="2" borderId="0" xfId="0" applyNumberFormat="1" applyFont="1" applyFill="1" applyBorder="1" applyAlignment="1" applyProtection="1">
      <alignment horizontal="center" vertical="center"/>
      <protection hidden="1"/>
    </xf>
    <xf numFmtId="9" fontId="20" fillId="2" borderId="0" xfId="0" applyNumberFormat="1" applyFont="1" applyFill="1" applyAlignment="1" applyProtection="1">
      <alignment horizontal="center" vertical="center"/>
      <protection hidden="1"/>
    </xf>
    <xf numFmtId="9" fontId="20" fillId="2" borderId="67" xfId="0" applyNumberFormat="1" applyFont="1" applyFill="1" applyBorder="1" applyAlignment="1" applyProtection="1">
      <alignment horizontal="center" vertical="center"/>
      <protection hidden="1"/>
    </xf>
    <xf numFmtId="9" fontId="20" fillId="2" borderId="72" xfId="0" applyNumberFormat="1" applyFont="1" applyFill="1" applyBorder="1" applyAlignment="1" applyProtection="1">
      <alignment horizontal="center" vertical="center"/>
      <protection hidden="1"/>
    </xf>
    <xf numFmtId="9" fontId="20" fillId="2" borderId="73" xfId="0" applyNumberFormat="1" applyFont="1" applyFill="1" applyBorder="1" applyAlignment="1" applyProtection="1">
      <alignment horizontal="center" vertical="center"/>
      <protection hidden="1"/>
    </xf>
    <xf numFmtId="9" fontId="20" fillId="2" borderId="74" xfId="0" applyNumberFormat="1" applyFont="1" applyFill="1" applyBorder="1" applyAlignment="1" applyProtection="1">
      <alignment horizontal="center" vertical="center"/>
      <protection hidden="1"/>
    </xf>
    <xf numFmtId="0" fontId="20" fillId="0" borderId="57" xfId="0" applyFont="1" applyBorder="1" applyAlignment="1" applyProtection="1">
      <alignment horizontal="center"/>
      <protection locked="0"/>
    </xf>
    <xf numFmtId="0" fontId="21" fillId="0" borderId="68" xfId="0" applyFont="1" applyBorder="1" applyAlignment="1" applyProtection="1">
      <alignment horizontal="right" vertical="top"/>
      <protection hidden="1"/>
    </xf>
    <xf numFmtId="0" fontId="21" fillId="0" borderId="69" xfId="0" applyFont="1" applyBorder="1" applyAlignment="1" applyProtection="1">
      <alignment horizontal="right" vertical="top"/>
      <protection hidden="1"/>
    </xf>
    <xf numFmtId="0" fontId="21" fillId="0" borderId="70" xfId="0" applyFont="1" applyBorder="1" applyAlignment="1" applyProtection="1">
      <alignment horizontal="right" vertical="top"/>
      <protection hidden="1"/>
    </xf>
    <xf numFmtId="0" fontId="21" fillId="0" borderId="69" xfId="0" applyFont="1" applyBorder="1" applyAlignment="1" applyProtection="1">
      <alignment horizontal="right" vertical="center"/>
      <protection hidden="1"/>
    </xf>
    <xf numFmtId="0" fontId="21" fillId="0" borderId="70" xfId="0" applyFont="1" applyBorder="1" applyAlignment="1" applyProtection="1">
      <alignment horizontal="right" vertical="center"/>
      <protection hidden="1"/>
    </xf>
    <xf numFmtId="0" fontId="3" fillId="0" borderId="7" xfId="0" applyFont="1" applyBorder="1" applyAlignment="1" applyProtection="1">
      <alignment horizontal="center" vertical="top"/>
      <protection locked="0"/>
    </xf>
    <xf numFmtId="0" fontId="3" fillId="0" borderId="8" xfId="0" applyFont="1" applyBorder="1" applyAlignment="1" applyProtection="1">
      <alignment horizontal="center" vertical="top"/>
      <protection locked="0"/>
    </xf>
    <xf numFmtId="0" fontId="3" fillId="0" borderId="9" xfId="0" applyFont="1" applyBorder="1" applyAlignment="1" applyProtection="1">
      <alignment horizontal="center" vertical="top"/>
      <protection locked="0"/>
    </xf>
    <xf numFmtId="0" fontId="3" fillId="0" borderId="7" xfId="0" applyFont="1" applyBorder="1" applyAlignment="1">
      <alignment horizontal="center" vertical="top"/>
    </xf>
    <xf numFmtId="0" fontId="3" fillId="0" borderId="8" xfId="0" applyFont="1" applyBorder="1" applyAlignment="1">
      <alignment horizontal="center" vertical="top"/>
    </xf>
    <xf numFmtId="0" fontId="3" fillId="0" borderId="9" xfId="0" applyFont="1" applyBorder="1" applyAlignment="1">
      <alignment horizontal="center" vertical="top"/>
    </xf>
    <xf numFmtId="0" fontId="3" fillId="7" borderId="27" xfId="0" applyFont="1" applyFill="1" applyBorder="1" applyAlignment="1">
      <alignment horizontal="center" vertical="center"/>
    </xf>
    <xf numFmtId="0" fontId="3" fillId="7" borderId="28" xfId="0" applyFont="1" applyFill="1" applyBorder="1" applyAlignment="1">
      <alignment horizontal="center" vertical="center"/>
    </xf>
    <xf numFmtId="0" fontId="3" fillId="7" borderId="8" xfId="0" applyFont="1" applyFill="1" applyBorder="1" applyAlignment="1">
      <alignment horizontal="center" vertical="center"/>
    </xf>
    <xf numFmtId="0" fontId="3" fillId="7" borderId="9" xfId="0" applyFont="1" applyFill="1" applyBorder="1" applyAlignment="1">
      <alignment horizontal="center" vertical="center"/>
    </xf>
    <xf numFmtId="0" fontId="3" fillId="0" borderId="32" xfId="0" applyFont="1" applyBorder="1" applyAlignment="1">
      <alignment horizontal="center" vertical="top"/>
    </xf>
    <xf numFmtId="0" fontId="3" fillId="0" borderId="42" xfId="0" applyFont="1" applyBorder="1" applyAlignment="1">
      <alignment horizontal="center" vertical="top"/>
    </xf>
    <xf numFmtId="0" fontId="3" fillId="0" borderId="55" xfId="0" applyFont="1" applyBorder="1" applyAlignment="1">
      <alignment horizontal="center" vertical="top"/>
    </xf>
    <xf numFmtId="0" fontId="3" fillId="0" borderId="48" xfId="0" applyFont="1" applyBorder="1" applyAlignment="1">
      <alignment horizontal="center" vertical="top"/>
    </xf>
    <xf numFmtId="0" fontId="4" fillId="7" borderId="10" xfId="0" applyFont="1" applyFill="1" applyBorder="1" applyAlignment="1">
      <alignment horizontal="center" vertical="center"/>
    </xf>
    <xf numFmtId="0" fontId="4" fillId="7" borderId="26" xfId="0" applyFont="1" applyFill="1" applyBorder="1" applyAlignment="1">
      <alignment horizontal="center" vertical="center"/>
    </xf>
    <xf numFmtId="0" fontId="4" fillId="7" borderId="11" xfId="0" applyFont="1" applyFill="1" applyBorder="1" applyAlignment="1">
      <alignment horizontal="center" vertical="center"/>
    </xf>
    <xf numFmtId="0" fontId="4" fillId="7" borderId="12" xfId="0" applyFont="1" applyFill="1" applyBorder="1" applyAlignment="1">
      <alignment horizontal="center" vertical="center"/>
    </xf>
    <xf numFmtId="0" fontId="4" fillId="7" borderId="19" xfId="0" applyFont="1" applyFill="1" applyBorder="1" applyAlignment="1">
      <alignment horizontal="center" vertical="center"/>
    </xf>
    <xf numFmtId="0" fontId="4" fillId="7" borderId="20" xfId="0" applyFont="1" applyFill="1" applyBorder="1" applyAlignment="1">
      <alignment horizontal="center" vertical="center"/>
    </xf>
    <xf numFmtId="0" fontId="4" fillId="7" borderId="24" xfId="0" applyFont="1" applyFill="1" applyBorder="1" applyAlignment="1">
      <alignment horizontal="center" vertical="center"/>
    </xf>
    <xf numFmtId="0" fontId="4" fillId="7" borderId="49" xfId="0" applyFont="1" applyFill="1" applyBorder="1" applyAlignment="1">
      <alignment horizontal="center" vertical="center"/>
    </xf>
    <xf numFmtId="0" fontId="1" fillId="0" borderId="37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4" fillId="7" borderId="36" xfId="0" applyFont="1" applyFill="1" applyBorder="1" applyAlignment="1">
      <alignment horizontal="center" vertical="center"/>
    </xf>
    <xf numFmtId="0" fontId="4" fillId="7" borderId="45" xfId="0" applyFont="1" applyFill="1" applyBorder="1" applyAlignment="1">
      <alignment horizontal="center" vertical="center"/>
    </xf>
    <xf numFmtId="0" fontId="4" fillId="7" borderId="54" xfId="0" applyFont="1" applyFill="1" applyBorder="1" applyAlignment="1">
      <alignment horizontal="center" vertical="center"/>
    </xf>
    <xf numFmtId="0" fontId="4" fillId="7" borderId="47" xfId="0" applyFont="1" applyFill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45" xfId="0" applyFont="1" applyBorder="1" applyAlignment="1">
      <alignment horizontal="center" vertical="center"/>
    </xf>
    <xf numFmtId="0" fontId="4" fillId="0" borderId="55" xfId="0" applyFont="1" applyBorder="1" applyAlignment="1">
      <alignment horizontal="center" vertical="center"/>
    </xf>
    <xf numFmtId="0" fontId="4" fillId="0" borderId="48" xfId="0" applyFont="1" applyBorder="1" applyAlignment="1">
      <alignment horizontal="center" vertical="center"/>
    </xf>
    <xf numFmtId="0" fontId="4" fillId="0" borderId="47" xfId="0" applyFont="1" applyBorder="1" applyAlignment="1">
      <alignment horizontal="center" vertical="center"/>
    </xf>
    <xf numFmtId="0" fontId="1" fillId="0" borderId="50" xfId="0" applyFont="1" applyBorder="1" applyAlignment="1">
      <alignment horizontal="center"/>
    </xf>
    <xf numFmtId="0" fontId="1" fillId="0" borderId="38" xfId="0" applyFont="1" applyBorder="1" applyAlignment="1">
      <alignment horizontal="center"/>
    </xf>
    <xf numFmtId="0" fontId="1" fillId="0" borderId="21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29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30" fillId="0" borderId="10" xfId="0" applyFont="1" applyBorder="1" applyAlignment="1">
      <alignment horizontal="center" vertical="center"/>
    </xf>
    <xf numFmtId="0" fontId="30" fillId="0" borderId="13" xfId="0" applyFont="1" applyBorder="1" applyAlignment="1">
      <alignment horizontal="center" vertical="center"/>
    </xf>
    <xf numFmtId="0" fontId="30" fillId="0" borderId="18" xfId="0" applyFont="1" applyBorder="1" applyAlignment="1">
      <alignment horizontal="center" vertical="center"/>
    </xf>
    <xf numFmtId="0" fontId="30" fillId="0" borderId="33" xfId="0" applyFont="1" applyBorder="1" applyAlignment="1">
      <alignment horizontal="center" vertical="center"/>
    </xf>
    <xf numFmtId="0" fontId="30" fillId="0" borderId="35" xfId="0" applyFont="1" applyBorder="1" applyAlignment="1">
      <alignment horizontal="center" vertical="center"/>
    </xf>
    <xf numFmtId="0" fontId="30" fillId="0" borderId="41" xfId="0" applyFont="1" applyBorder="1" applyAlignment="1">
      <alignment horizontal="center" vertical="center"/>
    </xf>
    <xf numFmtId="166" fontId="1" fillId="0" borderId="16" xfId="0" applyNumberFormat="1" applyFont="1" applyBorder="1" applyAlignment="1">
      <alignment horizontal="center" vertical="center"/>
    </xf>
    <xf numFmtId="166" fontId="1" fillId="0" borderId="13" xfId="0" applyNumberFormat="1" applyFont="1" applyBorder="1" applyAlignment="1">
      <alignment horizontal="center" vertical="center"/>
    </xf>
    <xf numFmtId="166" fontId="1" fillId="0" borderId="18" xfId="0" applyNumberFormat="1" applyFont="1" applyBorder="1" applyAlignment="1">
      <alignment horizontal="center" vertical="center"/>
    </xf>
    <xf numFmtId="166" fontId="1" fillId="0" borderId="3" xfId="0" applyNumberFormat="1" applyFont="1" applyBorder="1" applyAlignment="1">
      <alignment horizontal="center" vertical="center"/>
    </xf>
    <xf numFmtId="166" fontId="1" fillId="0" borderId="1" xfId="0" applyNumberFormat="1" applyFont="1" applyBorder="1" applyAlignment="1">
      <alignment horizontal="center" vertical="center"/>
    </xf>
    <xf numFmtId="166" fontId="1" fillId="0" borderId="19" xfId="0" applyNumberFormat="1" applyFont="1" applyBorder="1" applyAlignment="1">
      <alignment horizontal="center" vertical="center"/>
    </xf>
    <xf numFmtId="0" fontId="1" fillId="0" borderId="7" xfId="0" applyFont="1" applyBorder="1" applyAlignment="1" applyProtection="1">
      <alignment horizontal="center" vertical="top"/>
      <protection locked="0"/>
    </xf>
    <xf numFmtId="0" fontId="1" fillId="0" borderId="8" xfId="0" applyFont="1" applyBorder="1" applyAlignment="1" applyProtection="1">
      <alignment horizontal="center" vertical="top"/>
      <protection locked="0"/>
    </xf>
    <xf numFmtId="0" fontId="1" fillId="0" borderId="9" xfId="0" applyFont="1" applyBorder="1" applyAlignment="1" applyProtection="1">
      <alignment horizontal="center" vertical="top"/>
      <protection locked="0"/>
    </xf>
    <xf numFmtId="0" fontId="1" fillId="0" borderId="27" xfId="0" applyFont="1" applyBorder="1" applyAlignment="1" applyProtection="1">
      <alignment horizontal="center" vertical="top"/>
      <protection locked="0"/>
    </xf>
    <xf numFmtId="0" fontId="1" fillId="0" borderId="28" xfId="0" applyFont="1" applyBorder="1" applyAlignment="1" applyProtection="1">
      <alignment horizontal="center" vertical="top"/>
      <protection locked="0"/>
    </xf>
    <xf numFmtId="0" fontId="1" fillId="0" borderId="45" xfId="0" applyFont="1" applyBorder="1" applyAlignment="1" applyProtection="1">
      <alignment horizontal="center" vertical="top"/>
      <protection locked="0"/>
    </xf>
    <xf numFmtId="0" fontId="1" fillId="0" borderId="25" xfId="0" applyFont="1" applyBorder="1" applyAlignment="1" applyProtection="1">
      <alignment horizontal="center" vertical="top"/>
      <protection locked="0"/>
    </xf>
    <xf numFmtId="0" fontId="1" fillId="0" borderId="0" xfId="0" applyFont="1" applyBorder="1" applyAlignment="1" applyProtection="1">
      <alignment horizontal="center" vertical="top"/>
      <protection locked="0"/>
    </xf>
    <xf numFmtId="0" fontId="1" fillId="0" borderId="46" xfId="0" applyFont="1" applyBorder="1" applyAlignment="1" applyProtection="1">
      <alignment horizontal="center" vertical="top"/>
      <protection locked="0"/>
    </xf>
    <xf numFmtId="0" fontId="1" fillId="0" borderId="55" xfId="0" applyFont="1" applyBorder="1" applyAlignment="1" applyProtection="1">
      <alignment horizontal="center" vertical="top"/>
      <protection locked="0"/>
    </xf>
    <xf numFmtId="0" fontId="1" fillId="0" borderId="48" xfId="0" applyFont="1" applyBorder="1" applyAlignment="1" applyProtection="1">
      <alignment horizontal="center" vertical="top"/>
      <protection locked="0"/>
    </xf>
    <xf numFmtId="0" fontId="1" fillId="0" borderId="47" xfId="0" applyFont="1" applyBorder="1" applyAlignment="1" applyProtection="1">
      <alignment horizontal="center" vertical="top"/>
      <protection locked="0"/>
    </xf>
    <xf numFmtId="0" fontId="1" fillId="0" borderId="19" xfId="0" applyFont="1" applyBorder="1" applyAlignment="1">
      <alignment horizontal="center"/>
    </xf>
    <xf numFmtId="0" fontId="1" fillId="0" borderId="20" xfId="0" applyFont="1" applyBorder="1" applyAlignment="1">
      <alignment horizontal="center"/>
    </xf>
    <xf numFmtId="0" fontId="1" fillId="0" borderId="30" xfId="0" applyFont="1" applyBorder="1" applyAlignment="1">
      <alignment horizontal="center" vertical="center"/>
    </xf>
    <xf numFmtId="0" fontId="1" fillId="0" borderId="53" xfId="0" applyFont="1" applyBorder="1" applyAlignment="1">
      <alignment horizontal="center" vertical="center"/>
    </xf>
    <xf numFmtId="0" fontId="1" fillId="0" borderId="55" xfId="0" applyFont="1" applyBorder="1" applyAlignment="1" applyProtection="1">
      <alignment horizontal="center" vertical="center" wrapText="1"/>
      <protection locked="0"/>
    </xf>
    <xf numFmtId="0" fontId="1" fillId="0" borderId="48" xfId="0" applyFont="1" applyBorder="1" applyAlignment="1" applyProtection="1">
      <alignment horizontal="center" vertical="center" wrapText="1"/>
      <protection locked="0"/>
    </xf>
    <xf numFmtId="0" fontId="1" fillId="0" borderId="47" xfId="0" applyFont="1" applyBorder="1" applyAlignment="1" applyProtection="1">
      <alignment horizontal="center" vertical="center" wrapText="1"/>
      <protection locked="0"/>
    </xf>
    <xf numFmtId="0" fontId="1" fillId="0" borderId="25" xfId="0" applyFont="1" applyBorder="1" applyAlignment="1" applyProtection="1">
      <alignment horizontal="center" vertical="center" wrapText="1"/>
      <protection locked="0"/>
    </xf>
    <xf numFmtId="0" fontId="1" fillId="0" borderId="0" xfId="0" applyFont="1" applyAlignment="1" applyProtection="1">
      <alignment horizontal="center" vertical="center" wrapText="1"/>
      <protection locked="0"/>
    </xf>
    <xf numFmtId="0" fontId="1" fillId="0" borderId="46" xfId="0" applyFont="1" applyBorder="1" applyAlignment="1" applyProtection="1">
      <alignment horizontal="center" vertical="center" wrapText="1"/>
      <protection locked="0"/>
    </xf>
    <xf numFmtId="0" fontId="1" fillId="0" borderId="1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166" fontId="1" fillId="0" borderId="32" xfId="0" applyNumberFormat="1" applyFont="1" applyBorder="1" applyAlignment="1">
      <alignment horizontal="center" vertical="center"/>
    </xf>
    <xf numFmtId="166" fontId="1" fillId="0" borderId="34" xfId="0" applyNumberFormat="1" applyFont="1" applyBorder="1" applyAlignment="1">
      <alignment horizontal="center" vertical="center"/>
    </xf>
    <xf numFmtId="166" fontId="1" fillId="0" borderId="40" xfId="0" applyNumberFormat="1" applyFont="1" applyBorder="1" applyAlignment="1">
      <alignment horizontal="center" vertical="center"/>
    </xf>
    <xf numFmtId="0" fontId="1" fillId="0" borderId="29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3" fillId="0" borderId="37" xfId="3" applyFont="1" applyBorder="1" applyAlignment="1" applyProtection="1">
      <alignment horizontal="center" vertical="center" wrapText="1"/>
      <protection hidden="1"/>
    </xf>
    <xf numFmtId="0" fontId="13" fillId="0" borderId="23" xfId="3" applyFont="1" applyBorder="1" applyAlignment="1" applyProtection="1">
      <alignment horizontal="center" vertical="center" wrapText="1"/>
      <protection hidden="1"/>
    </xf>
    <xf numFmtId="0" fontId="13" fillId="0" borderId="43" xfId="3" applyFont="1" applyBorder="1" applyAlignment="1" applyProtection="1">
      <alignment horizontal="center" vertical="center" wrapText="1"/>
      <protection hidden="1"/>
    </xf>
    <xf numFmtId="0" fontId="13" fillId="0" borderId="37" xfId="3" applyFont="1" applyBorder="1" applyAlignment="1">
      <alignment horizontal="center" vertical="center" wrapText="1"/>
    </xf>
    <xf numFmtId="0" fontId="13" fillId="0" borderId="23" xfId="3" applyFont="1" applyBorder="1" applyAlignment="1">
      <alignment horizontal="center" vertical="center" wrapText="1"/>
    </xf>
    <xf numFmtId="0" fontId="13" fillId="0" borderId="43" xfId="3" applyFont="1" applyBorder="1" applyAlignment="1">
      <alignment horizontal="center" vertical="center" wrapText="1"/>
    </xf>
    <xf numFmtId="0" fontId="7" fillId="0" borderId="37" xfId="0" applyFont="1" applyBorder="1" applyAlignment="1" applyProtection="1">
      <alignment horizontal="center" vertical="center"/>
      <protection hidden="1"/>
    </xf>
    <xf numFmtId="0" fontId="7" fillId="0" borderId="23" xfId="0" applyFont="1" applyBorder="1" applyAlignment="1" applyProtection="1">
      <alignment horizontal="center" vertical="center"/>
      <protection hidden="1"/>
    </xf>
    <xf numFmtId="0" fontId="7" fillId="0" borderId="43" xfId="0" applyFont="1" applyBorder="1" applyAlignment="1" applyProtection="1">
      <alignment horizontal="center" vertical="center"/>
      <protection hidden="1"/>
    </xf>
    <xf numFmtId="0" fontId="7" fillId="0" borderId="1" xfId="2" applyFont="1" applyBorder="1" applyAlignment="1" applyProtection="1">
      <alignment horizontal="center" vertical="center"/>
      <protection hidden="1"/>
    </xf>
    <xf numFmtId="0" fontId="13" fillId="9" borderId="1" xfId="3" applyFont="1" applyFill="1" applyBorder="1" applyAlignment="1" applyProtection="1">
      <alignment horizontal="center" vertical="center" wrapText="1"/>
      <protection hidden="1"/>
    </xf>
  </cellXfs>
  <cellStyles count="4">
    <cellStyle name="Normal" xfId="0" builtinId="0"/>
    <cellStyle name="Normal 2" xfId="1" xr:uid="{D973267E-5FFF-433B-B8F2-78BE56C941B4}"/>
    <cellStyle name="Normal 3" xfId="2" xr:uid="{418FFCB3-CB91-4EDE-BFA4-FF8040499EFF}"/>
    <cellStyle name="Normal_Tables Ricos" xfId="3" xr:uid="{E7386EDF-502A-44B2-A54C-C310AC66D91B}"/>
  </cellStyles>
  <dxfs count="53">
    <dxf>
      <font>
        <color rgb="FF9C5700"/>
      </font>
      <fill>
        <patternFill>
          <bgColor rgb="FFFFEB9C"/>
        </patternFill>
      </fill>
    </dxf>
    <dxf>
      <font>
        <color rgb="FF00B050"/>
      </font>
    </dxf>
    <dxf>
      <font>
        <color rgb="FF9C0006"/>
      </font>
      <fill>
        <patternFill>
          <bgColor rgb="FFFFC7CE"/>
        </patternFill>
      </fill>
    </dxf>
    <dxf>
      <font>
        <color theme="9"/>
      </font>
      <fill>
        <patternFill patternType="none">
          <bgColor auto="1"/>
        </patternFill>
      </fill>
    </dxf>
    <dxf>
      <font>
        <color rgb="FF00B050"/>
      </font>
    </dxf>
    <dxf>
      <font>
        <color rgb="FF9C0006"/>
      </font>
      <fill>
        <patternFill>
          <bgColor rgb="FFFFC7CE"/>
        </patternFill>
      </fill>
    </dxf>
    <dxf>
      <font>
        <color theme="9"/>
      </font>
      <fill>
        <patternFill patternType="none">
          <bgColor auto="1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B050"/>
      </font>
    </dxf>
    <dxf>
      <font>
        <color rgb="FF9C0006"/>
      </font>
      <fill>
        <patternFill>
          <bgColor rgb="FFFFC7CE"/>
        </patternFill>
      </fill>
    </dxf>
    <dxf>
      <font>
        <color theme="9"/>
      </font>
      <fill>
        <patternFill patternType="none">
          <bgColor auto="1"/>
        </patternFill>
      </fill>
    </dxf>
    <dxf>
      <font>
        <color rgb="FF00B050"/>
      </font>
    </dxf>
    <dxf>
      <font>
        <color rgb="FF9C0006"/>
      </font>
      <fill>
        <patternFill>
          <bgColor rgb="FFFFC7CE"/>
        </patternFill>
      </fill>
    </dxf>
    <dxf>
      <font>
        <color theme="9"/>
      </font>
      <fill>
        <patternFill patternType="none">
          <bgColor auto="1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B050"/>
      </font>
    </dxf>
    <dxf>
      <font>
        <color rgb="FF9C0006"/>
      </font>
      <fill>
        <patternFill>
          <bgColor rgb="FFFFC7CE"/>
        </patternFill>
      </fill>
    </dxf>
    <dxf>
      <font>
        <color theme="9"/>
      </font>
      <fill>
        <patternFill patternType="none">
          <bgColor auto="1"/>
        </patternFill>
      </fill>
    </dxf>
    <dxf>
      <font>
        <color rgb="FF00B050"/>
      </font>
    </dxf>
    <dxf>
      <font>
        <color rgb="FF9C0006"/>
      </font>
      <fill>
        <patternFill>
          <bgColor rgb="FFFFC7CE"/>
        </patternFill>
      </fill>
    </dxf>
    <dxf>
      <font>
        <color theme="9"/>
      </font>
      <fill>
        <patternFill patternType="none">
          <bgColor auto="1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B050"/>
      </font>
    </dxf>
    <dxf>
      <font>
        <color rgb="FF9C0006"/>
      </font>
      <fill>
        <patternFill>
          <bgColor rgb="FFFFC7CE"/>
        </patternFill>
      </fill>
    </dxf>
    <dxf>
      <font>
        <color theme="9"/>
      </font>
      <fill>
        <patternFill patternType="none">
          <bgColor auto="1"/>
        </patternFill>
      </fill>
    </dxf>
    <dxf>
      <font>
        <color rgb="FF00B050"/>
      </font>
    </dxf>
    <dxf>
      <font>
        <color rgb="FF9C0006"/>
      </font>
      <fill>
        <patternFill>
          <bgColor rgb="FFFFC7CE"/>
        </patternFill>
      </fill>
    </dxf>
    <dxf>
      <font>
        <color theme="9"/>
      </font>
      <fill>
        <patternFill patternType="none">
          <bgColor auto="1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B050"/>
      </font>
    </dxf>
    <dxf>
      <font>
        <color rgb="FF9C0006"/>
      </font>
      <fill>
        <patternFill>
          <bgColor rgb="FFFFC7CE"/>
        </patternFill>
      </fill>
    </dxf>
    <dxf>
      <font>
        <color theme="9"/>
      </font>
      <fill>
        <patternFill patternType="none">
          <bgColor auto="1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B050"/>
      </font>
    </dxf>
    <dxf>
      <font>
        <color rgb="FF9C0006"/>
      </font>
      <fill>
        <patternFill>
          <bgColor rgb="FFFFC7CE"/>
        </patternFill>
      </fill>
    </dxf>
    <dxf>
      <font>
        <color theme="9"/>
      </font>
      <fill>
        <patternFill patternType="none">
          <bgColor auto="1"/>
        </patternFill>
      </fill>
    </dxf>
    <dxf>
      <font>
        <color rgb="FF6600CC"/>
      </font>
    </dxf>
    <dxf>
      <font>
        <color rgb="FF0000FF"/>
      </font>
    </dxf>
    <dxf>
      <font>
        <color rgb="FFFF00FF"/>
      </font>
    </dxf>
    <dxf>
      <font>
        <color rgb="FF00B050"/>
      </font>
    </dxf>
    <dxf>
      <font>
        <color rgb="FF9C0006"/>
      </font>
      <fill>
        <patternFill>
          <bgColor rgb="FFFFC7CE"/>
        </patternFill>
      </fill>
    </dxf>
    <dxf>
      <font>
        <color theme="9"/>
      </font>
      <fill>
        <patternFill patternType="none">
          <bgColor auto="1"/>
        </patternFill>
      </fill>
    </dxf>
    <dxf>
      <font>
        <color rgb="FF00B050"/>
      </font>
    </dxf>
    <dxf>
      <font>
        <color rgb="FF9C0006"/>
      </font>
      <fill>
        <patternFill>
          <bgColor rgb="FFFFC7CE"/>
        </patternFill>
      </fill>
    </dxf>
    <dxf>
      <font>
        <color theme="9"/>
      </font>
      <fill>
        <patternFill patternType="none">
          <bgColor auto="1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b/>
        <i val="0"/>
        <color rgb="FF006600"/>
      </font>
    </dxf>
    <dxf>
      <font>
        <b/>
        <i val="0"/>
        <color rgb="FFFF0000"/>
      </font>
    </dxf>
  </dxfs>
  <tableStyles count="0" defaultTableStyle="TableStyleMedium2" defaultPivotStyle="PivotStyleLight16"/>
  <colors>
    <mruColors>
      <color rgb="FF66CCFF"/>
      <color rgb="FFCC99FF"/>
      <color rgb="FFCCFFFF"/>
      <color rgb="FFCC66FF"/>
      <color rgb="FFCCCCFF"/>
      <color rgb="FFCCECFF"/>
      <color rgb="FF99CCFF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TRAVAIL%20EN%20COURS\2020\Incertitudes\Suivi%20EEQ%20et%20incertitude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de donnée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3B90DD-9764-4A2E-B0BE-D2AFC57E8D0B}">
  <sheetPr>
    <tabColor rgb="FF7030A0"/>
  </sheetPr>
  <dimension ref="A1:AW38"/>
  <sheetViews>
    <sheetView tabSelected="1" zoomScaleNormal="100" zoomScaleSheetLayoutView="100" workbookViewId="0">
      <selection activeCell="S22" sqref="S22"/>
    </sheetView>
  </sheetViews>
  <sheetFormatPr baseColWidth="10" defaultRowHeight="16.5"/>
  <cols>
    <col min="1" max="3" width="10.28515625" style="3" customWidth="1"/>
    <col min="4" max="4" width="10.28515625" style="106" customWidth="1"/>
    <col min="5" max="5" width="10.28515625" style="3" customWidth="1"/>
    <col min="6" max="6" width="10.28515625" style="3" hidden="1" customWidth="1"/>
    <col min="7" max="13" width="10.28515625" style="3" customWidth="1"/>
    <col min="14" max="14" width="10.28515625" style="3" hidden="1" customWidth="1"/>
    <col min="15" max="16" width="10.28515625" style="3" customWidth="1"/>
    <col min="17" max="18" width="11.42578125" style="3"/>
    <col min="19" max="20" width="10.28515625" style="3" customWidth="1"/>
    <col min="21" max="21" width="10.7109375" style="3" customWidth="1"/>
    <col min="22" max="22" width="10.7109375" style="3" hidden="1" customWidth="1"/>
    <col min="23" max="25" width="10.28515625" style="3" customWidth="1"/>
    <col min="26" max="29" width="11.42578125" style="3"/>
    <col min="30" max="30" width="0" style="3" hidden="1" customWidth="1"/>
    <col min="31" max="31" width="15.85546875" style="3" customWidth="1"/>
    <col min="32" max="36" width="11.42578125" style="3"/>
    <col min="37" max="37" width="0" style="3" hidden="1" customWidth="1"/>
    <col min="38" max="38" width="15.85546875" style="3" customWidth="1"/>
    <col min="39" max="43" width="11.42578125" style="3"/>
    <col min="44" max="44" width="12.140625" style="3" hidden="1" customWidth="1"/>
    <col min="45" max="45" width="15.85546875" style="3" customWidth="1"/>
    <col min="46" max="16384" width="11.42578125" style="3"/>
  </cols>
  <sheetData>
    <row r="1" spans="1:49" ht="19.5" thickBot="1">
      <c r="A1" s="182" t="s">
        <v>306</v>
      </c>
      <c r="B1" s="183"/>
      <c r="C1" s="183"/>
      <c r="D1" s="183"/>
      <c r="E1" s="183"/>
      <c r="F1" s="183"/>
      <c r="G1" s="183"/>
      <c r="H1" s="183"/>
      <c r="I1" s="183"/>
      <c r="J1" s="183"/>
      <c r="K1" s="183"/>
      <c r="L1" s="183"/>
      <c r="M1" s="183"/>
      <c r="N1" s="183"/>
      <c r="O1" s="183"/>
      <c r="P1" s="183"/>
      <c r="Q1" s="184"/>
    </row>
    <row r="2" spans="1:49" ht="19.5" thickBot="1">
      <c r="A2" s="193"/>
      <c r="B2" s="193"/>
      <c r="C2" s="194"/>
      <c r="D2" s="194"/>
      <c r="E2" s="194"/>
      <c r="F2" s="79"/>
      <c r="G2" s="80"/>
      <c r="H2" s="80"/>
      <c r="I2" s="80"/>
      <c r="J2" s="80"/>
      <c r="K2" s="80"/>
      <c r="L2" s="80"/>
      <c r="M2" s="80"/>
      <c r="N2" s="80"/>
    </row>
    <row r="3" spans="1:49" ht="17.25" thickTop="1">
      <c r="A3" s="185" t="s">
        <v>36</v>
      </c>
      <c r="B3" s="186"/>
      <c r="C3" s="186"/>
      <c r="D3" s="186"/>
      <c r="E3" s="186"/>
      <c r="F3" s="186"/>
      <c r="G3" s="186"/>
      <c r="H3" s="186"/>
      <c r="I3" s="187"/>
      <c r="J3" s="185" t="s">
        <v>37</v>
      </c>
      <c r="K3" s="186"/>
      <c r="L3" s="186"/>
      <c r="M3" s="186"/>
      <c r="N3" s="186"/>
      <c r="O3" s="186"/>
      <c r="P3" s="186"/>
      <c r="Q3" s="187"/>
      <c r="R3" s="185" t="s">
        <v>38</v>
      </c>
      <c r="S3" s="186"/>
      <c r="T3" s="186"/>
      <c r="U3" s="186"/>
      <c r="V3" s="186"/>
      <c r="W3" s="186"/>
      <c r="X3" s="186"/>
      <c r="Y3" s="187"/>
      <c r="Z3" s="185" t="s">
        <v>39</v>
      </c>
      <c r="AA3" s="186"/>
      <c r="AB3" s="186"/>
      <c r="AC3" s="186"/>
      <c r="AD3" s="186"/>
      <c r="AE3" s="186"/>
      <c r="AF3" s="187"/>
      <c r="AG3" s="185" t="s">
        <v>40</v>
      </c>
      <c r="AH3" s="186"/>
      <c r="AI3" s="186"/>
      <c r="AJ3" s="186"/>
      <c r="AK3" s="186"/>
      <c r="AL3" s="186"/>
      <c r="AM3" s="187"/>
      <c r="AN3" s="185" t="s">
        <v>41</v>
      </c>
      <c r="AO3" s="186"/>
      <c r="AP3" s="186"/>
      <c r="AQ3" s="186"/>
      <c r="AR3" s="186"/>
      <c r="AS3" s="186"/>
      <c r="AT3" s="187"/>
    </row>
    <row r="4" spans="1:49">
      <c r="A4" s="188"/>
      <c r="B4" s="189"/>
      <c r="C4" s="189"/>
      <c r="D4" s="189"/>
      <c r="E4" s="189"/>
      <c r="F4" s="189"/>
      <c r="G4" s="189"/>
      <c r="H4" s="189"/>
      <c r="I4" s="190"/>
      <c r="J4" s="188"/>
      <c r="K4" s="189"/>
      <c r="L4" s="189"/>
      <c r="M4" s="189"/>
      <c r="N4" s="189"/>
      <c r="O4" s="189"/>
      <c r="P4" s="189"/>
      <c r="Q4" s="190"/>
      <c r="R4" s="188"/>
      <c r="S4" s="189"/>
      <c r="T4" s="189"/>
      <c r="U4" s="189"/>
      <c r="V4" s="189"/>
      <c r="W4" s="189"/>
      <c r="X4" s="189"/>
      <c r="Y4" s="190"/>
      <c r="Z4" s="188"/>
      <c r="AA4" s="189"/>
      <c r="AB4" s="189"/>
      <c r="AC4" s="189"/>
      <c r="AD4" s="189"/>
      <c r="AE4" s="189"/>
      <c r="AF4" s="190"/>
      <c r="AG4" s="188"/>
      <c r="AH4" s="189"/>
      <c r="AI4" s="189"/>
      <c r="AJ4" s="189"/>
      <c r="AK4" s="189"/>
      <c r="AL4" s="189"/>
      <c r="AM4" s="190"/>
      <c r="AN4" s="188"/>
      <c r="AO4" s="189"/>
      <c r="AP4" s="189"/>
      <c r="AQ4" s="189"/>
      <c r="AR4" s="189"/>
      <c r="AS4" s="189"/>
      <c r="AT4" s="190"/>
      <c r="AW4" s="181" t="str">
        <f>IF(AND(A1&gt;=-2,A1&lt;=2),"conforme",IF(AND(A1&gt;=3,A1&lt;=-3),"Non conforme","à surveiller"))</f>
        <v>à surveiller</v>
      </c>
    </row>
    <row r="5" spans="1:49">
      <c r="A5" s="81" t="s">
        <v>42</v>
      </c>
      <c r="B5" s="129" t="s">
        <v>43</v>
      </c>
      <c r="C5" s="130" t="s">
        <v>44</v>
      </c>
      <c r="D5" s="131" t="s">
        <v>45</v>
      </c>
      <c r="E5" s="132" t="s">
        <v>46</v>
      </c>
      <c r="F5" s="132" t="s">
        <v>46</v>
      </c>
      <c r="G5" s="191" t="s">
        <v>47</v>
      </c>
      <c r="H5" s="192"/>
      <c r="I5" s="82" t="s">
        <v>48</v>
      </c>
      <c r="J5" s="129" t="s">
        <v>43</v>
      </c>
      <c r="K5" s="130" t="s">
        <v>44</v>
      </c>
      <c r="L5" s="131" t="s">
        <v>45</v>
      </c>
      <c r="M5" s="132" t="s">
        <v>46</v>
      </c>
      <c r="N5" s="132" t="s">
        <v>46</v>
      </c>
      <c r="O5" s="191" t="s">
        <v>47</v>
      </c>
      <c r="P5" s="192"/>
      <c r="Q5" s="82" t="s">
        <v>48</v>
      </c>
      <c r="R5" s="129" t="s">
        <v>43</v>
      </c>
      <c r="S5" s="130" t="s">
        <v>44</v>
      </c>
      <c r="T5" s="131" t="s">
        <v>45</v>
      </c>
      <c r="U5" s="132" t="s">
        <v>46</v>
      </c>
      <c r="V5" s="132" t="s">
        <v>46</v>
      </c>
      <c r="W5" s="191" t="s">
        <v>47</v>
      </c>
      <c r="X5" s="192"/>
      <c r="Y5" s="82" t="s">
        <v>48</v>
      </c>
      <c r="Z5" s="129" t="s">
        <v>43</v>
      </c>
      <c r="AA5" s="130" t="s">
        <v>44</v>
      </c>
      <c r="AB5" s="131" t="s">
        <v>45</v>
      </c>
      <c r="AC5" s="132" t="s">
        <v>46</v>
      </c>
      <c r="AD5" s="132" t="s">
        <v>46</v>
      </c>
      <c r="AE5" s="133" t="s">
        <v>47</v>
      </c>
      <c r="AF5" s="82" t="s">
        <v>48</v>
      </c>
      <c r="AG5" s="129" t="s">
        <v>43</v>
      </c>
      <c r="AH5" s="130" t="s">
        <v>44</v>
      </c>
      <c r="AI5" s="131" t="s">
        <v>45</v>
      </c>
      <c r="AJ5" s="132" t="s">
        <v>46</v>
      </c>
      <c r="AK5" s="132" t="s">
        <v>46</v>
      </c>
      <c r="AL5" s="133" t="s">
        <v>47</v>
      </c>
      <c r="AM5" s="82" t="s">
        <v>48</v>
      </c>
      <c r="AN5" s="129" t="s">
        <v>43</v>
      </c>
      <c r="AO5" s="130" t="s">
        <v>44</v>
      </c>
      <c r="AP5" s="131" t="s">
        <v>45</v>
      </c>
      <c r="AQ5" s="132" t="s">
        <v>46</v>
      </c>
      <c r="AR5" s="132" t="s">
        <v>46</v>
      </c>
      <c r="AS5" s="133" t="s">
        <v>47</v>
      </c>
      <c r="AT5" s="82" t="s">
        <v>48</v>
      </c>
    </row>
    <row r="6" spans="1:49">
      <c r="A6" s="83" t="s">
        <v>49</v>
      </c>
      <c r="B6" s="126">
        <v>8.5</v>
      </c>
      <c r="C6" s="126">
        <v>8.58</v>
      </c>
      <c r="D6" s="84">
        <v>-0.9</v>
      </c>
      <c r="E6" s="85">
        <v>-0.6</v>
      </c>
      <c r="F6" s="86">
        <f>ABS(E6)</f>
        <v>0.6</v>
      </c>
      <c r="G6" s="195" t="str">
        <f>IF(F6="","",IF(F6&lt;=2,"Conforme",IF(F6&gt;=3,"Non conforme","A surveiller")))</f>
        <v>Conforme</v>
      </c>
      <c r="H6" s="196"/>
      <c r="I6" s="87"/>
      <c r="J6" s="126">
        <v>8.5</v>
      </c>
      <c r="K6" s="126">
        <v>8.58</v>
      </c>
      <c r="L6" s="84">
        <v>-0.9</v>
      </c>
      <c r="M6" s="85">
        <v>-0.6</v>
      </c>
      <c r="N6" s="86">
        <f>ABS(M6)</f>
        <v>0.6</v>
      </c>
      <c r="O6" s="197" t="str">
        <f>IF(N6="","",IF(N6&lt;=2,"Conforme",IF(N6&gt;=3,"Non conforme","A surveiller")))</f>
        <v>Conforme</v>
      </c>
      <c r="P6" s="198"/>
      <c r="Q6" s="87"/>
      <c r="R6" s="126">
        <v>8.5</v>
      </c>
      <c r="S6" s="126">
        <v>8.58</v>
      </c>
      <c r="T6" s="84">
        <v>-0.9</v>
      </c>
      <c r="U6" s="85">
        <v>-0.6</v>
      </c>
      <c r="V6" s="86">
        <f>ABS(U6)</f>
        <v>0.6</v>
      </c>
      <c r="W6" s="195" t="str">
        <f>IF(V6="","",IF(V6&lt;=2,"Conforme",IF(V6&gt;=3,"Non conforme","A surveiller")))</f>
        <v>Conforme</v>
      </c>
      <c r="X6" s="196"/>
      <c r="Y6" s="87"/>
      <c r="Z6" s="126">
        <v>8.5</v>
      </c>
      <c r="AA6" s="126">
        <v>8.58</v>
      </c>
      <c r="AB6" s="84">
        <v>-0.9</v>
      </c>
      <c r="AC6" s="85">
        <v>-0.6</v>
      </c>
      <c r="AD6" s="86">
        <f>ABS(AC6)</f>
        <v>0.6</v>
      </c>
      <c r="AE6" s="88" t="str">
        <f>IF(AD6="","",IF(AD6&lt;=2,"Conforme",IF(AD6&gt;=3,"Non conforme","A surveiller")))</f>
        <v>Conforme</v>
      </c>
      <c r="AF6" s="87"/>
      <c r="AG6" s="126">
        <v>8.6</v>
      </c>
      <c r="AH6" s="126">
        <v>8.58</v>
      </c>
      <c r="AI6" s="84">
        <v>0.2</v>
      </c>
      <c r="AJ6" s="85">
        <v>0.1</v>
      </c>
      <c r="AK6" s="86">
        <f>ABS(AJ6)</f>
        <v>0.1</v>
      </c>
      <c r="AL6" s="89" t="str">
        <f>IF(AK6="","",IF(AK6&lt;=2,"Conforme",IF(AK6&gt;=3,"Non conforme","A surveiller")))</f>
        <v>Conforme</v>
      </c>
      <c r="AM6" s="87"/>
      <c r="AN6" s="126">
        <v>8.6</v>
      </c>
      <c r="AO6" s="126">
        <v>8.58</v>
      </c>
      <c r="AP6" s="84">
        <v>0.2</v>
      </c>
      <c r="AQ6" s="85">
        <v>0.1</v>
      </c>
      <c r="AR6" s="86">
        <f>ABS(AQ6)</f>
        <v>0.1</v>
      </c>
      <c r="AS6" s="89" t="str">
        <f>IF(AR6="","",IF(AR6&lt;=2,"Conforme",IF(AR6&gt;=3,"Non conforme","A surveiller")))</f>
        <v>Conforme</v>
      </c>
      <c r="AT6" s="87"/>
    </row>
    <row r="7" spans="1:49">
      <c r="A7" s="83" t="s">
        <v>50</v>
      </c>
      <c r="B7" s="126">
        <v>5.6</v>
      </c>
      <c r="C7" s="126">
        <v>5.66</v>
      </c>
      <c r="D7" s="84">
        <v>-1.1000000000000001</v>
      </c>
      <c r="E7" s="85">
        <v>-0.6</v>
      </c>
      <c r="F7" s="86">
        <f t="shared" ref="F7:F17" si="0">ABS(E7)</f>
        <v>0.6</v>
      </c>
      <c r="G7" s="195" t="str">
        <f>IF(E7="","",IF(F7&lt;=2,"Conforme",IF(F7&gt;=3,"Non conforme",IF((F6&gt;2)*AND(F6&lt;3)*AND(F7&gt;2)*AND(F7&lt;3),"Investiguer + NC","A surveiller"))))</f>
        <v>Conforme</v>
      </c>
      <c r="H7" s="196"/>
      <c r="I7" s="87"/>
      <c r="J7" s="126">
        <v>5.8</v>
      </c>
      <c r="K7" s="126">
        <v>5.66</v>
      </c>
      <c r="L7" s="84">
        <v>2.5</v>
      </c>
      <c r="M7" s="85">
        <v>1.4</v>
      </c>
      <c r="N7" s="86">
        <f t="shared" ref="N7:N17" si="1">ABS(M7)</f>
        <v>1.4</v>
      </c>
      <c r="O7" s="195" t="str">
        <f>IF(M7="","",IF(N7&lt;=2,"Conforme",IF(N7&gt;=3,"Non conforme",IF((N6&gt;2)*AND(N6&lt;3)*AND(N7&gt;2)*AND(N7&lt;3),"Investiguer + NC","A surveiller"))))</f>
        <v>Conforme</v>
      </c>
      <c r="P7" s="196"/>
      <c r="Q7" s="87"/>
      <c r="R7" s="126">
        <v>5.7</v>
      </c>
      <c r="S7" s="126">
        <v>5.66</v>
      </c>
      <c r="T7" s="84">
        <v>0.7</v>
      </c>
      <c r="U7" s="85">
        <v>0.4</v>
      </c>
      <c r="V7" s="86">
        <f t="shared" ref="V7:V17" si="2">ABS(U7)</f>
        <v>0.4</v>
      </c>
      <c r="W7" s="195" t="str">
        <f>IF(U7="","",IF(V7&lt;=2,"Conforme",IF(V7&gt;=3,"Non conforme",IF((V6&gt;2)*AND(V6&lt;3)*AND(V7&gt;2)*AND(V7&lt;3),"Investiguer + NC","A surveiller"))))</f>
        <v>Conforme</v>
      </c>
      <c r="X7" s="196"/>
      <c r="Y7" s="87"/>
      <c r="Z7" s="126">
        <v>5.7</v>
      </c>
      <c r="AA7" s="126">
        <v>5.66</v>
      </c>
      <c r="AB7" s="84">
        <v>0.7</v>
      </c>
      <c r="AC7" s="85">
        <v>0.4</v>
      </c>
      <c r="AD7" s="86">
        <f t="shared" ref="AD7" si="3">ABS(AC7)</f>
        <v>0.4</v>
      </c>
      <c r="AE7" s="88" t="str">
        <f>IF(AC7="","",IF(AD7&lt;=2,"Conforme",IF(AD7&gt;=3,"Non conforme",IF((AD6&gt;2)*AND(AD6&lt;3)*AND(AD7&gt;2)*AND(AD7&lt;3),"Investiguer + NC","A surveiller"))))</f>
        <v>Conforme</v>
      </c>
      <c r="AF7" s="87"/>
      <c r="AG7" s="126">
        <v>5.7</v>
      </c>
      <c r="AH7" s="126">
        <v>5.66</v>
      </c>
      <c r="AI7" s="84">
        <v>0.7</v>
      </c>
      <c r="AJ7" s="85">
        <v>0.4</v>
      </c>
      <c r="AK7" s="86">
        <f t="shared" ref="AK7:AK17" si="4">ABS(AJ7)</f>
        <v>0.4</v>
      </c>
      <c r="AL7" s="89" t="str">
        <f>IF(AJ7="","",IF(AK7&lt;=2,"Conforme",IF(AK7&gt;=3,"Non conforme",IF((AK6&gt;2)*AND(AK6&lt;3)*AND(AK7&gt;2)*AND(AK7&lt;3),"Investiguer + NC","A surveiller"))))</f>
        <v>Conforme</v>
      </c>
      <c r="AM7" s="87"/>
      <c r="AN7" s="126">
        <v>5.8</v>
      </c>
      <c r="AO7" s="126">
        <v>5.66</v>
      </c>
      <c r="AP7" s="84">
        <v>2.5</v>
      </c>
      <c r="AQ7" s="85">
        <v>1.4</v>
      </c>
      <c r="AR7" s="86">
        <f t="shared" ref="AR7" si="5">ABS(AQ7)</f>
        <v>1.4</v>
      </c>
      <c r="AS7" s="89" t="str">
        <f>IF(AQ7="","",IF(AR7&lt;=2,"Conforme",IF(AR7&gt;=3,"Non conforme",IF((AR6&gt;2)*AND(AR6&lt;3)*AND(AR7&gt;2)*AND(AR7&lt;3),"Investiguer + NC","A surveiller"))))</f>
        <v>Conforme</v>
      </c>
      <c r="AT7" s="87"/>
    </row>
    <row r="8" spans="1:49">
      <c r="A8" s="83"/>
      <c r="B8" s="126"/>
      <c r="C8" s="126"/>
      <c r="D8" s="84"/>
      <c r="E8" s="85"/>
      <c r="F8" s="86">
        <f t="shared" si="0"/>
        <v>0</v>
      </c>
      <c r="G8" s="195" t="str">
        <f t="shared" ref="G8:G17" si="6">IF(E8="","",IF(F8&lt;=2,"Conforme",IF(F8&gt;=3,"Non conforme",IF((F7&gt;2)*AND(F7&lt;3)*AND(F8&gt;2)*AND(F8&lt;3),"Investiguer + NC","A surveiller"))))</f>
        <v/>
      </c>
      <c r="H8" s="196"/>
      <c r="I8" s="87"/>
      <c r="J8" s="126"/>
      <c r="K8" s="126"/>
      <c r="L8" s="84"/>
      <c r="M8" s="85"/>
      <c r="N8" s="86">
        <f t="shared" si="1"/>
        <v>0</v>
      </c>
      <c r="O8" s="195" t="str">
        <f t="shared" ref="O8:O17" si="7">IF(M8="","",IF(N8&lt;=2,"Conforme",IF(N8&gt;=3,"Non conforme",IF((N7&gt;2)*AND(N7&lt;3)*AND(N8&gt;2)*AND(N8&lt;3),"Investiguer + NC","A surveiller"))))</f>
        <v/>
      </c>
      <c r="P8" s="196"/>
      <c r="Q8" s="87"/>
      <c r="R8" s="126"/>
      <c r="S8" s="126"/>
      <c r="T8" s="84"/>
      <c r="U8" s="85"/>
      <c r="V8" s="86">
        <f t="shared" si="2"/>
        <v>0</v>
      </c>
      <c r="W8" s="195" t="str">
        <f t="shared" ref="W8:W17" si="8">IF(U8="","",IF(V8&lt;=2,"Conforme",IF(V8&gt;=3,"Non conforme",IF((V7&gt;2)*AND(V7&lt;3)*AND(V8&gt;2)*AND(V8&lt;3),"Investiguer + NC","A surveiller"))))</f>
        <v/>
      </c>
      <c r="X8" s="196"/>
      <c r="Y8" s="87"/>
      <c r="Z8" s="126"/>
      <c r="AA8" s="126"/>
      <c r="AB8" s="84"/>
      <c r="AC8" s="85"/>
      <c r="AD8" s="86">
        <f t="shared" ref="AD8:AD17" si="9">ABS(AC8)</f>
        <v>0</v>
      </c>
      <c r="AE8" s="88" t="str">
        <f t="shared" ref="AE8:AE17" si="10">IF(AC8="","",IF(AD8&lt;=2,"Conforme",IF(AD8&gt;=3,"Non conforme",IF((AD7&gt;2)*AND(AD7&lt;3)*AND(AD8&gt;2)*AND(AD8&lt;3),"Investiguer + NC","A surveiller"))))</f>
        <v/>
      </c>
      <c r="AF8" s="87"/>
      <c r="AG8" s="126"/>
      <c r="AH8" s="126"/>
      <c r="AI8" s="84"/>
      <c r="AJ8" s="85"/>
      <c r="AK8" s="86">
        <f t="shared" si="4"/>
        <v>0</v>
      </c>
      <c r="AL8" s="89" t="str">
        <f t="shared" ref="AL8:AL17" si="11">IF(AJ8="","",IF(AK8&lt;=2,"Conforme",IF(AK8&gt;=3,"Non conforme",IF((AK7&gt;2)*AND(AK7&lt;3)*AND(AK8&gt;2)*AND(AK8&lt;3),"Investiguer + NC","A surveiller"))))</f>
        <v/>
      </c>
      <c r="AM8" s="87"/>
      <c r="AN8" s="126"/>
      <c r="AO8" s="126"/>
      <c r="AP8" s="84"/>
      <c r="AQ8" s="85"/>
      <c r="AR8" s="86">
        <f t="shared" ref="AR8:AR17" si="12">ABS(AQ8)</f>
        <v>0</v>
      </c>
      <c r="AS8" s="89" t="str">
        <f t="shared" ref="AS8:AS17" si="13">IF(AQ8="","",IF(AR8&lt;=2,"Conforme",IF(AR8&gt;=3,"Non conforme",IF((AR7&gt;2)*AND(AR7&lt;3)*AND(AR8&gt;2)*AND(AR8&lt;3),"Investiguer + NC","A surveiller"))))</f>
        <v/>
      </c>
      <c r="AT8" s="87"/>
    </row>
    <row r="9" spans="1:49">
      <c r="A9" s="83"/>
      <c r="B9" s="126"/>
      <c r="C9" s="126"/>
      <c r="D9" s="84"/>
      <c r="E9" s="85"/>
      <c r="F9" s="86">
        <f t="shared" si="0"/>
        <v>0</v>
      </c>
      <c r="G9" s="195" t="str">
        <f t="shared" si="6"/>
        <v/>
      </c>
      <c r="H9" s="196"/>
      <c r="I9" s="87"/>
      <c r="J9" s="126"/>
      <c r="K9" s="126"/>
      <c r="L9" s="84"/>
      <c r="M9" s="85"/>
      <c r="N9" s="86">
        <f t="shared" si="1"/>
        <v>0</v>
      </c>
      <c r="O9" s="195" t="str">
        <f t="shared" si="7"/>
        <v/>
      </c>
      <c r="P9" s="196"/>
      <c r="Q9" s="87"/>
      <c r="R9" s="126"/>
      <c r="S9" s="126"/>
      <c r="T9" s="84"/>
      <c r="U9" s="85"/>
      <c r="V9" s="86">
        <f t="shared" si="2"/>
        <v>0</v>
      </c>
      <c r="W9" s="195" t="str">
        <f t="shared" si="8"/>
        <v/>
      </c>
      <c r="X9" s="196"/>
      <c r="Y9" s="87"/>
      <c r="Z9" s="126"/>
      <c r="AA9" s="126"/>
      <c r="AB9" s="84"/>
      <c r="AC9" s="85"/>
      <c r="AD9" s="86">
        <f t="shared" si="9"/>
        <v>0</v>
      </c>
      <c r="AE9" s="88" t="str">
        <f t="shared" si="10"/>
        <v/>
      </c>
      <c r="AF9" s="87"/>
      <c r="AG9" s="126"/>
      <c r="AH9" s="126"/>
      <c r="AI9" s="84"/>
      <c r="AJ9" s="85"/>
      <c r="AK9" s="86">
        <f t="shared" si="4"/>
        <v>0</v>
      </c>
      <c r="AL9" s="89" t="str">
        <f t="shared" si="11"/>
        <v/>
      </c>
      <c r="AM9" s="87"/>
      <c r="AN9" s="126"/>
      <c r="AO9" s="126"/>
      <c r="AP9" s="84"/>
      <c r="AQ9" s="85"/>
      <c r="AR9" s="86">
        <f t="shared" si="12"/>
        <v>0</v>
      </c>
      <c r="AS9" s="89" t="str">
        <f t="shared" si="13"/>
        <v/>
      </c>
      <c r="AT9" s="87"/>
    </row>
    <row r="10" spans="1:49">
      <c r="A10" s="83"/>
      <c r="B10" s="126"/>
      <c r="C10" s="126"/>
      <c r="D10" s="84"/>
      <c r="E10" s="85"/>
      <c r="F10" s="86">
        <f t="shared" si="0"/>
        <v>0</v>
      </c>
      <c r="G10" s="195" t="str">
        <f t="shared" si="6"/>
        <v/>
      </c>
      <c r="H10" s="196"/>
      <c r="I10" s="87"/>
      <c r="J10" s="126"/>
      <c r="K10" s="126"/>
      <c r="L10" s="84"/>
      <c r="M10" s="85"/>
      <c r="N10" s="86">
        <f t="shared" si="1"/>
        <v>0</v>
      </c>
      <c r="O10" s="195" t="str">
        <f t="shared" si="7"/>
        <v/>
      </c>
      <c r="P10" s="196"/>
      <c r="Q10" s="87"/>
      <c r="R10" s="126"/>
      <c r="S10" s="126"/>
      <c r="T10" s="84"/>
      <c r="U10" s="85"/>
      <c r="V10" s="86">
        <f t="shared" si="2"/>
        <v>0</v>
      </c>
      <c r="W10" s="195" t="str">
        <f t="shared" si="8"/>
        <v/>
      </c>
      <c r="X10" s="196"/>
      <c r="Y10" s="87"/>
      <c r="Z10" s="126"/>
      <c r="AA10" s="126"/>
      <c r="AB10" s="84"/>
      <c r="AC10" s="85"/>
      <c r="AD10" s="86">
        <f t="shared" si="9"/>
        <v>0</v>
      </c>
      <c r="AE10" s="88" t="str">
        <f t="shared" si="10"/>
        <v/>
      </c>
      <c r="AF10" s="87"/>
      <c r="AG10" s="126"/>
      <c r="AH10" s="126"/>
      <c r="AI10" s="84"/>
      <c r="AJ10" s="85"/>
      <c r="AK10" s="86">
        <f t="shared" si="4"/>
        <v>0</v>
      </c>
      <c r="AL10" s="89" t="str">
        <f t="shared" si="11"/>
        <v/>
      </c>
      <c r="AM10" s="87"/>
      <c r="AN10" s="126"/>
      <c r="AO10" s="126"/>
      <c r="AP10" s="84"/>
      <c r="AQ10" s="85"/>
      <c r="AR10" s="86">
        <f t="shared" si="12"/>
        <v>0</v>
      </c>
      <c r="AS10" s="89" t="str">
        <f t="shared" si="13"/>
        <v/>
      </c>
      <c r="AT10" s="87"/>
    </row>
    <row r="11" spans="1:49">
      <c r="A11" s="83"/>
      <c r="B11" s="126"/>
      <c r="C11" s="126"/>
      <c r="D11" s="84"/>
      <c r="E11" s="85"/>
      <c r="F11" s="86">
        <f t="shared" si="0"/>
        <v>0</v>
      </c>
      <c r="G11" s="195" t="str">
        <f t="shared" si="6"/>
        <v/>
      </c>
      <c r="H11" s="196"/>
      <c r="I11" s="87"/>
      <c r="J11" s="126"/>
      <c r="K11" s="126"/>
      <c r="L11" s="84"/>
      <c r="M11" s="85"/>
      <c r="N11" s="86">
        <f t="shared" si="1"/>
        <v>0</v>
      </c>
      <c r="O11" s="195" t="str">
        <f t="shared" si="7"/>
        <v/>
      </c>
      <c r="P11" s="196"/>
      <c r="Q11" s="87"/>
      <c r="R11" s="126"/>
      <c r="S11" s="126"/>
      <c r="T11" s="84"/>
      <c r="U11" s="85"/>
      <c r="V11" s="86">
        <f t="shared" si="2"/>
        <v>0</v>
      </c>
      <c r="W11" s="195" t="str">
        <f t="shared" si="8"/>
        <v/>
      </c>
      <c r="X11" s="196"/>
      <c r="Y11" s="87"/>
      <c r="Z11" s="126"/>
      <c r="AA11" s="126"/>
      <c r="AB11" s="84"/>
      <c r="AC11" s="85"/>
      <c r="AD11" s="86">
        <f t="shared" si="9"/>
        <v>0</v>
      </c>
      <c r="AE11" s="88" t="str">
        <f t="shared" si="10"/>
        <v/>
      </c>
      <c r="AF11" s="87"/>
      <c r="AG11" s="126"/>
      <c r="AH11" s="126"/>
      <c r="AI11" s="84"/>
      <c r="AJ11" s="85"/>
      <c r="AK11" s="86">
        <f t="shared" si="4"/>
        <v>0</v>
      </c>
      <c r="AL11" s="89" t="str">
        <f t="shared" si="11"/>
        <v/>
      </c>
      <c r="AM11" s="87"/>
      <c r="AN11" s="126"/>
      <c r="AO11" s="126"/>
      <c r="AP11" s="84"/>
      <c r="AQ11" s="85"/>
      <c r="AR11" s="86">
        <f t="shared" si="12"/>
        <v>0</v>
      </c>
      <c r="AS11" s="89" t="str">
        <f t="shared" si="13"/>
        <v/>
      </c>
      <c r="AT11" s="87"/>
    </row>
    <row r="12" spans="1:49">
      <c r="A12" s="83"/>
      <c r="B12" s="126"/>
      <c r="C12" s="126"/>
      <c r="D12" s="84"/>
      <c r="E12" s="85"/>
      <c r="F12" s="86">
        <f t="shared" si="0"/>
        <v>0</v>
      </c>
      <c r="G12" s="195" t="str">
        <f t="shared" si="6"/>
        <v/>
      </c>
      <c r="H12" s="196"/>
      <c r="I12" s="87"/>
      <c r="J12" s="126"/>
      <c r="K12" s="126"/>
      <c r="L12" s="84"/>
      <c r="M12" s="85"/>
      <c r="N12" s="86">
        <f t="shared" si="1"/>
        <v>0</v>
      </c>
      <c r="O12" s="195" t="str">
        <f t="shared" si="7"/>
        <v/>
      </c>
      <c r="P12" s="196"/>
      <c r="Q12" s="87"/>
      <c r="R12" s="126"/>
      <c r="S12" s="126"/>
      <c r="T12" s="84"/>
      <c r="U12" s="85"/>
      <c r="V12" s="86">
        <f t="shared" si="2"/>
        <v>0</v>
      </c>
      <c r="W12" s="195" t="str">
        <f t="shared" si="8"/>
        <v/>
      </c>
      <c r="X12" s="196"/>
      <c r="Y12" s="87"/>
      <c r="Z12" s="126"/>
      <c r="AA12" s="126"/>
      <c r="AB12" s="84"/>
      <c r="AC12" s="85"/>
      <c r="AD12" s="86">
        <f t="shared" si="9"/>
        <v>0</v>
      </c>
      <c r="AE12" s="88" t="str">
        <f t="shared" si="10"/>
        <v/>
      </c>
      <c r="AF12" s="87"/>
      <c r="AG12" s="126"/>
      <c r="AH12" s="126"/>
      <c r="AI12" s="84"/>
      <c r="AJ12" s="85"/>
      <c r="AK12" s="86">
        <f t="shared" si="4"/>
        <v>0</v>
      </c>
      <c r="AL12" s="89" t="str">
        <f t="shared" si="11"/>
        <v/>
      </c>
      <c r="AM12" s="87"/>
      <c r="AN12" s="126"/>
      <c r="AO12" s="126"/>
      <c r="AP12" s="84"/>
      <c r="AQ12" s="85"/>
      <c r="AR12" s="86">
        <f t="shared" si="12"/>
        <v>0</v>
      </c>
      <c r="AS12" s="89" t="str">
        <f t="shared" si="13"/>
        <v/>
      </c>
      <c r="AT12" s="87"/>
    </row>
    <row r="13" spans="1:49">
      <c r="A13" s="83"/>
      <c r="B13" s="126"/>
      <c r="C13" s="126"/>
      <c r="D13" s="84"/>
      <c r="E13" s="85"/>
      <c r="F13" s="86">
        <f t="shared" si="0"/>
        <v>0</v>
      </c>
      <c r="G13" s="195" t="str">
        <f t="shared" si="6"/>
        <v/>
      </c>
      <c r="H13" s="196"/>
      <c r="I13" s="87"/>
      <c r="J13" s="126"/>
      <c r="K13" s="126"/>
      <c r="L13" s="84"/>
      <c r="M13" s="85"/>
      <c r="N13" s="86">
        <f t="shared" si="1"/>
        <v>0</v>
      </c>
      <c r="O13" s="195" t="str">
        <f t="shared" si="7"/>
        <v/>
      </c>
      <c r="P13" s="196"/>
      <c r="Q13" s="87"/>
      <c r="R13" s="126"/>
      <c r="S13" s="126"/>
      <c r="T13" s="84"/>
      <c r="U13" s="85"/>
      <c r="V13" s="86">
        <f t="shared" si="2"/>
        <v>0</v>
      </c>
      <c r="W13" s="195" t="str">
        <f t="shared" si="8"/>
        <v/>
      </c>
      <c r="X13" s="196"/>
      <c r="Y13" s="87"/>
      <c r="Z13" s="126"/>
      <c r="AA13" s="126"/>
      <c r="AB13" s="84"/>
      <c r="AC13" s="85"/>
      <c r="AD13" s="86">
        <f t="shared" si="9"/>
        <v>0</v>
      </c>
      <c r="AE13" s="88" t="str">
        <f t="shared" si="10"/>
        <v/>
      </c>
      <c r="AF13" s="87"/>
      <c r="AG13" s="126"/>
      <c r="AH13" s="126"/>
      <c r="AI13" s="84"/>
      <c r="AJ13" s="85"/>
      <c r="AK13" s="86">
        <f t="shared" si="4"/>
        <v>0</v>
      </c>
      <c r="AL13" s="89" t="str">
        <f t="shared" si="11"/>
        <v/>
      </c>
      <c r="AM13" s="87"/>
      <c r="AN13" s="126"/>
      <c r="AO13" s="126"/>
      <c r="AP13" s="84"/>
      <c r="AQ13" s="85"/>
      <c r="AR13" s="86">
        <f t="shared" si="12"/>
        <v>0</v>
      </c>
      <c r="AS13" s="89" t="str">
        <f t="shared" si="13"/>
        <v/>
      </c>
      <c r="AT13" s="87"/>
    </row>
    <row r="14" spans="1:49">
      <c r="A14" s="83"/>
      <c r="B14" s="126"/>
      <c r="C14" s="126"/>
      <c r="D14" s="84"/>
      <c r="E14" s="85"/>
      <c r="F14" s="86">
        <f t="shared" si="0"/>
        <v>0</v>
      </c>
      <c r="G14" s="195" t="str">
        <f t="shared" si="6"/>
        <v/>
      </c>
      <c r="H14" s="196"/>
      <c r="I14" s="87"/>
      <c r="J14" s="126"/>
      <c r="K14" s="126"/>
      <c r="L14" s="84"/>
      <c r="M14" s="85"/>
      <c r="N14" s="86">
        <f t="shared" si="1"/>
        <v>0</v>
      </c>
      <c r="O14" s="195" t="str">
        <f t="shared" si="7"/>
        <v/>
      </c>
      <c r="P14" s="196"/>
      <c r="Q14" s="87"/>
      <c r="R14" s="126"/>
      <c r="S14" s="126"/>
      <c r="T14" s="84"/>
      <c r="U14" s="85"/>
      <c r="V14" s="86">
        <f t="shared" si="2"/>
        <v>0</v>
      </c>
      <c r="W14" s="195" t="str">
        <f t="shared" si="8"/>
        <v/>
      </c>
      <c r="X14" s="196"/>
      <c r="Y14" s="87"/>
      <c r="Z14" s="126"/>
      <c r="AA14" s="126"/>
      <c r="AB14" s="84"/>
      <c r="AC14" s="85"/>
      <c r="AD14" s="86">
        <f t="shared" si="9"/>
        <v>0</v>
      </c>
      <c r="AE14" s="88" t="str">
        <f t="shared" si="10"/>
        <v/>
      </c>
      <c r="AF14" s="87"/>
      <c r="AG14" s="126"/>
      <c r="AH14" s="126"/>
      <c r="AI14" s="84"/>
      <c r="AJ14" s="85"/>
      <c r="AK14" s="86">
        <f t="shared" si="4"/>
        <v>0</v>
      </c>
      <c r="AL14" s="89" t="str">
        <f t="shared" si="11"/>
        <v/>
      </c>
      <c r="AM14" s="87"/>
      <c r="AN14" s="126"/>
      <c r="AO14" s="126"/>
      <c r="AP14" s="84"/>
      <c r="AQ14" s="85"/>
      <c r="AR14" s="86">
        <f t="shared" si="12"/>
        <v>0</v>
      </c>
      <c r="AS14" s="89" t="str">
        <f t="shared" si="13"/>
        <v/>
      </c>
      <c r="AT14" s="87"/>
    </row>
    <row r="15" spans="1:49">
      <c r="A15" s="83"/>
      <c r="B15" s="126"/>
      <c r="C15" s="126"/>
      <c r="D15" s="84"/>
      <c r="E15" s="85"/>
      <c r="F15" s="86">
        <f t="shared" si="0"/>
        <v>0</v>
      </c>
      <c r="G15" s="195" t="str">
        <f t="shared" si="6"/>
        <v/>
      </c>
      <c r="H15" s="196"/>
      <c r="I15" s="87"/>
      <c r="J15" s="126"/>
      <c r="K15" s="126"/>
      <c r="L15" s="84"/>
      <c r="M15" s="85"/>
      <c r="N15" s="86">
        <f t="shared" si="1"/>
        <v>0</v>
      </c>
      <c r="O15" s="195" t="str">
        <f t="shared" si="7"/>
        <v/>
      </c>
      <c r="P15" s="196"/>
      <c r="Q15" s="87"/>
      <c r="R15" s="126"/>
      <c r="S15" s="126"/>
      <c r="T15" s="84"/>
      <c r="U15" s="85"/>
      <c r="V15" s="86">
        <f t="shared" si="2"/>
        <v>0</v>
      </c>
      <c r="W15" s="195" t="str">
        <f t="shared" si="8"/>
        <v/>
      </c>
      <c r="X15" s="196"/>
      <c r="Y15" s="87"/>
      <c r="Z15" s="126"/>
      <c r="AA15" s="126"/>
      <c r="AB15" s="84"/>
      <c r="AC15" s="85"/>
      <c r="AD15" s="86">
        <f t="shared" si="9"/>
        <v>0</v>
      </c>
      <c r="AE15" s="88" t="str">
        <f t="shared" si="10"/>
        <v/>
      </c>
      <c r="AF15" s="87"/>
      <c r="AG15" s="126"/>
      <c r="AH15" s="126"/>
      <c r="AI15" s="84"/>
      <c r="AJ15" s="85"/>
      <c r="AK15" s="86">
        <f t="shared" si="4"/>
        <v>0</v>
      </c>
      <c r="AL15" s="89" t="str">
        <f t="shared" si="11"/>
        <v/>
      </c>
      <c r="AM15" s="87"/>
      <c r="AN15" s="126"/>
      <c r="AO15" s="126"/>
      <c r="AP15" s="84"/>
      <c r="AQ15" s="85"/>
      <c r="AR15" s="86">
        <f t="shared" si="12"/>
        <v>0</v>
      </c>
      <c r="AS15" s="89" t="str">
        <f t="shared" si="13"/>
        <v/>
      </c>
      <c r="AT15" s="87"/>
    </row>
    <row r="16" spans="1:49">
      <c r="A16" s="83"/>
      <c r="B16" s="127"/>
      <c r="C16" s="126"/>
      <c r="D16" s="84"/>
      <c r="E16" s="85"/>
      <c r="F16" s="86">
        <f t="shared" si="0"/>
        <v>0</v>
      </c>
      <c r="G16" s="195" t="str">
        <f t="shared" si="6"/>
        <v/>
      </c>
      <c r="H16" s="196"/>
      <c r="I16" s="87"/>
      <c r="J16" s="127"/>
      <c r="K16" s="126"/>
      <c r="L16" s="84"/>
      <c r="M16" s="85"/>
      <c r="N16" s="86">
        <f t="shared" si="1"/>
        <v>0</v>
      </c>
      <c r="O16" s="195" t="str">
        <f t="shared" si="7"/>
        <v/>
      </c>
      <c r="P16" s="196"/>
      <c r="Q16" s="87"/>
      <c r="R16" s="127"/>
      <c r="S16" s="126"/>
      <c r="T16" s="84"/>
      <c r="U16" s="85"/>
      <c r="V16" s="86">
        <f t="shared" si="2"/>
        <v>0</v>
      </c>
      <c r="W16" s="195" t="str">
        <f t="shared" si="8"/>
        <v/>
      </c>
      <c r="X16" s="196"/>
      <c r="Y16" s="87"/>
      <c r="Z16" s="127"/>
      <c r="AA16" s="126"/>
      <c r="AB16" s="84"/>
      <c r="AC16" s="85"/>
      <c r="AD16" s="86">
        <f t="shared" si="9"/>
        <v>0</v>
      </c>
      <c r="AE16" s="88" t="str">
        <f t="shared" si="10"/>
        <v/>
      </c>
      <c r="AF16" s="87"/>
      <c r="AG16" s="127"/>
      <c r="AH16" s="126"/>
      <c r="AI16" s="84"/>
      <c r="AJ16" s="85"/>
      <c r="AK16" s="86">
        <f t="shared" si="4"/>
        <v>0</v>
      </c>
      <c r="AL16" s="89" t="str">
        <f t="shared" si="11"/>
        <v/>
      </c>
      <c r="AM16" s="87"/>
      <c r="AN16" s="127"/>
      <c r="AO16" s="126"/>
      <c r="AP16" s="84"/>
      <c r="AQ16" s="85"/>
      <c r="AR16" s="86">
        <f t="shared" si="12"/>
        <v>0</v>
      </c>
      <c r="AS16" s="89" t="str">
        <f t="shared" si="13"/>
        <v/>
      </c>
      <c r="AT16" s="87"/>
    </row>
    <row r="17" spans="1:46" ht="17.25" thickBot="1">
      <c r="A17" s="83"/>
      <c r="B17" s="127"/>
      <c r="C17" s="126"/>
      <c r="D17" s="84"/>
      <c r="E17" s="90"/>
      <c r="F17" s="86">
        <f t="shared" si="0"/>
        <v>0</v>
      </c>
      <c r="G17" s="195" t="str">
        <f t="shared" si="6"/>
        <v/>
      </c>
      <c r="H17" s="196"/>
      <c r="I17" s="91"/>
      <c r="J17" s="127"/>
      <c r="K17" s="126"/>
      <c r="L17" s="84"/>
      <c r="M17" s="85"/>
      <c r="N17" s="86">
        <f t="shared" si="1"/>
        <v>0</v>
      </c>
      <c r="O17" s="195" t="str">
        <f t="shared" si="7"/>
        <v/>
      </c>
      <c r="P17" s="196"/>
      <c r="Q17" s="87"/>
      <c r="R17" s="127"/>
      <c r="S17" s="126"/>
      <c r="T17" s="84"/>
      <c r="U17" s="85"/>
      <c r="V17" s="86">
        <f t="shared" si="2"/>
        <v>0</v>
      </c>
      <c r="W17" s="195" t="str">
        <f t="shared" si="8"/>
        <v/>
      </c>
      <c r="X17" s="196"/>
      <c r="Y17" s="87"/>
      <c r="Z17" s="127"/>
      <c r="AA17" s="126"/>
      <c r="AB17" s="84"/>
      <c r="AC17" s="85"/>
      <c r="AD17" s="86">
        <f t="shared" si="9"/>
        <v>0</v>
      </c>
      <c r="AE17" s="88" t="str">
        <f t="shared" si="10"/>
        <v/>
      </c>
      <c r="AF17" s="87"/>
      <c r="AG17" s="127"/>
      <c r="AH17" s="126"/>
      <c r="AI17" s="84"/>
      <c r="AJ17" s="85"/>
      <c r="AK17" s="86">
        <f t="shared" si="4"/>
        <v>0</v>
      </c>
      <c r="AL17" s="89" t="str">
        <f t="shared" si="11"/>
        <v/>
      </c>
      <c r="AM17" s="87"/>
      <c r="AN17" s="127"/>
      <c r="AO17" s="126"/>
      <c r="AP17" s="84"/>
      <c r="AQ17" s="85"/>
      <c r="AR17" s="86">
        <f t="shared" si="12"/>
        <v>0</v>
      </c>
      <c r="AS17" s="89" t="str">
        <f t="shared" si="13"/>
        <v/>
      </c>
      <c r="AT17" s="87"/>
    </row>
    <row r="18" spans="1:46">
      <c r="A18" s="92"/>
      <c r="B18" s="93"/>
      <c r="C18" s="94" t="s">
        <v>51</v>
      </c>
      <c r="D18" s="95">
        <f>IF(B6="","",AVERAGE(D6:D17))</f>
        <v>-1</v>
      </c>
      <c r="E18" s="199" t="s">
        <v>52</v>
      </c>
      <c r="F18" s="200"/>
      <c r="G18" s="200"/>
      <c r="H18" s="200"/>
      <c r="I18" s="201"/>
      <c r="J18" s="93"/>
      <c r="K18" s="94" t="s">
        <v>51</v>
      </c>
      <c r="L18" s="95">
        <f>IF(J6="","",AVERAGE(L6:L17))</f>
        <v>0.8</v>
      </c>
      <c r="M18" s="199" t="s">
        <v>52</v>
      </c>
      <c r="N18" s="200"/>
      <c r="O18" s="200"/>
      <c r="P18" s="200"/>
      <c r="Q18" s="201"/>
      <c r="R18" s="93"/>
      <c r="S18" s="94" t="s">
        <v>51</v>
      </c>
      <c r="T18" s="95">
        <f>IF(R6="","",AVERAGE(T6:T17))</f>
        <v>-0.10000000000000003</v>
      </c>
      <c r="U18" s="199" t="s">
        <v>52</v>
      </c>
      <c r="V18" s="200"/>
      <c r="W18" s="200"/>
      <c r="X18" s="200"/>
      <c r="Y18" s="201"/>
      <c r="Z18" s="93"/>
      <c r="AA18" s="94" t="s">
        <v>51</v>
      </c>
      <c r="AB18" s="95">
        <f>IF(Z6="","",AVERAGE(AB6:AB17))</f>
        <v>-0.10000000000000003</v>
      </c>
      <c r="AC18" s="199" t="s">
        <v>52</v>
      </c>
      <c r="AD18" s="200"/>
      <c r="AE18" s="200"/>
      <c r="AF18" s="201"/>
      <c r="AG18" s="93"/>
      <c r="AH18" s="94" t="s">
        <v>51</v>
      </c>
      <c r="AI18" s="95">
        <f>IF(AG6="","",AVERAGE(AI6:AI17))</f>
        <v>0.44999999999999996</v>
      </c>
      <c r="AJ18" s="199" t="s">
        <v>52</v>
      </c>
      <c r="AK18" s="200"/>
      <c r="AL18" s="200"/>
      <c r="AM18" s="201"/>
      <c r="AN18" s="93"/>
      <c r="AO18" s="94" t="s">
        <v>51</v>
      </c>
      <c r="AP18" s="95">
        <f>IF(AN6="","",AVERAGE(AP6:AP17))</f>
        <v>1.35</v>
      </c>
      <c r="AQ18" s="199" t="s">
        <v>52</v>
      </c>
      <c r="AR18" s="200"/>
      <c r="AS18" s="200"/>
      <c r="AT18" s="201"/>
    </row>
    <row r="19" spans="1:46" ht="17.25" customHeight="1" thickBot="1">
      <c r="A19" s="96"/>
      <c r="B19" s="97"/>
      <c r="C19" s="98" t="s">
        <v>307</v>
      </c>
      <c r="D19" s="99">
        <f>IF(D18="","",_xlfn.STDEV.S(D6:D17))</f>
        <v>0.14142135623730953</v>
      </c>
      <c r="E19" s="202">
        <f>COUNTIF(G6:H17,"Conforme")/COUNT(B6:B17)</f>
        <v>1</v>
      </c>
      <c r="F19" s="203"/>
      <c r="G19" s="203"/>
      <c r="H19" s="203"/>
      <c r="I19" s="204"/>
      <c r="J19" s="97"/>
      <c r="K19" s="98" t="s">
        <v>307</v>
      </c>
      <c r="L19" s="99">
        <f>IF(L18="","",_xlfn.STDEV.S(L6:L17))</f>
        <v>2.4041630560342617</v>
      </c>
      <c r="M19" s="202">
        <f>COUNTIF(O6:P17,"Conforme")/COUNT(J6:J17)</f>
        <v>1</v>
      </c>
      <c r="N19" s="203"/>
      <c r="O19" s="208"/>
      <c r="P19" s="208"/>
      <c r="Q19" s="204"/>
      <c r="R19" s="97"/>
      <c r="S19" s="98" t="s">
        <v>307</v>
      </c>
      <c r="T19" s="99">
        <f>IF(T18="","",_xlfn.STDEV.S(T6:T17))</f>
        <v>1.131370849898476</v>
      </c>
      <c r="U19" s="202">
        <f>COUNTIF(W6:X17,"Conforme")/COUNT(R6:R17)</f>
        <v>1</v>
      </c>
      <c r="V19" s="203"/>
      <c r="W19" s="208"/>
      <c r="X19" s="208"/>
      <c r="Y19" s="204"/>
      <c r="Z19" s="97"/>
      <c r="AA19" s="98" t="s">
        <v>307</v>
      </c>
      <c r="AB19" s="99">
        <f>IF(AB18="","",_xlfn.STDEV.S(AB6:AB17))</f>
        <v>1.131370849898476</v>
      </c>
      <c r="AC19" s="209">
        <f>COUNTIF(AE6:AE17,"Conforme")/COUNT(Z6:Z17)</f>
        <v>1</v>
      </c>
      <c r="AD19" s="210"/>
      <c r="AE19" s="211"/>
      <c r="AF19" s="212"/>
      <c r="AG19" s="97"/>
      <c r="AH19" s="98" t="s">
        <v>307</v>
      </c>
      <c r="AI19" s="99">
        <f>IF(AI18="","",_xlfn.STDEV.S(AI6:AI17))</f>
        <v>0.35355339059327379</v>
      </c>
      <c r="AJ19" s="209">
        <f>COUNTIF(AL6:AL17,"Conforme")/COUNT(AG6:AG17)</f>
        <v>1</v>
      </c>
      <c r="AK19" s="210"/>
      <c r="AL19" s="211"/>
      <c r="AM19" s="212"/>
      <c r="AN19" s="97"/>
      <c r="AO19" s="98" t="s">
        <v>307</v>
      </c>
      <c r="AP19" s="99">
        <f>IF(AP18="","",_xlfn.STDEV.S(AP6:AP17))</f>
        <v>1.6263455967290592</v>
      </c>
      <c r="AQ19" s="209">
        <f>COUNTIF(AS6:AS17,"Conforme")/COUNT(AN6:AN17)</f>
        <v>1</v>
      </c>
      <c r="AR19" s="210"/>
      <c r="AS19" s="211"/>
      <c r="AT19" s="212"/>
    </row>
    <row r="20" spans="1:46" ht="17.25" customHeight="1" thickBot="1">
      <c r="A20" s="217" t="s">
        <v>308</v>
      </c>
      <c r="B20" s="218"/>
      <c r="C20" s="219"/>
      <c r="D20" s="100">
        <f>IF(D18="","",SQRT((D18/SQRT(3))^2+D19^2))</f>
        <v>0.59441848333756697</v>
      </c>
      <c r="E20" s="205"/>
      <c r="F20" s="206"/>
      <c r="G20" s="206"/>
      <c r="H20" s="206"/>
      <c r="I20" s="207"/>
      <c r="J20" s="220" t="s">
        <v>53</v>
      </c>
      <c r="K20" s="221"/>
      <c r="L20" s="100">
        <f>IF(L18="","",SQRT((L18/SQRT(3))^2+L19^2))</f>
        <v>2.4481285369304722</v>
      </c>
      <c r="M20" s="205"/>
      <c r="N20" s="206"/>
      <c r="O20" s="206"/>
      <c r="P20" s="206"/>
      <c r="Q20" s="207"/>
      <c r="R20" s="220" t="s">
        <v>53</v>
      </c>
      <c r="S20" s="221"/>
      <c r="T20" s="100">
        <f>IF(T18="","",SQRT((T18/SQRT(3))^2+T19^2))</f>
        <v>1.132843031197762</v>
      </c>
      <c r="U20" s="205"/>
      <c r="V20" s="206"/>
      <c r="W20" s="206"/>
      <c r="X20" s="206"/>
      <c r="Y20" s="207"/>
      <c r="Z20" s="220" t="s">
        <v>53</v>
      </c>
      <c r="AA20" s="221"/>
      <c r="AB20" s="100">
        <f>IF(AB18="","",SQRT((AB18/SQRT(3))^2+AB19^2))</f>
        <v>1.132843031197762</v>
      </c>
      <c r="AC20" s="213"/>
      <c r="AD20" s="214"/>
      <c r="AE20" s="214"/>
      <c r="AF20" s="215"/>
      <c r="AG20" s="220" t="s">
        <v>53</v>
      </c>
      <c r="AH20" s="221"/>
      <c r="AI20" s="100">
        <f>IF(AI18="","",SQRT((AI18/SQRT(3))^2+AI19^2))</f>
        <v>0.43874821936960612</v>
      </c>
      <c r="AJ20" s="213"/>
      <c r="AK20" s="214"/>
      <c r="AL20" s="214"/>
      <c r="AM20" s="215"/>
      <c r="AN20" s="220" t="s">
        <v>53</v>
      </c>
      <c r="AO20" s="221"/>
      <c r="AP20" s="100">
        <f>IF(AP18="","",SQRT((AP18/SQRT(3))^2+AP19^2))</f>
        <v>1.8034688796871432</v>
      </c>
      <c r="AQ20" s="213"/>
      <c r="AR20" s="214"/>
      <c r="AS20" s="214"/>
      <c r="AT20" s="215"/>
    </row>
    <row r="21" spans="1:46" ht="20.25" thickTop="1" thickBot="1">
      <c r="A21" s="101"/>
      <c r="B21" s="102"/>
      <c r="C21" s="79"/>
      <c r="D21" s="216"/>
      <c r="E21" s="194"/>
      <c r="F21" s="79"/>
      <c r="H21" s="80"/>
      <c r="I21" s="80"/>
      <c r="J21" s="102"/>
      <c r="K21" s="79"/>
      <c r="L21" s="216"/>
      <c r="M21" s="216"/>
      <c r="N21" s="103"/>
      <c r="O21" s="104"/>
      <c r="R21" s="102"/>
      <c r="S21" s="79"/>
      <c r="T21" s="216"/>
      <c r="U21" s="216"/>
      <c r="V21" s="103"/>
      <c r="W21" s="104"/>
      <c r="Z21" s="102"/>
      <c r="AA21" s="79"/>
      <c r="AB21" s="216"/>
      <c r="AC21" s="216"/>
      <c r="AD21" s="103"/>
      <c r="AE21" s="104"/>
      <c r="AG21" s="102"/>
      <c r="AH21" s="79"/>
      <c r="AI21" s="216"/>
      <c r="AJ21" s="216"/>
      <c r="AK21" s="103"/>
      <c r="AL21" s="104"/>
      <c r="AN21" s="102"/>
      <c r="AO21" s="79"/>
      <c r="AP21" s="216"/>
      <c r="AQ21" s="216"/>
      <c r="AR21" s="103"/>
      <c r="AS21" s="104"/>
    </row>
    <row r="22" spans="1:46" ht="19.5" thickBot="1">
      <c r="A22" s="182" t="s">
        <v>309</v>
      </c>
      <c r="B22" s="183"/>
      <c r="C22" s="183"/>
      <c r="D22" s="183"/>
      <c r="E22" s="183"/>
      <c r="F22" s="183"/>
      <c r="G22" s="183"/>
      <c r="H22" s="183"/>
      <c r="I22" s="183"/>
      <c r="J22" s="183"/>
      <c r="K22" s="183"/>
      <c r="L22" s="183"/>
      <c r="M22" s="183"/>
      <c r="N22" s="183"/>
      <c r="O22" s="183"/>
      <c r="P22" s="183"/>
      <c r="Q22" s="184"/>
      <c r="R22" s="102"/>
      <c r="S22" s="79"/>
      <c r="T22" s="103"/>
      <c r="U22" s="103"/>
      <c r="V22" s="103"/>
      <c r="W22" s="104"/>
      <c r="Z22" s="102"/>
      <c r="AA22" s="79"/>
      <c r="AB22" s="103"/>
      <c r="AC22" s="103"/>
      <c r="AD22" s="103"/>
      <c r="AE22" s="104"/>
      <c r="AG22" s="102"/>
      <c r="AH22" s="79"/>
      <c r="AI22" s="103"/>
      <c r="AJ22" s="103"/>
      <c r="AK22" s="103"/>
      <c r="AL22" s="104"/>
      <c r="AN22" s="102"/>
      <c r="AO22" s="79"/>
      <c r="AP22" s="103"/>
      <c r="AQ22" s="103"/>
      <c r="AR22" s="103"/>
      <c r="AS22" s="104"/>
    </row>
    <row r="23" spans="1:46" ht="17.25" thickBot="1">
      <c r="B23" s="105"/>
      <c r="O23" s="105"/>
      <c r="P23" s="105"/>
      <c r="Q23" s="105"/>
      <c r="R23" s="105"/>
      <c r="S23" s="107"/>
      <c r="T23" s="108"/>
      <c r="U23" s="109"/>
      <c r="V23" s="109"/>
      <c r="W23" s="109"/>
      <c r="X23" s="109"/>
      <c r="Y23" s="108"/>
      <c r="Z23" s="109"/>
      <c r="AA23" s="110"/>
      <c r="AB23" s="111"/>
      <c r="AC23" s="111"/>
      <c r="AD23" s="111"/>
      <c r="AE23" s="109"/>
      <c r="AF23" s="109"/>
      <c r="AG23" s="109"/>
      <c r="AH23" s="109"/>
    </row>
    <row r="24" spans="1:46" ht="17.25" thickBot="1">
      <c r="A24" s="128"/>
      <c r="B24" s="128"/>
      <c r="D24" s="222" t="s">
        <v>54</v>
      </c>
      <c r="E24" s="223"/>
      <c r="F24" s="223"/>
      <c r="G24" s="223"/>
      <c r="H24" s="224"/>
      <c r="I24" s="225" t="s">
        <v>55</v>
      </c>
      <c r="J24" s="226"/>
      <c r="K24" s="226"/>
      <c r="L24" s="227"/>
      <c r="M24" s="228" t="s">
        <v>56</v>
      </c>
      <c r="N24" s="229"/>
      <c r="O24" s="229"/>
      <c r="P24" s="229"/>
      <c r="Q24" s="229"/>
      <c r="R24" s="229"/>
      <c r="S24" s="230"/>
      <c r="T24" s="230"/>
      <c r="U24" s="231"/>
      <c r="V24" s="134"/>
      <c r="Z24" s="135"/>
      <c r="AA24" s="136"/>
      <c r="AB24" s="137"/>
      <c r="AC24" s="137"/>
      <c r="AD24" s="137"/>
      <c r="AE24" s="135"/>
      <c r="AF24" s="135"/>
      <c r="AG24" s="135"/>
      <c r="AH24" s="135"/>
    </row>
    <row r="25" spans="1:46" ht="17.25" thickBot="1">
      <c r="A25" s="128"/>
      <c r="B25" s="128"/>
      <c r="D25" s="232" t="s">
        <v>57</v>
      </c>
      <c r="E25" s="233"/>
      <c r="F25" s="138"/>
      <c r="G25" s="226" t="s">
        <v>58</v>
      </c>
      <c r="H25" s="227"/>
      <c r="I25" s="225" t="s">
        <v>57</v>
      </c>
      <c r="J25" s="227"/>
      <c r="K25" s="234" t="s">
        <v>58</v>
      </c>
      <c r="L25" s="235"/>
      <c r="M25" s="236" t="s">
        <v>35</v>
      </c>
      <c r="N25" s="237"/>
      <c r="O25" s="238"/>
      <c r="P25" s="238"/>
      <c r="Q25" s="238" t="s">
        <v>59</v>
      </c>
      <c r="R25" s="239"/>
      <c r="S25" s="242" t="s">
        <v>60</v>
      </c>
      <c r="T25" s="246" t="s">
        <v>59</v>
      </c>
      <c r="U25" s="247"/>
      <c r="V25" s="112"/>
      <c r="W25" s="250" t="s">
        <v>61</v>
      </c>
      <c r="X25" s="251"/>
      <c r="Y25" s="252"/>
      <c r="Z25" s="250" t="s">
        <v>62</v>
      </c>
      <c r="AA25" s="251"/>
      <c r="AB25" s="251"/>
      <c r="AC25" s="251"/>
      <c r="AD25" s="251"/>
      <c r="AE25" s="252"/>
      <c r="AF25" s="256" t="s">
        <v>63</v>
      </c>
      <c r="AG25" s="257"/>
      <c r="AH25" s="258"/>
      <c r="AI25" s="259" t="s">
        <v>64</v>
      </c>
      <c r="AJ25" s="260"/>
      <c r="AK25" s="261"/>
      <c r="AL25" s="262"/>
    </row>
    <row r="26" spans="1:46" ht="17.25" thickBot="1">
      <c r="A26" s="128"/>
      <c r="B26" s="128"/>
      <c r="C26" s="128"/>
      <c r="D26" s="5" t="s">
        <v>65</v>
      </c>
      <c r="E26" s="168" t="s">
        <v>20</v>
      </c>
      <c r="F26" s="169"/>
      <c r="G26" s="170" t="s">
        <v>65</v>
      </c>
      <c r="H26" s="171" t="s">
        <v>20</v>
      </c>
      <c r="I26" s="4" t="s">
        <v>66</v>
      </c>
      <c r="J26" s="139" t="s">
        <v>67</v>
      </c>
      <c r="K26" s="140" t="s">
        <v>66</v>
      </c>
      <c r="L26" s="139" t="s">
        <v>67</v>
      </c>
      <c r="M26" s="113" t="s">
        <v>26</v>
      </c>
      <c r="N26" s="114"/>
      <c r="O26" s="115" t="s">
        <v>27</v>
      </c>
      <c r="P26" s="115" t="s">
        <v>29</v>
      </c>
      <c r="Q26" s="240"/>
      <c r="R26" s="241"/>
      <c r="S26" s="243"/>
      <c r="T26" s="248"/>
      <c r="U26" s="249"/>
      <c r="V26" s="116"/>
      <c r="W26" s="253"/>
      <c r="X26" s="254"/>
      <c r="Y26" s="255"/>
      <c r="Z26" s="253"/>
      <c r="AA26" s="254"/>
      <c r="AB26" s="254"/>
      <c r="AC26" s="254"/>
      <c r="AD26" s="254"/>
      <c r="AE26" s="255"/>
      <c r="AF26" s="117" t="s">
        <v>68</v>
      </c>
      <c r="AG26" s="118" t="s">
        <v>69</v>
      </c>
      <c r="AH26" s="119" t="s">
        <v>70</v>
      </c>
      <c r="AI26" s="120" t="s">
        <v>26</v>
      </c>
      <c r="AJ26" s="121" t="s">
        <v>27</v>
      </c>
      <c r="AK26" s="122"/>
      <c r="AL26" s="123" t="s">
        <v>29</v>
      </c>
    </row>
    <row r="27" spans="1:46" ht="24.95" customHeight="1" thickBot="1">
      <c r="A27" s="263" t="s">
        <v>34</v>
      </c>
      <c r="B27" s="266" t="s">
        <v>71</v>
      </c>
      <c r="C27" s="141" t="s">
        <v>22</v>
      </c>
      <c r="D27" s="172" t="e">
        <f>IF(#REF!="","",#REF!)</f>
        <v>#REF!</v>
      </c>
      <c r="E27" s="173" t="e">
        <f>IF(#REF!="","",#REF!)</f>
        <v>#REF!</v>
      </c>
      <c r="F27" s="178"/>
      <c r="G27" s="172" t="e">
        <f>IF(#REF!="","",#REF!)</f>
        <v>#REF!</v>
      </c>
      <c r="H27" s="173" t="e">
        <f>IF(#REF!="","",#REF!)</f>
        <v>#REF!</v>
      </c>
      <c r="I27" s="165" t="e">
        <f>IF(D27="","",2*SQRT((E27^2)+(D20^2)))</f>
        <v>#REF!</v>
      </c>
      <c r="J27" s="143" t="e">
        <f>IF(D27="","",(I27/D27)*100)</f>
        <v>#REF!</v>
      </c>
      <c r="K27" s="142" t="e">
        <f>IF(G27="","",2*SQRT((H27^2)+(D20^2)))</f>
        <v>#REF!</v>
      </c>
      <c r="L27" s="144" t="e">
        <f>IF(G27="","",(K27/G27)*100)</f>
        <v>#REF!</v>
      </c>
      <c r="M27" s="269">
        <v>15.929846201391902</v>
      </c>
      <c r="N27" s="145"/>
      <c r="O27" s="272">
        <v>15.929846201391902</v>
      </c>
      <c r="P27" s="272">
        <v>15.929846201391902</v>
      </c>
      <c r="Q27" s="299" t="e">
        <f>IF(D27="","",(IF((D27&lt;=$AI$27)*AND(J27&lt;=$M$27)*AND(G27&lt;=$AJ$27)*AND(L27&lt;=$O$27),"Conforme",(IF((D27&gt;$AI$27)*AND(D27&lt;=$AJ$27)*AND(J27&lt;=$O$27)*AND(G27&gt;$AJ$27)*AND(L27&lt;=$P$27),"Conforme",(IF((D27&lt;=$AI$27)*AND(J27&lt;=$M$27)*AND(G27&gt;$AJ$27)*AND(L27&lt;=$P$27),"Conforme",(IF((D27&gt;$AI$27)*AND(D27&lt;=$AJ$27)*AND(J27&lt;=$O$27)*AND(G27&lt;=$AJ$27)*AND(L27&lt;=$O$27),"Conforme",(IF((D27&gt;$AJ$27)*AND(D27&lt;$AL$27)*AND(J27&lt;=$O$27)*AND(G27&gt;$AJ$27)*AND(G27&lt;$AL$27)*AND(L27&lt;=$O$27),"Conforme",(IF((D27&gt;$AJ$27)*AND(D27&lt;$AL$27)*AND(G27&gt;$AL$27)*AND(J27&lt;=$O$27)*AND(L27&lt;=$P$27),"Conforme","Non conforme")))))))))))))</f>
        <v>#REF!</v>
      </c>
      <c r="R27" s="300"/>
      <c r="S27" s="301" t="e">
        <f>IF(D27="","",(IF((J27&lt;AF27)*AND(L27&lt;AF27),AF27,(IF((J27&gt;=AF27)*AND(L27&lt;=AF27)*AND(J27&lt;AG27)*AND(L27&lt;AG27),AG27,(IF((J27&gt;=AF27)*AND(L27&gt;=AF27)*AND(J27&lt;AG27)*AND(L27&lt;AG27),AG27,(IF((J27&gt;=AF27)*AND(L27&lt;=AF27)*AND(J27&gt;=AG27)*AND(L27&lt;AF27),AH27,(IF((J27&gt;=AG27)*AND(L27&gt;=AG27),AH27,(IF((J27&gt;=AG27)*AND(L27&gt;=AF27),AH27,(IF((J27&lt;AG27)*AND(L27 &gt;=AG27),AH27,)))))))))))))))</f>
        <v>#REF!</v>
      </c>
      <c r="T27" s="304" t="e">
        <f>IF(D27="","",(IF((J27&lt;=$S27)*AND(L27&lt;=$S27),"Conforme","Non conforme")))</f>
        <v>#REF!</v>
      </c>
      <c r="U27" s="305"/>
      <c r="V27" s="124"/>
      <c r="W27" s="294" t="s">
        <v>72</v>
      </c>
      <c r="X27" s="295"/>
      <c r="Y27" s="296"/>
      <c r="Z27" s="294"/>
      <c r="AA27" s="295"/>
      <c r="AB27" s="295"/>
      <c r="AC27" s="295"/>
      <c r="AD27" s="295"/>
      <c r="AE27" s="296"/>
      <c r="AF27" s="146">
        <f>VLOOKUP($B27,'Base de données'!$B:$AC,26,FALSE)</f>
        <v>1.7607260576250925</v>
      </c>
      <c r="AG27" s="147">
        <f>VLOOKUP($B27,'Base de données'!$B:$AC,27,FALSE)</f>
        <v>3.521452115250185</v>
      </c>
      <c r="AH27" s="148">
        <f>VLOOKUP($B27,'Base de données'!$B:$AC,28,FALSE)</f>
        <v>5.2821781728752777</v>
      </c>
      <c r="AI27" s="149">
        <f>VLOOKUP($B27,'Base de données'!$B:$Z,3,FALSE)</f>
        <v>5.5</v>
      </c>
      <c r="AJ27" s="150">
        <f>VLOOKUP($B27,'Base de données'!$B:$Z,4,FALSE)</f>
        <v>8.5</v>
      </c>
      <c r="AK27" s="151"/>
      <c r="AL27" s="152">
        <f>VLOOKUP($B27,'Base de données'!$B:$Z,5,FALSE)</f>
        <v>10</v>
      </c>
    </row>
    <row r="28" spans="1:46" ht="24.95" customHeight="1">
      <c r="A28" s="264"/>
      <c r="B28" s="267"/>
      <c r="C28" s="153" t="s">
        <v>23</v>
      </c>
      <c r="D28" s="174" t="e">
        <f>IF(#REF!="","",#REF!)</f>
        <v>#REF!</v>
      </c>
      <c r="E28" s="175" t="e">
        <f>IF(#REF!="","",#REF!)</f>
        <v>#REF!</v>
      </c>
      <c r="F28" s="178"/>
      <c r="G28" s="174" t="e">
        <f>IF(#REF!="","",#REF!)</f>
        <v>#REF!</v>
      </c>
      <c r="H28" s="175" t="e">
        <f>IF(#REF!="","",#REF!)</f>
        <v>#REF!</v>
      </c>
      <c r="I28" s="166" t="e">
        <f>IF(D28="","",2*SQRT((E28^2)+(L20^2)))</f>
        <v>#REF!</v>
      </c>
      <c r="J28" s="155" t="e">
        <f t="shared" ref="J28:J32" si="14">IF(D28="","",(I28/D28)*100)</f>
        <v>#REF!</v>
      </c>
      <c r="K28" s="154" t="e">
        <f>IF(G28="","",2*SQRT((H28^2)+(L20^2)))</f>
        <v>#REF!</v>
      </c>
      <c r="L28" s="156" t="e">
        <f t="shared" ref="L28:L32" si="15">IF(G28="","",(K28/G28)*100)</f>
        <v>#REF!</v>
      </c>
      <c r="M28" s="270"/>
      <c r="N28" s="157"/>
      <c r="O28" s="273"/>
      <c r="P28" s="273"/>
      <c r="Q28" s="297" t="e">
        <f t="shared" ref="Q28:Q32" si="16">IF(D28="","",(IF((D28&lt;=$AI$27)*AND(J28&lt;=$M$27)*AND(G28&lt;=$AJ$27)*AND(L28&lt;=$O$27),"Conforme",(IF((D28&gt;$AI$27)*AND(D28&lt;=$AJ$27)*AND(J28&lt;=$O$27)*AND(G28&gt;$AJ$27)*AND(L28&lt;=$P$27),"Conforme",(IF((D28&lt;=$AI$27)*AND(J28&lt;=$M$27)*AND(G28&gt;$AJ$27)*AND(L28&lt;=$P$27),"Conforme",(IF((D28&gt;$AI$27)*AND(D28&lt;=$AJ$27)*AND(J28&lt;=$O$27)*AND(G28&lt;=$AJ$27)*AND(L28&lt;=$O$27),"Conforme",(IF((D28&gt;$AJ$27)*AND(D28&lt;$AL$27)*AND(J28&lt;=$O$27)*AND(G28&gt;$AJ$27)*AND(G28&lt;$AL$27)*AND(L28&lt;=$O$27),"Conforme",(IF((D28&gt;$AJ$27)*AND(D28&lt;$AL$27)*AND(G28&gt;$AL$27)*AND(J28&lt;=$O$27)*AND(L28&lt;=$P$27),"Conforme","Non conforme")))))))))))))</f>
        <v>#REF!</v>
      </c>
      <c r="R28" s="298"/>
      <c r="S28" s="302"/>
      <c r="T28" s="244" t="e">
        <f t="shared" ref="T28:T32" si="17">IF(D28="","",(IF((J28&lt;=$S28)*AND(L28&lt;=$S28),"Conforme","Non conforme")))</f>
        <v>#REF!</v>
      </c>
      <c r="U28" s="245"/>
      <c r="V28" s="124"/>
      <c r="W28" s="294"/>
      <c r="X28" s="295"/>
      <c r="Y28" s="296"/>
      <c r="Z28" s="294"/>
      <c r="AA28" s="295"/>
      <c r="AB28" s="295"/>
      <c r="AC28" s="295"/>
      <c r="AD28" s="295"/>
      <c r="AE28" s="296"/>
      <c r="AF28" s="158"/>
      <c r="AG28" s="159"/>
      <c r="AH28" s="159"/>
    </row>
    <row r="29" spans="1:46" ht="24.95" customHeight="1">
      <c r="A29" s="264"/>
      <c r="B29" s="267"/>
      <c r="C29" s="153" t="s">
        <v>21</v>
      </c>
      <c r="D29" s="174" t="e">
        <f>IF(#REF!="","",#REF!)</f>
        <v>#REF!</v>
      </c>
      <c r="E29" s="175" t="e">
        <f>IF(#REF!="","",#REF!)</f>
        <v>#REF!</v>
      </c>
      <c r="F29" s="179"/>
      <c r="G29" s="174" t="e">
        <f>IF(#REF!="","",#REF!)</f>
        <v>#REF!</v>
      </c>
      <c r="H29" s="175" t="e">
        <f>IF(#REF!="","",#REF!)</f>
        <v>#REF!</v>
      </c>
      <c r="I29" s="166" t="e">
        <f>IF(D29="","",2*SQRT((E29^2)+(T20^2)))</f>
        <v>#REF!</v>
      </c>
      <c r="J29" s="155" t="e">
        <f t="shared" si="14"/>
        <v>#REF!</v>
      </c>
      <c r="K29" s="154" t="e">
        <f>IF(G29="","",2*SQRT((H29^2)+(T20^2)))</f>
        <v>#REF!</v>
      </c>
      <c r="L29" s="156" t="e">
        <f t="shared" si="15"/>
        <v>#REF!</v>
      </c>
      <c r="M29" s="270"/>
      <c r="N29" s="157"/>
      <c r="O29" s="273"/>
      <c r="P29" s="273"/>
      <c r="Q29" s="297" t="e">
        <f t="shared" si="16"/>
        <v>#REF!</v>
      </c>
      <c r="R29" s="298"/>
      <c r="S29" s="302"/>
      <c r="T29" s="244" t="e">
        <f t="shared" si="17"/>
        <v>#REF!</v>
      </c>
      <c r="U29" s="245"/>
      <c r="V29" s="124"/>
      <c r="W29" s="294"/>
      <c r="X29" s="295"/>
      <c r="Y29" s="296"/>
      <c r="Z29" s="294"/>
      <c r="AA29" s="295"/>
      <c r="AB29" s="295"/>
      <c r="AC29" s="295"/>
      <c r="AD29" s="295"/>
      <c r="AE29" s="296"/>
    </row>
    <row r="30" spans="1:46" ht="24.95" customHeight="1">
      <c r="A30" s="264"/>
      <c r="B30" s="267"/>
      <c r="C30" s="153" t="s">
        <v>19</v>
      </c>
      <c r="D30" s="174" t="e">
        <f>IF(#REF!="","",#REF!)</f>
        <v>#REF!</v>
      </c>
      <c r="E30" s="175" t="e">
        <f>IF(#REF!="","",#REF!)</f>
        <v>#REF!</v>
      </c>
      <c r="F30" s="180"/>
      <c r="G30" s="174" t="e">
        <f>IF(#REF!="","",#REF!)</f>
        <v>#REF!</v>
      </c>
      <c r="H30" s="175" t="e">
        <f>IF(#REF!="","",#REF!)</f>
        <v>#REF!</v>
      </c>
      <c r="I30" s="166" t="e">
        <f>IF(D30="","",2*SQRT((E30^2)+(AB20^2)))</f>
        <v>#REF!</v>
      </c>
      <c r="J30" s="155" t="e">
        <f t="shared" si="14"/>
        <v>#REF!</v>
      </c>
      <c r="K30" s="154" t="e">
        <f>IF(G30="","",2*SQRT((H30^2)+(AB20^2)))</f>
        <v>#REF!</v>
      </c>
      <c r="L30" s="156" t="e">
        <f t="shared" si="15"/>
        <v>#REF!</v>
      </c>
      <c r="M30" s="270"/>
      <c r="N30" s="157"/>
      <c r="O30" s="273"/>
      <c r="P30" s="273"/>
      <c r="Q30" s="297" t="e">
        <f t="shared" si="16"/>
        <v>#REF!</v>
      </c>
      <c r="R30" s="298"/>
      <c r="S30" s="302"/>
      <c r="T30" s="244" t="e">
        <f t="shared" si="17"/>
        <v>#REF!</v>
      </c>
      <c r="U30" s="245"/>
      <c r="V30" s="124"/>
      <c r="W30" s="294"/>
      <c r="X30" s="295"/>
      <c r="Y30" s="296"/>
      <c r="Z30" s="294"/>
      <c r="AA30" s="295"/>
      <c r="AB30" s="295"/>
      <c r="AC30" s="295"/>
      <c r="AD30" s="295"/>
      <c r="AE30" s="296"/>
    </row>
    <row r="31" spans="1:46" ht="24.95" customHeight="1">
      <c r="A31" s="264"/>
      <c r="B31" s="267"/>
      <c r="C31" s="153" t="s">
        <v>24</v>
      </c>
      <c r="D31" s="174" t="e">
        <f>IF(#REF!="","",#REF!)</f>
        <v>#REF!</v>
      </c>
      <c r="E31" s="175" t="e">
        <f>IF(#REF!="","",#REF!)</f>
        <v>#REF!</v>
      </c>
      <c r="F31" s="179"/>
      <c r="G31" s="174" t="e">
        <f>IF(#REF!="","",#REF!)</f>
        <v>#REF!</v>
      </c>
      <c r="H31" s="175" t="e">
        <f>IF(#REF!="","",#REF!)</f>
        <v>#REF!</v>
      </c>
      <c r="I31" s="166" t="e">
        <f>IF(D31="","",2*SQRT((E31^2)+(AI20^2)))</f>
        <v>#REF!</v>
      </c>
      <c r="J31" s="155" t="e">
        <f t="shared" si="14"/>
        <v>#REF!</v>
      </c>
      <c r="K31" s="154" t="e">
        <f>IF(G31="","",2*SQRT((H31^2)+(AI20^2)))</f>
        <v>#REF!</v>
      </c>
      <c r="L31" s="156" t="e">
        <f t="shared" si="15"/>
        <v>#REF!</v>
      </c>
      <c r="M31" s="270"/>
      <c r="N31" s="157"/>
      <c r="O31" s="273"/>
      <c r="P31" s="273"/>
      <c r="Q31" s="297" t="e">
        <f t="shared" si="16"/>
        <v>#REF!</v>
      </c>
      <c r="R31" s="298"/>
      <c r="S31" s="302"/>
      <c r="T31" s="244" t="e">
        <f t="shared" si="17"/>
        <v>#REF!</v>
      </c>
      <c r="U31" s="245"/>
      <c r="V31" s="124"/>
      <c r="W31" s="294"/>
      <c r="X31" s="295"/>
      <c r="Y31" s="296"/>
      <c r="Z31" s="294"/>
      <c r="AA31" s="295"/>
      <c r="AB31" s="295"/>
      <c r="AC31" s="295"/>
      <c r="AD31" s="295"/>
      <c r="AE31" s="296"/>
    </row>
    <row r="32" spans="1:46" ht="24.95" customHeight="1" thickBot="1">
      <c r="A32" s="265"/>
      <c r="B32" s="268"/>
      <c r="C32" s="160" t="s">
        <v>25</v>
      </c>
      <c r="D32" s="176" t="e">
        <f>IF(#REF!="","",#REF!)</f>
        <v>#REF!</v>
      </c>
      <c r="E32" s="177" t="e">
        <f>IF(#REF!="","",#REF!)</f>
        <v>#REF!</v>
      </c>
      <c r="F32" s="179"/>
      <c r="G32" s="176" t="e">
        <f>IF(#REF!="","",#REF!)</f>
        <v>#REF!</v>
      </c>
      <c r="H32" s="177" t="e">
        <f>IF(#REF!="","",#REF!)</f>
        <v>#REF!</v>
      </c>
      <c r="I32" s="167" t="e">
        <f>IF(D32="","",2*SQRT((E32^2)+(AP20^2)))</f>
        <v>#REF!</v>
      </c>
      <c r="J32" s="162" t="e">
        <f t="shared" si="14"/>
        <v>#REF!</v>
      </c>
      <c r="K32" s="161" t="e">
        <f>IF(G32="","",2*SQRT((H32^2)+(AP20^2)))</f>
        <v>#REF!</v>
      </c>
      <c r="L32" s="163" t="e">
        <f t="shared" si="15"/>
        <v>#REF!</v>
      </c>
      <c r="M32" s="271"/>
      <c r="N32" s="164"/>
      <c r="O32" s="274"/>
      <c r="P32" s="274"/>
      <c r="Q32" s="287" t="e">
        <f t="shared" si="16"/>
        <v>#REF!</v>
      </c>
      <c r="R32" s="288"/>
      <c r="S32" s="303"/>
      <c r="T32" s="289" t="e">
        <f t="shared" si="17"/>
        <v>#REF!</v>
      </c>
      <c r="U32" s="290"/>
      <c r="V32" s="125"/>
      <c r="W32" s="291"/>
      <c r="X32" s="292"/>
      <c r="Y32" s="293"/>
      <c r="Z32" s="291"/>
      <c r="AA32" s="292"/>
      <c r="AB32" s="292"/>
      <c r="AC32" s="292"/>
      <c r="AD32" s="292"/>
      <c r="AE32" s="293"/>
    </row>
    <row r="33" spans="2:5" ht="17.25" thickBot="1"/>
    <row r="34" spans="2:5" ht="17.25" thickBot="1">
      <c r="B34" s="275" t="s">
        <v>74</v>
      </c>
      <c r="C34" s="276"/>
      <c r="D34" s="276"/>
      <c r="E34" s="277"/>
    </row>
    <row r="35" spans="2:5">
      <c r="B35" s="278"/>
      <c r="C35" s="279"/>
      <c r="D35" s="279"/>
      <c r="E35" s="280"/>
    </row>
    <row r="36" spans="2:5">
      <c r="B36" s="281"/>
      <c r="C36" s="282"/>
      <c r="D36" s="282"/>
      <c r="E36" s="283"/>
    </row>
    <row r="37" spans="2:5">
      <c r="B37" s="281"/>
      <c r="C37" s="282"/>
      <c r="D37" s="282"/>
      <c r="E37" s="283"/>
    </row>
    <row r="38" spans="2:5" ht="17.25" thickBot="1">
      <c r="B38" s="284"/>
      <c r="C38" s="285"/>
      <c r="D38" s="285"/>
      <c r="E38" s="286"/>
    </row>
  </sheetData>
  <mergeCells count="115">
    <mergeCell ref="B34:E34"/>
    <mergeCell ref="B35:E38"/>
    <mergeCell ref="Q32:R32"/>
    <mergeCell ref="T32:U32"/>
    <mergeCell ref="Z32:AE32"/>
    <mergeCell ref="G6:H6"/>
    <mergeCell ref="G7:H7"/>
    <mergeCell ref="A22:Q22"/>
    <mergeCell ref="Z29:AE29"/>
    <mergeCell ref="Q30:R30"/>
    <mergeCell ref="T30:U30"/>
    <mergeCell ref="Z30:AE30"/>
    <mergeCell ref="Q31:R31"/>
    <mergeCell ref="T31:U31"/>
    <mergeCell ref="Z31:AE31"/>
    <mergeCell ref="Q27:R27"/>
    <mergeCell ref="S27:S32"/>
    <mergeCell ref="T27:U27"/>
    <mergeCell ref="W27:Y32"/>
    <mergeCell ref="Z27:AE27"/>
    <mergeCell ref="Q28:R28"/>
    <mergeCell ref="T28:U28"/>
    <mergeCell ref="Z28:AE28"/>
    <mergeCell ref="Q29:R29"/>
    <mergeCell ref="T29:U29"/>
    <mergeCell ref="T25:U26"/>
    <mergeCell ref="W25:Y26"/>
    <mergeCell ref="Z25:AE26"/>
    <mergeCell ref="AF25:AH25"/>
    <mergeCell ref="AI25:AL25"/>
    <mergeCell ref="A27:A32"/>
    <mergeCell ref="B27:B32"/>
    <mergeCell ref="M27:M32"/>
    <mergeCell ref="O27:O32"/>
    <mergeCell ref="P27:P32"/>
    <mergeCell ref="D24:H24"/>
    <mergeCell ref="I24:L24"/>
    <mergeCell ref="M24:U24"/>
    <mergeCell ref="D25:E25"/>
    <mergeCell ref="G25:H25"/>
    <mergeCell ref="I25:J25"/>
    <mergeCell ref="K25:L25"/>
    <mergeCell ref="M25:P25"/>
    <mergeCell ref="Q25:R26"/>
    <mergeCell ref="S25:S26"/>
    <mergeCell ref="D21:E21"/>
    <mergeCell ref="L21:M21"/>
    <mergeCell ref="T21:U21"/>
    <mergeCell ref="AB21:AC21"/>
    <mergeCell ref="AI21:AJ21"/>
    <mergeCell ref="AP21:AQ21"/>
    <mergeCell ref="A20:C20"/>
    <mergeCell ref="J20:K20"/>
    <mergeCell ref="R20:S20"/>
    <mergeCell ref="Z20:AA20"/>
    <mergeCell ref="AG20:AH20"/>
    <mergeCell ref="AN20:AO20"/>
    <mergeCell ref="AC18:AF18"/>
    <mergeCell ref="AJ18:AM18"/>
    <mergeCell ref="AQ18:AT18"/>
    <mergeCell ref="E19:I20"/>
    <mergeCell ref="M19:Q20"/>
    <mergeCell ref="U19:Y20"/>
    <mergeCell ref="AC19:AF20"/>
    <mergeCell ref="AJ19:AM20"/>
    <mergeCell ref="AQ19:AT20"/>
    <mergeCell ref="G17:H17"/>
    <mergeCell ref="O17:P17"/>
    <mergeCell ref="W17:X17"/>
    <mergeCell ref="E18:I18"/>
    <mergeCell ref="M18:Q18"/>
    <mergeCell ref="U18:Y18"/>
    <mergeCell ref="G15:H15"/>
    <mergeCell ref="O15:P15"/>
    <mergeCell ref="W15:X15"/>
    <mergeCell ref="G16:H16"/>
    <mergeCell ref="O16:P16"/>
    <mergeCell ref="W16:X16"/>
    <mergeCell ref="G13:H13"/>
    <mergeCell ref="O13:P13"/>
    <mergeCell ref="W13:X13"/>
    <mergeCell ref="G14:H14"/>
    <mergeCell ref="O14:P14"/>
    <mergeCell ref="W14:X14"/>
    <mergeCell ref="G11:H11"/>
    <mergeCell ref="O11:P11"/>
    <mergeCell ref="W11:X11"/>
    <mergeCell ref="G12:H12"/>
    <mergeCell ref="O12:P12"/>
    <mergeCell ref="W12:X12"/>
    <mergeCell ref="G9:H9"/>
    <mergeCell ref="O9:P9"/>
    <mergeCell ref="W9:X9"/>
    <mergeCell ref="G10:H10"/>
    <mergeCell ref="O10:P10"/>
    <mergeCell ref="W10:X10"/>
    <mergeCell ref="O6:P6"/>
    <mergeCell ref="W6:X6"/>
    <mergeCell ref="O7:P7"/>
    <mergeCell ref="W7:X7"/>
    <mergeCell ref="G8:H8"/>
    <mergeCell ref="O8:P8"/>
    <mergeCell ref="W8:X8"/>
    <mergeCell ref="A1:Q1"/>
    <mergeCell ref="Z3:AF4"/>
    <mergeCell ref="AG3:AM4"/>
    <mergeCell ref="AN3:AT4"/>
    <mergeCell ref="G5:H5"/>
    <mergeCell ref="O5:P5"/>
    <mergeCell ref="W5:X5"/>
    <mergeCell ref="A2:B2"/>
    <mergeCell ref="C2:E2"/>
    <mergeCell ref="A3:I4"/>
    <mergeCell ref="J3:Q4"/>
    <mergeCell ref="R3:Y4"/>
  </mergeCells>
  <conditionalFormatting sqref="T27:T32">
    <cfRule type="containsText" dxfId="52" priority="97" operator="containsText" text="Non conforme">
      <formula>NOT(ISERROR(SEARCH("Non conforme",T27)))</formula>
    </cfRule>
    <cfRule type="containsText" dxfId="51" priority="98" operator="containsText" text="Conforme">
      <formula>NOT(ISERROR(SEARCH("Conforme",T27)))</formula>
    </cfRule>
  </conditionalFormatting>
  <conditionalFormatting sqref="G6">
    <cfRule type="containsText" dxfId="50" priority="45" operator="containsText" text="Investiguer + NC">
      <formula>NOT(ISERROR(SEARCH("Investiguer + NC",G6)))</formula>
    </cfRule>
  </conditionalFormatting>
  <conditionalFormatting sqref="O7:O17">
    <cfRule type="containsText" dxfId="49" priority="41" operator="containsText" text="Investiguer + NC">
      <formula>NOT(ISERROR(SEARCH("Investiguer + NC",O7)))</formula>
    </cfRule>
  </conditionalFormatting>
  <conditionalFormatting sqref="O7:O17">
    <cfRule type="containsText" dxfId="48" priority="42" operator="containsText" text="A surveiller">
      <formula>NOT(ISERROR(SEARCH("A surveiller",O7)))</formula>
    </cfRule>
    <cfRule type="containsText" dxfId="47" priority="43" operator="containsText" text="Non conforme">
      <formula>NOT(ISERROR(SEARCH("Non conforme",O7)))</formula>
    </cfRule>
    <cfRule type="containsText" dxfId="46" priority="44" operator="containsText" text="Conforme">
      <formula>NOT(ISERROR(SEARCH("Conforme",O7)))</formula>
    </cfRule>
  </conditionalFormatting>
  <conditionalFormatting sqref="G6">
    <cfRule type="containsText" dxfId="45" priority="46" operator="containsText" text="A surveiller">
      <formula>NOT(ISERROR(SEARCH("A surveiller",G6)))</formula>
    </cfRule>
    <cfRule type="containsText" dxfId="44" priority="47" operator="containsText" text="Non conforme">
      <formula>NOT(ISERROR(SEARCH("Non conforme",G6)))</formula>
    </cfRule>
    <cfRule type="containsText" dxfId="43" priority="48" operator="containsText" text="Conforme">
      <formula>NOT(ISERROR(SEARCH("Conforme",G6)))</formula>
    </cfRule>
  </conditionalFormatting>
  <conditionalFormatting sqref="S27">
    <cfRule type="cellIs" dxfId="42" priority="99" operator="equal">
      <formula>$AH27</formula>
    </cfRule>
    <cfRule type="cellIs" dxfId="41" priority="100" operator="equal">
      <formula>$AG27</formula>
    </cfRule>
    <cfRule type="cellIs" dxfId="40" priority="101" operator="equal">
      <formula>$AF27</formula>
    </cfRule>
  </conditionalFormatting>
  <conditionalFormatting sqref="G7:G17">
    <cfRule type="containsText" dxfId="39" priority="50" operator="containsText" text="A surveiller">
      <formula>NOT(ISERROR(SEARCH("A surveiller",G7)))</formula>
    </cfRule>
    <cfRule type="containsText" dxfId="38" priority="51" operator="containsText" text="Non conforme">
      <formula>NOT(ISERROR(SEARCH("Non conforme",G7)))</formula>
    </cfRule>
    <cfRule type="containsText" dxfId="37" priority="52" operator="containsText" text="Conforme">
      <formula>NOT(ISERROR(SEARCH("Conforme",G7)))</formula>
    </cfRule>
  </conditionalFormatting>
  <conditionalFormatting sqref="G7:G17">
    <cfRule type="containsText" dxfId="36" priority="49" operator="containsText" text="Investiguer + NC">
      <formula>NOT(ISERROR(SEARCH("Investiguer + NC",G7)))</formula>
    </cfRule>
  </conditionalFormatting>
  <conditionalFormatting sqref="AS6">
    <cfRule type="containsText" dxfId="35" priority="1" operator="containsText" text="Investiguer + NC">
      <formula>NOT(ISERROR(SEARCH("Investiguer + NC",AS6)))</formula>
    </cfRule>
  </conditionalFormatting>
  <conditionalFormatting sqref="AS6">
    <cfRule type="containsText" dxfId="34" priority="2" operator="containsText" text="A surveiller">
      <formula>NOT(ISERROR(SEARCH("A surveiller",AS6)))</formula>
    </cfRule>
    <cfRule type="containsText" dxfId="33" priority="3" operator="containsText" text="Non conforme">
      <formula>NOT(ISERROR(SEARCH("Non conforme",AS6)))</formula>
    </cfRule>
    <cfRule type="containsText" dxfId="32" priority="4" operator="containsText" text="Conforme">
      <formula>NOT(ISERROR(SEARCH("Conforme",AS6)))</formula>
    </cfRule>
  </conditionalFormatting>
  <conditionalFormatting sqref="O6">
    <cfRule type="containsText" dxfId="31" priority="33" operator="containsText" text="Investiguer + NC">
      <formula>NOT(ISERROR(SEARCH("Investiguer + NC",O6)))</formula>
    </cfRule>
  </conditionalFormatting>
  <conditionalFormatting sqref="O6">
    <cfRule type="containsText" dxfId="30" priority="34" operator="containsText" text="A surveiller">
      <formula>NOT(ISERROR(SEARCH("A surveiller",O6)))</formula>
    </cfRule>
    <cfRule type="containsText" dxfId="29" priority="35" operator="containsText" text="Non conforme">
      <formula>NOT(ISERROR(SEARCH("Non conforme",O6)))</formula>
    </cfRule>
    <cfRule type="containsText" dxfId="28" priority="36" operator="containsText" text="Conforme">
      <formula>NOT(ISERROR(SEARCH("Conforme",O6)))</formula>
    </cfRule>
  </conditionalFormatting>
  <conditionalFormatting sqref="W7:W17">
    <cfRule type="containsText" dxfId="27" priority="30" operator="containsText" text="A surveiller">
      <formula>NOT(ISERROR(SEARCH("A surveiller",W7)))</formula>
    </cfRule>
    <cfRule type="containsText" dxfId="26" priority="31" operator="containsText" text="Non conforme">
      <formula>NOT(ISERROR(SEARCH("Non conforme",W7)))</formula>
    </cfRule>
    <cfRule type="containsText" dxfId="25" priority="32" operator="containsText" text="Conforme">
      <formula>NOT(ISERROR(SEARCH("Conforme",W7)))</formula>
    </cfRule>
  </conditionalFormatting>
  <conditionalFormatting sqref="W7:W17">
    <cfRule type="containsText" dxfId="24" priority="29" operator="containsText" text="Investiguer + NC">
      <formula>NOT(ISERROR(SEARCH("Investiguer + NC",W7)))</formula>
    </cfRule>
  </conditionalFormatting>
  <conditionalFormatting sqref="W6">
    <cfRule type="containsText" dxfId="23" priority="25" operator="containsText" text="Investiguer + NC">
      <formula>NOT(ISERROR(SEARCH("Investiguer + NC",W6)))</formula>
    </cfRule>
  </conditionalFormatting>
  <conditionalFormatting sqref="W6">
    <cfRule type="containsText" dxfId="22" priority="26" operator="containsText" text="A surveiller">
      <formula>NOT(ISERROR(SEARCH("A surveiller",W6)))</formula>
    </cfRule>
    <cfRule type="containsText" dxfId="21" priority="27" operator="containsText" text="Non conforme">
      <formula>NOT(ISERROR(SEARCH("Non conforme",W6)))</formula>
    </cfRule>
    <cfRule type="containsText" dxfId="20" priority="28" operator="containsText" text="Conforme">
      <formula>NOT(ISERROR(SEARCH("Conforme",W6)))</formula>
    </cfRule>
  </conditionalFormatting>
  <conditionalFormatting sqref="AE7:AE17">
    <cfRule type="containsText" dxfId="19" priority="22" operator="containsText" text="A surveiller">
      <formula>NOT(ISERROR(SEARCH("A surveiller",AE7)))</formula>
    </cfRule>
    <cfRule type="containsText" dxfId="18" priority="23" operator="containsText" text="Non conforme">
      <formula>NOT(ISERROR(SEARCH("Non conforme",AE7)))</formula>
    </cfRule>
    <cfRule type="containsText" dxfId="17" priority="24" operator="containsText" text="Conforme">
      <formula>NOT(ISERROR(SEARCH("Conforme",AE7)))</formula>
    </cfRule>
  </conditionalFormatting>
  <conditionalFormatting sqref="AE7:AE17">
    <cfRule type="containsText" dxfId="16" priority="21" operator="containsText" text="Investiguer + NC">
      <formula>NOT(ISERROR(SEARCH("Investiguer + NC",AE7)))</formula>
    </cfRule>
  </conditionalFormatting>
  <conditionalFormatting sqref="AE6">
    <cfRule type="containsText" dxfId="15" priority="17" operator="containsText" text="Investiguer + NC">
      <formula>NOT(ISERROR(SEARCH("Investiguer + NC",AE6)))</formula>
    </cfRule>
  </conditionalFormatting>
  <conditionalFormatting sqref="AE6">
    <cfRule type="containsText" dxfId="14" priority="18" operator="containsText" text="A surveiller">
      <formula>NOT(ISERROR(SEARCH("A surveiller",AE6)))</formula>
    </cfRule>
    <cfRule type="containsText" dxfId="13" priority="19" operator="containsText" text="Non conforme">
      <formula>NOT(ISERROR(SEARCH("Non conforme",AE6)))</formula>
    </cfRule>
    <cfRule type="containsText" dxfId="12" priority="20" operator="containsText" text="Conforme">
      <formula>NOT(ISERROR(SEARCH("Conforme",AE6)))</formula>
    </cfRule>
  </conditionalFormatting>
  <conditionalFormatting sqref="AL7:AL17">
    <cfRule type="containsText" dxfId="11" priority="14" operator="containsText" text="A surveiller">
      <formula>NOT(ISERROR(SEARCH("A surveiller",AL7)))</formula>
    </cfRule>
    <cfRule type="containsText" dxfId="10" priority="15" operator="containsText" text="Non conforme">
      <formula>NOT(ISERROR(SEARCH("Non conforme",AL7)))</formula>
    </cfRule>
    <cfRule type="containsText" dxfId="9" priority="16" operator="containsText" text="Conforme">
      <formula>NOT(ISERROR(SEARCH("Conforme",AL7)))</formula>
    </cfRule>
  </conditionalFormatting>
  <conditionalFormatting sqref="AL7:AL17">
    <cfRule type="containsText" dxfId="8" priority="13" operator="containsText" text="Investiguer + NC">
      <formula>NOT(ISERROR(SEARCH("Investiguer + NC",AL7)))</formula>
    </cfRule>
  </conditionalFormatting>
  <conditionalFormatting sqref="AL6">
    <cfRule type="containsText" dxfId="7" priority="9" operator="containsText" text="Investiguer + NC">
      <formula>NOT(ISERROR(SEARCH("Investiguer + NC",AL6)))</formula>
    </cfRule>
  </conditionalFormatting>
  <conditionalFormatting sqref="AL6">
    <cfRule type="containsText" dxfId="6" priority="10" operator="containsText" text="A surveiller">
      <formula>NOT(ISERROR(SEARCH("A surveiller",AL6)))</formula>
    </cfRule>
    <cfRule type="containsText" dxfId="5" priority="11" operator="containsText" text="Non conforme">
      <formula>NOT(ISERROR(SEARCH("Non conforme",AL6)))</formula>
    </cfRule>
    <cfRule type="containsText" dxfId="4" priority="12" operator="containsText" text="Conforme">
      <formula>NOT(ISERROR(SEARCH("Conforme",AL6)))</formula>
    </cfRule>
  </conditionalFormatting>
  <conditionalFormatting sqref="AS7:AS17">
    <cfRule type="containsText" dxfId="3" priority="6" operator="containsText" text="A surveiller">
      <formula>NOT(ISERROR(SEARCH("A surveiller",AS7)))</formula>
    </cfRule>
    <cfRule type="containsText" dxfId="2" priority="7" operator="containsText" text="Non conforme">
      <formula>NOT(ISERROR(SEARCH("Non conforme",AS7)))</formula>
    </cfRule>
    <cfRule type="containsText" dxfId="1" priority="8" operator="containsText" text="Conforme">
      <formula>NOT(ISERROR(SEARCH("Conforme",AS7)))</formula>
    </cfRule>
  </conditionalFormatting>
  <conditionalFormatting sqref="AS7:AS17">
    <cfRule type="containsText" dxfId="0" priority="5" operator="containsText" text="Investiguer + NC">
      <formula>NOT(ISERROR(SEARCH("Investiguer + NC",AS7)))</formula>
    </cfRule>
  </conditionalFormatting>
  <pageMargins left="0.23622047244094491" right="0.23622047244094491" top="0.74803149606299213" bottom="0.74803149606299213" header="0.31496062992125984" footer="0.31496062992125984"/>
  <pageSetup paperSize="9" scale="91" pageOrder="overThenDown" orientation="landscape" r:id="rId1"/>
  <rowBreaks count="1" manualBreakCount="1">
    <brk id="21" max="16383" man="1"/>
  </rowBreaks>
  <colBreaks count="1" manualBreakCount="1">
    <brk id="17" max="1048575" man="1"/>
  </colBreak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204CC970-FEC0-4FF4-A22D-871E9D5A23C5}">
          <x14:formula1>
            <xm:f>'F:\TRAVAIL EN COURS\2020\Incertitudes\[Suivi EEQ et incertitudes.xlsx]Base de donnée'!#REF!</xm:f>
          </x14:formula1>
          <xm:sqref>W27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C4BB4B-48A7-427D-9D5D-A77B701BB915}">
  <sheetPr>
    <tabColor rgb="FFCC99FF"/>
  </sheetPr>
  <dimension ref="A1:AG182"/>
  <sheetViews>
    <sheetView topLeftCell="T1" workbookViewId="0">
      <selection activeCell="AD6" sqref="AD6"/>
    </sheetView>
  </sheetViews>
  <sheetFormatPr baseColWidth="10" defaultRowHeight="15"/>
  <cols>
    <col min="1" max="1" width="4.5703125" customWidth="1"/>
    <col min="2" max="2" width="28.85546875" style="8" customWidth="1"/>
    <col min="3" max="5" width="8.5703125" style="8" customWidth="1"/>
    <col min="6" max="11" width="8.28515625" style="8" customWidth="1"/>
    <col min="13" max="13" width="17.7109375" customWidth="1"/>
    <col min="30" max="30" width="26.140625" customWidth="1"/>
    <col min="31" max="31" width="7.42578125" customWidth="1"/>
    <col min="32" max="32" width="13.5703125" customWidth="1"/>
  </cols>
  <sheetData>
    <row r="1" spans="1:33" s="10" customFormat="1">
      <c r="A1" s="9"/>
      <c r="B1" s="9"/>
      <c r="C1" s="9"/>
      <c r="D1" s="9"/>
      <c r="E1" s="9">
        <v>5</v>
      </c>
      <c r="F1" s="9"/>
      <c r="G1" s="9"/>
      <c r="H1" s="9"/>
      <c r="I1" s="9"/>
      <c r="J1" s="9"/>
      <c r="K1" s="9">
        <v>10</v>
      </c>
      <c r="L1" s="9"/>
      <c r="M1" s="9"/>
      <c r="N1" s="9"/>
      <c r="O1" s="9"/>
      <c r="P1" s="9">
        <v>15</v>
      </c>
      <c r="Q1" s="9"/>
      <c r="R1" s="9"/>
      <c r="S1" s="9"/>
      <c r="T1" s="9"/>
      <c r="U1" s="9">
        <v>20</v>
      </c>
      <c r="V1" s="9"/>
      <c r="W1" s="9"/>
      <c r="X1" s="9">
        <v>23</v>
      </c>
      <c r="Y1" s="9"/>
      <c r="Z1" s="9"/>
      <c r="AA1" s="9">
        <v>26</v>
      </c>
      <c r="AB1" s="9"/>
      <c r="AC1" s="9"/>
      <c r="AD1" s="9"/>
    </row>
    <row r="2" spans="1:33" s="16" customFormat="1" ht="33.75">
      <c r="A2" s="11"/>
      <c r="B2" s="12"/>
      <c r="C2" s="13" t="s">
        <v>79</v>
      </c>
      <c r="D2" s="312" t="s">
        <v>80</v>
      </c>
      <c r="E2" s="313"/>
      <c r="F2" s="314"/>
      <c r="G2" s="315" t="s">
        <v>81</v>
      </c>
      <c r="H2" s="315"/>
      <c r="I2" s="315"/>
      <c r="J2" s="315" t="s">
        <v>82</v>
      </c>
      <c r="K2" s="315"/>
      <c r="L2" s="315"/>
      <c r="M2" s="14" t="s">
        <v>83</v>
      </c>
      <c r="N2" s="14" t="s">
        <v>84</v>
      </c>
      <c r="O2" s="316" t="s">
        <v>85</v>
      </c>
      <c r="P2" s="316"/>
      <c r="Q2" s="316"/>
      <c r="R2" s="316" t="s">
        <v>86</v>
      </c>
      <c r="S2" s="316"/>
      <c r="T2" s="316"/>
      <c r="U2" s="316" t="s">
        <v>87</v>
      </c>
      <c r="V2" s="316"/>
      <c r="W2" s="316"/>
      <c r="X2" s="306" t="s">
        <v>88</v>
      </c>
      <c r="Y2" s="307"/>
      <c r="Z2" s="308"/>
      <c r="AA2" s="309" t="s">
        <v>89</v>
      </c>
      <c r="AB2" s="310"/>
      <c r="AC2" s="311"/>
      <c r="AD2" s="15" t="s">
        <v>90</v>
      </c>
    </row>
    <row r="3" spans="1:33" s="16" customFormat="1" ht="22.5">
      <c r="A3" s="11"/>
      <c r="B3" s="17" t="s">
        <v>91</v>
      </c>
      <c r="C3" s="13"/>
      <c r="D3" s="18" t="s">
        <v>92</v>
      </c>
      <c r="E3" s="18" t="s">
        <v>93</v>
      </c>
      <c r="F3" s="18" t="s">
        <v>94</v>
      </c>
      <c r="G3" s="19" t="s">
        <v>92</v>
      </c>
      <c r="H3" s="19" t="s">
        <v>93</v>
      </c>
      <c r="I3" s="19" t="s">
        <v>94</v>
      </c>
      <c r="J3" s="18" t="s">
        <v>92</v>
      </c>
      <c r="K3" s="18" t="s">
        <v>93</v>
      </c>
      <c r="L3" s="18" t="s">
        <v>94</v>
      </c>
      <c r="M3" s="12"/>
      <c r="N3" s="12"/>
      <c r="O3" s="20" t="s">
        <v>95</v>
      </c>
      <c r="P3" s="21" t="s">
        <v>96</v>
      </c>
      <c r="Q3" s="22" t="s">
        <v>97</v>
      </c>
      <c r="R3" s="20" t="s">
        <v>98</v>
      </c>
      <c r="S3" s="21" t="s">
        <v>99</v>
      </c>
      <c r="T3" s="22" t="s">
        <v>100</v>
      </c>
      <c r="U3" s="20" t="s">
        <v>95</v>
      </c>
      <c r="V3" s="23" t="s">
        <v>101</v>
      </c>
      <c r="W3" s="24" t="s">
        <v>102</v>
      </c>
      <c r="X3" s="25" t="s">
        <v>92</v>
      </c>
      <c r="Y3" s="25" t="s">
        <v>93</v>
      </c>
      <c r="Z3" s="26" t="s">
        <v>94</v>
      </c>
      <c r="AA3" s="27" t="s">
        <v>95</v>
      </c>
      <c r="AB3" s="28" t="s">
        <v>96</v>
      </c>
      <c r="AC3" s="29" t="s">
        <v>97</v>
      </c>
      <c r="AD3" s="15" t="s">
        <v>103</v>
      </c>
    </row>
    <row r="4" spans="1:33">
      <c r="A4" s="30">
        <v>1</v>
      </c>
      <c r="B4" s="31" t="s">
        <v>104</v>
      </c>
      <c r="C4" s="6" t="s">
        <v>105</v>
      </c>
      <c r="D4" s="32">
        <v>1.5</v>
      </c>
      <c r="E4" s="32">
        <v>3</v>
      </c>
      <c r="F4" s="32">
        <v>4</v>
      </c>
      <c r="G4" s="33">
        <v>6</v>
      </c>
      <c r="H4" s="33">
        <v>5</v>
      </c>
      <c r="I4" s="33">
        <v>4</v>
      </c>
      <c r="J4" s="33">
        <v>5.3</v>
      </c>
      <c r="K4" s="33">
        <v>6.2</v>
      </c>
      <c r="L4" s="33">
        <v>6.9</v>
      </c>
      <c r="M4" s="34">
        <v>3.4</v>
      </c>
      <c r="N4" s="34">
        <v>18.7</v>
      </c>
      <c r="O4" s="35">
        <f t="shared" ref="O4:O6" si="0">0.25*M4</f>
        <v>0.85</v>
      </c>
      <c r="P4" s="36">
        <f t="shared" ref="P4:P6" si="1">0.5*M4</f>
        <v>1.7</v>
      </c>
      <c r="Q4" s="37">
        <f t="shared" ref="Q4:Q6" si="2">0.75*M4</f>
        <v>2.5499999999999998</v>
      </c>
      <c r="R4" s="35">
        <f t="shared" ref="R4:R6" si="3">IF(N4="---","---",0.125*SQRT(POWER(M4,2)+POWER(N4,2)))</f>
        <v>2.3758222260935264</v>
      </c>
      <c r="S4" s="36">
        <f t="shared" ref="S4:S6" si="4">IF(N4="---","---",0.25*SQRT(POWER(M4,2)+POWER(N4,2)))</f>
        <v>4.7516444521870529</v>
      </c>
      <c r="T4" s="37">
        <f t="shared" ref="T4:T6" si="5">IF(N4="---","---",0.375*SQRT(POWER(M4,2)+POWER(N4,2)))</f>
        <v>7.1274666782805793</v>
      </c>
      <c r="U4" s="35">
        <f t="shared" ref="U4:U6" si="6">IF($N4="---","---",$O4*1.65+$R4)</f>
        <v>3.7783222260935263</v>
      </c>
      <c r="V4" s="36">
        <f t="shared" ref="V4:V6" si="7">IF($N4="---","---",$P4*1.65+$S4)</f>
        <v>7.5566444521870526</v>
      </c>
      <c r="W4" s="37">
        <f t="shared" ref="W4:W6" si="8">IF($N4="---","---",$Q4*1.65+$T4)</f>
        <v>11.33496667828058</v>
      </c>
      <c r="X4" s="38">
        <f t="shared" ref="X4:Z61" si="9">2*(SQRT((G4^2)+(J4^2)))</f>
        <v>16.011246047700347</v>
      </c>
      <c r="Y4" s="38">
        <f t="shared" si="9"/>
        <v>15.929846201391902</v>
      </c>
      <c r="Z4" s="38">
        <f t="shared" si="9"/>
        <v>15.951175505272332</v>
      </c>
      <c r="AA4" s="39">
        <f>2*(SQRT((O4^2)+(R4^2)))</f>
        <v>5.0465953869911147</v>
      </c>
      <c r="AB4" s="40">
        <f t="shared" ref="AB4:AC17" si="10">2*(SQRT((P4^2)+(S4^2)))</f>
        <v>10.093190773982229</v>
      </c>
      <c r="AC4" s="41">
        <f t="shared" si="10"/>
        <v>15.139786160973344</v>
      </c>
      <c r="AD4" s="15" t="s">
        <v>106</v>
      </c>
      <c r="AG4" s="8"/>
    </row>
    <row r="5" spans="1:33">
      <c r="A5" s="30">
        <v>2</v>
      </c>
      <c r="B5" s="42" t="s">
        <v>107</v>
      </c>
      <c r="C5" s="6" t="s">
        <v>108</v>
      </c>
      <c r="D5" s="32">
        <v>125</v>
      </c>
      <c r="E5" s="32">
        <v>275</v>
      </c>
      <c r="F5" s="32">
        <v>400</v>
      </c>
      <c r="G5" s="33">
        <v>4.5</v>
      </c>
      <c r="H5" s="33">
        <v>4.5</v>
      </c>
      <c r="I5" s="33">
        <v>3.8</v>
      </c>
      <c r="J5" s="33">
        <v>6</v>
      </c>
      <c r="K5" s="33">
        <v>6</v>
      </c>
      <c r="L5" s="33">
        <v>5</v>
      </c>
      <c r="M5" s="34">
        <v>8.6999999999999993</v>
      </c>
      <c r="N5" s="34">
        <v>28.3</v>
      </c>
      <c r="O5" s="35">
        <f t="shared" si="0"/>
        <v>2.1749999999999998</v>
      </c>
      <c r="P5" s="36">
        <f t="shared" si="1"/>
        <v>4.3499999999999996</v>
      </c>
      <c r="Q5" s="37">
        <f t="shared" si="2"/>
        <v>6.5249999999999995</v>
      </c>
      <c r="R5" s="35">
        <f t="shared" si="3"/>
        <v>3.7008867180717648</v>
      </c>
      <c r="S5" s="36">
        <f t="shared" si="4"/>
        <v>7.4017734361435297</v>
      </c>
      <c r="T5" s="37">
        <f t="shared" si="5"/>
        <v>11.102660154215295</v>
      </c>
      <c r="U5" s="35">
        <f t="shared" si="6"/>
        <v>7.2896367180717645</v>
      </c>
      <c r="V5" s="36">
        <f t="shared" si="7"/>
        <v>14.579273436143529</v>
      </c>
      <c r="W5" s="37">
        <f t="shared" si="8"/>
        <v>21.868910154215293</v>
      </c>
      <c r="X5" s="38">
        <f t="shared" si="9"/>
        <v>15</v>
      </c>
      <c r="Y5" s="38">
        <f t="shared" si="9"/>
        <v>15</v>
      </c>
      <c r="Z5" s="38">
        <f t="shared" si="9"/>
        <v>12.560254774486065</v>
      </c>
      <c r="AA5" s="39">
        <f t="shared" ref="AA5:AC68" si="11">2*(SQRT((O5^2)+(R5^2)))</f>
        <v>8.5853800148857697</v>
      </c>
      <c r="AB5" s="40">
        <f t="shared" si="10"/>
        <v>17.170760029771539</v>
      </c>
      <c r="AC5" s="41">
        <f t="shared" si="10"/>
        <v>25.756140044657311</v>
      </c>
      <c r="AD5" s="15" t="s">
        <v>109</v>
      </c>
      <c r="AG5" s="8"/>
    </row>
    <row r="6" spans="1:33">
      <c r="A6" s="30">
        <v>3</v>
      </c>
      <c r="B6" s="43" t="s">
        <v>110</v>
      </c>
      <c r="C6" s="6" t="s">
        <v>108</v>
      </c>
      <c r="D6" s="32" t="s">
        <v>111</v>
      </c>
      <c r="E6" s="32" t="s">
        <v>111</v>
      </c>
      <c r="F6" s="32" t="s">
        <v>111</v>
      </c>
      <c r="G6" s="33" t="s">
        <v>111</v>
      </c>
      <c r="H6" s="33" t="s">
        <v>111</v>
      </c>
      <c r="I6" s="33" t="s">
        <v>111</v>
      </c>
      <c r="J6" s="33" t="s">
        <v>111</v>
      </c>
      <c r="K6" s="33" t="s">
        <v>111</v>
      </c>
      <c r="L6" s="33" t="s">
        <v>111</v>
      </c>
      <c r="M6" s="34">
        <v>94</v>
      </c>
      <c r="N6" s="34">
        <v>46</v>
      </c>
      <c r="O6" s="35">
        <f t="shared" si="0"/>
        <v>23.5</v>
      </c>
      <c r="P6" s="36">
        <f t="shared" si="1"/>
        <v>47</v>
      </c>
      <c r="Q6" s="37">
        <f t="shared" si="2"/>
        <v>70.5</v>
      </c>
      <c r="R6" s="35">
        <f t="shared" si="3"/>
        <v>13.08147545195113</v>
      </c>
      <c r="S6" s="36">
        <f t="shared" si="4"/>
        <v>26.16295090390226</v>
      </c>
      <c r="T6" s="37">
        <f t="shared" si="5"/>
        <v>39.244426355853392</v>
      </c>
      <c r="U6" s="35">
        <f t="shared" si="6"/>
        <v>51.856475451951127</v>
      </c>
      <c r="V6" s="36">
        <f t="shared" si="7"/>
        <v>103.71295090390225</v>
      </c>
      <c r="W6" s="37">
        <f t="shared" si="8"/>
        <v>155.56942635585338</v>
      </c>
      <c r="X6" s="32" t="s">
        <v>111</v>
      </c>
      <c r="Y6" s="32" t="s">
        <v>111</v>
      </c>
      <c r="Z6" s="32" t="s">
        <v>111</v>
      </c>
      <c r="AA6" s="39">
        <f t="shared" si="11"/>
        <v>53.791263231123324</v>
      </c>
      <c r="AB6" s="40">
        <f t="shared" si="10"/>
        <v>107.58252646224665</v>
      </c>
      <c r="AC6" s="41">
        <f t="shared" si="10"/>
        <v>161.37378969336996</v>
      </c>
      <c r="AD6" s="30" t="s">
        <v>72</v>
      </c>
      <c r="AG6" s="8"/>
    </row>
    <row r="7" spans="1:33">
      <c r="A7" s="30">
        <v>4</v>
      </c>
      <c r="B7" s="31" t="s">
        <v>112</v>
      </c>
      <c r="C7" s="6" t="s">
        <v>113</v>
      </c>
      <c r="D7" s="32" t="s">
        <v>111</v>
      </c>
      <c r="E7" s="32" t="s">
        <v>111</v>
      </c>
      <c r="F7" s="32" t="s">
        <v>111</v>
      </c>
      <c r="G7" s="33" t="s">
        <v>111</v>
      </c>
      <c r="H7" s="33" t="s">
        <v>111</v>
      </c>
      <c r="I7" s="33" t="s">
        <v>111</v>
      </c>
      <c r="J7" s="33" t="s">
        <v>111</v>
      </c>
      <c r="K7" s="33" t="s">
        <v>111</v>
      </c>
      <c r="L7" s="33" t="s">
        <v>111</v>
      </c>
      <c r="M7" s="32" t="s">
        <v>111</v>
      </c>
      <c r="N7" s="32" t="s">
        <v>111</v>
      </c>
      <c r="O7" s="32" t="s">
        <v>111</v>
      </c>
      <c r="P7" s="32" t="s">
        <v>111</v>
      </c>
      <c r="Q7" s="32" t="s">
        <v>111</v>
      </c>
      <c r="R7" s="32" t="s">
        <v>111</v>
      </c>
      <c r="S7" s="32" t="s">
        <v>111</v>
      </c>
      <c r="T7" s="32" t="s">
        <v>111</v>
      </c>
      <c r="U7" s="32" t="s">
        <v>111</v>
      </c>
      <c r="V7" s="32" t="s">
        <v>111</v>
      </c>
      <c r="W7" s="32" t="s">
        <v>111</v>
      </c>
      <c r="X7" s="32" t="s">
        <v>111</v>
      </c>
      <c r="Y7" s="32" t="s">
        <v>111</v>
      </c>
      <c r="Z7" s="32" t="s">
        <v>111</v>
      </c>
      <c r="AA7" s="44" t="s">
        <v>111</v>
      </c>
      <c r="AB7" s="45" t="s">
        <v>111</v>
      </c>
      <c r="AC7" s="46" t="s">
        <v>111</v>
      </c>
      <c r="AD7" s="30"/>
      <c r="AG7" s="8"/>
    </row>
    <row r="8" spans="1:33">
      <c r="A8" s="30">
        <v>5</v>
      </c>
      <c r="B8" s="31" t="s">
        <v>114</v>
      </c>
      <c r="C8" s="6" t="s">
        <v>113</v>
      </c>
      <c r="D8" s="32" t="s">
        <v>111</v>
      </c>
      <c r="E8" s="32" t="s">
        <v>111</v>
      </c>
      <c r="F8" s="32" t="s">
        <v>111</v>
      </c>
      <c r="G8" s="33" t="s">
        <v>111</v>
      </c>
      <c r="H8" s="33" t="s">
        <v>111</v>
      </c>
      <c r="I8" s="33" t="s">
        <v>111</v>
      </c>
      <c r="J8" s="33" t="s">
        <v>111</v>
      </c>
      <c r="K8" s="33" t="s">
        <v>111</v>
      </c>
      <c r="L8" s="33" t="s">
        <v>111</v>
      </c>
      <c r="M8" s="32" t="s">
        <v>111</v>
      </c>
      <c r="N8" s="32" t="s">
        <v>111</v>
      </c>
      <c r="O8" s="32" t="s">
        <v>111</v>
      </c>
      <c r="P8" s="32" t="s">
        <v>111</v>
      </c>
      <c r="Q8" s="32" t="s">
        <v>111</v>
      </c>
      <c r="R8" s="32" t="s">
        <v>111</v>
      </c>
      <c r="S8" s="32" t="s">
        <v>111</v>
      </c>
      <c r="T8" s="32" t="s">
        <v>111</v>
      </c>
      <c r="U8" s="32" t="s">
        <v>111</v>
      </c>
      <c r="V8" s="32" t="s">
        <v>111</v>
      </c>
      <c r="W8" s="32" t="s">
        <v>111</v>
      </c>
      <c r="X8" s="32" t="s">
        <v>111</v>
      </c>
      <c r="Y8" s="32" t="s">
        <v>111</v>
      </c>
      <c r="Z8" s="32" t="s">
        <v>111</v>
      </c>
      <c r="AA8" s="44" t="s">
        <v>111</v>
      </c>
      <c r="AB8" s="45" t="s">
        <v>111</v>
      </c>
      <c r="AC8" s="46" t="s">
        <v>111</v>
      </c>
      <c r="AD8" s="30"/>
      <c r="AG8" s="8"/>
    </row>
    <row r="9" spans="1:33" ht="15" customHeight="1">
      <c r="A9" s="30">
        <v>6</v>
      </c>
      <c r="B9" s="31" t="s">
        <v>115</v>
      </c>
      <c r="C9" s="6" t="s">
        <v>113</v>
      </c>
      <c r="D9" s="32" t="s">
        <v>111</v>
      </c>
      <c r="E9" s="32" t="s">
        <v>111</v>
      </c>
      <c r="F9" s="32" t="s">
        <v>111</v>
      </c>
      <c r="G9" s="33" t="s">
        <v>111</v>
      </c>
      <c r="H9" s="33" t="s">
        <v>111</v>
      </c>
      <c r="I9" s="33" t="s">
        <v>111</v>
      </c>
      <c r="J9" s="33" t="s">
        <v>111</v>
      </c>
      <c r="K9" s="33" t="s">
        <v>111</v>
      </c>
      <c r="L9" s="33" t="s">
        <v>111</v>
      </c>
      <c r="M9" s="32" t="s">
        <v>111</v>
      </c>
      <c r="N9" s="32" t="s">
        <v>111</v>
      </c>
      <c r="O9" s="32" t="s">
        <v>111</v>
      </c>
      <c r="P9" s="32" t="s">
        <v>111</v>
      </c>
      <c r="Q9" s="32" t="s">
        <v>111</v>
      </c>
      <c r="R9" s="32" t="s">
        <v>111</v>
      </c>
      <c r="S9" s="32" t="s">
        <v>111</v>
      </c>
      <c r="T9" s="32" t="s">
        <v>111</v>
      </c>
      <c r="U9" s="32" t="s">
        <v>111</v>
      </c>
      <c r="V9" s="32" t="s">
        <v>111</v>
      </c>
      <c r="W9" s="32" t="s">
        <v>111</v>
      </c>
      <c r="X9" s="32" t="s">
        <v>111</v>
      </c>
      <c r="Y9" s="32" t="s">
        <v>111</v>
      </c>
      <c r="Z9" s="32" t="s">
        <v>111</v>
      </c>
      <c r="AA9" s="44" t="s">
        <v>111</v>
      </c>
      <c r="AB9" s="45" t="s">
        <v>111</v>
      </c>
      <c r="AC9" s="46" t="s">
        <v>111</v>
      </c>
      <c r="AD9" s="30"/>
      <c r="AG9" s="8"/>
    </row>
    <row r="10" spans="1:33">
      <c r="A10" s="30">
        <v>7</v>
      </c>
      <c r="B10" s="31" t="s">
        <v>116</v>
      </c>
      <c r="C10" s="6" t="s">
        <v>113</v>
      </c>
      <c r="D10" s="32" t="s">
        <v>111</v>
      </c>
      <c r="E10" s="32" t="s">
        <v>111</v>
      </c>
      <c r="F10" s="32" t="s">
        <v>111</v>
      </c>
      <c r="G10" s="33" t="s">
        <v>111</v>
      </c>
      <c r="H10" s="33" t="s">
        <v>111</v>
      </c>
      <c r="I10" s="33" t="s">
        <v>111</v>
      </c>
      <c r="J10" s="33" t="s">
        <v>111</v>
      </c>
      <c r="K10" s="33" t="s">
        <v>111</v>
      </c>
      <c r="L10" s="33" t="s">
        <v>111</v>
      </c>
      <c r="M10" s="32" t="s">
        <v>111</v>
      </c>
      <c r="N10" s="32" t="s">
        <v>111</v>
      </c>
      <c r="O10" s="32" t="s">
        <v>111</v>
      </c>
      <c r="P10" s="32" t="s">
        <v>111</v>
      </c>
      <c r="Q10" s="32" t="s">
        <v>111</v>
      </c>
      <c r="R10" s="32" t="s">
        <v>111</v>
      </c>
      <c r="S10" s="32" t="s">
        <v>111</v>
      </c>
      <c r="T10" s="32" t="s">
        <v>111</v>
      </c>
      <c r="U10" s="32" t="s">
        <v>111</v>
      </c>
      <c r="V10" s="32" t="s">
        <v>111</v>
      </c>
      <c r="W10" s="32" t="s">
        <v>111</v>
      </c>
      <c r="X10" s="32" t="s">
        <v>111</v>
      </c>
      <c r="Y10" s="32" t="s">
        <v>111</v>
      </c>
      <c r="Z10" s="32" t="s">
        <v>111</v>
      </c>
      <c r="AA10" s="44" t="s">
        <v>111</v>
      </c>
      <c r="AB10" s="45" t="s">
        <v>111</v>
      </c>
      <c r="AC10" s="46" t="s">
        <v>111</v>
      </c>
      <c r="AD10" s="30"/>
      <c r="AG10" s="8"/>
    </row>
    <row r="11" spans="1:33">
      <c r="A11" s="30">
        <v>8</v>
      </c>
      <c r="B11" s="31" t="s">
        <v>117</v>
      </c>
      <c r="C11" s="6" t="s">
        <v>113</v>
      </c>
      <c r="D11" s="32" t="s">
        <v>111</v>
      </c>
      <c r="E11" s="32" t="s">
        <v>111</v>
      </c>
      <c r="F11" s="32" t="s">
        <v>111</v>
      </c>
      <c r="G11" s="33" t="s">
        <v>111</v>
      </c>
      <c r="H11" s="33" t="s">
        <v>111</v>
      </c>
      <c r="I11" s="33" t="s">
        <v>111</v>
      </c>
      <c r="J11" s="33" t="s">
        <v>111</v>
      </c>
      <c r="K11" s="33" t="s">
        <v>111</v>
      </c>
      <c r="L11" s="33" t="s">
        <v>111</v>
      </c>
      <c r="M11" s="32" t="s">
        <v>111</v>
      </c>
      <c r="N11" s="32" t="s">
        <v>111</v>
      </c>
      <c r="O11" s="32" t="s">
        <v>111</v>
      </c>
      <c r="P11" s="32" t="s">
        <v>111</v>
      </c>
      <c r="Q11" s="32" t="s">
        <v>111</v>
      </c>
      <c r="R11" s="32" t="s">
        <v>111</v>
      </c>
      <c r="S11" s="32" t="s">
        <v>111</v>
      </c>
      <c r="T11" s="32" t="s">
        <v>111</v>
      </c>
      <c r="U11" s="32" t="s">
        <v>111</v>
      </c>
      <c r="V11" s="32" t="s">
        <v>111</v>
      </c>
      <c r="W11" s="32" t="s">
        <v>111</v>
      </c>
      <c r="X11" s="32" t="s">
        <v>111</v>
      </c>
      <c r="Y11" s="32" t="s">
        <v>111</v>
      </c>
      <c r="Z11" s="32" t="s">
        <v>111</v>
      </c>
      <c r="AA11" s="44" t="s">
        <v>111</v>
      </c>
      <c r="AB11" s="45" t="s">
        <v>111</v>
      </c>
      <c r="AC11" s="46" t="s">
        <v>111</v>
      </c>
      <c r="AD11" s="30"/>
      <c r="AG11" s="8"/>
    </row>
    <row r="12" spans="1:33">
      <c r="A12" s="30">
        <v>9</v>
      </c>
      <c r="B12" s="31" t="s">
        <v>118</v>
      </c>
      <c r="C12" s="6" t="s">
        <v>113</v>
      </c>
      <c r="D12" s="32">
        <v>5</v>
      </c>
      <c r="E12" s="32">
        <v>7.5</v>
      </c>
      <c r="F12" s="32">
        <v>10</v>
      </c>
      <c r="G12" s="33" t="s">
        <v>111</v>
      </c>
      <c r="H12" s="33" t="s">
        <v>111</v>
      </c>
      <c r="I12" s="33" t="s">
        <v>111</v>
      </c>
      <c r="J12" s="33" t="s">
        <v>111</v>
      </c>
      <c r="K12" s="33" t="s">
        <v>111</v>
      </c>
      <c r="L12" s="33" t="s">
        <v>111</v>
      </c>
      <c r="M12" s="32" t="s">
        <v>111</v>
      </c>
      <c r="N12" s="32" t="s">
        <v>111</v>
      </c>
      <c r="O12" s="32" t="s">
        <v>111</v>
      </c>
      <c r="P12" s="32" t="s">
        <v>111</v>
      </c>
      <c r="Q12" s="32" t="s">
        <v>111</v>
      </c>
      <c r="R12" s="32" t="s">
        <v>111</v>
      </c>
      <c r="S12" s="32" t="s">
        <v>111</v>
      </c>
      <c r="T12" s="32" t="s">
        <v>111</v>
      </c>
      <c r="U12" s="32" t="s">
        <v>111</v>
      </c>
      <c r="V12" s="32" t="s">
        <v>111</v>
      </c>
      <c r="W12" s="32" t="s">
        <v>111</v>
      </c>
      <c r="X12" s="32" t="s">
        <v>111</v>
      </c>
      <c r="Y12" s="32" t="s">
        <v>111</v>
      </c>
      <c r="Z12" s="32" t="s">
        <v>111</v>
      </c>
      <c r="AA12" s="44" t="s">
        <v>111</v>
      </c>
      <c r="AB12" s="45" t="s">
        <v>111</v>
      </c>
      <c r="AC12" s="46" t="s">
        <v>111</v>
      </c>
      <c r="AD12" s="30"/>
      <c r="AG12" s="8"/>
    </row>
    <row r="13" spans="1:33">
      <c r="A13" s="30">
        <v>10</v>
      </c>
      <c r="B13" s="31" t="s">
        <v>119</v>
      </c>
      <c r="C13" s="6" t="s">
        <v>113</v>
      </c>
      <c r="D13" s="32" t="s">
        <v>111</v>
      </c>
      <c r="E13" s="32" t="s">
        <v>111</v>
      </c>
      <c r="F13" s="32" t="s">
        <v>111</v>
      </c>
      <c r="G13" s="33" t="s">
        <v>111</v>
      </c>
      <c r="H13" s="33" t="s">
        <v>111</v>
      </c>
      <c r="I13" s="33" t="s">
        <v>111</v>
      </c>
      <c r="J13" s="33" t="s">
        <v>111</v>
      </c>
      <c r="K13" s="33" t="s">
        <v>111</v>
      </c>
      <c r="L13" s="33" t="s">
        <v>111</v>
      </c>
      <c r="M13" s="32" t="s">
        <v>111</v>
      </c>
      <c r="N13" s="32" t="s">
        <v>111</v>
      </c>
      <c r="O13" s="32" t="s">
        <v>111</v>
      </c>
      <c r="P13" s="32" t="s">
        <v>111</v>
      </c>
      <c r="Q13" s="32" t="s">
        <v>111</v>
      </c>
      <c r="R13" s="32" t="s">
        <v>111</v>
      </c>
      <c r="S13" s="32" t="s">
        <v>111</v>
      </c>
      <c r="T13" s="32" t="s">
        <v>111</v>
      </c>
      <c r="U13" s="32" t="s">
        <v>111</v>
      </c>
      <c r="V13" s="32" t="s">
        <v>111</v>
      </c>
      <c r="W13" s="32" t="s">
        <v>111</v>
      </c>
      <c r="X13" s="32" t="s">
        <v>111</v>
      </c>
      <c r="Y13" s="32" t="s">
        <v>111</v>
      </c>
      <c r="Z13" s="32" t="s">
        <v>111</v>
      </c>
      <c r="AA13" s="44" t="s">
        <v>111</v>
      </c>
      <c r="AB13" s="45" t="s">
        <v>111</v>
      </c>
      <c r="AC13" s="46" t="s">
        <v>111</v>
      </c>
      <c r="AD13" s="30"/>
      <c r="AG13" s="8"/>
    </row>
    <row r="14" spans="1:33" ht="15" customHeight="1">
      <c r="A14" s="30">
        <v>11</v>
      </c>
      <c r="B14" s="47" t="s">
        <v>120</v>
      </c>
      <c r="C14" s="6" t="s">
        <v>121</v>
      </c>
      <c r="D14" s="32">
        <v>12.5</v>
      </c>
      <c r="E14" s="32">
        <v>32.5</v>
      </c>
      <c r="F14" s="32">
        <v>50</v>
      </c>
      <c r="G14" s="33">
        <v>15</v>
      </c>
      <c r="H14" s="33">
        <v>8</v>
      </c>
      <c r="I14" s="33">
        <v>8</v>
      </c>
      <c r="J14" s="33">
        <v>13.2</v>
      </c>
      <c r="K14" s="33">
        <v>8.9</v>
      </c>
      <c r="L14" s="33">
        <v>8.9</v>
      </c>
      <c r="M14" s="34">
        <v>12.7</v>
      </c>
      <c r="N14" s="34">
        <v>55.6</v>
      </c>
      <c r="O14" s="35">
        <f>0.25*M14</f>
        <v>3.1749999999999998</v>
      </c>
      <c r="P14" s="36">
        <f>0.5*M14</f>
        <v>6.35</v>
      </c>
      <c r="Q14" s="37">
        <f>0.75*M14</f>
        <v>9.5249999999999986</v>
      </c>
      <c r="R14" s="35">
        <f>IF(N14="---","---",0.125*SQRT(POWER(M14,2)+POWER(N14,2)))</f>
        <v>7.1290010695748949</v>
      </c>
      <c r="S14" s="36">
        <f>IF(N14="---","---",0.25*SQRT(POWER(M14,2)+POWER(N14,2)))</f>
        <v>14.25800213914979</v>
      </c>
      <c r="T14" s="37">
        <f>IF(N14="---","---",0.375*SQRT(POWER(M14,2)+POWER(N14,2)))</f>
        <v>21.387003208724686</v>
      </c>
      <c r="U14" s="35">
        <f t="shared" ref="U14:U17" si="12">IF($N14="---","---",$O14*1.65+$R14)</f>
        <v>12.367751069574894</v>
      </c>
      <c r="V14" s="36">
        <f t="shared" ref="V14:V17" si="13">IF($N14="---","---",$P14*1.65+$S14)</f>
        <v>24.735502139149787</v>
      </c>
      <c r="W14" s="37">
        <f t="shared" ref="W14:W17" si="14">IF($N14="---","---",$Q14*1.65+$T14)</f>
        <v>37.103253208724681</v>
      </c>
      <c r="X14" s="38">
        <f t="shared" si="9"/>
        <v>39.96198193283211</v>
      </c>
      <c r="Y14" s="38">
        <f t="shared" si="9"/>
        <v>23.934076125892137</v>
      </c>
      <c r="Z14" s="38">
        <f t="shared" si="9"/>
        <v>23.934076125892137</v>
      </c>
      <c r="AA14" s="39">
        <f t="shared" si="11"/>
        <v>15.608110872235626</v>
      </c>
      <c r="AB14" s="40">
        <f t="shared" si="10"/>
        <v>31.216221744471252</v>
      </c>
      <c r="AC14" s="41">
        <f t="shared" si="10"/>
        <v>46.824332616706876</v>
      </c>
      <c r="AD14" s="30"/>
      <c r="AG14" s="8"/>
    </row>
    <row r="15" spans="1:33">
      <c r="A15" s="30">
        <v>12</v>
      </c>
      <c r="B15" s="47" t="s">
        <v>122</v>
      </c>
      <c r="C15" s="6" t="s">
        <v>123</v>
      </c>
      <c r="D15" s="32">
        <v>225</v>
      </c>
      <c r="E15" s="32">
        <v>375</v>
      </c>
      <c r="F15" s="32">
        <v>450</v>
      </c>
      <c r="G15" s="33">
        <v>3.6</v>
      </c>
      <c r="H15" s="33">
        <v>3.2</v>
      </c>
      <c r="I15" s="33">
        <v>2.8</v>
      </c>
      <c r="J15" s="33">
        <v>7.1</v>
      </c>
      <c r="K15" s="33">
        <v>6.2</v>
      </c>
      <c r="L15" s="33">
        <v>5.3</v>
      </c>
      <c r="M15" s="34">
        <v>8.6</v>
      </c>
      <c r="N15" s="34">
        <v>17.5</v>
      </c>
      <c r="O15" s="35">
        <f>0.25*M15</f>
        <v>2.15</v>
      </c>
      <c r="P15" s="36">
        <f>0.5*M15</f>
        <v>4.3</v>
      </c>
      <c r="Q15" s="37">
        <f>0.75*M15</f>
        <v>6.4499999999999993</v>
      </c>
      <c r="R15" s="35">
        <f>IF(N15="---","---",0.125*SQRT(POWER(M15,2)+POWER(N15,2)))</f>
        <v>2.4373717915000164</v>
      </c>
      <c r="S15" s="36">
        <f>IF(N15="---","---",0.25*SQRT(POWER(M15,2)+POWER(N15,2)))</f>
        <v>4.8747435830000327</v>
      </c>
      <c r="T15" s="37">
        <f>IF(N15="---","---",0.375*SQRT(POWER(M15,2)+POWER(N15,2)))</f>
        <v>7.3121153745000491</v>
      </c>
      <c r="U15" s="35">
        <f t="shared" si="12"/>
        <v>5.9848717915000158</v>
      </c>
      <c r="V15" s="36">
        <f t="shared" si="13"/>
        <v>11.969743583000032</v>
      </c>
      <c r="W15" s="37">
        <f t="shared" si="14"/>
        <v>17.954615374500047</v>
      </c>
      <c r="X15" s="38">
        <f t="shared" si="9"/>
        <v>15.921055241409094</v>
      </c>
      <c r="Y15" s="38">
        <f t="shared" si="9"/>
        <v>13.954210834009928</v>
      </c>
      <c r="Z15" s="38">
        <f t="shared" si="9"/>
        <v>11.988327656516567</v>
      </c>
      <c r="AA15" s="39">
        <f t="shared" si="11"/>
        <v>6.5002403801705668</v>
      </c>
      <c r="AB15" s="40">
        <f t="shared" si="10"/>
        <v>13.000480760341134</v>
      </c>
      <c r="AC15" s="41">
        <f t="shared" si="10"/>
        <v>19.5007211405117</v>
      </c>
      <c r="AD15" s="30"/>
      <c r="AG15" s="8"/>
    </row>
    <row r="16" spans="1:33">
      <c r="A16" s="30">
        <v>13</v>
      </c>
      <c r="B16" s="31" t="s">
        <v>124</v>
      </c>
      <c r="C16" s="6" t="s">
        <v>125</v>
      </c>
      <c r="D16" s="32">
        <v>1</v>
      </c>
      <c r="E16" s="32">
        <v>2.75</v>
      </c>
      <c r="F16" s="32">
        <v>4</v>
      </c>
      <c r="G16" s="33">
        <v>6</v>
      </c>
      <c r="H16" s="33">
        <v>5</v>
      </c>
      <c r="I16" s="33">
        <v>4</v>
      </c>
      <c r="J16" s="33">
        <v>10.4</v>
      </c>
      <c r="K16" s="33">
        <v>8.6999999999999993</v>
      </c>
      <c r="L16" s="33">
        <v>6.9</v>
      </c>
      <c r="M16" s="34">
        <v>16.8</v>
      </c>
      <c r="N16" s="34">
        <v>14.4</v>
      </c>
      <c r="O16" s="35">
        <f t="shared" ref="O16:O17" si="15">0.25*M16</f>
        <v>4.2</v>
      </c>
      <c r="P16" s="36">
        <f t="shared" ref="P16:P17" si="16">0.5*M16</f>
        <v>8.4</v>
      </c>
      <c r="Q16" s="37">
        <f t="shared" ref="Q16:Q17" si="17">0.75*M16</f>
        <v>12.600000000000001</v>
      </c>
      <c r="R16" s="35">
        <f t="shared" ref="R16:R17" si="18">IF(N16="---","---",0.125*SQRT(POWER(M16,2)+POWER(N16,2)))</f>
        <v>2.7658633371878665</v>
      </c>
      <c r="S16" s="36">
        <f t="shared" ref="S16:S17" si="19">IF(N16="---","---",0.25*SQRT(POWER(M16,2)+POWER(N16,2)))</f>
        <v>5.531726674375733</v>
      </c>
      <c r="T16" s="37">
        <f t="shared" ref="T16:T17" si="20">IF(N16="---","---",0.375*SQRT(POWER(M16,2)+POWER(N16,2)))</f>
        <v>8.2975900115635994</v>
      </c>
      <c r="U16" s="35">
        <f t="shared" si="12"/>
        <v>9.6958633371878662</v>
      </c>
      <c r="V16" s="36">
        <f t="shared" si="13"/>
        <v>19.391726674375732</v>
      </c>
      <c r="W16" s="37">
        <f t="shared" si="14"/>
        <v>29.087590011563602</v>
      </c>
      <c r="X16" s="38">
        <f t="shared" si="9"/>
        <v>24.013329631685817</v>
      </c>
      <c r="Y16" s="38">
        <f t="shared" si="9"/>
        <v>20.06888138387389</v>
      </c>
      <c r="Z16" s="38">
        <f t="shared" si="9"/>
        <v>15.951175505272332</v>
      </c>
      <c r="AA16" s="39">
        <f t="shared" si="11"/>
        <v>10.057832768544127</v>
      </c>
      <c r="AB16" s="40">
        <f t="shared" si="10"/>
        <v>20.115665537088255</v>
      </c>
      <c r="AC16" s="41">
        <f t="shared" si="10"/>
        <v>30.173498305632382</v>
      </c>
      <c r="AD16" s="30"/>
      <c r="AG16" s="8"/>
    </row>
    <row r="17" spans="1:33">
      <c r="A17" s="30">
        <v>14</v>
      </c>
      <c r="B17" s="47" t="s">
        <v>126</v>
      </c>
      <c r="C17" s="6" t="s">
        <v>127</v>
      </c>
      <c r="D17" s="32">
        <v>30</v>
      </c>
      <c r="E17" s="32">
        <v>125</v>
      </c>
      <c r="F17" s="32">
        <v>200</v>
      </c>
      <c r="G17" s="33">
        <v>15</v>
      </c>
      <c r="H17" s="33">
        <v>8</v>
      </c>
      <c r="I17" s="33">
        <v>8</v>
      </c>
      <c r="J17" s="33">
        <v>13.2</v>
      </c>
      <c r="K17" s="33">
        <v>8.9</v>
      </c>
      <c r="L17" s="33">
        <v>8.9</v>
      </c>
      <c r="M17" s="34">
        <v>12.2</v>
      </c>
      <c r="N17" s="34">
        <v>45.6</v>
      </c>
      <c r="O17" s="35">
        <f t="shared" si="15"/>
        <v>3.05</v>
      </c>
      <c r="P17" s="36">
        <f t="shared" si="16"/>
        <v>6.1</v>
      </c>
      <c r="Q17" s="37">
        <f t="shared" si="17"/>
        <v>9.1499999999999986</v>
      </c>
      <c r="R17" s="35">
        <f t="shared" si="18"/>
        <v>5.9004766756593492</v>
      </c>
      <c r="S17" s="36">
        <f t="shared" si="19"/>
        <v>11.800953351318698</v>
      </c>
      <c r="T17" s="37">
        <f t="shared" si="20"/>
        <v>17.701430026978048</v>
      </c>
      <c r="U17" s="35">
        <f t="shared" si="12"/>
        <v>10.932976675659349</v>
      </c>
      <c r="V17" s="36">
        <f t="shared" si="13"/>
        <v>21.865953351318698</v>
      </c>
      <c r="W17" s="37">
        <f t="shared" si="14"/>
        <v>32.798930026978041</v>
      </c>
      <c r="X17" s="38">
        <f t="shared" si="9"/>
        <v>39.96198193283211</v>
      </c>
      <c r="Y17" s="38">
        <f t="shared" si="9"/>
        <v>23.934076125892137</v>
      </c>
      <c r="Z17" s="38">
        <f t="shared" si="9"/>
        <v>23.934076125892137</v>
      </c>
      <c r="AA17" s="39">
        <f t="shared" si="11"/>
        <v>13.284295239116</v>
      </c>
      <c r="AB17" s="40">
        <f t="shared" si="10"/>
        <v>26.568590478232</v>
      </c>
      <c r="AC17" s="41">
        <f t="shared" si="10"/>
        <v>39.852885717347995</v>
      </c>
      <c r="AD17" s="30"/>
      <c r="AG17" s="8"/>
    </row>
    <row r="18" spans="1:33">
      <c r="A18" s="30">
        <v>15</v>
      </c>
      <c r="B18" s="31" t="s">
        <v>128</v>
      </c>
      <c r="C18" s="6" t="s">
        <v>113</v>
      </c>
      <c r="D18" s="32" t="s">
        <v>111</v>
      </c>
      <c r="E18" s="32" t="s">
        <v>111</v>
      </c>
      <c r="F18" s="32" t="s">
        <v>111</v>
      </c>
      <c r="G18" s="33" t="s">
        <v>111</v>
      </c>
      <c r="H18" s="33" t="s">
        <v>111</v>
      </c>
      <c r="I18" s="33" t="s">
        <v>111</v>
      </c>
      <c r="J18" s="33" t="s">
        <v>111</v>
      </c>
      <c r="K18" s="33" t="s">
        <v>111</v>
      </c>
      <c r="L18" s="33" t="s">
        <v>111</v>
      </c>
      <c r="M18" s="32" t="s">
        <v>111</v>
      </c>
      <c r="N18" s="32" t="s">
        <v>111</v>
      </c>
      <c r="O18" s="32" t="s">
        <v>111</v>
      </c>
      <c r="P18" s="32" t="s">
        <v>111</v>
      </c>
      <c r="Q18" s="32" t="s">
        <v>111</v>
      </c>
      <c r="R18" s="32" t="s">
        <v>111</v>
      </c>
      <c r="S18" s="32" t="s">
        <v>111</v>
      </c>
      <c r="T18" s="32" t="s">
        <v>111</v>
      </c>
      <c r="U18" s="32" t="s">
        <v>111</v>
      </c>
      <c r="V18" s="32" t="s">
        <v>111</v>
      </c>
      <c r="W18" s="32" t="s">
        <v>111</v>
      </c>
      <c r="X18" s="32" t="s">
        <v>111</v>
      </c>
      <c r="Y18" s="32" t="s">
        <v>111</v>
      </c>
      <c r="Z18" s="32" t="s">
        <v>111</v>
      </c>
      <c r="AA18" s="44" t="s">
        <v>111</v>
      </c>
      <c r="AB18" s="45" t="s">
        <v>111</v>
      </c>
      <c r="AC18" s="46" t="s">
        <v>111</v>
      </c>
      <c r="AD18" s="30"/>
      <c r="AG18" s="8"/>
    </row>
    <row r="19" spans="1:33">
      <c r="A19" s="30">
        <v>16</v>
      </c>
      <c r="B19" s="31" t="s">
        <v>129</v>
      </c>
      <c r="C19" s="6" t="s">
        <v>113</v>
      </c>
      <c r="D19" s="32" t="s">
        <v>111</v>
      </c>
      <c r="E19" s="32" t="s">
        <v>111</v>
      </c>
      <c r="F19" s="32" t="s">
        <v>111</v>
      </c>
      <c r="G19" s="33" t="s">
        <v>111</v>
      </c>
      <c r="H19" s="33" t="s">
        <v>111</v>
      </c>
      <c r="I19" s="33" t="s">
        <v>111</v>
      </c>
      <c r="J19" s="33" t="s">
        <v>111</v>
      </c>
      <c r="K19" s="33" t="s">
        <v>111</v>
      </c>
      <c r="L19" s="33" t="s">
        <v>111</v>
      </c>
      <c r="M19" s="32" t="s">
        <v>111</v>
      </c>
      <c r="N19" s="32" t="s">
        <v>111</v>
      </c>
      <c r="O19" s="32" t="s">
        <v>111</v>
      </c>
      <c r="P19" s="32" t="s">
        <v>111</v>
      </c>
      <c r="Q19" s="32" t="s">
        <v>111</v>
      </c>
      <c r="R19" s="32" t="s">
        <v>111</v>
      </c>
      <c r="S19" s="32" t="s">
        <v>111</v>
      </c>
      <c r="T19" s="32" t="s">
        <v>111</v>
      </c>
      <c r="U19" s="32" t="s">
        <v>111</v>
      </c>
      <c r="V19" s="32" t="s">
        <v>111</v>
      </c>
      <c r="W19" s="32" t="s">
        <v>111</v>
      </c>
      <c r="X19" s="32" t="s">
        <v>111</v>
      </c>
      <c r="Y19" s="32" t="s">
        <v>111</v>
      </c>
      <c r="Z19" s="32" t="s">
        <v>111</v>
      </c>
      <c r="AA19" s="44" t="s">
        <v>111</v>
      </c>
      <c r="AB19" s="45" t="s">
        <v>111</v>
      </c>
      <c r="AC19" s="46" t="s">
        <v>111</v>
      </c>
      <c r="AD19" s="30"/>
      <c r="AG19" s="8"/>
    </row>
    <row r="20" spans="1:33">
      <c r="A20" s="30">
        <v>17</v>
      </c>
      <c r="B20" s="31" t="s">
        <v>130</v>
      </c>
      <c r="C20" s="6" t="s">
        <v>113</v>
      </c>
      <c r="D20" s="32" t="s">
        <v>111</v>
      </c>
      <c r="E20" s="32" t="s">
        <v>111</v>
      </c>
      <c r="F20" s="32" t="s">
        <v>111</v>
      </c>
      <c r="G20" s="33" t="s">
        <v>111</v>
      </c>
      <c r="H20" s="33" t="s">
        <v>111</v>
      </c>
      <c r="I20" s="33" t="s">
        <v>111</v>
      </c>
      <c r="J20" s="33" t="s">
        <v>111</v>
      </c>
      <c r="K20" s="33" t="s">
        <v>111</v>
      </c>
      <c r="L20" s="33" t="s">
        <v>111</v>
      </c>
      <c r="M20" s="32" t="s">
        <v>111</v>
      </c>
      <c r="N20" s="32" t="s">
        <v>111</v>
      </c>
      <c r="O20" s="32" t="s">
        <v>111</v>
      </c>
      <c r="P20" s="32" t="s">
        <v>111</v>
      </c>
      <c r="Q20" s="32" t="s">
        <v>111</v>
      </c>
      <c r="R20" s="32" t="s">
        <v>111</v>
      </c>
      <c r="S20" s="32" t="s">
        <v>111</v>
      </c>
      <c r="T20" s="32" t="s">
        <v>111</v>
      </c>
      <c r="U20" s="32" t="s">
        <v>111</v>
      </c>
      <c r="V20" s="32" t="s">
        <v>111</v>
      </c>
      <c r="W20" s="32" t="s">
        <v>111</v>
      </c>
      <c r="X20" s="32" t="s">
        <v>111</v>
      </c>
      <c r="Y20" s="32" t="s">
        <v>111</v>
      </c>
      <c r="Z20" s="32" t="s">
        <v>111</v>
      </c>
      <c r="AA20" s="44" t="s">
        <v>111</v>
      </c>
      <c r="AB20" s="45" t="s">
        <v>111</v>
      </c>
      <c r="AC20" s="46" t="s">
        <v>111</v>
      </c>
      <c r="AD20" s="30"/>
    </row>
    <row r="21" spans="1:33">
      <c r="A21" s="30">
        <v>18</v>
      </c>
      <c r="B21" s="47" t="s">
        <v>131</v>
      </c>
      <c r="C21" s="6" t="s">
        <v>108</v>
      </c>
      <c r="D21" s="32">
        <v>35</v>
      </c>
      <c r="E21" s="32">
        <v>125</v>
      </c>
      <c r="F21" s="32">
        <v>200</v>
      </c>
      <c r="G21" s="33">
        <v>6</v>
      </c>
      <c r="H21" s="33">
        <v>6</v>
      </c>
      <c r="I21" s="33">
        <v>5</v>
      </c>
      <c r="J21" s="33">
        <v>8</v>
      </c>
      <c r="K21" s="33">
        <v>6.7</v>
      </c>
      <c r="L21" s="33">
        <v>6.2</v>
      </c>
      <c r="M21" s="34">
        <v>19.399999999999999</v>
      </c>
      <c r="N21" s="34">
        <v>41.6</v>
      </c>
      <c r="O21" s="35">
        <f>0.25*M21</f>
        <v>4.8499999999999996</v>
      </c>
      <c r="P21" s="36">
        <f>0.5*M21</f>
        <v>9.6999999999999993</v>
      </c>
      <c r="Q21" s="37">
        <f>0.75*M21</f>
        <v>14.549999999999999</v>
      </c>
      <c r="R21" s="35">
        <f>IF(N21="---","---",0.125*SQRT(POWER(M21,2)+POWER(N21,2)))</f>
        <v>5.7376497801800346</v>
      </c>
      <c r="S21" s="36">
        <f>IF(N21="---","---",0.25*SQRT(POWER(M21,2)+POWER(N21,2)))</f>
        <v>11.475299560360069</v>
      </c>
      <c r="T21" s="37">
        <f>IF(N21="---","---",0.375*SQRT(POWER(M21,2)+POWER(N21,2)))</f>
        <v>17.212949340540103</v>
      </c>
      <c r="U21" s="35">
        <f t="shared" ref="U21:U26" si="21">IF($N21="---","---",$O21*1.65+$R21)</f>
        <v>13.740149780180033</v>
      </c>
      <c r="V21" s="36">
        <f t="shared" ref="V21:V26" si="22">IF($N21="---","---",$P21*1.65+$S21)</f>
        <v>27.480299560360066</v>
      </c>
      <c r="W21" s="37">
        <f t="shared" ref="W21:W26" si="23">IF($N21="---","---",$Q21*1.65+$T21)</f>
        <v>41.2204493405401</v>
      </c>
      <c r="X21" s="38">
        <f t="shared" si="9"/>
        <v>20</v>
      </c>
      <c r="Y21" s="38">
        <f t="shared" si="9"/>
        <v>17.987773625437917</v>
      </c>
      <c r="Z21" s="38">
        <f t="shared" si="9"/>
        <v>15.929846201391902</v>
      </c>
      <c r="AA21" s="39">
        <f t="shared" si="11"/>
        <v>15.025727935777354</v>
      </c>
      <c r="AB21" s="40">
        <f t="shared" si="11"/>
        <v>30.051455871554708</v>
      </c>
      <c r="AC21" s="41">
        <f t="shared" si="11"/>
        <v>45.077183807332062</v>
      </c>
      <c r="AD21" s="30"/>
    </row>
    <row r="22" spans="1:33">
      <c r="A22" s="30">
        <v>19</v>
      </c>
      <c r="B22" s="31" t="s">
        <v>132</v>
      </c>
      <c r="C22" s="48" t="s">
        <v>111</v>
      </c>
      <c r="D22" s="32" t="s">
        <v>111</v>
      </c>
      <c r="E22" s="32" t="s">
        <v>111</v>
      </c>
      <c r="F22" s="32" t="s">
        <v>111</v>
      </c>
      <c r="G22" s="33" t="s">
        <v>111</v>
      </c>
      <c r="H22" s="33" t="s">
        <v>111</v>
      </c>
      <c r="I22" s="33" t="s">
        <v>111</v>
      </c>
      <c r="J22" s="33" t="s">
        <v>111</v>
      </c>
      <c r="K22" s="33" t="s">
        <v>111</v>
      </c>
      <c r="L22" s="33" t="s">
        <v>111</v>
      </c>
      <c r="M22" s="34">
        <v>35</v>
      </c>
      <c r="N22" s="34">
        <v>35</v>
      </c>
      <c r="O22" s="35">
        <f>0.25*M22</f>
        <v>8.75</v>
      </c>
      <c r="P22" s="36">
        <f>0.5*M22</f>
        <v>17.5</v>
      </c>
      <c r="Q22" s="37">
        <f>0.75*M22</f>
        <v>26.25</v>
      </c>
      <c r="R22" s="35">
        <f>IF(N22="---","---",0.125*SQRT(POWER(M22,2)+POWER(N22,2)))</f>
        <v>6.1871843353822911</v>
      </c>
      <c r="S22" s="36">
        <f>IF(N22="---","---",0.25*SQRT(POWER(M22,2)+POWER(N22,2)))</f>
        <v>12.374368670764582</v>
      </c>
      <c r="T22" s="37">
        <f>IF(N22="---","---",0.375*SQRT(POWER(M22,2)+POWER(N22,2)))</f>
        <v>18.561553006146873</v>
      </c>
      <c r="U22" s="35">
        <f t="shared" si="21"/>
        <v>20.624684335382291</v>
      </c>
      <c r="V22" s="36">
        <f t="shared" si="22"/>
        <v>41.249368670764582</v>
      </c>
      <c r="W22" s="37">
        <f t="shared" si="23"/>
        <v>61.874053006146873</v>
      </c>
      <c r="X22" s="32" t="s">
        <v>111</v>
      </c>
      <c r="Y22" s="32" t="s">
        <v>111</v>
      </c>
      <c r="Z22" s="32" t="s">
        <v>111</v>
      </c>
      <c r="AA22" s="39">
        <f t="shared" si="11"/>
        <v>21.433035249352809</v>
      </c>
      <c r="AB22" s="40">
        <f t="shared" si="11"/>
        <v>42.866070498705618</v>
      </c>
      <c r="AC22" s="41">
        <f t="shared" si="11"/>
        <v>64.299105748058423</v>
      </c>
      <c r="AD22" s="30"/>
    </row>
    <row r="23" spans="1:33">
      <c r="A23" s="30">
        <v>20</v>
      </c>
      <c r="B23" s="47" t="s">
        <v>133</v>
      </c>
      <c r="C23" s="6" t="s">
        <v>105</v>
      </c>
      <c r="D23" s="32">
        <v>25</v>
      </c>
      <c r="E23" s="32">
        <v>40</v>
      </c>
      <c r="F23" s="32">
        <v>50</v>
      </c>
      <c r="G23" s="33">
        <v>6</v>
      </c>
      <c r="H23" s="33">
        <v>5</v>
      </c>
      <c r="I23" s="33">
        <v>4</v>
      </c>
      <c r="J23" s="33">
        <v>5.3</v>
      </c>
      <c r="K23" s="33">
        <v>6.2</v>
      </c>
      <c r="L23" s="33">
        <v>6.9</v>
      </c>
      <c r="M23" s="34">
        <v>3.2</v>
      </c>
      <c r="N23" s="49">
        <v>4.75</v>
      </c>
      <c r="O23" s="35">
        <f>0.25*M23</f>
        <v>0.8</v>
      </c>
      <c r="P23" s="36">
        <f>0.5*M23</f>
        <v>1.6</v>
      </c>
      <c r="Q23" s="37">
        <f>0.75*M23</f>
        <v>2.4000000000000004</v>
      </c>
      <c r="R23" s="35">
        <f>IF(N23="---","---",0.125*SQRT(POWER(M23,2)+POWER(N23,2)))</f>
        <v>0.71591833507740255</v>
      </c>
      <c r="S23" s="36">
        <f>IF(N23="---","---",0.25*SQRT(POWER(M23,2)+POWER(N23,2)))</f>
        <v>1.4318366701548051</v>
      </c>
      <c r="T23" s="37">
        <f>IF(N23="---","---",0.375*SQRT(POWER(M23,2)+POWER(N23,2)))</f>
        <v>2.1477550052322076</v>
      </c>
      <c r="U23" s="35">
        <f t="shared" si="21"/>
        <v>2.0359183350774028</v>
      </c>
      <c r="V23" s="36">
        <f t="shared" si="22"/>
        <v>4.0718366701548057</v>
      </c>
      <c r="W23" s="37">
        <f t="shared" si="23"/>
        <v>6.1077550052322085</v>
      </c>
      <c r="X23" s="38">
        <f t="shared" si="9"/>
        <v>16.011246047700347</v>
      </c>
      <c r="Y23" s="38">
        <f t="shared" si="9"/>
        <v>15.929846201391902</v>
      </c>
      <c r="Z23" s="38">
        <f t="shared" si="9"/>
        <v>15.951175505272332</v>
      </c>
      <c r="AA23" s="39">
        <f t="shared" si="11"/>
        <v>2.1471274414901416</v>
      </c>
      <c r="AB23" s="40">
        <f t="shared" si="11"/>
        <v>4.2942548829802831</v>
      </c>
      <c r="AC23" s="41">
        <f t="shared" si="11"/>
        <v>6.4413823244704247</v>
      </c>
      <c r="AD23" s="30"/>
    </row>
    <row r="24" spans="1:33">
      <c r="A24" s="30">
        <v>21</v>
      </c>
      <c r="B24" s="47" t="s">
        <v>134</v>
      </c>
      <c r="C24" s="6" t="s">
        <v>135</v>
      </c>
      <c r="D24" s="32" t="s">
        <v>111</v>
      </c>
      <c r="E24" s="32" t="s">
        <v>111</v>
      </c>
      <c r="F24" s="32" t="s">
        <v>111</v>
      </c>
      <c r="G24" s="32" t="s">
        <v>111</v>
      </c>
      <c r="H24" s="32" t="s">
        <v>111</v>
      </c>
      <c r="I24" s="32" t="s">
        <v>111</v>
      </c>
      <c r="J24" s="32" t="s">
        <v>111</v>
      </c>
      <c r="K24" s="32" t="s">
        <v>111</v>
      </c>
      <c r="L24" s="32" t="s">
        <v>111</v>
      </c>
      <c r="M24" s="34" t="s">
        <v>73</v>
      </c>
      <c r="N24" s="34" t="s">
        <v>73</v>
      </c>
      <c r="O24" s="32" t="s">
        <v>111</v>
      </c>
      <c r="P24" s="32" t="s">
        <v>111</v>
      </c>
      <c r="Q24" s="32" t="s">
        <v>111</v>
      </c>
      <c r="R24" s="32" t="s">
        <v>111</v>
      </c>
      <c r="S24" s="32" t="s">
        <v>111</v>
      </c>
      <c r="T24" s="32" t="s">
        <v>111</v>
      </c>
      <c r="U24" s="32" t="s">
        <v>111</v>
      </c>
      <c r="V24" s="32" t="s">
        <v>111</v>
      </c>
      <c r="W24" s="32" t="s">
        <v>111</v>
      </c>
      <c r="X24" s="32" t="s">
        <v>111</v>
      </c>
      <c r="Y24" s="32" t="s">
        <v>111</v>
      </c>
      <c r="Z24" s="32" t="s">
        <v>111</v>
      </c>
      <c r="AA24" s="44" t="s">
        <v>111</v>
      </c>
      <c r="AB24" s="45" t="s">
        <v>111</v>
      </c>
      <c r="AC24" s="46" t="s">
        <v>111</v>
      </c>
      <c r="AD24" s="30"/>
    </row>
    <row r="25" spans="1:33">
      <c r="A25" s="30">
        <v>22</v>
      </c>
      <c r="B25" s="50" t="s">
        <v>136</v>
      </c>
      <c r="C25" s="32" t="s">
        <v>105</v>
      </c>
      <c r="D25" s="32" t="s">
        <v>111</v>
      </c>
      <c r="E25" s="32" t="s">
        <v>111</v>
      </c>
      <c r="F25" s="32" t="s">
        <v>111</v>
      </c>
      <c r="G25" s="32" t="s">
        <v>111</v>
      </c>
      <c r="H25" s="32" t="s">
        <v>111</v>
      </c>
      <c r="I25" s="32" t="s">
        <v>111</v>
      </c>
      <c r="J25" s="32" t="s">
        <v>111</v>
      </c>
      <c r="K25" s="32" t="s">
        <v>111</v>
      </c>
      <c r="L25" s="32" t="s">
        <v>111</v>
      </c>
      <c r="M25" s="34">
        <v>11.4</v>
      </c>
      <c r="N25" s="34">
        <v>22.6</v>
      </c>
      <c r="O25" s="35">
        <f>0.25*M25</f>
        <v>2.85</v>
      </c>
      <c r="P25" s="36">
        <f>0.5*M25</f>
        <v>5.7</v>
      </c>
      <c r="Q25" s="37">
        <f>0.75*M25</f>
        <v>8.5500000000000007</v>
      </c>
      <c r="R25" s="35">
        <f>IF(N25="---","---",0.125*SQRT(POWER(M25,2)+POWER(N25,2)))</f>
        <v>3.164055941351227</v>
      </c>
      <c r="S25" s="36">
        <f>IF(N25="---","---",0.25*SQRT(POWER(M25,2)+POWER(N25,2)))</f>
        <v>6.3281118827024541</v>
      </c>
      <c r="T25" s="37">
        <f>IF(N25="---","---",0.375*SQRT(POWER(M25,2)+POWER(N25,2)))</f>
        <v>9.4921678240536806</v>
      </c>
      <c r="U25" s="35">
        <f t="shared" si="21"/>
        <v>7.8665559413512263</v>
      </c>
      <c r="V25" s="36">
        <f t="shared" si="22"/>
        <v>15.733111882702453</v>
      </c>
      <c r="W25" s="37">
        <f t="shared" si="23"/>
        <v>23.599667824053682</v>
      </c>
      <c r="X25" s="32" t="s">
        <v>111</v>
      </c>
      <c r="Y25" s="32" t="s">
        <v>111</v>
      </c>
      <c r="Z25" s="32" t="s">
        <v>111</v>
      </c>
      <c r="AA25" s="39">
        <f t="shared" si="11"/>
        <v>8.5167482057414379</v>
      </c>
      <c r="AB25" s="40">
        <f t="shared" si="11"/>
        <v>17.033496411482876</v>
      </c>
      <c r="AC25" s="41">
        <f t="shared" si="11"/>
        <v>25.550244617224315</v>
      </c>
      <c r="AD25" s="30"/>
    </row>
    <row r="26" spans="1:33">
      <c r="A26" s="30">
        <v>23</v>
      </c>
      <c r="B26" s="51" t="s">
        <v>137</v>
      </c>
      <c r="C26" s="32" t="s">
        <v>105</v>
      </c>
      <c r="D26" s="32" t="s">
        <v>111</v>
      </c>
      <c r="E26" s="32" t="s">
        <v>111</v>
      </c>
      <c r="F26" s="32" t="s">
        <v>111</v>
      </c>
      <c r="G26" s="32" t="s">
        <v>111</v>
      </c>
      <c r="H26" s="32" t="s">
        <v>111</v>
      </c>
      <c r="I26" s="32" t="s">
        <v>111</v>
      </c>
      <c r="J26" s="32" t="s">
        <v>111</v>
      </c>
      <c r="K26" s="32" t="s">
        <v>111</v>
      </c>
      <c r="L26" s="32" t="s">
        <v>111</v>
      </c>
      <c r="M26" s="34">
        <v>10.3</v>
      </c>
      <c r="N26" s="34">
        <v>12.7</v>
      </c>
      <c r="O26" s="35">
        <f>0.25*M26</f>
        <v>2.5750000000000002</v>
      </c>
      <c r="P26" s="36">
        <f>0.5*M26</f>
        <v>5.15</v>
      </c>
      <c r="Q26" s="37">
        <f>0.75*M26</f>
        <v>7.7250000000000005</v>
      </c>
      <c r="R26" s="35">
        <f>IF(N26="---","---",0.125*SQRT(POWER(M26,2)+POWER(N26,2)))</f>
        <v>2.0439697894049216</v>
      </c>
      <c r="S26" s="36">
        <f>IF(N26="---","---",0.25*SQRT(POWER(M26,2)+POWER(N26,2)))</f>
        <v>4.0879395788098432</v>
      </c>
      <c r="T26" s="37">
        <f>IF(N26="---","---",0.375*SQRT(POWER(M26,2)+POWER(N26,2)))</f>
        <v>6.1319093682147647</v>
      </c>
      <c r="U26" s="35">
        <f t="shared" si="21"/>
        <v>6.2927197894049218</v>
      </c>
      <c r="V26" s="36">
        <f t="shared" si="22"/>
        <v>12.585439578809844</v>
      </c>
      <c r="W26" s="37">
        <f t="shared" si="23"/>
        <v>18.878159368214764</v>
      </c>
      <c r="X26" s="32" t="s">
        <v>111</v>
      </c>
      <c r="Y26" s="32" t="s">
        <v>111</v>
      </c>
      <c r="Z26" s="32" t="s">
        <v>111</v>
      </c>
      <c r="AA26" s="39">
        <f t="shared" si="11"/>
        <v>6.5752376382911057</v>
      </c>
      <c r="AB26" s="40">
        <f t="shared" si="11"/>
        <v>13.150475276582211</v>
      </c>
      <c r="AC26" s="41">
        <f t="shared" si="11"/>
        <v>19.725712914873316</v>
      </c>
      <c r="AD26" s="30"/>
    </row>
    <row r="27" spans="1:33">
      <c r="A27" s="30">
        <v>24</v>
      </c>
      <c r="B27" s="47" t="s">
        <v>138</v>
      </c>
      <c r="C27" s="6" t="s">
        <v>139</v>
      </c>
      <c r="D27" s="32">
        <v>11</v>
      </c>
      <c r="E27" s="32">
        <v>30</v>
      </c>
      <c r="F27" s="32">
        <v>40</v>
      </c>
      <c r="G27" s="33">
        <v>10</v>
      </c>
      <c r="H27" s="33">
        <v>8</v>
      </c>
      <c r="I27" s="33">
        <v>8</v>
      </c>
      <c r="J27" s="33">
        <v>11.2</v>
      </c>
      <c r="K27" s="33">
        <v>8.9</v>
      </c>
      <c r="L27" s="33">
        <v>8.9</v>
      </c>
      <c r="M27" s="34" t="s">
        <v>73</v>
      </c>
      <c r="N27" s="34" t="s">
        <v>73</v>
      </c>
      <c r="O27" s="32" t="s">
        <v>111</v>
      </c>
      <c r="P27" s="32" t="s">
        <v>111</v>
      </c>
      <c r="Q27" s="32" t="s">
        <v>111</v>
      </c>
      <c r="R27" s="32" t="s">
        <v>111</v>
      </c>
      <c r="S27" s="32" t="s">
        <v>111</v>
      </c>
      <c r="T27" s="32" t="s">
        <v>111</v>
      </c>
      <c r="U27" s="32" t="s">
        <v>111</v>
      </c>
      <c r="V27" s="32" t="s">
        <v>111</v>
      </c>
      <c r="W27" s="32" t="s">
        <v>111</v>
      </c>
      <c r="X27" s="38">
        <f t="shared" si="9"/>
        <v>30.029319006597536</v>
      </c>
      <c r="Y27" s="38">
        <f t="shared" si="9"/>
        <v>23.934076125892137</v>
      </c>
      <c r="Z27" s="38">
        <f t="shared" si="9"/>
        <v>23.934076125892137</v>
      </c>
      <c r="AA27" s="44" t="s">
        <v>111</v>
      </c>
      <c r="AB27" s="45" t="s">
        <v>111</v>
      </c>
      <c r="AC27" s="46" t="s">
        <v>111</v>
      </c>
      <c r="AD27" s="30"/>
    </row>
    <row r="28" spans="1:33">
      <c r="A28" s="30">
        <v>25</v>
      </c>
      <c r="B28" s="31" t="s">
        <v>140</v>
      </c>
      <c r="C28" s="6" t="s">
        <v>123</v>
      </c>
      <c r="D28" s="32">
        <v>75</v>
      </c>
      <c r="E28" s="32">
        <v>150</v>
      </c>
      <c r="F28" s="32">
        <v>200</v>
      </c>
      <c r="G28" s="32">
        <v>7</v>
      </c>
      <c r="H28" s="32">
        <v>6</v>
      </c>
      <c r="I28" s="32">
        <v>5</v>
      </c>
      <c r="J28" s="32">
        <v>7.1</v>
      </c>
      <c r="K28" s="32">
        <v>6.7</v>
      </c>
      <c r="L28" s="32">
        <v>6.2</v>
      </c>
      <c r="M28" s="34" t="s">
        <v>73</v>
      </c>
      <c r="N28" s="34" t="s">
        <v>73</v>
      </c>
      <c r="O28" s="32" t="s">
        <v>111</v>
      </c>
      <c r="P28" s="32" t="s">
        <v>111</v>
      </c>
      <c r="Q28" s="32" t="s">
        <v>111</v>
      </c>
      <c r="R28" s="32" t="s">
        <v>111</v>
      </c>
      <c r="S28" s="32" t="s">
        <v>111</v>
      </c>
      <c r="T28" s="32" t="s">
        <v>111</v>
      </c>
      <c r="U28" s="32" t="s">
        <v>111</v>
      </c>
      <c r="V28" s="32" t="s">
        <v>111</v>
      </c>
      <c r="W28" s="32" t="s">
        <v>111</v>
      </c>
      <c r="X28" s="38">
        <f t="shared" si="9"/>
        <v>19.940912717325652</v>
      </c>
      <c r="Y28" s="38">
        <f t="shared" si="9"/>
        <v>17.987773625437917</v>
      </c>
      <c r="Z28" s="38">
        <f t="shared" si="9"/>
        <v>15.929846201391902</v>
      </c>
      <c r="AA28" s="44" t="s">
        <v>111</v>
      </c>
      <c r="AB28" s="45" t="s">
        <v>111</v>
      </c>
      <c r="AC28" s="46" t="s">
        <v>111</v>
      </c>
      <c r="AD28" s="30"/>
    </row>
    <row r="29" spans="1:33">
      <c r="A29" s="30">
        <v>26</v>
      </c>
      <c r="B29" s="31" t="s">
        <v>141</v>
      </c>
      <c r="C29" s="6" t="s">
        <v>142</v>
      </c>
      <c r="D29" s="32" t="s">
        <v>111</v>
      </c>
      <c r="E29" s="32" t="s">
        <v>111</v>
      </c>
      <c r="F29" s="32" t="s">
        <v>111</v>
      </c>
      <c r="G29" s="32" t="s">
        <v>111</v>
      </c>
      <c r="H29" s="32" t="s">
        <v>111</v>
      </c>
      <c r="I29" s="32" t="s">
        <v>111</v>
      </c>
      <c r="J29" s="32" t="s">
        <v>111</v>
      </c>
      <c r="K29" s="32" t="s">
        <v>111</v>
      </c>
      <c r="L29" s="32" t="s">
        <v>111</v>
      </c>
      <c r="M29" s="34" t="s">
        <v>73</v>
      </c>
      <c r="N29" s="34" t="s">
        <v>73</v>
      </c>
      <c r="O29" s="32" t="s">
        <v>111</v>
      </c>
      <c r="P29" s="32" t="s">
        <v>111</v>
      </c>
      <c r="Q29" s="32" t="s">
        <v>111</v>
      </c>
      <c r="R29" s="32" t="s">
        <v>111</v>
      </c>
      <c r="S29" s="32" t="s">
        <v>111</v>
      </c>
      <c r="T29" s="32" t="s">
        <v>111</v>
      </c>
      <c r="U29" s="32" t="s">
        <v>111</v>
      </c>
      <c r="V29" s="32" t="s">
        <v>111</v>
      </c>
      <c r="W29" s="32" t="s">
        <v>111</v>
      </c>
      <c r="X29" s="32" t="s">
        <v>111</v>
      </c>
      <c r="Y29" s="32" t="s">
        <v>111</v>
      </c>
      <c r="Z29" s="32" t="s">
        <v>111</v>
      </c>
      <c r="AA29" s="44" t="s">
        <v>111</v>
      </c>
      <c r="AB29" s="45" t="s">
        <v>111</v>
      </c>
      <c r="AC29" s="46" t="s">
        <v>111</v>
      </c>
      <c r="AD29" s="30"/>
    </row>
    <row r="30" spans="1:33">
      <c r="A30" s="30">
        <v>27</v>
      </c>
      <c r="B30" s="47" t="s">
        <v>143</v>
      </c>
      <c r="C30" s="48" t="s">
        <v>111</v>
      </c>
      <c r="D30" s="32" t="s">
        <v>111</v>
      </c>
      <c r="E30" s="32" t="s">
        <v>111</v>
      </c>
      <c r="F30" s="32" t="s">
        <v>111</v>
      </c>
      <c r="G30" s="32" t="s">
        <v>111</v>
      </c>
      <c r="H30" s="32" t="s">
        <v>111</v>
      </c>
      <c r="I30" s="32" t="s">
        <v>111</v>
      </c>
      <c r="J30" s="32" t="s">
        <v>111</v>
      </c>
      <c r="K30" s="32" t="s">
        <v>111</v>
      </c>
      <c r="L30" s="32" t="s">
        <v>111</v>
      </c>
      <c r="M30" s="34">
        <v>8.5</v>
      </c>
      <c r="N30" s="34">
        <v>82</v>
      </c>
      <c r="O30" s="35">
        <f t="shared" ref="O30:O34" si="24">0.25*M30</f>
        <v>2.125</v>
      </c>
      <c r="P30" s="36">
        <f t="shared" ref="P30:P34" si="25">0.5*M30</f>
        <v>4.25</v>
      </c>
      <c r="Q30" s="37">
        <f t="shared" ref="Q30:Q34" si="26">0.75*M30</f>
        <v>6.375</v>
      </c>
      <c r="R30" s="35">
        <f t="shared" ref="R30:R34" si="27">IF(N30="---","---",0.125*SQRT(POWER(M30,2)+POWER(N30,2)))</f>
        <v>10.304921457730767</v>
      </c>
      <c r="S30" s="36">
        <f t="shared" ref="S30:S34" si="28">IF(N30="---","---",0.25*SQRT(POWER(M30,2)+POWER(N30,2)))</f>
        <v>20.609842915461535</v>
      </c>
      <c r="T30" s="37">
        <f t="shared" ref="T30:T34" si="29">IF(N30="---","---",0.375*SQRT(POWER(M30,2)+POWER(N30,2)))</f>
        <v>30.914764373192302</v>
      </c>
      <c r="U30" s="35">
        <f t="shared" ref="U30:U34" si="30">IF($N30="---","---",$O30*1.65+$R30)</f>
        <v>13.811171457730767</v>
      </c>
      <c r="V30" s="36">
        <f t="shared" ref="V30:V34" si="31">IF($N30="---","---",$P30*1.65+$S30)</f>
        <v>27.622342915461534</v>
      </c>
      <c r="W30" s="37">
        <f t="shared" ref="W30:W34" si="32">IF($N30="---","---",$Q30*1.65+$T30)</f>
        <v>41.433514373192303</v>
      </c>
      <c r="X30" s="32" t="s">
        <v>111</v>
      </c>
      <c r="Y30" s="32" t="s">
        <v>111</v>
      </c>
      <c r="Z30" s="32" t="s">
        <v>111</v>
      </c>
      <c r="AA30" s="39">
        <f t="shared" si="11"/>
        <v>21.043481769897301</v>
      </c>
      <c r="AB30" s="40">
        <f t="shared" si="11"/>
        <v>42.086963539794603</v>
      </c>
      <c r="AC30" s="41">
        <f t="shared" si="11"/>
        <v>63.1304453096919</v>
      </c>
      <c r="AD30" s="30"/>
    </row>
    <row r="31" spans="1:33">
      <c r="A31" s="30">
        <v>28</v>
      </c>
      <c r="B31" s="47" t="s">
        <v>144</v>
      </c>
      <c r="C31" s="48" t="s">
        <v>111</v>
      </c>
      <c r="D31" s="32" t="s">
        <v>111</v>
      </c>
      <c r="E31" s="32" t="s">
        <v>111</v>
      </c>
      <c r="F31" s="32" t="s">
        <v>111</v>
      </c>
      <c r="G31" s="32" t="s">
        <v>111</v>
      </c>
      <c r="H31" s="32" t="s">
        <v>111</v>
      </c>
      <c r="I31" s="32" t="s">
        <v>111</v>
      </c>
      <c r="J31" s="32" t="s">
        <v>111</v>
      </c>
      <c r="K31" s="32" t="s">
        <v>111</v>
      </c>
      <c r="L31" s="32" t="s">
        <v>111</v>
      </c>
      <c r="M31" s="34">
        <v>11.3</v>
      </c>
      <c r="N31" s="34">
        <v>147</v>
      </c>
      <c r="O31" s="35">
        <f t="shared" si="24"/>
        <v>2.8250000000000002</v>
      </c>
      <c r="P31" s="36">
        <f t="shared" si="25"/>
        <v>5.65</v>
      </c>
      <c r="Q31" s="37">
        <f t="shared" si="26"/>
        <v>8.4750000000000014</v>
      </c>
      <c r="R31" s="35">
        <f t="shared" si="27"/>
        <v>18.429210000702689</v>
      </c>
      <c r="S31" s="36">
        <f t="shared" si="28"/>
        <v>36.858420001405378</v>
      </c>
      <c r="T31" s="37">
        <f t="shared" si="29"/>
        <v>55.287630002108067</v>
      </c>
      <c r="U31" s="35">
        <f t="shared" si="30"/>
        <v>23.090460000702688</v>
      </c>
      <c r="V31" s="36">
        <f t="shared" si="31"/>
        <v>46.180920001405376</v>
      </c>
      <c r="W31" s="37">
        <f t="shared" si="32"/>
        <v>69.271380002108074</v>
      </c>
      <c r="X31" s="32" t="s">
        <v>111</v>
      </c>
      <c r="Y31" s="32" t="s">
        <v>111</v>
      </c>
      <c r="Z31" s="32" t="s">
        <v>111</v>
      </c>
      <c r="AA31" s="39">
        <f t="shared" si="11"/>
        <v>37.288947759356255</v>
      </c>
      <c r="AB31" s="40">
        <f t="shared" si="11"/>
        <v>74.577895518712509</v>
      </c>
      <c r="AC31" s="41">
        <f t="shared" si="11"/>
        <v>111.86684327806877</v>
      </c>
      <c r="AD31" s="30"/>
    </row>
    <row r="32" spans="1:33" ht="15" customHeight="1">
      <c r="A32" s="30">
        <v>29</v>
      </c>
      <c r="B32" s="47" t="s">
        <v>145</v>
      </c>
      <c r="C32" s="6" t="s">
        <v>105</v>
      </c>
      <c r="D32" s="32">
        <v>1</v>
      </c>
      <c r="E32" s="32">
        <v>1.75</v>
      </c>
      <c r="F32" s="32">
        <v>2</v>
      </c>
      <c r="G32" s="33">
        <v>8</v>
      </c>
      <c r="H32" s="33">
        <v>6</v>
      </c>
      <c r="I32" s="33">
        <v>5</v>
      </c>
      <c r="J32" s="33">
        <v>12.7</v>
      </c>
      <c r="K32" s="33">
        <v>10.4</v>
      </c>
      <c r="L32" s="33">
        <v>10.9</v>
      </c>
      <c r="M32" s="34">
        <v>6.5</v>
      </c>
      <c r="N32" s="34">
        <v>13.4</v>
      </c>
      <c r="O32" s="35">
        <f t="shared" si="24"/>
        <v>1.625</v>
      </c>
      <c r="P32" s="36">
        <f t="shared" si="25"/>
        <v>3.25</v>
      </c>
      <c r="Q32" s="37">
        <f t="shared" si="26"/>
        <v>4.875</v>
      </c>
      <c r="R32" s="35">
        <f t="shared" si="27"/>
        <v>1.8616608848015259</v>
      </c>
      <c r="S32" s="36">
        <f t="shared" si="28"/>
        <v>3.7233217696030518</v>
      </c>
      <c r="T32" s="37">
        <f t="shared" si="29"/>
        <v>5.5849826544045778</v>
      </c>
      <c r="U32" s="35">
        <f t="shared" si="30"/>
        <v>4.5429108848015254</v>
      </c>
      <c r="V32" s="36">
        <f t="shared" si="31"/>
        <v>9.0858217696030508</v>
      </c>
      <c r="W32" s="37">
        <f t="shared" si="32"/>
        <v>13.628732654404576</v>
      </c>
      <c r="X32" s="38">
        <f t="shared" si="9"/>
        <v>30.019327107715121</v>
      </c>
      <c r="Y32" s="38">
        <f t="shared" si="9"/>
        <v>24.013329631685817</v>
      </c>
      <c r="Z32" s="38">
        <f t="shared" si="9"/>
        <v>23.984161440417299</v>
      </c>
      <c r="AA32" s="39">
        <f t="shared" si="11"/>
        <v>4.9422287482470901</v>
      </c>
      <c r="AB32" s="40">
        <f t="shared" si="11"/>
        <v>9.8844574964941803</v>
      </c>
      <c r="AC32" s="41">
        <f t="shared" si="11"/>
        <v>14.826686244741271</v>
      </c>
      <c r="AD32" s="30"/>
    </row>
    <row r="33" spans="1:30">
      <c r="A33" s="30">
        <v>30</v>
      </c>
      <c r="B33" s="52" t="s">
        <v>146</v>
      </c>
      <c r="C33" s="6" t="s">
        <v>105</v>
      </c>
      <c r="D33" s="32">
        <v>1</v>
      </c>
      <c r="E33" s="32">
        <v>2</v>
      </c>
      <c r="F33" s="32">
        <v>2.5</v>
      </c>
      <c r="G33" s="33">
        <v>9</v>
      </c>
      <c r="H33" s="33">
        <v>7</v>
      </c>
      <c r="I33" s="33">
        <v>6</v>
      </c>
      <c r="J33" s="33">
        <v>12</v>
      </c>
      <c r="K33" s="33">
        <v>9.6999999999999993</v>
      </c>
      <c r="L33" s="33">
        <v>10.4</v>
      </c>
      <c r="M33" s="34">
        <v>6.9</v>
      </c>
      <c r="N33" s="34">
        <v>22.8</v>
      </c>
      <c r="O33" s="35">
        <f t="shared" si="24"/>
        <v>1.7250000000000001</v>
      </c>
      <c r="P33" s="36">
        <f t="shared" si="25"/>
        <v>3.45</v>
      </c>
      <c r="Q33" s="37">
        <f t="shared" si="26"/>
        <v>5.1750000000000007</v>
      </c>
      <c r="R33" s="35">
        <f t="shared" si="27"/>
        <v>2.9776511296657975</v>
      </c>
      <c r="S33" s="36">
        <f t="shared" si="28"/>
        <v>5.955302259331595</v>
      </c>
      <c r="T33" s="37">
        <f t="shared" si="29"/>
        <v>8.932953388997392</v>
      </c>
      <c r="U33" s="35">
        <f t="shared" si="30"/>
        <v>5.8239011296657974</v>
      </c>
      <c r="V33" s="36">
        <f t="shared" si="31"/>
        <v>11.647802259331595</v>
      </c>
      <c r="W33" s="37">
        <f t="shared" si="32"/>
        <v>17.471703388997391</v>
      </c>
      <c r="X33" s="38">
        <f t="shared" si="9"/>
        <v>30</v>
      </c>
      <c r="Y33" s="38">
        <f t="shared" si="9"/>
        <v>23.924046480476498</v>
      </c>
      <c r="Z33" s="38">
        <f t="shared" si="9"/>
        <v>24.013329631685817</v>
      </c>
      <c r="AA33" s="39">
        <f t="shared" si="11"/>
        <v>6.8824505083581968</v>
      </c>
      <c r="AB33" s="40">
        <f t="shared" si="11"/>
        <v>13.764901016716394</v>
      </c>
      <c r="AC33" s="41">
        <f t="shared" si="11"/>
        <v>20.64735152507459</v>
      </c>
      <c r="AD33" s="30"/>
    </row>
    <row r="34" spans="1:30">
      <c r="A34" s="30">
        <v>31</v>
      </c>
      <c r="B34" s="47" t="s">
        <v>147</v>
      </c>
      <c r="C34" s="6" t="s">
        <v>108</v>
      </c>
      <c r="D34" s="32">
        <v>35</v>
      </c>
      <c r="E34" s="32">
        <v>125</v>
      </c>
      <c r="F34" s="32">
        <v>200</v>
      </c>
      <c r="G34" s="33">
        <v>6</v>
      </c>
      <c r="H34" s="33">
        <v>6</v>
      </c>
      <c r="I34" s="33">
        <v>5</v>
      </c>
      <c r="J34" s="33">
        <v>8</v>
      </c>
      <c r="K34" s="33">
        <v>6.7</v>
      </c>
      <c r="L34" s="33">
        <v>6.2</v>
      </c>
      <c r="M34" s="34">
        <v>12.3</v>
      </c>
      <c r="N34" s="34">
        <v>23.1</v>
      </c>
      <c r="O34" s="35">
        <f t="shared" si="24"/>
        <v>3.0750000000000002</v>
      </c>
      <c r="P34" s="36">
        <f t="shared" si="25"/>
        <v>6.15</v>
      </c>
      <c r="Q34" s="37">
        <f t="shared" si="26"/>
        <v>9.2250000000000014</v>
      </c>
      <c r="R34" s="35">
        <f t="shared" si="27"/>
        <v>3.2713242731346583</v>
      </c>
      <c r="S34" s="36">
        <f t="shared" si="28"/>
        <v>6.5426485462693167</v>
      </c>
      <c r="T34" s="37">
        <f t="shared" si="29"/>
        <v>9.8139728194039755</v>
      </c>
      <c r="U34" s="35">
        <f t="shared" si="30"/>
        <v>8.3450742731346583</v>
      </c>
      <c r="V34" s="36">
        <f t="shared" si="31"/>
        <v>16.690148546269317</v>
      </c>
      <c r="W34" s="37">
        <f t="shared" si="32"/>
        <v>25.035222819403977</v>
      </c>
      <c r="X34" s="38">
        <f t="shared" si="9"/>
        <v>20</v>
      </c>
      <c r="Y34" s="38">
        <f t="shared" si="9"/>
        <v>17.987773625437917</v>
      </c>
      <c r="Z34" s="38">
        <f t="shared" si="9"/>
        <v>15.929846201391902</v>
      </c>
      <c r="AA34" s="39">
        <f t="shared" si="11"/>
        <v>8.9793513128733302</v>
      </c>
      <c r="AB34" s="40">
        <f t="shared" si="11"/>
        <v>17.95870262574666</v>
      </c>
      <c r="AC34" s="41">
        <f t="shared" si="11"/>
        <v>26.938053938619994</v>
      </c>
      <c r="AD34" s="30"/>
    </row>
    <row r="35" spans="1:30" ht="15" customHeight="1">
      <c r="A35" s="30">
        <v>32</v>
      </c>
      <c r="B35" s="47" t="s">
        <v>148</v>
      </c>
      <c r="C35" s="6" t="s">
        <v>149</v>
      </c>
      <c r="D35" s="32" t="s">
        <v>111</v>
      </c>
      <c r="E35" s="32" t="s">
        <v>111</v>
      </c>
      <c r="F35" s="32" t="s">
        <v>111</v>
      </c>
      <c r="G35" s="32" t="s">
        <v>111</v>
      </c>
      <c r="H35" s="32" t="s">
        <v>111</v>
      </c>
      <c r="I35" s="32" t="s">
        <v>111</v>
      </c>
      <c r="J35" s="32" t="s">
        <v>111</v>
      </c>
      <c r="K35" s="32" t="s">
        <v>111</v>
      </c>
      <c r="L35" s="32" t="s">
        <v>111</v>
      </c>
      <c r="M35" s="34"/>
      <c r="N35" s="34"/>
      <c r="O35" s="32" t="s">
        <v>111</v>
      </c>
      <c r="P35" s="32" t="s">
        <v>111</v>
      </c>
      <c r="Q35" s="32" t="s">
        <v>111</v>
      </c>
      <c r="R35" s="32" t="s">
        <v>111</v>
      </c>
      <c r="S35" s="32" t="s">
        <v>111</v>
      </c>
      <c r="T35" s="32" t="s">
        <v>111</v>
      </c>
      <c r="U35" s="32" t="s">
        <v>111</v>
      </c>
      <c r="V35" s="32" t="s">
        <v>111</v>
      </c>
      <c r="W35" s="32" t="s">
        <v>111</v>
      </c>
      <c r="X35" s="32" t="s">
        <v>111</v>
      </c>
      <c r="Y35" s="32" t="s">
        <v>111</v>
      </c>
      <c r="Z35" s="32" t="s">
        <v>111</v>
      </c>
      <c r="AA35" s="44" t="s">
        <v>111</v>
      </c>
      <c r="AB35" s="45" t="s">
        <v>111</v>
      </c>
      <c r="AC35" s="46" t="s">
        <v>111</v>
      </c>
      <c r="AD35" s="30"/>
    </row>
    <row r="36" spans="1:30">
      <c r="A36" s="30">
        <v>33</v>
      </c>
      <c r="B36" s="31" t="s">
        <v>150</v>
      </c>
      <c r="C36" s="6" t="s">
        <v>34</v>
      </c>
      <c r="D36" s="32" t="s">
        <v>111</v>
      </c>
      <c r="E36" s="32" t="s">
        <v>111</v>
      </c>
      <c r="F36" s="32" t="s">
        <v>111</v>
      </c>
      <c r="G36" s="32" t="s">
        <v>111</v>
      </c>
      <c r="H36" s="32" t="s">
        <v>111</v>
      </c>
      <c r="I36" s="32" t="s">
        <v>111</v>
      </c>
      <c r="J36" s="32" t="s">
        <v>111</v>
      </c>
      <c r="K36" s="32" t="s">
        <v>111</v>
      </c>
      <c r="L36" s="32" t="s">
        <v>111</v>
      </c>
      <c r="M36" s="34">
        <v>5.2</v>
      </c>
      <c r="N36" s="34">
        <v>15.3</v>
      </c>
      <c r="O36" s="35">
        <f>0.25*M36</f>
        <v>1.3</v>
      </c>
      <c r="P36" s="36">
        <f>0.5*M36</f>
        <v>2.6</v>
      </c>
      <c r="Q36" s="37">
        <f>0.75*M36</f>
        <v>3.9000000000000004</v>
      </c>
      <c r="R36" s="35">
        <f>IF(N36="---","---",0.125*SQRT(POWER(M36,2)+POWER(N36,2)))</f>
        <v>2.019939664940515</v>
      </c>
      <c r="S36" s="36">
        <f>IF(N36="---","---",0.25*SQRT(POWER(M36,2)+POWER(N36,2)))</f>
        <v>4.03987932988103</v>
      </c>
      <c r="T36" s="37">
        <f>IF(N36="---","---",0.375*SQRT(POWER(M36,2)+POWER(N36,2)))</f>
        <v>6.0598189948215451</v>
      </c>
      <c r="U36" s="35">
        <f t="shared" ref="U36:U61" si="33">IF($N36="---","---",$O36*1.65+$R36)</f>
        <v>4.1649396649405155</v>
      </c>
      <c r="V36" s="36">
        <f t="shared" ref="V36:V61" si="34">IF($N36="---","---",$P36*1.65+$S36)</f>
        <v>8.329879329881031</v>
      </c>
      <c r="W36" s="37">
        <f t="shared" ref="W36:W61" si="35">IF($N36="---","---",$Q36*1.65+$T36)</f>
        <v>12.494818994821546</v>
      </c>
      <c r="X36" s="32" t="s">
        <v>111</v>
      </c>
      <c r="Y36" s="32" t="s">
        <v>111</v>
      </c>
      <c r="Z36" s="32" t="s">
        <v>111</v>
      </c>
      <c r="AA36" s="39">
        <f t="shared" si="11"/>
        <v>4.804229907071476</v>
      </c>
      <c r="AB36" s="40">
        <f t="shared" si="11"/>
        <v>9.608459814142952</v>
      </c>
      <c r="AC36" s="41">
        <f t="shared" si="11"/>
        <v>14.412689721214427</v>
      </c>
      <c r="AD36" s="30"/>
    </row>
    <row r="37" spans="1:30">
      <c r="A37" s="30">
        <v>34</v>
      </c>
      <c r="B37" s="53" t="s">
        <v>151</v>
      </c>
      <c r="C37" s="6" t="s">
        <v>152</v>
      </c>
      <c r="D37" s="32" t="s">
        <v>111</v>
      </c>
      <c r="E37" s="32" t="s">
        <v>111</v>
      </c>
      <c r="F37" s="32" t="s">
        <v>111</v>
      </c>
      <c r="G37" s="32" t="s">
        <v>111</v>
      </c>
      <c r="H37" s="32" t="s">
        <v>111</v>
      </c>
      <c r="I37" s="32" t="s">
        <v>111</v>
      </c>
      <c r="J37" s="32" t="s">
        <v>111</v>
      </c>
      <c r="K37" s="32" t="s">
        <v>111</v>
      </c>
      <c r="L37" s="32" t="s">
        <v>111</v>
      </c>
      <c r="M37" s="32" t="s">
        <v>111</v>
      </c>
      <c r="N37" s="32" t="s">
        <v>111</v>
      </c>
      <c r="O37" s="32" t="s">
        <v>111</v>
      </c>
      <c r="P37" s="32" t="s">
        <v>111</v>
      </c>
      <c r="Q37" s="32" t="s">
        <v>111</v>
      </c>
      <c r="R37" s="32" t="s">
        <v>111</v>
      </c>
      <c r="S37" s="32" t="s">
        <v>111</v>
      </c>
      <c r="T37" s="32" t="s">
        <v>111</v>
      </c>
      <c r="U37" s="54" t="s">
        <v>111</v>
      </c>
      <c r="V37" s="54" t="s">
        <v>111</v>
      </c>
      <c r="W37" s="54" t="s">
        <v>111</v>
      </c>
      <c r="X37" s="32" t="s">
        <v>111</v>
      </c>
      <c r="Y37" s="32" t="s">
        <v>111</v>
      </c>
      <c r="Z37" s="32" t="s">
        <v>111</v>
      </c>
      <c r="AA37" s="44" t="s">
        <v>111</v>
      </c>
      <c r="AB37" s="45" t="s">
        <v>111</v>
      </c>
      <c r="AC37" s="46" t="s">
        <v>111</v>
      </c>
      <c r="AD37" s="30"/>
    </row>
    <row r="38" spans="1:30">
      <c r="A38" s="30">
        <v>35</v>
      </c>
      <c r="B38" s="47" t="s">
        <v>153</v>
      </c>
      <c r="C38" s="6" t="s">
        <v>139</v>
      </c>
      <c r="D38" s="32">
        <v>6</v>
      </c>
      <c r="E38" s="32">
        <v>17.5</v>
      </c>
      <c r="F38" s="32">
        <v>25</v>
      </c>
      <c r="G38" s="33">
        <v>8</v>
      </c>
      <c r="H38" s="33">
        <v>7</v>
      </c>
      <c r="I38" s="33">
        <v>7</v>
      </c>
      <c r="J38" s="33">
        <v>8.9</v>
      </c>
      <c r="K38" s="33">
        <v>7.1</v>
      </c>
      <c r="L38" s="33">
        <v>7.1</v>
      </c>
      <c r="M38" s="34">
        <v>5.9</v>
      </c>
      <c r="N38" s="34">
        <v>15.5</v>
      </c>
      <c r="O38" s="35">
        <f>0.25*M38</f>
        <v>1.4750000000000001</v>
      </c>
      <c r="P38" s="36">
        <f>0.5*M38</f>
        <v>2.95</v>
      </c>
      <c r="Q38" s="37">
        <f>0.75*M38</f>
        <v>4.4250000000000007</v>
      </c>
      <c r="R38" s="35">
        <f>IF(N38="---","---",0.125*SQRT(POWER(M38,2)+POWER(N38,2)))</f>
        <v>2.0731166151473488</v>
      </c>
      <c r="S38" s="36">
        <f>IF(N38="---","---",0.25*SQRT(POWER(M38,2)+POWER(N38,2)))</f>
        <v>4.1462332302946976</v>
      </c>
      <c r="T38" s="37">
        <f>IF(N38="---","---",0.375*SQRT(POWER(M38,2)+POWER(N38,2)))</f>
        <v>6.2193498454420464</v>
      </c>
      <c r="U38" s="35">
        <f t="shared" si="33"/>
        <v>4.5068666151473487</v>
      </c>
      <c r="V38" s="36">
        <f t="shared" si="34"/>
        <v>9.0137332302946973</v>
      </c>
      <c r="W38" s="37">
        <f t="shared" si="35"/>
        <v>13.520599845442046</v>
      </c>
      <c r="X38" s="38">
        <f t="shared" si="9"/>
        <v>23.934076125892137</v>
      </c>
      <c r="Y38" s="38">
        <f t="shared" si="9"/>
        <v>19.940912717325652</v>
      </c>
      <c r="Z38" s="38">
        <f t="shared" si="9"/>
        <v>19.940912717325652</v>
      </c>
      <c r="AA38" s="39">
        <f t="shared" si="11"/>
        <v>5.0885901780355631</v>
      </c>
      <c r="AB38" s="40">
        <f t="shared" si="11"/>
        <v>10.177180356071126</v>
      </c>
      <c r="AC38" s="41">
        <f t="shared" si="11"/>
        <v>15.265770534106689</v>
      </c>
      <c r="AD38" s="30"/>
    </row>
    <row r="39" spans="1:30">
      <c r="A39" s="30">
        <v>36</v>
      </c>
      <c r="B39" s="31" t="s">
        <v>154</v>
      </c>
      <c r="C39" s="6" t="s">
        <v>142</v>
      </c>
      <c r="D39" s="32" t="s">
        <v>111</v>
      </c>
      <c r="E39" s="32" t="s">
        <v>111</v>
      </c>
      <c r="F39" s="32" t="s">
        <v>111</v>
      </c>
      <c r="G39" s="32" t="s">
        <v>111</v>
      </c>
      <c r="H39" s="32" t="s">
        <v>111</v>
      </c>
      <c r="I39" s="32" t="s">
        <v>111</v>
      </c>
      <c r="J39" s="32" t="s">
        <v>111</v>
      </c>
      <c r="K39" s="32" t="s">
        <v>111</v>
      </c>
      <c r="L39" s="32" t="s">
        <v>111</v>
      </c>
      <c r="M39" s="34" t="s">
        <v>73</v>
      </c>
      <c r="N39" s="34" t="s">
        <v>73</v>
      </c>
      <c r="O39" s="32" t="s">
        <v>111</v>
      </c>
      <c r="P39" s="32" t="s">
        <v>111</v>
      </c>
      <c r="Q39" s="32" t="s">
        <v>111</v>
      </c>
      <c r="R39" s="32" t="s">
        <v>111</v>
      </c>
      <c r="S39" s="32" t="s">
        <v>111</v>
      </c>
      <c r="T39" s="32" t="s">
        <v>111</v>
      </c>
      <c r="U39" s="54" t="s">
        <v>111</v>
      </c>
      <c r="V39" s="54" t="s">
        <v>111</v>
      </c>
      <c r="W39" s="54" t="s">
        <v>111</v>
      </c>
      <c r="X39" s="32" t="s">
        <v>111</v>
      </c>
      <c r="Y39" s="32" t="s">
        <v>111</v>
      </c>
      <c r="Z39" s="32" t="s">
        <v>111</v>
      </c>
      <c r="AA39" s="44" t="s">
        <v>111</v>
      </c>
      <c r="AB39" s="45" t="s">
        <v>111</v>
      </c>
      <c r="AC39" s="46" t="s">
        <v>111</v>
      </c>
      <c r="AD39" s="30"/>
    </row>
    <row r="40" spans="1:30">
      <c r="A40" s="30">
        <v>37</v>
      </c>
      <c r="B40" s="31" t="s">
        <v>155</v>
      </c>
      <c r="C40" s="6" t="s">
        <v>142</v>
      </c>
      <c r="D40" s="32" t="s">
        <v>111</v>
      </c>
      <c r="E40" s="32" t="s">
        <v>111</v>
      </c>
      <c r="F40" s="32" t="s">
        <v>111</v>
      </c>
      <c r="G40" s="32" t="s">
        <v>111</v>
      </c>
      <c r="H40" s="32" t="s">
        <v>111</v>
      </c>
      <c r="I40" s="32" t="s">
        <v>111</v>
      </c>
      <c r="J40" s="32" t="s">
        <v>111</v>
      </c>
      <c r="K40" s="32" t="s">
        <v>111</v>
      </c>
      <c r="L40" s="32" t="s">
        <v>111</v>
      </c>
      <c r="M40" s="34" t="s">
        <v>73</v>
      </c>
      <c r="N40" s="34" t="s">
        <v>73</v>
      </c>
      <c r="O40" s="32" t="s">
        <v>111</v>
      </c>
      <c r="P40" s="32" t="s">
        <v>111</v>
      </c>
      <c r="Q40" s="32" t="s">
        <v>111</v>
      </c>
      <c r="R40" s="32" t="s">
        <v>111</v>
      </c>
      <c r="S40" s="32" t="s">
        <v>111</v>
      </c>
      <c r="T40" s="32" t="s">
        <v>111</v>
      </c>
      <c r="U40" s="54" t="s">
        <v>111</v>
      </c>
      <c r="V40" s="54" t="s">
        <v>111</v>
      </c>
      <c r="W40" s="54" t="s">
        <v>111</v>
      </c>
      <c r="X40" s="32" t="s">
        <v>111</v>
      </c>
      <c r="Y40" s="32" t="s">
        <v>111</v>
      </c>
      <c r="Z40" s="32" t="s">
        <v>111</v>
      </c>
      <c r="AA40" s="44" t="s">
        <v>111</v>
      </c>
      <c r="AB40" s="45" t="s">
        <v>111</v>
      </c>
      <c r="AC40" s="46" t="s">
        <v>111</v>
      </c>
      <c r="AD40" s="30"/>
    </row>
    <row r="41" spans="1:30">
      <c r="A41" s="30">
        <v>38</v>
      </c>
      <c r="B41" s="51" t="s">
        <v>156</v>
      </c>
      <c r="C41" s="6" t="s">
        <v>105</v>
      </c>
      <c r="D41" s="32" t="s">
        <v>111</v>
      </c>
      <c r="E41" s="32" t="s">
        <v>111</v>
      </c>
      <c r="F41" s="32" t="s">
        <v>111</v>
      </c>
      <c r="G41" s="32" t="s">
        <v>111</v>
      </c>
      <c r="H41" s="32" t="s">
        <v>111</v>
      </c>
      <c r="I41" s="32" t="s">
        <v>111</v>
      </c>
      <c r="J41" s="32" t="s">
        <v>111</v>
      </c>
      <c r="K41" s="32" t="s">
        <v>111</v>
      </c>
      <c r="L41" s="32" t="s">
        <v>111</v>
      </c>
      <c r="M41" s="34">
        <v>10.1</v>
      </c>
      <c r="N41" s="34">
        <v>9.1</v>
      </c>
      <c r="O41" s="35">
        <f>0.25*M41</f>
        <v>2.5249999999999999</v>
      </c>
      <c r="P41" s="36">
        <f>0.5*M41</f>
        <v>5.05</v>
      </c>
      <c r="Q41" s="37">
        <f>0.75*M41</f>
        <v>7.5749999999999993</v>
      </c>
      <c r="R41" s="35">
        <f>IF(N41="---","---",0.125*SQRT(POWER(M41,2)+POWER(N41,2)))</f>
        <v>1.6993564958536511</v>
      </c>
      <c r="S41" s="36">
        <f>IF(N41="---","---",0.25*SQRT(POWER(M41,2)+POWER(N41,2)))</f>
        <v>3.3987129917073022</v>
      </c>
      <c r="T41" s="37">
        <f>IF(N41="---","---",0.375*SQRT(POWER(M41,2)+POWER(N41,2)))</f>
        <v>5.0980694875609531</v>
      </c>
      <c r="U41" s="35">
        <f t="shared" si="33"/>
        <v>5.8656064958536511</v>
      </c>
      <c r="V41" s="36">
        <f t="shared" si="34"/>
        <v>11.731212991707302</v>
      </c>
      <c r="W41" s="37">
        <f t="shared" si="35"/>
        <v>17.59681948756095</v>
      </c>
      <c r="X41" s="32" t="s">
        <v>111</v>
      </c>
      <c r="Y41" s="32" t="s">
        <v>111</v>
      </c>
      <c r="Z41" s="32" t="s">
        <v>111</v>
      </c>
      <c r="AA41" s="39">
        <f t="shared" si="11"/>
        <v>6.0871791496554462</v>
      </c>
      <c r="AB41" s="40">
        <f t="shared" si="11"/>
        <v>12.174358299310892</v>
      </c>
      <c r="AC41" s="41">
        <f t="shared" si="11"/>
        <v>18.261537448966337</v>
      </c>
      <c r="AD41" s="30"/>
    </row>
    <row r="42" spans="1:30">
      <c r="A42" s="30">
        <v>39</v>
      </c>
      <c r="B42" s="51" t="s">
        <v>157</v>
      </c>
      <c r="C42" s="6" t="s">
        <v>105</v>
      </c>
      <c r="D42" s="32" t="s">
        <v>111</v>
      </c>
      <c r="E42" s="32" t="s">
        <v>111</v>
      </c>
      <c r="F42" s="32" t="s">
        <v>111</v>
      </c>
      <c r="G42" s="32" t="s">
        <v>111</v>
      </c>
      <c r="H42" s="32" t="s">
        <v>111</v>
      </c>
      <c r="I42" s="32" t="s">
        <v>111</v>
      </c>
      <c r="J42" s="32" t="s">
        <v>111</v>
      </c>
      <c r="K42" s="32" t="s">
        <v>111</v>
      </c>
      <c r="L42" s="32" t="s">
        <v>111</v>
      </c>
      <c r="M42" s="34">
        <v>10.1</v>
      </c>
      <c r="N42" s="34">
        <v>9.1</v>
      </c>
      <c r="O42" s="35">
        <f>0.25*M42</f>
        <v>2.5249999999999999</v>
      </c>
      <c r="P42" s="36">
        <f>0.5*M42</f>
        <v>5.05</v>
      </c>
      <c r="Q42" s="37">
        <f>0.75*M42</f>
        <v>7.5749999999999993</v>
      </c>
      <c r="R42" s="35">
        <f>IF(N42="---","---",0.125*SQRT(POWER(M42,2)+POWER(N42,2)))</f>
        <v>1.6993564958536511</v>
      </c>
      <c r="S42" s="36">
        <f>IF(N42="---","---",0.25*SQRT(POWER(M42,2)+POWER(N42,2)))</f>
        <v>3.3987129917073022</v>
      </c>
      <c r="T42" s="37">
        <f>IF(N42="---","---",0.375*SQRT(POWER(M42,2)+POWER(N42,2)))</f>
        <v>5.0980694875609531</v>
      </c>
      <c r="U42" s="35">
        <f t="shared" si="33"/>
        <v>5.8656064958536511</v>
      </c>
      <c r="V42" s="36">
        <f t="shared" si="34"/>
        <v>11.731212991707302</v>
      </c>
      <c r="W42" s="37">
        <f t="shared" si="35"/>
        <v>17.59681948756095</v>
      </c>
      <c r="X42" s="32" t="s">
        <v>111</v>
      </c>
      <c r="Y42" s="32" t="s">
        <v>111</v>
      </c>
      <c r="Z42" s="32" t="s">
        <v>111</v>
      </c>
      <c r="AA42" s="39">
        <f t="shared" si="11"/>
        <v>6.0871791496554462</v>
      </c>
      <c r="AB42" s="40">
        <f t="shared" si="11"/>
        <v>12.174358299310892</v>
      </c>
      <c r="AC42" s="41">
        <f t="shared" si="11"/>
        <v>18.261537448966337</v>
      </c>
      <c r="AD42" s="30"/>
    </row>
    <row r="43" spans="1:30">
      <c r="A43" s="30">
        <v>40</v>
      </c>
      <c r="B43" s="55" t="s">
        <v>158</v>
      </c>
      <c r="C43" s="6" t="s">
        <v>159</v>
      </c>
      <c r="D43" s="32">
        <v>51</v>
      </c>
      <c r="E43" s="32">
        <v>500</v>
      </c>
      <c r="F43" s="32">
        <v>900</v>
      </c>
      <c r="G43" s="32">
        <v>15</v>
      </c>
      <c r="H43" s="32">
        <v>10</v>
      </c>
      <c r="I43" s="32">
        <v>10</v>
      </c>
      <c r="J43" s="32">
        <v>26</v>
      </c>
      <c r="K43" s="32">
        <v>11.2</v>
      </c>
      <c r="L43" s="32">
        <v>11.2</v>
      </c>
      <c r="M43" s="34" t="s">
        <v>73</v>
      </c>
      <c r="N43" s="34" t="s">
        <v>73</v>
      </c>
      <c r="O43" s="32" t="s">
        <v>111</v>
      </c>
      <c r="P43" s="32" t="s">
        <v>111</v>
      </c>
      <c r="Q43" s="32" t="s">
        <v>111</v>
      </c>
      <c r="R43" s="32" t="s">
        <v>111</v>
      </c>
      <c r="S43" s="32" t="s">
        <v>111</v>
      </c>
      <c r="T43" s="32" t="s">
        <v>111</v>
      </c>
      <c r="U43" s="54" t="s">
        <v>111</v>
      </c>
      <c r="V43" s="54" t="s">
        <v>111</v>
      </c>
      <c r="W43" s="54" t="s">
        <v>111</v>
      </c>
      <c r="X43" s="38">
        <f t="shared" si="9"/>
        <v>60.033324079214538</v>
      </c>
      <c r="Y43" s="38">
        <f t="shared" si="9"/>
        <v>30.029319006597536</v>
      </c>
      <c r="Z43" s="38">
        <f t="shared" si="9"/>
        <v>30.029319006597536</v>
      </c>
      <c r="AA43" s="44" t="s">
        <v>111</v>
      </c>
      <c r="AB43" s="45" t="s">
        <v>111</v>
      </c>
      <c r="AC43" s="46" t="s">
        <v>111</v>
      </c>
      <c r="AD43" s="9"/>
    </row>
    <row r="44" spans="1:30">
      <c r="A44" s="30">
        <v>41</v>
      </c>
      <c r="B44" s="47" t="s">
        <v>160</v>
      </c>
      <c r="C44" s="6" t="s">
        <v>123</v>
      </c>
      <c r="D44" s="32" t="s">
        <v>111</v>
      </c>
      <c r="E44" s="32" t="s">
        <v>111</v>
      </c>
      <c r="F44" s="32" t="s">
        <v>111</v>
      </c>
      <c r="G44" s="32" t="s">
        <v>111</v>
      </c>
      <c r="H44" s="32" t="s">
        <v>111</v>
      </c>
      <c r="I44" s="32" t="s">
        <v>111</v>
      </c>
      <c r="J44" s="32" t="s">
        <v>111</v>
      </c>
      <c r="K44" s="32" t="s">
        <v>111</v>
      </c>
      <c r="L44" s="32" t="s">
        <v>111</v>
      </c>
      <c r="M44" s="33">
        <v>36.799999999999997</v>
      </c>
      <c r="N44" s="34">
        <v>43.2</v>
      </c>
      <c r="O44" s="35">
        <f t="shared" ref="O44:O53" si="36">0.25*M44</f>
        <v>9.1999999999999993</v>
      </c>
      <c r="P44" s="36">
        <f t="shared" ref="P44:P53" si="37">0.5*M44</f>
        <v>18.399999999999999</v>
      </c>
      <c r="Q44" s="37">
        <f t="shared" ref="Q44:Q53" si="38">0.75*M44</f>
        <v>27.599999999999998</v>
      </c>
      <c r="R44" s="35">
        <f t="shared" ref="R44:R53" si="39">IF(N44="---","---",0.125*SQRT(POWER(M44,2)+POWER(N44,2)))</f>
        <v>7.0936591403872793</v>
      </c>
      <c r="S44" s="36">
        <f t="shared" ref="S44:S53" si="40">IF(N44="---","---",0.25*SQRT(POWER(M44,2)+POWER(N44,2)))</f>
        <v>14.187318280774559</v>
      </c>
      <c r="T44" s="37">
        <f t="shared" ref="T44:T53" si="41">IF(N44="---","---",0.375*SQRT(POWER(M44,2)+POWER(N44,2)))</f>
        <v>21.280977421161836</v>
      </c>
      <c r="U44" s="35">
        <f t="shared" si="33"/>
        <v>22.273659140387277</v>
      </c>
      <c r="V44" s="36">
        <f t="shared" si="34"/>
        <v>44.547318280774554</v>
      </c>
      <c r="W44" s="37">
        <f t="shared" si="35"/>
        <v>66.820977421161828</v>
      </c>
      <c r="X44" s="32" t="s">
        <v>111</v>
      </c>
      <c r="Y44" s="32" t="s">
        <v>111</v>
      </c>
      <c r="Z44" s="32" t="s">
        <v>111</v>
      </c>
      <c r="AA44" s="39">
        <f t="shared" si="11"/>
        <v>23.234457170332167</v>
      </c>
      <c r="AB44" s="40">
        <f t="shared" si="11"/>
        <v>46.468914340664334</v>
      </c>
      <c r="AC44" s="41">
        <f t="shared" si="11"/>
        <v>69.703371510996504</v>
      </c>
      <c r="AD44" s="30"/>
    </row>
    <row r="45" spans="1:30">
      <c r="A45" s="30">
        <v>42</v>
      </c>
      <c r="B45" s="47" t="s">
        <v>161</v>
      </c>
      <c r="C45" s="6" t="s">
        <v>123</v>
      </c>
      <c r="D45" s="32">
        <v>32.5</v>
      </c>
      <c r="E45" s="32">
        <v>125</v>
      </c>
      <c r="F45" s="32">
        <v>150</v>
      </c>
      <c r="G45" s="33">
        <v>6.8</v>
      </c>
      <c r="H45" s="33">
        <v>5.6</v>
      </c>
      <c r="I45" s="33">
        <v>4.2</v>
      </c>
      <c r="J45" s="33">
        <v>13.4</v>
      </c>
      <c r="K45" s="33">
        <v>10.6</v>
      </c>
      <c r="L45" s="33">
        <v>11.2</v>
      </c>
      <c r="M45" s="33">
        <v>23.8</v>
      </c>
      <c r="N45" s="34">
        <v>39</v>
      </c>
      <c r="O45" s="35">
        <f t="shared" si="36"/>
        <v>5.95</v>
      </c>
      <c r="P45" s="36">
        <f t="shared" si="37"/>
        <v>11.9</v>
      </c>
      <c r="Q45" s="37">
        <f t="shared" si="38"/>
        <v>17.850000000000001</v>
      </c>
      <c r="R45" s="35">
        <f t="shared" si="39"/>
        <v>5.71106382384228</v>
      </c>
      <c r="S45" s="36">
        <f t="shared" si="40"/>
        <v>11.42212764768456</v>
      </c>
      <c r="T45" s="37">
        <f t="shared" si="41"/>
        <v>17.133191471526839</v>
      </c>
      <c r="U45" s="35">
        <f t="shared" si="33"/>
        <v>15.52856382384228</v>
      </c>
      <c r="V45" s="36">
        <f t="shared" si="34"/>
        <v>31.05712764768456</v>
      </c>
      <c r="W45" s="37">
        <f t="shared" si="35"/>
        <v>46.585691471526843</v>
      </c>
      <c r="X45" s="38">
        <f t="shared" si="9"/>
        <v>30.053286010018937</v>
      </c>
      <c r="Y45" s="38">
        <f t="shared" si="9"/>
        <v>23.976655313033135</v>
      </c>
      <c r="Z45" s="38">
        <f t="shared" si="9"/>
        <v>23.923210486889086</v>
      </c>
      <c r="AA45" s="39">
        <f t="shared" si="11"/>
        <v>16.494696117237204</v>
      </c>
      <c r="AB45" s="40">
        <f t="shared" si="11"/>
        <v>32.989392234474408</v>
      </c>
      <c r="AC45" s="41">
        <f t="shared" si="11"/>
        <v>49.484088351711605</v>
      </c>
      <c r="AD45" s="30"/>
    </row>
    <row r="46" spans="1:30">
      <c r="A46" s="30">
        <v>43</v>
      </c>
      <c r="B46" s="47" t="s">
        <v>162</v>
      </c>
      <c r="C46" s="6" t="s">
        <v>105</v>
      </c>
      <c r="D46" s="32">
        <v>1</v>
      </c>
      <c r="E46" s="32">
        <v>2</v>
      </c>
      <c r="F46" s="32">
        <v>3</v>
      </c>
      <c r="G46" s="33">
        <v>8</v>
      </c>
      <c r="H46" s="33">
        <v>6</v>
      </c>
      <c r="I46" s="33">
        <v>5</v>
      </c>
      <c r="J46" s="33">
        <v>6</v>
      </c>
      <c r="K46" s="33">
        <v>8</v>
      </c>
      <c r="L46" s="33">
        <v>8.6999999999999993</v>
      </c>
      <c r="M46" s="33">
        <v>5.2</v>
      </c>
      <c r="N46" s="34">
        <v>15.6</v>
      </c>
      <c r="O46" s="35">
        <f t="shared" si="36"/>
        <v>1.3</v>
      </c>
      <c r="P46" s="36">
        <f t="shared" si="37"/>
        <v>2.6</v>
      </c>
      <c r="Q46" s="37">
        <f t="shared" si="38"/>
        <v>3.9000000000000004</v>
      </c>
      <c r="R46" s="35">
        <f t="shared" si="39"/>
        <v>2.0554804791094465</v>
      </c>
      <c r="S46" s="36">
        <f t="shared" si="40"/>
        <v>4.1109609582188931</v>
      </c>
      <c r="T46" s="37">
        <f t="shared" si="41"/>
        <v>6.1664414373283396</v>
      </c>
      <c r="U46" s="35">
        <f t="shared" si="33"/>
        <v>4.2004804791094461</v>
      </c>
      <c r="V46" s="36">
        <f t="shared" si="34"/>
        <v>8.4009609582188922</v>
      </c>
      <c r="W46" s="37">
        <f t="shared" si="35"/>
        <v>12.60144143732834</v>
      </c>
      <c r="X46" s="38">
        <f t="shared" si="9"/>
        <v>20</v>
      </c>
      <c r="Y46" s="38">
        <f t="shared" si="9"/>
        <v>20</v>
      </c>
      <c r="Z46" s="38">
        <f t="shared" si="9"/>
        <v>20.06888138387389</v>
      </c>
      <c r="AA46" s="39">
        <f t="shared" si="11"/>
        <v>4.8641546028061242</v>
      </c>
      <c r="AB46" s="40">
        <f t="shared" si="11"/>
        <v>9.7283092056122484</v>
      </c>
      <c r="AC46" s="41">
        <f t="shared" si="11"/>
        <v>14.592463808418371</v>
      </c>
      <c r="AD46" s="30"/>
    </row>
    <row r="47" spans="1:30">
      <c r="A47" s="30">
        <v>44</v>
      </c>
      <c r="B47" s="47" t="s">
        <v>163</v>
      </c>
      <c r="C47" s="6" t="s">
        <v>105</v>
      </c>
      <c r="D47" s="32">
        <v>0.25</v>
      </c>
      <c r="E47" s="32">
        <v>0.45</v>
      </c>
      <c r="F47" s="32">
        <v>0.6</v>
      </c>
      <c r="G47" s="33">
        <v>8</v>
      </c>
      <c r="H47" s="33">
        <v>6</v>
      </c>
      <c r="I47" s="33">
        <v>5</v>
      </c>
      <c r="J47" s="33">
        <v>6</v>
      </c>
      <c r="K47" s="33">
        <v>8</v>
      </c>
      <c r="L47" s="33">
        <v>8.6999999999999993</v>
      </c>
      <c r="M47" s="33">
        <v>8.9</v>
      </c>
      <c r="N47" s="34">
        <v>33.4</v>
      </c>
      <c r="O47" s="35">
        <f t="shared" si="36"/>
        <v>2.2250000000000001</v>
      </c>
      <c r="P47" s="36">
        <f t="shared" si="37"/>
        <v>4.45</v>
      </c>
      <c r="Q47" s="37">
        <f t="shared" si="38"/>
        <v>6.6750000000000007</v>
      </c>
      <c r="R47" s="35">
        <f t="shared" si="39"/>
        <v>4.3206806466111329</v>
      </c>
      <c r="S47" s="36">
        <f t="shared" si="40"/>
        <v>8.6413612932222659</v>
      </c>
      <c r="T47" s="37">
        <f t="shared" si="41"/>
        <v>12.962041939833398</v>
      </c>
      <c r="U47" s="35">
        <f t="shared" si="33"/>
        <v>7.9919306466111326</v>
      </c>
      <c r="V47" s="36">
        <f t="shared" si="34"/>
        <v>15.983861293222265</v>
      </c>
      <c r="W47" s="37">
        <f t="shared" si="35"/>
        <v>23.9757919398334</v>
      </c>
      <c r="X47" s="38">
        <f t="shared" si="9"/>
        <v>20</v>
      </c>
      <c r="Y47" s="38">
        <f t="shared" si="9"/>
        <v>20</v>
      </c>
      <c r="Z47" s="38">
        <f t="shared" si="9"/>
        <v>20.06888138387389</v>
      </c>
      <c r="AA47" s="39">
        <f t="shared" si="11"/>
        <v>9.7198572520382207</v>
      </c>
      <c r="AB47" s="40">
        <f t="shared" si="11"/>
        <v>19.439714504076441</v>
      </c>
      <c r="AC47" s="41">
        <f t="shared" si="11"/>
        <v>29.159571756114662</v>
      </c>
      <c r="AD47" s="30"/>
    </row>
    <row r="48" spans="1:30">
      <c r="A48" s="30">
        <v>45</v>
      </c>
      <c r="B48" s="47" t="s">
        <v>164</v>
      </c>
      <c r="C48" s="6" t="s">
        <v>165</v>
      </c>
      <c r="D48" s="32">
        <v>30</v>
      </c>
      <c r="E48" s="32">
        <v>70</v>
      </c>
      <c r="F48" s="32">
        <v>100</v>
      </c>
      <c r="G48" s="33">
        <v>9</v>
      </c>
      <c r="H48" s="33">
        <v>7</v>
      </c>
      <c r="I48" s="33">
        <v>7</v>
      </c>
      <c r="J48" s="33">
        <v>17.899999999999999</v>
      </c>
      <c r="K48" s="33">
        <v>12.1</v>
      </c>
      <c r="L48" s="33">
        <v>9.6999999999999993</v>
      </c>
      <c r="M48" s="33">
        <v>24.7</v>
      </c>
      <c r="N48" s="34">
        <v>54.6</v>
      </c>
      <c r="O48" s="35">
        <f t="shared" si="36"/>
        <v>6.1749999999999998</v>
      </c>
      <c r="P48" s="36">
        <f t="shared" si="37"/>
        <v>12.35</v>
      </c>
      <c r="Q48" s="37">
        <f t="shared" si="38"/>
        <v>18.524999999999999</v>
      </c>
      <c r="R48" s="35">
        <f t="shared" si="39"/>
        <v>7.4908798715504705</v>
      </c>
      <c r="S48" s="36">
        <f t="shared" si="40"/>
        <v>14.981759743100941</v>
      </c>
      <c r="T48" s="37">
        <f t="shared" si="41"/>
        <v>22.472639614651413</v>
      </c>
      <c r="U48" s="35">
        <f t="shared" si="33"/>
        <v>17.679629871550468</v>
      </c>
      <c r="V48" s="36">
        <f t="shared" si="34"/>
        <v>35.359259743100935</v>
      </c>
      <c r="W48" s="37">
        <f t="shared" si="35"/>
        <v>53.03888961465141</v>
      </c>
      <c r="X48" s="38">
        <f t="shared" si="9"/>
        <v>40.070437981135171</v>
      </c>
      <c r="Y48" s="38">
        <f t="shared" si="9"/>
        <v>27.957825380383216</v>
      </c>
      <c r="Z48" s="38">
        <f t="shared" si="9"/>
        <v>23.924046480476498</v>
      </c>
      <c r="AA48" s="39">
        <f t="shared" si="11"/>
        <v>19.415860140616999</v>
      </c>
      <c r="AB48" s="40">
        <f t="shared" si="11"/>
        <v>38.831720281233999</v>
      </c>
      <c r="AC48" s="41">
        <f t="shared" si="11"/>
        <v>58.247580421850998</v>
      </c>
      <c r="AD48" s="30"/>
    </row>
    <row r="49" spans="1:30">
      <c r="A49" s="30">
        <v>46</v>
      </c>
      <c r="B49" s="47" t="s">
        <v>166</v>
      </c>
      <c r="C49" s="6" t="s">
        <v>165</v>
      </c>
      <c r="D49" s="32">
        <v>30</v>
      </c>
      <c r="E49" s="32">
        <v>70</v>
      </c>
      <c r="F49" s="32">
        <v>100</v>
      </c>
      <c r="G49" s="33">
        <v>9</v>
      </c>
      <c r="H49" s="33">
        <v>7</v>
      </c>
      <c r="I49" s="33">
        <v>7</v>
      </c>
      <c r="J49" s="33">
        <v>17.899999999999999</v>
      </c>
      <c r="K49" s="33">
        <v>12.1</v>
      </c>
      <c r="L49" s="33">
        <v>9.6999999999999993</v>
      </c>
      <c r="M49" s="33">
        <v>6.1</v>
      </c>
      <c r="N49" s="34">
        <v>62.9</v>
      </c>
      <c r="O49" s="35">
        <f t="shared" si="36"/>
        <v>1.5249999999999999</v>
      </c>
      <c r="P49" s="36">
        <f t="shared" si="37"/>
        <v>3.05</v>
      </c>
      <c r="Q49" s="37">
        <f t="shared" si="38"/>
        <v>4.5749999999999993</v>
      </c>
      <c r="R49" s="35">
        <f t="shared" si="39"/>
        <v>7.8993868432935983</v>
      </c>
      <c r="S49" s="36">
        <f t="shared" si="40"/>
        <v>15.798773686587197</v>
      </c>
      <c r="T49" s="37">
        <f t="shared" si="41"/>
        <v>23.698160529880795</v>
      </c>
      <c r="U49" s="35">
        <f t="shared" si="33"/>
        <v>10.415636843293598</v>
      </c>
      <c r="V49" s="36">
        <f t="shared" si="34"/>
        <v>20.831273686587195</v>
      </c>
      <c r="W49" s="37">
        <f t="shared" si="35"/>
        <v>31.246910529880793</v>
      </c>
      <c r="X49" s="38">
        <f t="shared" si="9"/>
        <v>40.070437981135171</v>
      </c>
      <c r="Y49" s="38">
        <f t="shared" si="9"/>
        <v>27.957825380383216</v>
      </c>
      <c r="Z49" s="38">
        <f t="shared" si="9"/>
        <v>23.924046480476498</v>
      </c>
      <c r="AA49" s="39">
        <f t="shared" si="11"/>
        <v>16.090486319561631</v>
      </c>
      <c r="AB49" s="40">
        <f t="shared" si="11"/>
        <v>32.180972639123262</v>
      </c>
      <c r="AC49" s="41">
        <f t="shared" si="11"/>
        <v>48.271458958684896</v>
      </c>
      <c r="AD49" s="30"/>
    </row>
    <row r="50" spans="1:30">
      <c r="A50" s="30">
        <v>47</v>
      </c>
      <c r="B50" s="47" t="s">
        <v>167</v>
      </c>
      <c r="C50" s="6" t="s">
        <v>165</v>
      </c>
      <c r="D50" s="32">
        <v>30</v>
      </c>
      <c r="E50" s="32">
        <v>95</v>
      </c>
      <c r="F50" s="32">
        <v>150</v>
      </c>
      <c r="G50" s="33">
        <v>12</v>
      </c>
      <c r="H50" s="33">
        <v>10</v>
      </c>
      <c r="I50" s="33">
        <v>10</v>
      </c>
      <c r="J50" s="33">
        <v>21.9</v>
      </c>
      <c r="K50" s="33">
        <v>11.2</v>
      </c>
      <c r="L50" s="33">
        <v>11.2</v>
      </c>
      <c r="M50" s="33">
        <v>15.95</v>
      </c>
      <c r="N50" s="34">
        <v>131</v>
      </c>
      <c r="O50" s="35">
        <f t="shared" si="36"/>
        <v>3.9874999999999998</v>
      </c>
      <c r="P50" s="36">
        <f t="shared" si="37"/>
        <v>7.9749999999999996</v>
      </c>
      <c r="Q50" s="37">
        <f t="shared" si="38"/>
        <v>11.962499999999999</v>
      </c>
      <c r="R50" s="35">
        <f t="shared" si="39"/>
        <v>16.495928711730663</v>
      </c>
      <c r="S50" s="36">
        <f t="shared" si="40"/>
        <v>32.991857423461326</v>
      </c>
      <c r="T50" s="37">
        <f t="shared" si="41"/>
        <v>49.487786135191989</v>
      </c>
      <c r="U50" s="35">
        <f t="shared" si="33"/>
        <v>23.075303711730662</v>
      </c>
      <c r="V50" s="36">
        <f t="shared" si="34"/>
        <v>46.150607423461324</v>
      </c>
      <c r="W50" s="37">
        <f t="shared" si="35"/>
        <v>69.225911135191978</v>
      </c>
      <c r="X50" s="38">
        <f t="shared" si="9"/>
        <v>49.944369051976217</v>
      </c>
      <c r="Y50" s="38">
        <f t="shared" si="9"/>
        <v>30.029319006597536</v>
      </c>
      <c r="Z50" s="38">
        <f t="shared" si="9"/>
        <v>30.029319006597536</v>
      </c>
      <c r="AA50" s="39">
        <f t="shared" si="11"/>
        <v>33.942057705006633</v>
      </c>
      <c r="AB50" s="40">
        <f t="shared" si="11"/>
        <v>67.884115410013266</v>
      </c>
      <c r="AC50" s="41">
        <f t="shared" si="11"/>
        <v>101.8261731150199</v>
      </c>
      <c r="AD50" s="30"/>
    </row>
    <row r="51" spans="1:30">
      <c r="A51" s="30">
        <v>48</v>
      </c>
      <c r="B51" s="31" t="s">
        <v>168</v>
      </c>
      <c r="C51" s="6" t="s">
        <v>125</v>
      </c>
      <c r="D51" s="32">
        <v>0.8</v>
      </c>
      <c r="E51" s="32">
        <v>1.25</v>
      </c>
      <c r="F51" s="32">
        <v>1.5</v>
      </c>
      <c r="G51" s="33">
        <v>1.6</v>
      </c>
      <c r="H51" s="33">
        <v>1.6</v>
      </c>
      <c r="I51" s="33">
        <v>1.6</v>
      </c>
      <c r="J51" s="33">
        <v>1.7</v>
      </c>
      <c r="K51" s="33">
        <v>1.7</v>
      </c>
      <c r="L51" s="33">
        <v>1.7</v>
      </c>
      <c r="M51" s="33">
        <v>1.7</v>
      </c>
      <c r="N51" s="34">
        <v>1.9</v>
      </c>
      <c r="O51" s="35">
        <f t="shared" si="36"/>
        <v>0.42499999999999999</v>
      </c>
      <c r="P51" s="36">
        <f t="shared" si="37"/>
        <v>0.85</v>
      </c>
      <c r="Q51" s="37">
        <f t="shared" si="38"/>
        <v>1.2749999999999999</v>
      </c>
      <c r="R51" s="35">
        <f t="shared" si="39"/>
        <v>0.31868871959954903</v>
      </c>
      <c r="S51" s="36">
        <f t="shared" si="40"/>
        <v>0.63737743919909806</v>
      </c>
      <c r="T51" s="37">
        <f t="shared" si="41"/>
        <v>0.95606615879864709</v>
      </c>
      <c r="U51" s="35">
        <f t="shared" si="33"/>
        <v>1.0199387195995491</v>
      </c>
      <c r="V51" s="36">
        <f t="shared" si="34"/>
        <v>2.0398774391990981</v>
      </c>
      <c r="W51" s="37">
        <f t="shared" si="35"/>
        <v>3.0598161587986468</v>
      </c>
      <c r="X51" s="38">
        <f t="shared" si="9"/>
        <v>4.6690470119715011</v>
      </c>
      <c r="Y51" s="38">
        <f t="shared" si="9"/>
        <v>4.6690470119715011</v>
      </c>
      <c r="Z51" s="38">
        <f t="shared" si="9"/>
        <v>4.6690470119715011</v>
      </c>
      <c r="AA51" s="39">
        <f t="shared" si="11"/>
        <v>1.0624264680437889</v>
      </c>
      <c r="AB51" s="40">
        <f t="shared" si="11"/>
        <v>2.1248529360875779</v>
      </c>
      <c r="AC51" s="41">
        <f t="shared" si="11"/>
        <v>3.1872794041313668</v>
      </c>
      <c r="AD51" s="30"/>
    </row>
    <row r="52" spans="1:30">
      <c r="A52" s="30">
        <v>49</v>
      </c>
      <c r="B52" s="47" t="s">
        <v>169</v>
      </c>
      <c r="C52" s="6" t="s">
        <v>125</v>
      </c>
      <c r="D52" s="32">
        <v>2.1</v>
      </c>
      <c r="E52" s="32">
        <v>2.9</v>
      </c>
      <c r="F52" s="32">
        <v>3.4</v>
      </c>
      <c r="G52" s="33">
        <v>1.6</v>
      </c>
      <c r="H52" s="33">
        <v>1.6</v>
      </c>
      <c r="I52" s="33">
        <v>1.6</v>
      </c>
      <c r="J52" s="33">
        <v>1.7</v>
      </c>
      <c r="K52" s="33">
        <v>1.7</v>
      </c>
      <c r="L52" s="33">
        <v>1.7</v>
      </c>
      <c r="M52" s="33">
        <v>2.1</v>
      </c>
      <c r="N52" s="34">
        <v>2.5</v>
      </c>
      <c r="O52" s="35">
        <f t="shared" si="36"/>
        <v>0.52500000000000002</v>
      </c>
      <c r="P52" s="36">
        <f t="shared" si="37"/>
        <v>1.05</v>
      </c>
      <c r="Q52" s="37">
        <f t="shared" si="38"/>
        <v>1.5750000000000002</v>
      </c>
      <c r="R52" s="35">
        <f t="shared" si="39"/>
        <v>0.40812069293286268</v>
      </c>
      <c r="S52" s="36">
        <f t="shared" si="40"/>
        <v>0.81624138586572537</v>
      </c>
      <c r="T52" s="37">
        <f t="shared" si="41"/>
        <v>1.224362078798588</v>
      </c>
      <c r="U52" s="35">
        <f t="shared" si="33"/>
        <v>1.2743706929328626</v>
      </c>
      <c r="V52" s="36">
        <f t="shared" si="34"/>
        <v>2.5487413858657253</v>
      </c>
      <c r="W52" s="37">
        <f t="shared" si="35"/>
        <v>3.8231120787985882</v>
      </c>
      <c r="X52" s="38">
        <f t="shared" si="9"/>
        <v>4.6690470119715011</v>
      </c>
      <c r="Y52" s="38">
        <f t="shared" si="9"/>
        <v>4.6690470119715011</v>
      </c>
      <c r="Z52" s="38">
        <f t="shared" si="9"/>
        <v>4.6690470119715011</v>
      </c>
      <c r="AA52" s="39">
        <f t="shared" si="11"/>
        <v>1.3299436078270386</v>
      </c>
      <c r="AB52" s="40">
        <f t="shared" si="11"/>
        <v>2.6598872156540772</v>
      </c>
      <c r="AC52" s="41">
        <f t="shared" si="11"/>
        <v>3.9898308234811162</v>
      </c>
      <c r="AD52" s="30"/>
    </row>
    <row r="53" spans="1:30">
      <c r="A53" s="30">
        <v>50</v>
      </c>
      <c r="B53" s="31" t="s">
        <v>170</v>
      </c>
      <c r="C53" s="6" t="s">
        <v>125</v>
      </c>
      <c r="D53" s="32">
        <v>1.75</v>
      </c>
      <c r="E53" s="32">
        <v>3.25</v>
      </c>
      <c r="F53" s="32">
        <v>4</v>
      </c>
      <c r="G53" s="33">
        <v>4</v>
      </c>
      <c r="H53" s="33">
        <v>4</v>
      </c>
      <c r="I53" s="33">
        <v>4</v>
      </c>
      <c r="J53" s="33">
        <v>10</v>
      </c>
      <c r="K53" s="33">
        <v>10</v>
      </c>
      <c r="L53" s="33">
        <v>10</v>
      </c>
      <c r="M53" s="33">
        <v>26.2</v>
      </c>
      <c r="N53" s="34">
        <v>27</v>
      </c>
      <c r="O53" s="35">
        <f t="shared" si="36"/>
        <v>6.55</v>
      </c>
      <c r="P53" s="36">
        <f t="shared" si="37"/>
        <v>13.1</v>
      </c>
      <c r="Q53" s="37">
        <f t="shared" si="38"/>
        <v>19.649999999999999</v>
      </c>
      <c r="R53" s="35">
        <f t="shared" si="39"/>
        <v>4.7027917240719903</v>
      </c>
      <c r="S53" s="36">
        <f t="shared" si="40"/>
        <v>9.4055834481439806</v>
      </c>
      <c r="T53" s="37">
        <f t="shared" si="41"/>
        <v>14.108375172215972</v>
      </c>
      <c r="U53" s="35">
        <f t="shared" si="33"/>
        <v>15.51029172407199</v>
      </c>
      <c r="V53" s="36">
        <f t="shared" si="34"/>
        <v>31.020583448143981</v>
      </c>
      <c r="W53" s="37">
        <f t="shared" si="35"/>
        <v>46.530875172215971</v>
      </c>
      <c r="X53" s="38">
        <f t="shared" si="9"/>
        <v>21.540659228538015</v>
      </c>
      <c r="Y53" s="38">
        <f t="shared" si="9"/>
        <v>21.540659228538015</v>
      </c>
      <c r="Z53" s="38">
        <f t="shared" si="9"/>
        <v>21.540659228538015</v>
      </c>
      <c r="AA53" s="39">
        <f t="shared" si="11"/>
        <v>16.126840980179598</v>
      </c>
      <c r="AB53" s="40">
        <f t="shared" si="11"/>
        <v>32.253681960359195</v>
      </c>
      <c r="AC53" s="41">
        <f t="shared" si="11"/>
        <v>48.380522940538789</v>
      </c>
      <c r="AD53" s="30"/>
    </row>
    <row r="54" spans="1:30" ht="15" customHeight="1">
      <c r="A54" s="30">
        <v>51</v>
      </c>
      <c r="B54" s="31" t="s">
        <v>171</v>
      </c>
      <c r="C54" s="6" t="s">
        <v>142</v>
      </c>
      <c r="D54" s="32" t="s">
        <v>111</v>
      </c>
      <c r="E54" s="32" t="s">
        <v>111</v>
      </c>
      <c r="F54" s="32" t="s">
        <v>111</v>
      </c>
      <c r="G54" s="32" t="s">
        <v>111</v>
      </c>
      <c r="H54" s="32" t="s">
        <v>111</v>
      </c>
      <c r="I54" s="32" t="s">
        <v>111</v>
      </c>
      <c r="J54" s="32" t="s">
        <v>111</v>
      </c>
      <c r="K54" s="32" t="s">
        <v>111</v>
      </c>
      <c r="L54" s="32" t="s">
        <v>111</v>
      </c>
      <c r="M54" s="33" t="s">
        <v>111</v>
      </c>
      <c r="N54" s="34" t="s">
        <v>73</v>
      </c>
      <c r="O54" s="32" t="s">
        <v>111</v>
      </c>
      <c r="P54" s="32" t="s">
        <v>111</v>
      </c>
      <c r="Q54" s="32" t="s">
        <v>111</v>
      </c>
      <c r="R54" s="32" t="s">
        <v>111</v>
      </c>
      <c r="S54" s="32" t="s">
        <v>111</v>
      </c>
      <c r="T54" s="32" t="s">
        <v>111</v>
      </c>
      <c r="U54" s="54" t="s">
        <v>111</v>
      </c>
      <c r="V54" s="54" t="s">
        <v>111</v>
      </c>
      <c r="W54" s="54" t="s">
        <v>111</v>
      </c>
      <c r="X54" s="32" t="s">
        <v>111</v>
      </c>
      <c r="Y54" s="32" t="s">
        <v>111</v>
      </c>
      <c r="Z54" s="32" t="s">
        <v>111</v>
      </c>
      <c r="AA54" s="44" t="s">
        <v>111</v>
      </c>
      <c r="AB54" s="45" t="s">
        <v>111</v>
      </c>
      <c r="AC54" s="46" t="s">
        <v>111</v>
      </c>
      <c r="AD54" s="30"/>
    </row>
    <row r="55" spans="1:30">
      <c r="A55" s="30">
        <v>52</v>
      </c>
      <c r="B55" s="47" t="s">
        <v>172</v>
      </c>
      <c r="C55" s="6" t="s">
        <v>139</v>
      </c>
      <c r="D55" s="32">
        <v>6.5</v>
      </c>
      <c r="E55" s="32">
        <v>12.5</v>
      </c>
      <c r="F55" s="32">
        <v>15</v>
      </c>
      <c r="G55" s="33">
        <v>10</v>
      </c>
      <c r="H55" s="33">
        <v>7</v>
      </c>
      <c r="I55" s="33">
        <v>7</v>
      </c>
      <c r="J55" s="33">
        <v>11.2</v>
      </c>
      <c r="K55" s="33">
        <v>9.6999999999999993</v>
      </c>
      <c r="L55" s="33">
        <v>13.3</v>
      </c>
      <c r="M55" s="33">
        <v>11.2</v>
      </c>
      <c r="N55" s="34" t="s">
        <v>73</v>
      </c>
      <c r="O55" s="32" t="s">
        <v>111</v>
      </c>
      <c r="P55" s="32" t="s">
        <v>111</v>
      </c>
      <c r="Q55" s="32" t="s">
        <v>111</v>
      </c>
      <c r="R55" s="32" t="s">
        <v>111</v>
      </c>
      <c r="S55" s="32" t="s">
        <v>111</v>
      </c>
      <c r="T55" s="32" t="s">
        <v>111</v>
      </c>
      <c r="U55" s="54" t="s">
        <v>111</v>
      </c>
      <c r="V55" s="54" t="s">
        <v>111</v>
      </c>
      <c r="W55" s="54" t="s">
        <v>111</v>
      </c>
      <c r="X55" s="38">
        <f t="shared" si="9"/>
        <v>30.029319006597536</v>
      </c>
      <c r="Y55" s="38">
        <f t="shared" si="9"/>
        <v>23.924046480476498</v>
      </c>
      <c r="Z55" s="38">
        <f t="shared" si="9"/>
        <v>30.059274775017446</v>
      </c>
      <c r="AA55" s="44" t="s">
        <v>111</v>
      </c>
      <c r="AB55" s="45" t="s">
        <v>111</v>
      </c>
      <c r="AC55" s="46" t="s">
        <v>111</v>
      </c>
      <c r="AD55" s="30"/>
    </row>
    <row r="56" spans="1:30" ht="15" customHeight="1">
      <c r="A56" s="30">
        <v>53</v>
      </c>
      <c r="B56" s="56" t="s">
        <v>30</v>
      </c>
      <c r="C56" s="48" t="s">
        <v>111</v>
      </c>
      <c r="D56" s="32" t="s">
        <v>111</v>
      </c>
      <c r="E56" s="32" t="s">
        <v>111</v>
      </c>
      <c r="F56" s="32" t="s">
        <v>111</v>
      </c>
      <c r="G56" s="32" t="s">
        <v>111</v>
      </c>
      <c r="H56" s="32" t="s">
        <v>111</v>
      </c>
      <c r="I56" s="32" t="s">
        <v>111</v>
      </c>
      <c r="J56" s="32" t="s">
        <v>111</v>
      </c>
      <c r="K56" s="32" t="s">
        <v>111</v>
      </c>
      <c r="L56" s="32" t="s">
        <v>111</v>
      </c>
      <c r="M56" s="33">
        <v>1.06</v>
      </c>
      <c r="N56" s="34">
        <v>1.2</v>
      </c>
      <c r="O56" s="35">
        <f>0.25*M56</f>
        <v>0.26500000000000001</v>
      </c>
      <c r="P56" s="36">
        <f>0.5*M56</f>
        <v>0.53</v>
      </c>
      <c r="Q56" s="37">
        <f>0.75*M56</f>
        <v>0.79500000000000004</v>
      </c>
      <c r="R56" s="35">
        <f>IF(N56="---","---",0.125*SQRT(POWER(M56,2)+POWER(N56,2)))</f>
        <v>0.20014057559625434</v>
      </c>
      <c r="S56" s="36">
        <f>IF(N56="---","---",0.25*SQRT(POWER(M56,2)+POWER(N56,2)))</f>
        <v>0.40028115119250868</v>
      </c>
      <c r="T56" s="37">
        <f>IF(N56="---","---",0.375*SQRT(POWER(M56,2)+POWER(N56,2)))</f>
        <v>0.60042172678876304</v>
      </c>
      <c r="U56" s="35">
        <f t="shared" si="33"/>
        <v>0.63739057559625434</v>
      </c>
      <c r="V56" s="36">
        <f t="shared" si="34"/>
        <v>1.2747811511925087</v>
      </c>
      <c r="W56" s="37">
        <f t="shared" si="35"/>
        <v>1.912171726788763</v>
      </c>
      <c r="X56" s="32" t="s">
        <v>111</v>
      </c>
      <c r="Y56" s="32" t="s">
        <v>111</v>
      </c>
      <c r="Z56" s="32" t="s">
        <v>111</v>
      </c>
      <c r="AA56" s="39">
        <f t="shared" si="11"/>
        <v>0.66417241737368171</v>
      </c>
      <c r="AB56" s="40">
        <f t="shared" si="11"/>
        <v>1.3283448347473634</v>
      </c>
      <c r="AC56" s="41">
        <f t="shared" si="11"/>
        <v>1.992517252121045</v>
      </c>
      <c r="AD56" s="30"/>
    </row>
    <row r="57" spans="1:30" ht="15" customHeight="1">
      <c r="A57" s="30">
        <v>54</v>
      </c>
      <c r="B57" s="57" t="s">
        <v>173</v>
      </c>
      <c r="C57" s="6" t="s">
        <v>125</v>
      </c>
      <c r="D57" s="32">
        <v>92.5</v>
      </c>
      <c r="E57" s="32">
        <v>112.5</v>
      </c>
      <c r="F57" s="32">
        <v>120</v>
      </c>
      <c r="G57" s="33">
        <v>1.6</v>
      </c>
      <c r="H57" s="33">
        <v>1.6</v>
      </c>
      <c r="I57" s="33">
        <v>1.6</v>
      </c>
      <c r="J57" s="33">
        <v>1.9</v>
      </c>
      <c r="K57" s="33">
        <v>1.9</v>
      </c>
      <c r="L57" s="33">
        <v>1.9</v>
      </c>
      <c r="M57" s="33">
        <v>1.2</v>
      </c>
      <c r="N57" s="34">
        <v>1.5</v>
      </c>
      <c r="O57" s="35">
        <f>0.25*M57</f>
        <v>0.3</v>
      </c>
      <c r="P57" s="36">
        <f>0.5*M57</f>
        <v>0.6</v>
      </c>
      <c r="Q57" s="37">
        <f>0.75*M57</f>
        <v>0.89999999999999991</v>
      </c>
      <c r="R57" s="35">
        <f>IF(N57="---","---",0.125*SQRT(POWER(M57,2)+POWER(N57,2)))</f>
        <v>0.24011715890373184</v>
      </c>
      <c r="S57" s="36">
        <f>IF(N57="---","---",0.25*SQRT(POWER(M57,2)+POWER(N57,2)))</f>
        <v>0.48023431780746367</v>
      </c>
      <c r="T57" s="37">
        <f>IF(N57="---","---",0.375*SQRT(POWER(M57,2)+POWER(N57,2)))</f>
        <v>0.72035147671119548</v>
      </c>
      <c r="U57" s="35">
        <f t="shared" si="33"/>
        <v>0.73511715890373175</v>
      </c>
      <c r="V57" s="36">
        <f t="shared" si="34"/>
        <v>1.4702343178074635</v>
      </c>
      <c r="W57" s="37">
        <f t="shared" si="35"/>
        <v>2.2053514767111952</v>
      </c>
      <c r="X57" s="38">
        <f t="shared" si="9"/>
        <v>4.9678969393496883</v>
      </c>
      <c r="Y57" s="38">
        <f t="shared" si="9"/>
        <v>4.9678969393496883</v>
      </c>
      <c r="Z57" s="38">
        <f t="shared" si="9"/>
        <v>4.9678969393496883</v>
      </c>
      <c r="AA57" s="39">
        <f t="shared" si="11"/>
        <v>0.76852130744696989</v>
      </c>
      <c r="AB57" s="40">
        <f t="shared" si="11"/>
        <v>1.5370426148939398</v>
      </c>
      <c r="AC57" s="41">
        <f t="shared" si="11"/>
        <v>2.3055639223409092</v>
      </c>
      <c r="AD57" s="30"/>
    </row>
    <row r="58" spans="1:30">
      <c r="A58" s="30">
        <v>55</v>
      </c>
      <c r="B58" s="47" t="s">
        <v>174</v>
      </c>
      <c r="C58" s="6" t="s">
        <v>125</v>
      </c>
      <c r="D58" s="32">
        <v>4</v>
      </c>
      <c r="E58" s="32">
        <v>6.5</v>
      </c>
      <c r="F58" s="32">
        <v>8</v>
      </c>
      <c r="G58" s="33">
        <v>4</v>
      </c>
      <c r="H58" s="33">
        <v>4</v>
      </c>
      <c r="I58" s="33">
        <v>4</v>
      </c>
      <c r="J58" s="33">
        <v>5.7</v>
      </c>
      <c r="K58" s="33">
        <v>5.7</v>
      </c>
      <c r="L58" s="33">
        <v>5.7</v>
      </c>
      <c r="M58" s="33">
        <v>5.95</v>
      </c>
      <c r="N58" s="34">
        <v>15.3</v>
      </c>
      <c r="O58" s="35">
        <f>0.25*M58</f>
        <v>1.4875</v>
      </c>
      <c r="P58" s="36">
        <f>0.5*M58</f>
        <v>2.9750000000000001</v>
      </c>
      <c r="Q58" s="37">
        <f>0.75*M58</f>
        <v>4.4625000000000004</v>
      </c>
      <c r="R58" s="35">
        <f>IF(N58="---","---",0.125*SQRT(POWER(M58,2)+POWER(N58,2)))</f>
        <v>2.0520283410567215</v>
      </c>
      <c r="S58" s="36">
        <f>IF(N58="---","---",0.25*SQRT(POWER(M58,2)+POWER(N58,2)))</f>
        <v>4.104056682113443</v>
      </c>
      <c r="T58" s="37">
        <f>IF(N58="---","---",0.375*SQRT(POWER(M58,2)+POWER(N58,2)))</f>
        <v>6.1560850231701645</v>
      </c>
      <c r="U58" s="35">
        <f t="shared" si="33"/>
        <v>4.5064033410567212</v>
      </c>
      <c r="V58" s="36">
        <f t="shared" si="34"/>
        <v>9.0128066821134425</v>
      </c>
      <c r="W58" s="37">
        <f t="shared" si="35"/>
        <v>13.519210023170164</v>
      </c>
      <c r="X58" s="38">
        <f t="shared" si="9"/>
        <v>13.926952286842948</v>
      </c>
      <c r="Y58" s="38">
        <f t="shared" si="9"/>
        <v>13.926952286842948</v>
      </c>
      <c r="Z58" s="38">
        <f t="shared" si="9"/>
        <v>13.926952286842948</v>
      </c>
      <c r="AA58" s="39">
        <f t="shared" si="11"/>
        <v>5.0689156877975394</v>
      </c>
      <c r="AB58" s="40">
        <f t="shared" si="11"/>
        <v>10.137831375595079</v>
      </c>
      <c r="AC58" s="41">
        <f t="shared" si="11"/>
        <v>15.206747063392619</v>
      </c>
      <c r="AD58" s="30"/>
    </row>
    <row r="59" spans="1:30">
      <c r="A59" s="30">
        <v>56</v>
      </c>
      <c r="B59" s="58" t="s">
        <v>175</v>
      </c>
      <c r="C59" s="6" t="s">
        <v>125</v>
      </c>
      <c r="D59" s="32">
        <v>55</v>
      </c>
      <c r="E59" s="32">
        <v>110</v>
      </c>
      <c r="F59" s="32">
        <v>140</v>
      </c>
      <c r="G59" s="33">
        <v>5</v>
      </c>
      <c r="H59" s="33">
        <v>4</v>
      </c>
      <c r="I59" s="33">
        <v>3</v>
      </c>
      <c r="J59" s="33">
        <v>8.6999999999999993</v>
      </c>
      <c r="K59" s="33">
        <v>4.5</v>
      </c>
      <c r="L59" s="33">
        <v>4</v>
      </c>
      <c r="M59" s="34" t="s">
        <v>73</v>
      </c>
      <c r="N59" s="34" t="s">
        <v>73</v>
      </c>
      <c r="O59" s="32" t="s">
        <v>111</v>
      </c>
      <c r="P59" s="32" t="s">
        <v>111</v>
      </c>
      <c r="Q59" s="32" t="s">
        <v>111</v>
      </c>
      <c r="R59" s="32" t="s">
        <v>111</v>
      </c>
      <c r="S59" s="32" t="s">
        <v>111</v>
      </c>
      <c r="T59" s="32" t="s">
        <v>111</v>
      </c>
      <c r="U59" s="54" t="s">
        <v>111</v>
      </c>
      <c r="V59" s="54" t="s">
        <v>111</v>
      </c>
      <c r="W59" s="54" t="s">
        <v>111</v>
      </c>
      <c r="X59" s="38">
        <f t="shared" si="9"/>
        <v>20.06888138387389</v>
      </c>
      <c r="Y59" s="38">
        <f t="shared" si="9"/>
        <v>12.041594578792296</v>
      </c>
      <c r="Z59" s="38">
        <f t="shared" si="9"/>
        <v>10</v>
      </c>
      <c r="AA59" s="44" t="s">
        <v>111</v>
      </c>
      <c r="AB59" s="45" t="s">
        <v>111</v>
      </c>
      <c r="AC59" s="46" t="s">
        <v>111</v>
      </c>
      <c r="AD59" s="30"/>
    </row>
    <row r="60" spans="1:30">
      <c r="A60" s="30">
        <v>57</v>
      </c>
      <c r="B60" s="58" t="s">
        <v>176</v>
      </c>
      <c r="C60" s="6"/>
      <c r="D60" s="32" t="s">
        <v>111</v>
      </c>
      <c r="E60" s="32" t="s">
        <v>111</v>
      </c>
      <c r="F60" s="32" t="s">
        <v>111</v>
      </c>
      <c r="G60" s="32" t="s">
        <v>111</v>
      </c>
      <c r="H60" s="32" t="s">
        <v>111</v>
      </c>
      <c r="I60" s="32" t="s">
        <v>111</v>
      </c>
      <c r="J60" s="32" t="s">
        <v>111</v>
      </c>
      <c r="K60" s="32" t="s">
        <v>111</v>
      </c>
      <c r="L60" s="32" t="s">
        <v>111</v>
      </c>
      <c r="M60" s="33" t="s">
        <v>111</v>
      </c>
      <c r="N60" s="34" t="s">
        <v>73</v>
      </c>
      <c r="O60" s="32" t="s">
        <v>111</v>
      </c>
      <c r="P60" s="32" t="s">
        <v>111</v>
      </c>
      <c r="Q60" s="32" t="s">
        <v>111</v>
      </c>
      <c r="R60" s="32" t="s">
        <v>111</v>
      </c>
      <c r="S60" s="32" t="s">
        <v>111</v>
      </c>
      <c r="T60" s="32" t="s">
        <v>111</v>
      </c>
      <c r="U60" s="54" t="s">
        <v>111</v>
      </c>
      <c r="V60" s="54" t="s">
        <v>111</v>
      </c>
      <c r="W60" s="54" t="s">
        <v>111</v>
      </c>
      <c r="X60" s="32" t="s">
        <v>111</v>
      </c>
      <c r="Y60" s="32" t="s">
        <v>111</v>
      </c>
      <c r="Z60" s="32" t="s">
        <v>111</v>
      </c>
      <c r="AA60" s="44" t="s">
        <v>111</v>
      </c>
      <c r="AB60" s="45" t="s">
        <v>111</v>
      </c>
      <c r="AC60" s="46" t="s">
        <v>111</v>
      </c>
      <c r="AD60" s="30"/>
    </row>
    <row r="61" spans="1:30">
      <c r="A61" s="30">
        <v>58</v>
      </c>
      <c r="B61" s="47" t="s">
        <v>177</v>
      </c>
      <c r="C61" s="6" t="s">
        <v>108</v>
      </c>
      <c r="D61" s="32">
        <v>75</v>
      </c>
      <c r="E61" s="32">
        <v>250</v>
      </c>
      <c r="F61" s="32">
        <v>400</v>
      </c>
      <c r="G61" s="33">
        <v>6</v>
      </c>
      <c r="H61" s="33">
        <v>6</v>
      </c>
      <c r="I61" s="33">
        <v>5</v>
      </c>
      <c r="J61" s="33">
        <v>8</v>
      </c>
      <c r="K61" s="33">
        <v>6.7</v>
      </c>
      <c r="L61" s="33">
        <v>6.2</v>
      </c>
      <c r="M61" s="33">
        <v>22.8</v>
      </c>
      <c r="N61" s="34">
        <v>40</v>
      </c>
      <c r="O61" s="35">
        <f>0.25*M61</f>
        <v>5.7</v>
      </c>
      <c r="P61" s="36">
        <f>0.5*M61</f>
        <v>11.4</v>
      </c>
      <c r="Q61" s="37">
        <f>0.75*M61</f>
        <v>17.100000000000001</v>
      </c>
      <c r="R61" s="35">
        <f>IF(N61="---","---",0.125*SQRT(POWER(M61,2)+POWER(N61,2)))</f>
        <v>5.7552150263912818</v>
      </c>
      <c r="S61" s="36">
        <f>IF(N61="---","---",0.25*SQRT(POWER(M61,2)+POWER(N61,2)))</f>
        <v>11.510430052782564</v>
      </c>
      <c r="T61" s="37">
        <f>IF(N61="---","---",0.375*SQRT(POWER(M61,2)+POWER(N61,2)))</f>
        <v>17.265645079173844</v>
      </c>
      <c r="U61" s="35">
        <f t="shared" si="33"/>
        <v>15.160215026391281</v>
      </c>
      <c r="V61" s="36">
        <f t="shared" si="34"/>
        <v>30.320430052782562</v>
      </c>
      <c r="W61" s="37">
        <f t="shared" si="35"/>
        <v>45.48064507917384</v>
      </c>
      <c r="X61" s="38">
        <f t="shared" si="9"/>
        <v>20</v>
      </c>
      <c r="Y61" s="38">
        <f t="shared" si="9"/>
        <v>17.987773625437917</v>
      </c>
      <c r="Z61" s="38">
        <f t="shared" si="9"/>
        <v>15.929846201391902</v>
      </c>
      <c r="AA61" s="39">
        <f t="shared" si="11"/>
        <v>16.200308639035246</v>
      </c>
      <c r="AB61" s="40">
        <f t="shared" si="11"/>
        <v>32.400617278070492</v>
      </c>
      <c r="AC61" s="41">
        <f t="shared" si="11"/>
        <v>48.600925917105741</v>
      </c>
      <c r="AD61" s="30"/>
    </row>
    <row r="62" spans="1:30">
      <c r="A62" s="30">
        <v>59</v>
      </c>
      <c r="B62" s="31" t="s">
        <v>178</v>
      </c>
      <c r="C62" s="6" t="s">
        <v>113</v>
      </c>
      <c r="D62" s="32" t="s">
        <v>111</v>
      </c>
      <c r="E62" s="32" t="s">
        <v>111</v>
      </c>
      <c r="F62" s="32" t="s">
        <v>111</v>
      </c>
      <c r="G62" s="32" t="s">
        <v>111</v>
      </c>
      <c r="H62" s="32" t="s">
        <v>111</v>
      </c>
      <c r="I62" s="32" t="s">
        <v>111</v>
      </c>
      <c r="J62" s="32" t="s">
        <v>111</v>
      </c>
      <c r="K62" s="32" t="s">
        <v>111</v>
      </c>
      <c r="L62" s="32" t="s">
        <v>111</v>
      </c>
      <c r="M62" s="33" t="s">
        <v>111</v>
      </c>
      <c r="N62" s="34" t="s">
        <v>73</v>
      </c>
      <c r="O62" s="32" t="s">
        <v>111</v>
      </c>
      <c r="P62" s="32" t="s">
        <v>111</v>
      </c>
      <c r="Q62" s="32" t="s">
        <v>111</v>
      </c>
      <c r="R62" s="32" t="s">
        <v>111</v>
      </c>
      <c r="S62" s="32" t="s">
        <v>111</v>
      </c>
      <c r="T62" s="32" t="s">
        <v>111</v>
      </c>
      <c r="U62" s="54" t="s">
        <v>111</v>
      </c>
      <c r="V62" s="54" t="s">
        <v>111</v>
      </c>
      <c r="W62" s="54" t="s">
        <v>111</v>
      </c>
      <c r="X62" s="32" t="s">
        <v>111</v>
      </c>
      <c r="Y62" s="32" t="s">
        <v>111</v>
      </c>
      <c r="Z62" s="32" t="s">
        <v>111</v>
      </c>
      <c r="AA62" s="44" t="s">
        <v>111</v>
      </c>
      <c r="AB62" s="45" t="s">
        <v>111</v>
      </c>
      <c r="AC62" s="46" t="s">
        <v>111</v>
      </c>
      <c r="AD62" s="30"/>
    </row>
    <row r="63" spans="1:30">
      <c r="A63" s="30">
        <v>60</v>
      </c>
      <c r="B63" s="31" t="s">
        <v>179</v>
      </c>
      <c r="C63" s="6" t="s">
        <v>113</v>
      </c>
      <c r="D63" s="32" t="s">
        <v>111</v>
      </c>
      <c r="E63" s="32" t="s">
        <v>111</v>
      </c>
      <c r="F63" s="32" t="s">
        <v>111</v>
      </c>
      <c r="G63" s="32" t="s">
        <v>111</v>
      </c>
      <c r="H63" s="32" t="s">
        <v>111</v>
      </c>
      <c r="I63" s="32" t="s">
        <v>111</v>
      </c>
      <c r="J63" s="32" t="s">
        <v>111</v>
      </c>
      <c r="K63" s="32" t="s">
        <v>111</v>
      </c>
      <c r="L63" s="32" t="s">
        <v>111</v>
      </c>
      <c r="M63" s="33" t="s">
        <v>111</v>
      </c>
      <c r="N63" s="34" t="s">
        <v>73</v>
      </c>
      <c r="O63" s="32" t="s">
        <v>111</v>
      </c>
      <c r="P63" s="32" t="s">
        <v>111</v>
      </c>
      <c r="Q63" s="32" t="s">
        <v>111</v>
      </c>
      <c r="R63" s="32" t="s">
        <v>111</v>
      </c>
      <c r="S63" s="32" t="s">
        <v>111</v>
      </c>
      <c r="T63" s="32" t="s">
        <v>111</v>
      </c>
      <c r="U63" s="54" t="s">
        <v>111</v>
      </c>
      <c r="V63" s="54" t="s">
        <v>111</v>
      </c>
      <c r="W63" s="54" t="s">
        <v>111</v>
      </c>
      <c r="X63" s="32" t="s">
        <v>111</v>
      </c>
      <c r="Y63" s="32" t="s">
        <v>111</v>
      </c>
      <c r="Z63" s="32" t="s">
        <v>111</v>
      </c>
      <c r="AA63" s="44" t="s">
        <v>111</v>
      </c>
      <c r="AB63" s="45" t="s">
        <v>111</v>
      </c>
      <c r="AC63" s="46" t="s">
        <v>111</v>
      </c>
      <c r="AD63" s="30"/>
    </row>
    <row r="64" spans="1:30">
      <c r="A64" s="30">
        <v>61</v>
      </c>
      <c r="B64" s="59" t="s">
        <v>180</v>
      </c>
      <c r="C64" s="6" t="s">
        <v>142</v>
      </c>
      <c r="D64" s="32" t="s">
        <v>111</v>
      </c>
      <c r="E64" s="32" t="s">
        <v>111</v>
      </c>
      <c r="F64" s="32" t="s">
        <v>111</v>
      </c>
      <c r="G64" s="32" t="s">
        <v>111</v>
      </c>
      <c r="H64" s="32" t="s">
        <v>111</v>
      </c>
      <c r="I64" s="32" t="s">
        <v>111</v>
      </c>
      <c r="J64" s="32" t="s">
        <v>111</v>
      </c>
      <c r="K64" s="32" t="s">
        <v>111</v>
      </c>
      <c r="L64" s="32" t="s">
        <v>111</v>
      </c>
      <c r="M64" s="34" t="s">
        <v>73</v>
      </c>
      <c r="N64" s="34" t="s">
        <v>73</v>
      </c>
      <c r="O64" s="32" t="s">
        <v>111</v>
      </c>
      <c r="P64" s="32" t="s">
        <v>111</v>
      </c>
      <c r="Q64" s="32" t="s">
        <v>111</v>
      </c>
      <c r="R64" s="32" t="s">
        <v>111</v>
      </c>
      <c r="S64" s="32" t="s">
        <v>111</v>
      </c>
      <c r="T64" s="32" t="s">
        <v>111</v>
      </c>
      <c r="U64" s="54" t="s">
        <v>111</v>
      </c>
      <c r="V64" s="54" t="s">
        <v>111</v>
      </c>
      <c r="W64" s="54" t="s">
        <v>111</v>
      </c>
      <c r="X64" s="32" t="s">
        <v>111</v>
      </c>
      <c r="Y64" s="32" t="s">
        <v>111</v>
      </c>
      <c r="Z64" s="32" t="s">
        <v>111</v>
      </c>
      <c r="AA64" s="44" t="s">
        <v>111</v>
      </c>
      <c r="AB64" s="45" t="s">
        <v>111</v>
      </c>
      <c r="AC64" s="46" t="s">
        <v>111</v>
      </c>
      <c r="AD64" s="30"/>
    </row>
    <row r="65" spans="1:30">
      <c r="A65" s="30">
        <v>62</v>
      </c>
      <c r="B65" s="47" t="s">
        <v>181</v>
      </c>
      <c r="C65" s="6" t="s">
        <v>182</v>
      </c>
      <c r="D65" s="32">
        <v>300</v>
      </c>
      <c r="E65" s="32">
        <v>750</v>
      </c>
      <c r="F65" s="32">
        <v>1000</v>
      </c>
      <c r="G65" s="33">
        <v>15</v>
      </c>
      <c r="H65" s="33">
        <v>10</v>
      </c>
      <c r="I65" s="33">
        <v>10</v>
      </c>
      <c r="J65" s="33">
        <v>13.2</v>
      </c>
      <c r="K65" s="33">
        <v>11.2</v>
      </c>
      <c r="L65" s="33">
        <v>11.2</v>
      </c>
      <c r="M65" s="33">
        <v>20.9</v>
      </c>
      <c r="N65" s="34">
        <v>45.6</v>
      </c>
      <c r="O65" s="35">
        <f t="shared" ref="O65:O70" si="42">0.25*M65</f>
        <v>5.2249999999999996</v>
      </c>
      <c r="P65" s="36">
        <f t="shared" ref="P65:P70" si="43">0.5*M65</f>
        <v>10.45</v>
      </c>
      <c r="Q65" s="37">
        <f t="shared" ref="Q65:Q70" si="44">0.75*M65</f>
        <v>15.674999999999999</v>
      </c>
      <c r="R65" s="35">
        <f t="shared" ref="R65:R70" si="45">IF(N65="---","---",0.125*SQRT(POWER(M65,2)+POWER(N65,2)))</f>
        <v>6.2701799216609411</v>
      </c>
      <c r="S65" s="36">
        <f t="shared" ref="S65:S70" si="46">IF(N65="---","---",0.25*SQRT(POWER(M65,2)+POWER(N65,2)))</f>
        <v>12.540359843321882</v>
      </c>
      <c r="T65" s="37">
        <f t="shared" ref="T65:T70" si="47">IF(N65="---","---",0.375*SQRT(POWER(M65,2)+POWER(N65,2)))</f>
        <v>18.810539764982824</v>
      </c>
      <c r="U65" s="35">
        <f t="shared" ref="U65:U127" si="48">IF($N65="---","---",$O65*1.65+$R65)</f>
        <v>14.89142992166094</v>
      </c>
      <c r="V65" s="36">
        <f t="shared" ref="V65:V127" si="49">IF($N65="---","---",$P65*1.65+$S65)</f>
        <v>29.78285984332188</v>
      </c>
      <c r="W65" s="37">
        <f t="shared" ref="W65:W127" si="50">IF($N65="---","---",$Q65*1.65+$T65)</f>
        <v>44.674289764982817</v>
      </c>
      <c r="X65" s="38">
        <f t="shared" ref="X65:Z115" si="51">2*(SQRT((G65^2)+(J65^2)))</f>
        <v>39.96198193283211</v>
      </c>
      <c r="Y65" s="38">
        <f t="shared" si="51"/>
        <v>30.029319006597536</v>
      </c>
      <c r="Z65" s="38">
        <f t="shared" si="51"/>
        <v>30.029319006597536</v>
      </c>
      <c r="AA65" s="39">
        <f t="shared" si="11"/>
        <v>16.323698263567604</v>
      </c>
      <c r="AB65" s="40">
        <f t="shared" si="11"/>
        <v>32.647396527135207</v>
      </c>
      <c r="AC65" s="41">
        <f t="shared" si="11"/>
        <v>48.971094790702814</v>
      </c>
      <c r="AD65" s="30"/>
    </row>
    <row r="66" spans="1:30">
      <c r="A66" s="30">
        <v>63</v>
      </c>
      <c r="B66" s="47" t="s">
        <v>183</v>
      </c>
      <c r="C66" s="6" t="s">
        <v>123</v>
      </c>
      <c r="D66" s="32">
        <v>85</v>
      </c>
      <c r="E66" s="32">
        <v>365</v>
      </c>
      <c r="F66" s="32">
        <v>590</v>
      </c>
      <c r="G66" s="33">
        <v>6</v>
      </c>
      <c r="H66" s="33">
        <v>4.5</v>
      </c>
      <c r="I66" s="33">
        <v>2.4</v>
      </c>
      <c r="J66" s="33">
        <v>8</v>
      </c>
      <c r="K66" s="33">
        <v>7.8</v>
      </c>
      <c r="L66" s="33">
        <v>7.6</v>
      </c>
      <c r="M66" s="33">
        <v>6</v>
      </c>
      <c r="N66" s="34">
        <v>14.7</v>
      </c>
      <c r="O66" s="35">
        <f t="shared" si="42"/>
        <v>1.5</v>
      </c>
      <c r="P66" s="36">
        <f t="shared" si="43"/>
        <v>3</v>
      </c>
      <c r="Q66" s="37">
        <f t="shared" si="44"/>
        <v>4.5</v>
      </c>
      <c r="R66" s="35">
        <f t="shared" si="45"/>
        <v>1.9846677933598862</v>
      </c>
      <c r="S66" s="36">
        <f t="shared" si="46"/>
        <v>3.9693355867197724</v>
      </c>
      <c r="T66" s="37">
        <f t="shared" si="47"/>
        <v>5.9540033800796586</v>
      </c>
      <c r="U66" s="35">
        <f t="shared" si="48"/>
        <v>4.4596677933598858</v>
      </c>
      <c r="V66" s="36">
        <f t="shared" si="49"/>
        <v>8.9193355867197717</v>
      </c>
      <c r="W66" s="37">
        <f t="shared" si="50"/>
        <v>13.379003380079659</v>
      </c>
      <c r="X66" s="38">
        <f t="shared" si="51"/>
        <v>20</v>
      </c>
      <c r="Y66" s="38">
        <f t="shared" si="51"/>
        <v>18.009997223764362</v>
      </c>
      <c r="Z66" s="38">
        <f t="shared" si="51"/>
        <v>15.939887076137019</v>
      </c>
      <c r="AA66" s="39">
        <f t="shared" si="11"/>
        <v>4.9755024871865956</v>
      </c>
      <c r="AB66" s="40">
        <f t="shared" si="11"/>
        <v>9.9510049743731912</v>
      </c>
      <c r="AC66" s="41">
        <f t="shared" si="11"/>
        <v>14.926507461559787</v>
      </c>
      <c r="AD66" s="30"/>
    </row>
    <row r="67" spans="1:30">
      <c r="A67" s="30">
        <v>64</v>
      </c>
      <c r="B67" s="60" t="s">
        <v>184</v>
      </c>
      <c r="C67" s="6" t="s">
        <v>123</v>
      </c>
      <c r="D67" s="32" t="s">
        <v>111</v>
      </c>
      <c r="E67" s="32" t="s">
        <v>111</v>
      </c>
      <c r="F67" s="32" t="s">
        <v>111</v>
      </c>
      <c r="G67" s="32" t="s">
        <v>111</v>
      </c>
      <c r="H67" s="32" t="s">
        <v>111</v>
      </c>
      <c r="I67" s="32" t="s">
        <v>111</v>
      </c>
      <c r="J67" s="32" t="s">
        <v>111</v>
      </c>
      <c r="K67" s="32" t="s">
        <v>111</v>
      </c>
      <c r="L67" s="32" t="s">
        <v>111</v>
      </c>
      <c r="M67" s="32" t="s">
        <v>111</v>
      </c>
      <c r="N67" s="32" t="s">
        <v>111</v>
      </c>
      <c r="O67" s="32" t="s">
        <v>111</v>
      </c>
      <c r="P67" s="32" t="s">
        <v>111</v>
      </c>
      <c r="Q67" s="32" t="s">
        <v>111</v>
      </c>
      <c r="R67" s="32" t="s">
        <v>111</v>
      </c>
      <c r="S67" s="32" t="s">
        <v>111</v>
      </c>
      <c r="T67" s="32" t="s">
        <v>111</v>
      </c>
      <c r="U67" s="7" t="s">
        <v>111</v>
      </c>
      <c r="V67" s="7" t="s">
        <v>111</v>
      </c>
      <c r="W67" s="7" t="s">
        <v>111</v>
      </c>
      <c r="X67" s="32" t="s">
        <v>111</v>
      </c>
      <c r="Y67" s="32" t="s">
        <v>111</v>
      </c>
      <c r="Z67" s="32" t="s">
        <v>111</v>
      </c>
      <c r="AA67" s="44" t="s">
        <v>111</v>
      </c>
      <c r="AB67" s="45" t="s">
        <v>111</v>
      </c>
      <c r="AC67" s="46" t="s">
        <v>111</v>
      </c>
      <c r="AD67" s="30"/>
    </row>
    <row r="68" spans="1:30">
      <c r="A68" s="30">
        <v>65</v>
      </c>
      <c r="B68" s="31" t="s">
        <v>185</v>
      </c>
      <c r="C68" s="6" t="s">
        <v>125</v>
      </c>
      <c r="D68" s="32">
        <v>4.5</v>
      </c>
      <c r="E68" s="32">
        <v>14</v>
      </c>
      <c r="F68" s="32">
        <v>20</v>
      </c>
      <c r="G68" s="33">
        <v>6</v>
      </c>
      <c r="H68" s="33">
        <v>5</v>
      </c>
      <c r="I68" s="33">
        <v>5</v>
      </c>
      <c r="J68" s="33">
        <v>8</v>
      </c>
      <c r="K68" s="33">
        <v>6.2</v>
      </c>
      <c r="L68" s="33">
        <v>6.2</v>
      </c>
      <c r="M68" s="33">
        <v>11</v>
      </c>
      <c r="N68" s="34">
        <v>23</v>
      </c>
      <c r="O68" s="35">
        <f t="shared" si="42"/>
        <v>2.75</v>
      </c>
      <c r="P68" s="36">
        <f t="shared" si="43"/>
        <v>5.5</v>
      </c>
      <c r="Q68" s="37">
        <f t="shared" si="44"/>
        <v>8.25</v>
      </c>
      <c r="R68" s="35">
        <f t="shared" si="45"/>
        <v>3.1868871959954905</v>
      </c>
      <c r="S68" s="36">
        <f t="shared" si="46"/>
        <v>6.3737743919909811</v>
      </c>
      <c r="T68" s="37">
        <f t="shared" si="47"/>
        <v>9.5606615879864716</v>
      </c>
      <c r="U68" s="35">
        <f t="shared" si="48"/>
        <v>7.7243871959954902</v>
      </c>
      <c r="V68" s="36">
        <f t="shared" si="49"/>
        <v>15.44877439199098</v>
      </c>
      <c r="W68" s="37">
        <f t="shared" si="50"/>
        <v>23.173161587986471</v>
      </c>
      <c r="X68" s="38">
        <f t="shared" si="51"/>
        <v>20</v>
      </c>
      <c r="Y68" s="38">
        <f t="shared" si="51"/>
        <v>15.929846201391902</v>
      </c>
      <c r="Z68" s="38">
        <f t="shared" si="51"/>
        <v>15.929846201391902</v>
      </c>
      <c r="AA68" s="39">
        <f t="shared" si="11"/>
        <v>8.4187291202413679</v>
      </c>
      <c r="AB68" s="40">
        <f t="shared" si="11"/>
        <v>16.837458240482736</v>
      </c>
      <c r="AC68" s="41">
        <f t="shared" si="11"/>
        <v>25.256187360724105</v>
      </c>
      <c r="AD68" s="30"/>
    </row>
    <row r="69" spans="1:30">
      <c r="A69" s="30">
        <v>66</v>
      </c>
      <c r="B69" s="47" t="s">
        <v>186</v>
      </c>
      <c r="C69" s="6" t="s">
        <v>139</v>
      </c>
      <c r="D69" s="32">
        <v>32.5</v>
      </c>
      <c r="E69" s="32">
        <v>75</v>
      </c>
      <c r="F69" s="32">
        <v>100</v>
      </c>
      <c r="G69" s="33">
        <v>12</v>
      </c>
      <c r="H69" s="33">
        <v>6</v>
      </c>
      <c r="I69" s="33">
        <v>5</v>
      </c>
      <c r="J69" s="33">
        <v>9</v>
      </c>
      <c r="K69" s="33">
        <v>8</v>
      </c>
      <c r="L69" s="33">
        <v>7.5</v>
      </c>
      <c r="M69" s="33">
        <v>42.2</v>
      </c>
      <c r="N69" s="34">
        <v>76.3</v>
      </c>
      <c r="O69" s="35">
        <f t="shared" si="42"/>
        <v>10.55</v>
      </c>
      <c r="P69" s="36">
        <f t="shared" si="43"/>
        <v>21.1</v>
      </c>
      <c r="Q69" s="37">
        <f t="shared" si="44"/>
        <v>31.650000000000002</v>
      </c>
      <c r="R69" s="35">
        <f t="shared" si="45"/>
        <v>10.89906102607009</v>
      </c>
      <c r="S69" s="36">
        <f t="shared" si="46"/>
        <v>21.79812205214018</v>
      </c>
      <c r="T69" s="37">
        <f t="shared" si="47"/>
        <v>32.697183078210273</v>
      </c>
      <c r="U69" s="35">
        <f t="shared" si="48"/>
        <v>28.306561026070089</v>
      </c>
      <c r="V69" s="36">
        <f t="shared" si="49"/>
        <v>56.613122052140177</v>
      </c>
      <c r="W69" s="37">
        <f t="shared" si="50"/>
        <v>84.919683078210284</v>
      </c>
      <c r="X69" s="38">
        <f t="shared" si="51"/>
        <v>30</v>
      </c>
      <c r="Y69" s="38">
        <f t="shared" si="51"/>
        <v>20</v>
      </c>
      <c r="Z69" s="38">
        <f t="shared" si="51"/>
        <v>18.027756377319946</v>
      </c>
      <c r="AA69" s="39">
        <f t="shared" ref="AA69:AC132" si="52">2*(SQRT((O69^2)+(R69^2)))</f>
        <v>30.337569530204622</v>
      </c>
      <c r="AB69" s="40">
        <f t="shared" si="52"/>
        <v>60.675139060409244</v>
      </c>
      <c r="AC69" s="41">
        <f t="shared" si="52"/>
        <v>91.012708590613869</v>
      </c>
      <c r="AD69" s="30"/>
    </row>
    <row r="70" spans="1:30">
      <c r="A70" s="30">
        <v>67</v>
      </c>
      <c r="B70" s="61" t="s">
        <v>75</v>
      </c>
      <c r="C70" s="6" t="s">
        <v>187</v>
      </c>
      <c r="D70" s="32" t="s">
        <v>111</v>
      </c>
      <c r="E70" s="32" t="s">
        <v>111</v>
      </c>
      <c r="F70" s="32" t="s">
        <v>111</v>
      </c>
      <c r="G70" s="32" t="s">
        <v>111</v>
      </c>
      <c r="H70" s="32" t="s">
        <v>111</v>
      </c>
      <c r="I70" s="32" t="s">
        <v>111</v>
      </c>
      <c r="J70" s="32" t="s">
        <v>111</v>
      </c>
      <c r="K70" s="32" t="s">
        <v>111</v>
      </c>
      <c r="L70" s="32" t="s">
        <v>111</v>
      </c>
      <c r="M70" s="32">
        <v>23.3</v>
      </c>
      <c r="N70" s="32">
        <v>26.5</v>
      </c>
      <c r="O70" s="35">
        <f t="shared" si="42"/>
        <v>5.8250000000000002</v>
      </c>
      <c r="P70" s="36">
        <f t="shared" si="43"/>
        <v>11.65</v>
      </c>
      <c r="Q70" s="37">
        <f t="shared" si="44"/>
        <v>17.475000000000001</v>
      </c>
      <c r="R70" s="35">
        <f t="shared" si="45"/>
        <v>4.4108176679613491</v>
      </c>
      <c r="S70" s="36">
        <f t="shared" si="46"/>
        <v>8.8216353359226982</v>
      </c>
      <c r="T70" s="37">
        <f t="shared" si="47"/>
        <v>13.232453003884046</v>
      </c>
      <c r="U70" s="35">
        <f t="shared" si="48"/>
        <v>14.022067667961348</v>
      </c>
      <c r="V70" s="36">
        <f t="shared" si="49"/>
        <v>28.044135335922697</v>
      </c>
      <c r="W70" s="37">
        <f t="shared" si="50"/>
        <v>42.066203003884048</v>
      </c>
      <c r="X70" s="32" t="s">
        <v>111</v>
      </c>
      <c r="Y70" s="32" t="s">
        <v>111</v>
      </c>
      <c r="Z70" s="32" t="s">
        <v>111</v>
      </c>
      <c r="AA70" s="39">
        <f t="shared" si="52"/>
        <v>14.613136213694855</v>
      </c>
      <c r="AB70" s="40">
        <f t="shared" si="52"/>
        <v>29.226272427389709</v>
      </c>
      <c r="AC70" s="41">
        <f t="shared" si="52"/>
        <v>43.839408641084567</v>
      </c>
      <c r="AD70" s="30"/>
    </row>
    <row r="71" spans="1:30">
      <c r="A71" s="30">
        <v>68</v>
      </c>
      <c r="B71" s="47" t="s">
        <v>188</v>
      </c>
      <c r="C71" s="6" t="s">
        <v>139</v>
      </c>
      <c r="D71" s="32">
        <v>55</v>
      </c>
      <c r="E71" s="32">
        <v>105</v>
      </c>
      <c r="F71" s="32">
        <v>130</v>
      </c>
      <c r="G71" s="32">
        <v>10</v>
      </c>
      <c r="H71" s="32">
        <v>8</v>
      </c>
      <c r="I71" s="32">
        <v>8</v>
      </c>
      <c r="J71" s="32">
        <v>11.2</v>
      </c>
      <c r="K71" s="32">
        <v>8.9</v>
      </c>
      <c r="L71" s="32">
        <v>8.9</v>
      </c>
      <c r="M71" s="34" t="s">
        <v>73</v>
      </c>
      <c r="N71" s="34" t="s">
        <v>73</v>
      </c>
      <c r="O71" s="32" t="s">
        <v>111</v>
      </c>
      <c r="P71" s="32" t="s">
        <v>111</v>
      </c>
      <c r="Q71" s="32" t="s">
        <v>111</v>
      </c>
      <c r="R71" s="32" t="s">
        <v>111</v>
      </c>
      <c r="S71" s="32" t="s">
        <v>111</v>
      </c>
      <c r="T71" s="32" t="s">
        <v>111</v>
      </c>
      <c r="U71" s="62" t="s">
        <v>111</v>
      </c>
      <c r="V71" s="62" t="s">
        <v>111</v>
      </c>
      <c r="W71" s="62" t="s">
        <v>111</v>
      </c>
      <c r="X71" s="38">
        <f t="shared" si="51"/>
        <v>30.029319006597536</v>
      </c>
      <c r="Y71" s="38">
        <f t="shared" si="51"/>
        <v>23.934076125892137</v>
      </c>
      <c r="Z71" s="38">
        <f t="shared" si="51"/>
        <v>23.934076125892137</v>
      </c>
      <c r="AA71" s="44" t="s">
        <v>111</v>
      </c>
      <c r="AB71" s="45" t="s">
        <v>111</v>
      </c>
      <c r="AC71" s="46" t="s">
        <v>111</v>
      </c>
      <c r="AD71" s="30"/>
    </row>
    <row r="72" spans="1:30">
      <c r="A72" s="30">
        <v>69</v>
      </c>
      <c r="B72" s="47" t="s">
        <v>189</v>
      </c>
      <c r="C72" s="6" t="s">
        <v>190</v>
      </c>
      <c r="D72" s="32">
        <v>1</v>
      </c>
      <c r="E72" s="32">
        <v>2.25</v>
      </c>
      <c r="F72" s="32">
        <v>3</v>
      </c>
      <c r="G72" s="33">
        <v>12</v>
      </c>
      <c r="H72" s="33">
        <v>7</v>
      </c>
      <c r="I72" s="33">
        <v>7</v>
      </c>
      <c r="J72" s="33">
        <v>9</v>
      </c>
      <c r="K72" s="33">
        <v>12.1</v>
      </c>
      <c r="L72" s="33">
        <v>12.1</v>
      </c>
      <c r="M72" s="33">
        <v>9</v>
      </c>
      <c r="N72" s="34" t="s">
        <v>73</v>
      </c>
      <c r="O72" s="32" t="s">
        <v>111</v>
      </c>
      <c r="P72" s="32" t="s">
        <v>111</v>
      </c>
      <c r="Q72" s="32" t="s">
        <v>111</v>
      </c>
      <c r="R72" s="32" t="s">
        <v>111</v>
      </c>
      <c r="S72" s="32" t="s">
        <v>111</v>
      </c>
      <c r="T72" s="32" t="s">
        <v>111</v>
      </c>
      <c r="U72" s="62" t="s">
        <v>111</v>
      </c>
      <c r="V72" s="62" t="s">
        <v>111</v>
      </c>
      <c r="W72" s="62" t="s">
        <v>111</v>
      </c>
      <c r="X72" s="38">
        <f t="shared" si="51"/>
        <v>30</v>
      </c>
      <c r="Y72" s="38">
        <f t="shared" si="51"/>
        <v>27.957825380383216</v>
      </c>
      <c r="Z72" s="38">
        <f t="shared" si="51"/>
        <v>27.957825380383216</v>
      </c>
      <c r="AA72" s="44" t="s">
        <v>111</v>
      </c>
      <c r="AB72" s="45" t="s">
        <v>111</v>
      </c>
      <c r="AC72" s="46" t="s">
        <v>111</v>
      </c>
      <c r="AD72" s="30"/>
    </row>
    <row r="73" spans="1:30">
      <c r="A73" s="30">
        <v>70</v>
      </c>
      <c r="B73" s="47" t="s">
        <v>191</v>
      </c>
      <c r="C73" s="6" t="s">
        <v>192</v>
      </c>
      <c r="D73" s="32">
        <v>550</v>
      </c>
      <c r="E73" s="32">
        <v>5500</v>
      </c>
      <c r="F73" s="32">
        <v>10000</v>
      </c>
      <c r="G73" s="32">
        <v>25</v>
      </c>
      <c r="H73" s="32">
        <v>10</v>
      </c>
      <c r="I73" s="32">
        <v>10</v>
      </c>
      <c r="J73" s="32">
        <v>24.5</v>
      </c>
      <c r="K73" s="32">
        <v>11.2</v>
      </c>
      <c r="L73" s="32">
        <v>11.2</v>
      </c>
      <c r="M73" s="34">
        <v>22.8</v>
      </c>
      <c r="N73" s="34">
        <v>24.4</v>
      </c>
      <c r="O73" s="35">
        <f t="shared" ref="O73:O92" si="53">0.25*M73</f>
        <v>5.7</v>
      </c>
      <c r="P73" s="36">
        <f t="shared" ref="P73:P92" si="54">0.5*M73</f>
        <v>11.4</v>
      </c>
      <c r="Q73" s="37">
        <f t="shared" ref="Q73:Q92" si="55">0.75*M73</f>
        <v>17.100000000000001</v>
      </c>
      <c r="R73" s="35">
        <f t="shared" ref="R73:R92" si="56">IF(N73="---","---",0.125*SQRT(POWER(M73,2)+POWER(N73,2)))</f>
        <v>4.1743262929483596</v>
      </c>
      <c r="S73" s="36">
        <f t="shared" ref="S73:S92" si="57">IF(N73="---","---",0.25*SQRT(POWER(M73,2)+POWER(N73,2)))</f>
        <v>8.3486525858967191</v>
      </c>
      <c r="T73" s="37">
        <f t="shared" ref="T73:T92" si="58">IF(N73="---","---",0.375*SQRT(POWER(M73,2)+POWER(N73,2)))</f>
        <v>12.522978878845079</v>
      </c>
      <c r="U73" s="35">
        <f t="shared" si="48"/>
        <v>13.579326292948359</v>
      </c>
      <c r="V73" s="36">
        <f t="shared" si="49"/>
        <v>27.158652585896718</v>
      </c>
      <c r="W73" s="37">
        <f t="shared" si="50"/>
        <v>40.737978878845077</v>
      </c>
      <c r="X73" s="38">
        <f t="shared" si="51"/>
        <v>70.007142492748557</v>
      </c>
      <c r="Y73" s="38">
        <f t="shared" si="51"/>
        <v>30.029319006597536</v>
      </c>
      <c r="Z73" s="38">
        <f t="shared" si="51"/>
        <v>30.029319006597536</v>
      </c>
      <c r="AA73" s="39">
        <f t="shared" si="52"/>
        <v>14.130109695257145</v>
      </c>
      <c r="AB73" s="40">
        <f t="shared" si="52"/>
        <v>28.26021939051429</v>
      </c>
      <c r="AC73" s="41">
        <f t="shared" si="52"/>
        <v>42.390329085771434</v>
      </c>
      <c r="AD73" s="30"/>
    </row>
    <row r="74" spans="1:30">
      <c r="A74" s="30">
        <v>71</v>
      </c>
      <c r="B74" s="47" t="s">
        <v>193</v>
      </c>
      <c r="C74" s="6" t="s">
        <v>194</v>
      </c>
      <c r="D74" s="32" t="s">
        <v>111</v>
      </c>
      <c r="E74" s="32" t="s">
        <v>111</v>
      </c>
      <c r="F74" s="32" t="s">
        <v>111</v>
      </c>
      <c r="G74" s="32" t="s">
        <v>111</v>
      </c>
      <c r="H74" s="32" t="s">
        <v>111</v>
      </c>
      <c r="I74" s="32" t="s">
        <v>111</v>
      </c>
      <c r="J74" s="32" t="s">
        <v>111</v>
      </c>
      <c r="K74" s="32" t="s">
        <v>111</v>
      </c>
      <c r="L74" s="32" t="s">
        <v>111</v>
      </c>
      <c r="M74" s="34">
        <v>8.5</v>
      </c>
      <c r="N74" s="34">
        <v>24.5</v>
      </c>
      <c r="O74" s="35">
        <f t="shared" si="53"/>
        <v>2.125</v>
      </c>
      <c r="P74" s="36">
        <f t="shared" si="54"/>
        <v>4.25</v>
      </c>
      <c r="Q74" s="37">
        <f t="shared" si="55"/>
        <v>6.375</v>
      </c>
      <c r="R74" s="35">
        <f t="shared" si="56"/>
        <v>3.241575619972485</v>
      </c>
      <c r="S74" s="36">
        <f t="shared" si="57"/>
        <v>6.48315123994497</v>
      </c>
      <c r="T74" s="37">
        <f t="shared" si="58"/>
        <v>9.724726859917455</v>
      </c>
      <c r="U74" s="35">
        <f t="shared" si="48"/>
        <v>6.7478256199724846</v>
      </c>
      <c r="V74" s="36">
        <f t="shared" si="49"/>
        <v>13.495651239944969</v>
      </c>
      <c r="W74" s="37">
        <f t="shared" si="50"/>
        <v>20.243476859917454</v>
      </c>
      <c r="X74" s="34" t="s">
        <v>111</v>
      </c>
      <c r="Y74" s="34" t="s">
        <v>111</v>
      </c>
      <c r="Z74" s="34" t="s">
        <v>111</v>
      </c>
      <c r="AA74" s="39">
        <f t="shared" si="52"/>
        <v>7.7520158668568264</v>
      </c>
      <c r="AB74" s="40">
        <f t="shared" si="52"/>
        <v>15.504031733713653</v>
      </c>
      <c r="AC74" s="41">
        <f t="shared" si="52"/>
        <v>23.256047600570479</v>
      </c>
      <c r="AD74" s="30"/>
    </row>
    <row r="75" spans="1:30">
      <c r="A75" s="30">
        <v>72</v>
      </c>
      <c r="B75" s="63" t="s">
        <v>195</v>
      </c>
      <c r="C75" s="6" t="s">
        <v>34</v>
      </c>
      <c r="D75" s="32" t="s">
        <v>111</v>
      </c>
      <c r="E75" s="32" t="s">
        <v>111</v>
      </c>
      <c r="F75" s="32" t="s">
        <v>111</v>
      </c>
      <c r="G75" s="32" t="s">
        <v>111</v>
      </c>
      <c r="H75" s="32" t="s">
        <v>111</v>
      </c>
      <c r="I75" s="32" t="s">
        <v>111</v>
      </c>
      <c r="J75" s="32" t="s">
        <v>111</v>
      </c>
      <c r="K75" s="32" t="s">
        <v>111</v>
      </c>
      <c r="L75" s="32" t="s">
        <v>111</v>
      </c>
      <c r="M75" s="34" t="s">
        <v>111</v>
      </c>
      <c r="N75" s="34" t="s">
        <v>111</v>
      </c>
      <c r="O75" s="34" t="s">
        <v>111</v>
      </c>
      <c r="P75" s="34" t="s">
        <v>111</v>
      </c>
      <c r="Q75" s="34" t="s">
        <v>111</v>
      </c>
      <c r="R75" s="34" t="s">
        <v>111</v>
      </c>
      <c r="S75" s="34" t="s">
        <v>111</v>
      </c>
      <c r="T75" s="34" t="s">
        <v>111</v>
      </c>
      <c r="U75" s="62" t="s">
        <v>111</v>
      </c>
      <c r="V75" s="62" t="s">
        <v>111</v>
      </c>
      <c r="W75" s="62" t="s">
        <v>111</v>
      </c>
      <c r="X75" s="34" t="s">
        <v>111</v>
      </c>
      <c r="Y75" s="34" t="s">
        <v>111</v>
      </c>
      <c r="Z75" s="34" t="s">
        <v>111</v>
      </c>
      <c r="AA75" s="44" t="s">
        <v>111</v>
      </c>
      <c r="AB75" s="45" t="s">
        <v>111</v>
      </c>
      <c r="AC75" s="46" t="s">
        <v>111</v>
      </c>
      <c r="AD75" s="30"/>
    </row>
    <row r="76" spans="1:30">
      <c r="A76" s="30">
        <v>73</v>
      </c>
      <c r="B76" s="63" t="s">
        <v>196</v>
      </c>
      <c r="C76" s="6" t="s">
        <v>34</v>
      </c>
      <c r="D76" s="32" t="s">
        <v>111</v>
      </c>
      <c r="E76" s="32" t="s">
        <v>111</v>
      </c>
      <c r="F76" s="32" t="s">
        <v>111</v>
      </c>
      <c r="G76" s="32" t="s">
        <v>111</v>
      </c>
      <c r="H76" s="32" t="s">
        <v>111</v>
      </c>
      <c r="I76" s="32" t="s">
        <v>111</v>
      </c>
      <c r="J76" s="32" t="s">
        <v>111</v>
      </c>
      <c r="K76" s="32" t="s">
        <v>111</v>
      </c>
      <c r="L76" s="32" t="s">
        <v>111</v>
      </c>
      <c r="M76" s="34">
        <v>3.6</v>
      </c>
      <c r="N76" s="34" t="s">
        <v>197</v>
      </c>
      <c r="O76" s="35">
        <f t="shared" si="53"/>
        <v>0.9</v>
      </c>
      <c r="P76" s="36">
        <f t="shared" si="54"/>
        <v>1.8</v>
      </c>
      <c r="Q76" s="37">
        <f t="shared" si="55"/>
        <v>2.7</v>
      </c>
      <c r="R76" s="35" t="str">
        <f t="shared" si="56"/>
        <v>---</v>
      </c>
      <c r="S76" s="36" t="str">
        <f t="shared" si="57"/>
        <v>---</v>
      </c>
      <c r="T76" s="37" t="str">
        <f t="shared" si="58"/>
        <v>---</v>
      </c>
      <c r="U76" s="54" t="s">
        <v>111</v>
      </c>
      <c r="V76" s="54" t="s">
        <v>111</v>
      </c>
      <c r="W76" s="54" t="s">
        <v>111</v>
      </c>
      <c r="X76" s="34" t="s">
        <v>111</v>
      </c>
      <c r="Y76" s="34" t="s">
        <v>111</v>
      </c>
      <c r="Z76" s="34" t="s">
        <v>111</v>
      </c>
      <c r="AA76" s="44" t="s">
        <v>111</v>
      </c>
      <c r="AB76" s="45" t="s">
        <v>111</v>
      </c>
      <c r="AC76" s="46" t="s">
        <v>111</v>
      </c>
      <c r="AD76" s="30"/>
    </row>
    <row r="77" spans="1:30">
      <c r="A77" s="30">
        <v>74</v>
      </c>
      <c r="B77" s="63" t="s">
        <v>198</v>
      </c>
      <c r="C77" s="6" t="s">
        <v>34</v>
      </c>
      <c r="D77" s="32" t="s">
        <v>111</v>
      </c>
      <c r="E77" s="32" t="s">
        <v>111</v>
      </c>
      <c r="F77" s="32" t="s">
        <v>111</v>
      </c>
      <c r="G77" s="32" t="s">
        <v>111</v>
      </c>
      <c r="H77" s="32" t="s">
        <v>111</v>
      </c>
      <c r="I77" s="32" t="s">
        <v>111</v>
      </c>
      <c r="J77" s="32" t="s">
        <v>111</v>
      </c>
      <c r="K77" s="32" t="s">
        <v>111</v>
      </c>
      <c r="L77" s="32" t="s">
        <v>111</v>
      </c>
      <c r="M77" s="34">
        <v>6.8</v>
      </c>
      <c r="N77" s="34">
        <v>19.399999999999999</v>
      </c>
      <c r="O77" s="35">
        <f t="shared" si="53"/>
        <v>1.7</v>
      </c>
      <c r="P77" s="36">
        <f t="shared" si="54"/>
        <v>3.4</v>
      </c>
      <c r="Q77" s="37">
        <f t="shared" si="55"/>
        <v>5.0999999999999996</v>
      </c>
      <c r="R77" s="35">
        <f t="shared" si="56"/>
        <v>2.5696546460565473</v>
      </c>
      <c r="S77" s="36">
        <f t="shared" si="57"/>
        <v>5.1393092921130945</v>
      </c>
      <c r="T77" s="37">
        <f t="shared" si="58"/>
        <v>7.7089639381696422</v>
      </c>
      <c r="U77" s="35">
        <f t="shared" si="48"/>
        <v>5.3746546460565465</v>
      </c>
      <c r="V77" s="36">
        <f t="shared" si="49"/>
        <v>10.749309292113093</v>
      </c>
      <c r="W77" s="37">
        <f t="shared" si="50"/>
        <v>16.123963938169641</v>
      </c>
      <c r="X77" s="34" t="s">
        <v>111</v>
      </c>
      <c r="Y77" s="34" t="s">
        <v>111</v>
      </c>
      <c r="Z77" s="34" t="s">
        <v>111</v>
      </c>
      <c r="AA77" s="39">
        <f t="shared" si="52"/>
        <v>6.1621830547298737</v>
      </c>
      <c r="AB77" s="40">
        <f t="shared" si="52"/>
        <v>12.324366109459747</v>
      </c>
      <c r="AC77" s="41">
        <f t="shared" si="52"/>
        <v>18.486549164189622</v>
      </c>
      <c r="AD77" s="30"/>
    </row>
    <row r="78" spans="1:30">
      <c r="A78" s="30">
        <v>75</v>
      </c>
      <c r="B78" s="63" t="s">
        <v>199</v>
      </c>
      <c r="C78" s="6" t="s">
        <v>34</v>
      </c>
      <c r="D78" s="32" t="s">
        <v>111</v>
      </c>
      <c r="E78" s="32" t="s">
        <v>111</v>
      </c>
      <c r="F78" s="32" t="s">
        <v>111</v>
      </c>
      <c r="G78" s="32" t="s">
        <v>111</v>
      </c>
      <c r="H78" s="32" t="s">
        <v>111</v>
      </c>
      <c r="I78" s="32" t="s">
        <v>111</v>
      </c>
      <c r="J78" s="32" t="s">
        <v>111</v>
      </c>
      <c r="K78" s="32" t="s">
        <v>111</v>
      </c>
      <c r="L78" s="32" t="s">
        <v>111</v>
      </c>
      <c r="M78" s="34">
        <v>4.8</v>
      </c>
      <c r="N78" s="34">
        <v>19.100000000000001</v>
      </c>
      <c r="O78" s="35">
        <f t="shared" si="53"/>
        <v>1.2</v>
      </c>
      <c r="P78" s="36">
        <f t="shared" si="54"/>
        <v>2.4</v>
      </c>
      <c r="Q78" s="37">
        <f t="shared" si="55"/>
        <v>3.5999999999999996</v>
      </c>
      <c r="R78" s="35">
        <f t="shared" si="56"/>
        <v>2.4617384609255306</v>
      </c>
      <c r="S78" s="36">
        <f t="shared" si="57"/>
        <v>4.9234769218510612</v>
      </c>
      <c r="T78" s="37">
        <f t="shared" si="58"/>
        <v>7.3852153827765914</v>
      </c>
      <c r="U78" s="35">
        <f t="shared" si="48"/>
        <v>4.4417384609255306</v>
      </c>
      <c r="V78" s="36">
        <f t="shared" si="49"/>
        <v>8.8834769218510612</v>
      </c>
      <c r="W78" s="37">
        <f t="shared" si="50"/>
        <v>13.325215382776591</v>
      </c>
      <c r="X78" s="34" t="s">
        <v>111</v>
      </c>
      <c r="Y78" s="34" t="s">
        <v>111</v>
      </c>
      <c r="Z78" s="34" t="s">
        <v>111</v>
      </c>
      <c r="AA78" s="39">
        <f t="shared" si="52"/>
        <v>5.4772826291875791</v>
      </c>
      <c r="AB78" s="40">
        <f t="shared" si="52"/>
        <v>10.954565258375158</v>
      </c>
      <c r="AC78" s="41">
        <f t="shared" si="52"/>
        <v>16.431847887562736</v>
      </c>
      <c r="AD78" s="30"/>
    </row>
    <row r="79" spans="1:30">
      <c r="A79" s="30">
        <v>76</v>
      </c>
      <c r="B79" s="63" t="s">
        <v>200</v>
      </c>
      <c r="C79" s="6" t="s">
        <v>34</v>
      </c>
      <c r="D79" s="32" t="s">
        <v>111</v>
      </c>
      <c r="E79" s="32" t="s">
        <v>111</v>
      </c>
      <c r="F79" s="32" t="s">
        <v>111</v>
      </c>
      <c r="G79" s="32" t="s">
        <v>111</v>
      </c>
      <c r="H79" s="32" t="s">
        <v>111</v>
      </c>
      <c r="I79" s="32" t="s">
        <v>111</v>
      </c>
      <c r="J79" s="32" t="s">
        <v>111</v>
      </c>
      <c r="K79" s="32" t="s">
        <v>111</v>
      </c>
      <c r="L79" s="32" t="s">
        <v>111</v>
      </c>
      <c r="M79" s="32" t="s">
        <v>111</v>
      </c>
      <c r="N79" s="32" t="s">
        <v>111</v>
      </c>
      <c r="O79" s="32" t="s">
        <v>111</v>
      </c>
      <c r="P79" s="32" t="s">
        <v>111</v>
      </c>
      <c r="Q79" s="32" t="s">
        <v>111</v>
      </c>
      <c r="R79" s="32" t="s">
        <v>111</v>
      </c>
      <c r="S79" s="32" t="s">
        <v>111</v>
      </c>
      <c r="T79" s="32" t="s">
        <v>111</v>
      </c>
      <c r="U79" s="7" t="s">
        <v>111</v>
      </c>
      <c r="V79" s="7" t="s">
        <v>111</v>
      </c>
      <c r="W79" s="7" t="s">
        <v>111</v>
      </c>
      <c r="X79" s="34" t="s">
        <v>111</v>
      </c>
      <c r="Y79" s="34" t="s">
        <v>111</v>
      </c>
      <c r="Z79" s="34" t="s">
        <v>111</v>
      </c>
      <c r="AA79" s="44" t="s">
        <v>111</v>
      </c>
      <c r="AB79" s="45" t="s">
        <v>111</v>
      </c>
      <c r="AC79" s="46" t="s">
        <v>111</v>
      </c>
      <c r="AD79" s="30"/>
    </row>
    <row r="80" spans="1:30">
      <c r="A80" s="30">
        <v>77</v>
      </c>
      <c r="B80" s="63" t="s">
        <v>201</v>
      </c>
      <c r="C80" s="6" t="s">
        <v>34</v>
      </c>
      <c r="D80" s="32" t="s">
        <v>111</v>
      </c>
      <c r="E80" s="32" t="s">
        <v>111</v>
      </c>
      <c r="F80" s="32" t="s">
        <v>111</v>
      </c>
      <c r="G80" s="32" t="s">
        <v>111</v>
      </c>
      <c r="H80" s="32" t="s">
        <v>111</v>
      </c>
      <c r="I80" s="32" t="s">
        <v>111</v>
      </c>
      <c r="J80" s="32" t="s">
        <v>111</v>
      </c>
      <c r="K80" s="32" t="s">
        <v>111</v>
      </c>
      <c r="L80" s="32" t="s">
        <v>111</v>
      </c>
      <c r="M80" s="49">
        <v>5.35</v>
      </c>
      <c r="N80" s="34" t="s">
        <v>197</v>
      </c>
      <c r="O80" s="35">
        <f t="shared" si="53"/>
        <v>1.3374999999999999</v>
      </c>
      <c r="P80" s="36">
        <f t="shared" si="54"/>
        <v>2.6749999999999998</v>
      </c>
      <c r="Q80" s="37">
        <f t="shared" si="55"/>
        <v>4.0124999999999993</v>
      </c>
      <c r="R80" s="35" t="str">
        <f t="shared" si="56"/>
        <v>---</v>
      </c>
      <c r="S80" s="36" t="str">
        <f t="shared" si="57"/>
        <v>---</v>
      </c>
      <c r="T80" s="37" t="str">
        <f t="shared" si="58"/>
        <v>---</v>
      </c>
      <c r="U80" s="7" t="s">
        <v>111</v>
      </c>
      <c r="V80" s="7" t="s">
        <v>111</v>
      </c>
      <c r="W80" s="7" t="s">
        <v>111</v>
      </c>
      <c r="X80" s="34" t="s">
        <v>111</v>
      </c>
      <c r="Y80" s="34" t="s">
        <v>111</v>
      </c>
      <c r="Z80" s="34" t="s">
        <v>111</v>
      </c>
      <c r="AA80" s="44" t="s">
        <v>111</v>
      </c>
      <c r="AB80" s="45" t="s">
        <v>111</v>
      </c>
      <c r="AC80" s="46" t="s">
        <v>111</v>
      </c>
      <c r="AD80" s="30"/>
    </row>
    <row r="81" spans="1:30">
      <c r="A81" s="30">
        <v>78</v>
      </c>
      <c r="B81" s="63" t="s">
        <v>202</v>
      </c>
      <c r="C81" s="6" t="s">
        <v>34</v>
      </c>
      <c r="D81" s="32" t="s">
        <v>111</v>
      </c>
      <c r="E81" s="32" t="s">
        <v>111</v>
      </c>
      <c r="F81" s="32" t="s">
        <v>111</v>
      </c>
      <c r="G81" s="32" t="s">
        <v>111</v>
      </c>
      <c r="H81" s="32" t="s">
        <v>111</v>
      </c>
      <c r="I81" s="32" t="s">
        <v>111</v>
      </c>
      <c r="J81" s="32" t="s">
        <v>111</v>
      </c>
      <c r="K81" s="32" t="s">
        <v>111</v>
      </c>
      <c r="L81" s="32" t="s">
        <v>111</v>
      </c>
      <c r="M81" s="32" t="s">
        <v>111</v>
      </c>
      <c r="N81" s="32" t="s">
        <v>111</v>
      </c>
      <c r="O81" s="32" t="s">
        <v>111</v>
      </c>
      <c r="P81" s="32" t="s">
        <v>111</v>
      </c>
      <c r="Q81" s="32" t="s">
        <v>111</v>
      </c>
      <c r="R81" s="32" t="s">
        <v>111</v>
      </c>
      <c r="S81" s="32" t="s">
        <v>111</v>
      </c>
      <c r="T81" s="32" t="s">
        <v>111</v>
      </c>
      <c r="U81" s="7" t="s">
        <v>111</v>
      </c>
      <c r="V81" s="7" t="s">
        <v>111</v>
      </c>
      <c r="W81" s="7" t="s">
        <v>111</v>
      </c>
      <c r="X81" s="34" t="s">
        <v>111</v>
      </c>
      <c r="Y81" s="34" t="s">
        <v>111</v>
      </c>
      <c r="Z81" s="34" t="s">
        <v>111</v>
      </c>
      <c r="AA81" s="44" t="s">
        <v>111</v>
      </c>
      <c r="AB81" s="45" t="s">
        <v>111</v>
      </c>
      <c r="AC81" s="46" t="s">
        <v>111</v>
      </c>
      <c r="AD81" s="30"/>
    </row>
    <row r="82" spans="1:30">
      <c r="A82" s="30">
        <v>79</v>
      </c>
      <c r="B82" s="63" t="s">
        <v>203</v>
      </c>
      <c r="C82" s="6" t="s">
        <v>34</v>
      </c>
      <c r="D82" s="32" t="s">
        <v>111</v>
      </c>
      <c r="E82" s="32" t="s">
        <v>111</v>
      </c>
      <c r="F82" s="32" t="s">
        <v>111</v>
      </c>
      <c r="G82" s="32" t="s">
        <v>111</v>
      </c>
      <c r="H82" s="32" t="s">
        <v>111</v>
      </c>
      <c r="I82" s="32" t="s">
        <v>111</v>
      </c>
      <c r="J82" s="32" t="s">
        <v>111</v>
      </c>
      <c r="K82" s="32" t="s">
        <v>111</v>
      </c>
      <c r="L82" s="32" t="s">
        <v>111</v>
      </c>
      <c r="M82" s="32" t="s">
        <v>111</v>
      </c>
      <c r="N82" s="32" t="s">
        <v>111</v>
      </c>
      <c r="O82" s="32" t="s">
        <v>111</v>
      </c>
      <c r="P82" s="32" t="s">
        <v>111</v>
      </c>
      <c r="Q82" s="32" t="s">
        <v>111</v>
      </c>
      <c r="R82" s="32" t="s">
        <v>111</v>
      </c>
      <c r="S82" s="32" t="s">
        <v>111</v>
      </c>
      <c r="T82" s="32" t="s">
        <v>111</v>
      </c>
      <c r="U82" s="7" t="s">
        <v>111</v>
      </c>
      <c r="V82" s="7" t="s">
        <v>111</v>
      </c>
      <c r="W82" s="7" t="s">
        <v>111</v>
      </c>
      <c r="X82" s="34" t="s">
        <v>111</v>
      </c>
      <c r="Y82" s="34" t="s">
        <v>111</v>
      </c>
      <c r="Z82" s="34" t="s">
        <v>111</v>
      </c>
      <c r="AA82" s="44" t="s">
        <v>111</v>
      </c>
      <c r="AB82" s="45" t="s">
        <v>111</v>
      </c>
      <c r="AC82" s="46" t="s">
        <v>111</v>
      </c>
      <c r="AD82" s="30"/>
    </row>
    <row r="83" spans="1:30">
      <c r="A83" s="30">
        <v>80</v>
      </c>
      <c r="B83" s="47" t="s">
        <v>204</v>
      </c>
      <c r="C83" s="6" t="s">
        <v>123</v>
      </c>
      <c r="D83" s="32">
        <v>12.5</v>
      </c>
      <c r="E83" s="32">
        <v>30</v>
      </c>
      <c r="F83" s="32">
        <v>40</v>
      </c>
      <c r="G83" s="32">
        <v>8</v>
      </c>
      <c r="H83" s="32">
        <v>5</v>
      </c>
      <c r="I83" s="32">
        <v>4</v>
      </c>
      <c r="J83" s="32">
        <v>12.7</v>
      </c>
      <c r="K83" s="32">
        <v>8.6999999999999993</v>
      </c>
      <c r="L83" s="32">
        <v>6.9</v>
      </c>
      <c r="M83" s="34">
        <v>26.5</v>
      </c>
      <c r="N83" s="34">
        <v>23.2</v>
      </c>
      <c r="O83" s="35">
        <f t="shared" si="53"/>
        <v>6.625</v>
      </c>
      <c r="P83" s="36">
        <f t="shared" si="54"/>
        <v>13.25</v>
      </c>
      <c r="Q83" s="37">
        <f t="shared" si="55"/>
        <v>19.875</v>
      </c>
      <c r="R83" s="35">
        <f t="shared" si="56"/>
        <v>4.4025738210733047</v>
      </c>
      <c r="S83" s="36">
        <f t="shared" si="57"/>
        <v>8.8051476421466095</v>
      </c>
      <c r="T83" s="37">
        <f t="shared" si="58"/>
        <v>13.207721463219915</v>
      </c>
      <c r="U83" s="35">
        <f t="shared" si="48"/>
        <v>15.333823821073302</v>
      </c>
      <c r="V83" s="36">
        <f t="shared" si="49"/>
        <v>30.667647642146605</v>
      </c>
      <c r="W83" s="37">
        <f t="shared" si="50"/>
        <v>46.001471463219914</v>
      </c>
      <c r="X83" s="38">
        <f t="shared" si="51"/>
        <v>30.019327107715121</v>
      </c>
      <c r="Y83" s="38">
        <f t="shared" si="51"/>
        <v>20.06888138387389</v>
      </c>
      <c r="Z83" s="38">
        <f t="shared" si="51"/>
        <v>15.951175505272332</v>
      </c>
      <c r="AA83" s="39">
        <f t="shared" si="52"/>
        <v>15.908900810552563</v>
      </c>
      <c r="AB83" s="40">
        <f t="shared" si="52"/>
        <v>31.817801621105126</v>
      </c>
      <c r="AC83" s="41">
        <f t="shared" si="52"/>
        <v>47.726702431657692</v>
      </c>
      <c r="AD83" s="30"/>
    </row>
    <row r="84" spans="1:30">
      <c r="A84" s="30">
        <v>81</v>
      </c>
      <c r="B84" s="47" t="s">
        <v>205</v>
      </c>
      <c r="C84" s="6" t="s">
        <v>190</v>
      </c>
      <c r="D84" s="32">
        <v>110</v>
      </c>
      <c r="E84" s="32">
        <v>500</v>
      </c>
      <c r="F84" s="32">
        <v>800</v>
      </c>
      <c r="G84" s="32">
        <v>10</v>
      </c>
      <c r="H84" s="32">
        <v>8</v>
      </c>
      <c r="I84" s="32">
        <v>8</v>
      </c>
      <c r="J84" s="32">
        <v>8.3000000000000007</v>
      </c>
      <c r="K84" s="32">
        <v>6</v>
      </c>
      <c r="L84" s="32">
        <v>6</v>
      </c>
      <c r="M84" s="34">
        <v>14.2</v>
      </c>
      <c r="N84" s="34">
        <v>15</v>
      </c>
      <c r="O84" s="35">
        <f t="shared" si="53"/>
        <v>3.55</v>
      </c>
      <c r="P84" s="36">
        <f t="shared" si="54"/>
        <v>7.1</v>
      </c>
      <c r="Q84" s="37">
        <f t="shared" si="55"/>
        <v>10.649999999999999</v>
      </c>
      <c r="R84" s="35">
        <f t="shared" si="56"/>
        <v>2.5819082090577892</v>
      </c>
      <c r="S84" s="36">
        <f t="shared" si="57"/>
        <v>5.1638164181155783</v>
      </c>
      <c r="T84" s="37">
        <f t="shared" si="58"/>
        <v>7.7457246271733675</v>
      </c>
      <c r="U84" s="35">
        <f t="shared" si="48"/>
        <v>8.4394082090577882</v>
      </c>
      <c r="V84" s="36">
        <f t="shared" si="49"/>
        <v>16.878816418115576</v>
      </c>
      <c r="W84" s="37">
        <f t="shared" si="50"/>
        <v>25.318224627173365</v>
      </c>
      <c r="X84" s="38">
        <f t="shared" si="51"/>
        <v>25.991537084212624</v>
      </c>
      <c r="Y84" s="38">
        <f t="shared" si="51"/>
        <v>20</v>
      </c>
      <c r="Z84" s="38">
        <f t="shared" si="51"/>
        <v>20</v>
      </c>
      <c r="AA84" s="39">
        <f t="shared" si="52"/>
        <v>8.7792368688855866</v>
      </c>
      <c r="AB84" s="40">
        <f t="shared" si="52"/>
        <v>17.558473737771173</v>
      </c>
      <c r="AC84" s="41">
        <f t="shared" si="52"/>
        <v>26.33771060665676</v>
      </c>
      <c r="AD84" s="30"/>
    </row>
    <row r="85" spans="1:30">
      <c r="A85" s="30">
        <v>82</v>
      </c>
      <c r="B85" s="63" t="s">
        <v>28</v>
      </c>
      <c r="C85" s="6" t="s">
        <v>34</v>
      </c>
      <c r="D85" s="32" t="s">
        <v>111</v>
      </c>
      <c r="E85" s="32" t="s">
        <v>111</v>
      </c>
      <c r="F85" s="32" t="s">
        <v>111</v>
      </c>
      <c r="G85" s="32" t="s">
        <v>111</v>
      </c>
      <c r="H85" s="32" t="s">
        <v>111</v>
      </c>
      <c r="I85" s="32" t="s">
        <v>111</v>
      </c>
      <c r="J85" s="32" t="s">
        <v>111</v>
      </c>
      <c r="K85" s="32" t="s">
        <v>111</v>
      </c>
      <c r="L85" s="32" t="s">
        <v>111</v>
      </c>
      <c r="M85" s="34">
        <v>10.7</v>
      </c>
      <c r="N85" s="34">
        <v>15.8</v>
      </c>
      <c r="O85" s="35">
        <f t="shared" si="53"/>
        <v>2.6749999999999998</v>
      </c>
      <c r="P85" s="36">
        <f t="shared" si="54"/>
        <v>5.35</v>
      </c>
      <c r="Q85" s="37">
        <f t="shared" si="55"/>
        <v>8.0249999999999986</v>
      </c>
      <c r="R85" s="35">
        <f t="shared" si="56"/>
        <v>2.3852738312403461</v>
      </c>
      <c r="S85" s="36">
        <f t="shared" si="57"/>
        <v>4.7705476624806922</v>
      </c>
      <c r="T85" s="37">
        <f t="shared" si="58"/>
        <v>7.1558214937210387</v>
      </c>
      <c r="U85" s="35">
        <f t="shared" si="48"/>
        <v>6.7990238312403459</v>
      </c>
      <c r="V85" s="36">
        <f t="shared" si="49"/>
        <v>13.598047662480692</v>
      </c>
      <c r="W85" s="37">
        <f t="shared" si="50"/>
        <v>20.397071493721036</v>
      </c>
      <c r="X85" s="34" t="s">
        <v>111</v>
      </c>
      <c r="Y85" s="34" t="s">
        <v>111</v>
      </c>
      <c r="Z85" s="34" t="s">
        <v>111</v>
      </c>
      <c r="AA85" s="39">
        <f t="shared" si="52"/>
        <v>7.1680279714856017</v>
      </c>
      <c r="AB85" s="40">
        <f t="shared" si="52"/>
        <v>14.336055942971203</v>
      </c>
      <c r="AC85" s="41">
        <f t="shared" si="52"/>
        <v>21.504083914456807</v>
      </c>
      <c r="AD85" s="30"/>
    </row>
    <row r="86" spans="1:30">
      <c r="A86" s="30">
        <v>83</v>
      </c>
      <c r="B86" s="47" t="s">
        <v>206</v>
      </c>
      <c r="C86" s="6" t="s">
        <v>190</v>
      </c>
      <c r="D86" s="32">
        <v>2.5</v>
      </c>
      <c r="E86" s="32">
        <v>9.5</v>
      </c>
      <c r="F86" s="32">
        <v>15</v>
      </c>
      <c r="G86" s="32">
        <v>10</v>
      </c>
      <c r="H86" s="32">
        <v>8</v>
      </c>
      <c r="I86" s="32">
        <v>8</v>
      </c>
      <c r="J86" s="32">
        <v>11</v>
      </c>
      <c r="K86" s="32">
        <v>8.9</v>
      </c>
      <c r="L86" s="32">
        <v>8.9</v>
      </c>
      <c r="M86" s="34">
        <v>24</v>
      </c>
      <c r="N86" s="34">
        <v>73</v>
      </c>
      <c r="O86" s="35">
        <f t="shared" si="53"/>
        <v>6</v>
      </c>
      <c r="P86" s="36">
        <f t="shared" si="54"/>
        <v>12</v>
      </c>
      <c r="Q86" s="37">
        <f t="shared" si="55"/>
        <v>18</v>
      </c>
      <c r="R86" s="35">
        <f t="shared" si="56"/>
        <v>9.6054997267190636</v>
      </c>
      <c r="S86" s="36">
        <f t="shared" si="57"/>
        <v>19.210999453438127</v>
      </c>
      <c r="T86" s="37">
        <f t="shared" si="58"/>
        <v>28.816499180157191</v>
      </c>
      <c r="U86" s="35">
        <f t="shared" si="48"/>
        <v>19.505499726719062</v>
      </c>
      <c r="V86" s="36">
        <f t="shared" si="49"/>
        <v>39.010999453438124</v>
      </c>
      <c r="W86" s="37">
        <f t="shared" si="50"/>
        <v>58.51649918015719</v>
      </c>
      <c r="X86" s="38">
        <f t="shared" si="51"/>
        <v>29.732137494637012</v>
      </c>
      <c r="Y86" s="38">
        <f t="shared" si="51"/>
        <v>23.934076125892137</v>
      </c>
      <c r="Z86" s="38">
        <f t="shared" si="51"/>
        <v>23.934076125892137</v>
      </c>
      <c r="AA86" s="39">
        <f t="shared" si="52"/>
        <v>22.650882984996414</v>
      </c>
      <c r="AB86" s="40">
        <f t="shared" si="52"/>
        <v>45.301765969992829</v>
      </c>
      <c r="AC86" s="41">
        <f t="shared" si="52"/>
        <v>67.952648954989243</v>
      </c>
      <c r="AD86" s="30"/>
    </row>
    <row r="87" spans="1:30">
      <c r="A87" s="30">
        <v>84</v>
      </c>
      <c r="B87" s="47" t="s">
        <v>207</v>
      </c>
      <c r="C87" s="6" t="s">
        <v>159</v>
      </c>
      <c r="D87" s="32">
        <v>11</v>
      </c>
      <c r="E87" s="32">
        <v>35</v>
      </c>
      <c r="F87" s="32">
        <v>50</v>
      </c>
      <c r="G87" s="32">
        <v>10</v>
      </c>
      <c r="H87" s="32">
        <v>8</v>
      </c>
      <c r="I87" s="32">
        <v>8</v>
      </c>
      <c r="J87" s="32">
        <v>17.3</v>
      </c>
      <c r="K87" s="32">
        <v>12.7</v>
      </c>
      <c r="L87" s="32">
        <v>12.7</v>
      </c>
      <c r="M87" s="34">
        <v>11</v>
      </c>
      <c r="N87" s="34">
        <v>47.2</v>
      </c>
      <c r="O87" s="35">
        <f t="shared" si="53"/>
        <v>2.75</v>
      </c>
      <c r="P87" s="36">
        <f t="shared" si="54"/>
        <v>5.5</v>
      </c>
      <c r="Q87" s="37">
        <f t="shared" si="55"/>
        <v>8.25</v>
      </c>
      <c r="R87" s="35">
        <f t="shared" si="56"/>
        <v>6.0581040763592036</v>
      </c>
      <c r="S87" s="36">
        <f t="shared" si="57"/>
        <v>12.116208152718407</v>
      </c>
      <c r="T87" s="37">
        <f t="shared" si="58"/>
        <v>18.174312229077611</v>
      </c>
      <c r="U87" s="35">
        <f t="shared" si="48"/>
        <v>10.595604076359203</v>
      </c>
      <c r="V87" s="36">
        <f t="shared" si="49"/>
        <v>21.191208152718406</v>
      </c>
      <c r="W87" s="37">
        <f t="shared" si="50"/>
        <v>31.786812229077611</v>
      </c>
      <c r="X87" s="38">
        <f t="shared" si="51"/>
        <v>39.964484232878576</v>
      </c>
      <c r="Y87" s="38">
        <f t="shared" si="51"/>
        <v>30.019327107715121</v>
      </c>
      <c r="Z87" s="38">
        <f t="shared" si="51"/>
        <v>30.019327107715121</v>
      </c>
      <c r="AA87" s="39">
        <f t="shared" si="52"/>
        <v>13.306107620187055</v>
      </c>
      <c r="AB87" s="40">
        <f t="shared" si="52"/>
        <v>26.612215240374109</v>
      </c>
      <c r="AC87" s="41">
        <f t="shared" si="52"/>
        <v>39.918322860561162</v>
      </c>
      <c r="AD87" s="30"/>
    </row>
    <row r="88" spans="1:30">
      <c r="A88" s="30">
        <v>85</v>
      </c>
      <c r="B88" s="47" t="s">
        <v>208</v>
      </c>
      <c r="C88" s="6" t="s">
        <v>192</v>
      </c>
      <c r="D88" s="32">
        <v>5</v>
      </c>
      <c r="E88" s="32">
        <v>11</v>
      </c>
      <c r="F88" s="32">
        <v>15</v>
      </c>
      <c r="G88" s="32">
        <v>11</v>
      </c>
      <c r="H88" s="32">
        <v>8</v>
      </c>
      <c r="I88" s="32">
        <v>8</v>
      </c>
      <c r="J88" s="32">
        <v>16.7</v>
      </c>
      <c r="K88" s="32">
        <v>12.7</v>
      </c>
      <c r="L88" s="32">
        <v>12.7</v>
      </c>
      <c r="M88" s="34">
        <v>7.9</v>
      </c>
      <c r="N88" s="34">
        <v>17.600000000000001</v>
      </c>
      <c r="O88" s="35">
        <f t="shared" si="53"/>
        <v>1.9750000000000001</v>
      </c>
      <c r="P88" s="36">
        <f t="shared" si="54"/>
        <v>3.95</v>
      </c>
      <c r="Q88" s="37">
        <f t="shared" si="55"/>
        <v>5.9250000000000007</v>
      </c>
      <c r="R88" s="35">
        <f t="shared" si="56"/>
        <v>2.4114635079138149</v>
      </c>
      <c r="S88" s="36">
        <f t="shared" si="57"/>
        <v>4.8229270158276298</v>
      </c>
      <c r="T88" s="37">
        <f t="shared" si="58"/>
        <v>7.2343905237414443</v>
      </c>
      <c r="U88" s="35">
        <f t="shared" si="48"/>
        <v>5.6702135079138145</v>
      </c>
      <c r="V88" s="36">
        <f t="shared" si="49"/>
        <v>11.340427015827629</v>
      </c>
      <c r="W88" s="37">
        <f t="shared" si="50"/>
        <v>17.010640523741444</v>
      </c>
      <c r="X88" s="38">
        <f t="shared" si="51"/>
        <v>39.994499621822996</v>
      </c>
      <c r="Y88" s="38">
        <f t="shared" si="51"/>
        <v>30.019327107715121</v>
      </c>
      <c r="Z88" s="38">
        <f t="shared" si="51"/>
        <v>30.019327107715121</v>
      </c>
      <c r="AA88" s="39">
        <f t="shared" si="52"/>
        <v>6.2340295956949072</v>
      </c>
      <c r="AB88" s="40">
        <f t="shared" si="52"/>
        <v>12.468059191389814</v>
      </c>
      <c r="AC88" s="41">
        <f t="shared" si="52"/>
        <v>18.702088787084723</v>
      </c>
      <c r="AD88" s="30"/>
    </row>
    <row r="89" spans="1:30">
      <c r="A89" s="30">
        <v>86</v>
      </c>
      <c r="B89" s="47" t="s">
        <v>209</v>
      </c>
      <c r="C89" s="6" t="s">
        <v>192</v>
      </c>
      <c r="D89" s="32">
        <v>13.5</v>
      </c>
      <c r="E89" s="32">
        <v>21</v>
      </c>
      <c r="F89" s="32">
        <v>25</v>
      </c>
      <c r="G89" s="32">
        <v>10</v>
      </c>
      <c r="H89" s="32">
        <v>8</v>
      </c>
      <c r="I89" s="32">
        <v>8</v>
      </c>
      <c r="J89" s="32">
        <v>17.3</v>
      </c>
      <c r="K89" s="32">
        <v>12.7</v>
      </c>
      <c r="L89" s="32">
        <v>12.7</v>
      </c>
      <c r="M89" s="34">
        <v>5.7</v>
      </c>
      <c r="N89" s="34">
        <v>12.1</v>
      </c>
      <c r="O89" s="35">
        <f t="shared" si="53"/>
        <v>1.425</v>
      </c>
      <c r="P89" s="36">
        <f t="shared" si="54"/>
        <v>2.85</v>
      </c>
      <c r="Q89" s="37">
        <f t="shared" si="55"/>
        <v>4.2750000000000004</v>
      </c>
      <c r="R89" s="35">
        <f t="shared" si="56"/>
        <v>1.6719188078372706</v>
      </c>
      <c r="S89" s="36">
        <f t="shared" si="57"/>
        <v>3.3438376156745413</v>
      </c>
      <c r="T89" s="37">
        <f t="shared" si="58"/>
        <v>5.0157564235118119</v>
      </c>
      <c r="U89" s="35">
        <f t="shared" si="48"/>
        <v>4.0231688078372709</v>
      </c>
      <c r="V89" s="36">
        <f t="shared" si="49"/>
        <v>8.0463376156745419</v>
      </c>
      <c r="W89" s="37">
        <f t="shared" si="50"/>
        <v>12.069506423511811</v>
      </c>
      <c r="X89" s="38">
        <f t="shared" si="51"/>
        <v>39.964484232878576</v>
      </c>
      <c r="Y89" s="38">
        <f t="shared" si="51"/>
        <v>30.019327107715121</v>
      </c>
      <c r="Z89" s="38">
        <f t="shared" si="51"/>
        <v>30.019327107715121</v>
      </c>
      <c r="AA89" s="39">
        <f t="shared" si="52"/>
        <v>4.3936033048057492</v>
      </c>
      <c r="AB89" s="40">
        <f t="shared" si="52"/>
        <v>8.7872066096114985</v>
      </c>
      <c r="AC89" s="41">
        <f t="shared" si="52"/>
        <v>13.180809914417248</v>
      </c>
      <c r="AD89" s="30"/>
    </row>
    <row r="90" spans="1:30" ht="15.75" thickBot="1">
      <c r="A90" s="30">
        <v>87</v>
      </c>
      <c r="B90" s="64" t="s">
        <v>210</v>
      </c>
      <c r="C90" s="6" t="s">
        <v>105</v>
      </c>
      <c r="D90" s="32" t="s">
        <v>111</v>
      </c>
      <c r="E90" s="32" t="s">
        <v>111</v>
      </c>
      <c r="F90" s="32" t="s">
        <v>111</v>
      </c>
      <c r="G90" s="32" t="s">
        <v>111</v>
      </c>
      <c r="H90" s="32" t="s">
        <v>111</v>
      </c>
      <c r="I90" s="32" t="s">
        <v>111</v>
      </c>
      <c r="J90" s="32" t="s">
        <v>111</v>
      </c>
      <c r="K90" s="32" t="s">
        <v>111</v>
      </c>
      <c r="L90" s="32" t="s">
        <v>111</v>
      </c>
      <c r="M90" s="34">
        <v>14.6</v>
      </c>
      <c r="N90" s="34">
        <v>12.3</v>
      </c>
      <c r="O90" s="35">
        <f t="shared" si="53"/>
        <v>3.65</v>
      </c>
      <c r="P90" s="36">
        <f t="shared" si="54"/>
        <v>7.3</v>
      </c>
      <c r="Q90" s="37">
        <f t="shared" si="55"/>
        <v>10.95</v>
      </c>
      <c r="R90" s="35">
        <f t="shared" si="56"/>
        <v>2.3863216987656966</v>
      </c>
      <c r="S90" s="36">
        <f t="shared" si="57"/>
        <v>4.7726433975313931</v>
      </c>
      <c r="T90" s="37">
        <f t="shared" si="58"/>
        <v>7.1589650962970897</v>
      </c>
      <c r="U90" s="35">
        <f t="shared" si="48"/>
        <v>8.4088216987656956</v>
      </c>
      <c r="V90" s="36">
        <f t="shared" si="49"/>
        <v>16.817643397531391</v>
      </c>
      <c r="W90" s="37">
        <f t="shared" si="50"/>
        <v>25.22646509629709</v>
      </c>
      <c r="X90" s="34" t="s">
        <v>111</v>
      </c>
      <c r="Y90" s="34" t="s">
        <v>111</v>
      </c>
      <c r="Z90" s="34" t="s">
        <v>111</v>
      </c>
      <c r="AA90" s="39">
        <f t="shared" si="52"/>
        <v>8.7217042485972893</v>
      </c>
      <c r="AB90" s="40">
        <f t="shared" si="52"/>
        <v>17.443408497194579</v>
      </c>
      <c r="AC90" s="41">
        <f t="shared" si="52"/>
        <v>26.165112745791866</v>
      </c>
      <c r="AD90" s="30"/>
    </row>
    <row r="91" spans="1:30">
      <c r="A91" s="30">
        <v>88</v>
      </c>
      <c r="B91" s="31" t="s">
        <v>311</v>
      </c>
      <c r="C91" s="6" t="s">
        <v>211</v>
      </c>
      <c r="D91" s="32" t="s">
        <v>111</v>
      </c>
      <c r="E91" s="32" t="s">
        <v>111</v>
      </c>
      <c r="F91" s="32" t="s">
        <v>111</v>
      </c>
      <c r="G91" s="32" t="s">
        <v>111</v>
      </c>
      <c r="H91" s="32" t="s">
        <v>111</v>
      </c>
      <c r="I91" s="32" t="s">
        <v>111</v>
      </c>
      <c r="J91" s="32" t="s">
        <v>111</v>
      </c>
      <c r="K91" s="32" t="s">
        <v>111</v>
      </c>
      <c r="L91" s="32" t="s">
        <v>111</v>
      </c>
      <c r="M91" s="34">
        <v>28</v>
      </c>
      <c r="N91" s="34">
        <v>54.8</v>
      </c>
      <c r="O91" s="35">
        <f t="shared" si="53"/>
        <v>7</v>
      </c>
      <c r="P91" s="65">
        <f t="shared" si="54"/>
        <v>14</v>
      </c>
      <c r="Q91" s="37">
        <f t="shared" si="55"/>
        <v>21</v>
      </c>
      <c r="R91" s="35">
        <f t="shared" si="56"/>
        <v>7.6923663459302292</v>
      </c>
      <c r="S91" s="36">
        <f t="shared" si="57"/>
        <v>15.384732691860458</v>
      </c>
      <c r="T91" s="37">
        <f t="shared" si="58"/>
        <v>23.077099037790688</v>
      </c>
      <c r="U91" s="35">
        <f t="shared" si="48"/>
        <v>19.242366345930229</v>
      </c>
      <c r="V91" s="36">
        <f t="shared" si="49"/>
        <v>38.484732691860458</v>
      </c>
      <c r="W91" s="37">
        <f t="shared" si="50"/>
        <v>57.727099037790687</v>
      </c>
      <c r="X91" s="34" t="s">
        <v>111</v>
      </c>
      <c r="Y91" s="34" t="s">
        <v>111</v>
      </c>
      <c r="Z91" s="34" t="s">
        <v>111</v>
      </c>
      <c r="AA91" s="39">
        <f t="shared" si="52"/>
        <v>20.801201888352509</v>
      </c>
      <c r="AB91" s="40">
        <f t="shared" si="52"/>
        <v>41.602403776705017</v>
      </c>
      <c r="AC91" s="41">
        <f t="shared" si="52"/>
        <v>62.403605665057526</v>
      </c>
      <c r="AD91" s="30"/>
    </row>
    <row r="92" spans="1:30">
      <c r="A92" s="30">
        <v>89</v>
      </c>
      <c r="B92" s="31" t="s">
        <v>310</v>
      </c>
      <c r="C92" s="6" t="s">
        <v>211</v>
      </c>
      <c r="D92" s="32" t="s">
        <v>111</v>
      </c>
      <c r="E92" s="32" t="s">
        <v>111</v>
      </c>
      <c r="F92" s="32" t="s">
        <v>111</v>
      </c>
      <c r="G92" s="32" t="s">
        <v>111</v>
      </c>
      <c r="H92" s="32" t="s">
        <v>111</v>
      </c>
      <c r="I92" s="32" t="s">
        <v>111</v>
      </c>
      <c r="J92" s="32" t="s">
        <v>111</v>
      </c>
      <c r="K92" s="32" t="s">
        <v>111</v>
      </c>
      <c r="L92" s="32" t="s">
        <v>111</v>
      </c>
      <c r="M92" s="34">
        <v>21</v>
      </c>
      <c r="N92" s="34">
        <v>76.400000000000006</v>
      </c>
      <c r="O92" s="35">
        <f t="shared" si="53"/>
        <v>5.25</v>
      </c>
      <c r="P92" s="65">
        <f t="shared" si="54"/>
        <v>10.5</v>
      </c>
      <c r="Q92" s="37">
        <f t="shared" si="55"/>
        <v>15.75</v>
      </c>
      <c r="R92" s="35">
        <f t="shared" si="56"/>
        <v>9.9041973425411918</v>
      </c>
      <c r="S92" s="36">
        <f t="shared" si="57"/>
        <v>19.808394685082384</v>
      </c>
      <c r="T92" s="37">
        <f t="shared" si="58"/>
        <v>29.712592027623575</v>
      </c>
      <c r="U92" s="35">
        <f t="shared" si="48"/>
        <v>18.56669734254119</v>
      </c>
      <c r="V92" s="36">
        <f t="shared" si="49"/>
        <v>37.133394685082379</v>
      </c>
      <c r="W92" s="37">
        <f t="shared" si="50"/>
        <v>55.700092027623569</v>
      </c>
      <c r="X92" s="34" t="s">
        <v>111</v>
      </c>
      <c r="Y92" s="34" t="s">
        <v>111</v>
      </c>
      <c r="Z92" s="34" t="s">
        <v>111</v>
      </c>
      <c r="AA92" s="39">
        <f t="shared" si="52"/>
        <v>22.419243965843272</v>
      </c>
      <c r="AB92" s="40">
        <f t="shared" si="52"/>
        <v>44.838487931686544</v>
      </c>
      <c r="AC92" s="41">
        <f t="shared" si="52"/>
        <v>67.257731897529823</v>
      </c>
      <c r="AD92" s="30"/>
    </row>
    <row r="93" spans="1:30">
      <c r="A93" s="30">
        <v>90</v>
      </c>
      <c r="B93" s="47" t="s">
        <v>212</v>
      </c>
      <c r="C93" s="6" t="s">
        <v>139</v>
      </c>
      <c r="D93" s="32">
        <v>3.5</v>
      </c>
      <c r="E93" s="32">
        <v>7.5</v>
      </c>
      <c r="F93" s="32">
        <v>10</v>
      </c>
      <c r="G93" s="32">
        <v>10</v>
      </c>
      <c r="H93" s="32">
        <v>8</v>
      </c>
      <c r="I93" s="32">
        <v>8</v>
      </c>
      <c r="J93" s="32">
        <v>11.2</v>
      </c>
      <c r="K93" s="32">
        <v>12.7</v>
      </c>
      <c r="L93" s="32">
        <v>12.7</v>
      </c>
      <c r="M93" s="34" t="s">
        <v>73</v>
      </c>
      <c r="N93" s="34" t="s">
        <v>73</v>
      </c>
      <c r="O93" s="32" t="s">
        <v>111</v>
      </c>
      <c r="P93" s="32" t="s">
        <v>111</v>
      </c>
      <c r="Q93" s="32" t="s">
        <v>111</v>
      </c>
      <c r="R93" s="32" t="s">
        <v>111</v>
      </c>
      <c r="S93" s="32" t="s">
        <v>111</v>
      </c>
      <c r="T93" s="32" t="s">
        <v>111</v>
      </c>
      <c r="U93" s="7" t="s">
        <v>111</v>
      </c>
      <c r="V93" s="7" t="s">
        <v>111</v>
      </c>
      <c r="W93" s="7" t="s">
        <v>111</v>
      </c>
      <c r="X93" s="38">
        <f t="shared" si="51"/>
        <v>30.029319006597536</v>
      </c>
      <c r="Y93" s="38">
        <f t="shared" si="51"/>
        <v>30.019327107715121</v>
      </c>
      <c r="Z93" s="38">
        <f t="shared" si="51"/>
        <v>30.019327107715121</v>
      </c>
      <c r="AA93" s="44" t="s">
        <v>111</v>
      </c>
      <c r="AB93" s="45" t="s">
        <v>111</v>
      </c>
      <c r="AC93" s="46" t="s">
        <v>111</v>
      </c>
      <c r="AD93" s="30"/>
    </row>
    <row r="94" spans="1:30">
      <c r="A94" s="30">
        <v>91</v>
      </c>
      <c r="B94" s="47" t="s">
        <v>213</v>
      </c>
      <c r="C94" s="6" t="s">
        <v>108</v>
      </c>
      <c r="D94" s="32">
        <v>35</v>
      </c>
      <c r="E94" s="32">
        <v>220</v>
      </c>
      <c r="F94" s="32">
        <v>390</v>
      </c>
      <c r="G94" s="32">
        <v>6</v>
      </c>
      <c r="H94" s="32">
        <v>6</v>
      </c>
      <c r="I94" s="32">
        <v>5</v>
      </c>
      <c r="J94" s="32">
        <v>8</v>
      </c>
      <c r="K94" s="32">
        <v>6.7</v>
      </c>
      <c r="L94" s="32">
        <v>6.2</v>
      </c>
      <c r="M94" s="34">
        <v>13.4</v>
      </c>
      <c r="N94" s="34">
        <v>42.15</v>
      </c>
      <c r="O94" s="35">
        <f>0.25*M94</f>
        <v>3.35</v>
      </c>
      <c r="P94" s="36">
        <f>0.5*M94</f>
        <v>6.7</v>
      </c>
      <c r="Q94" s="37">
        <f>0.75*M94</f>
        <v>10.050000000000001</v>
      </c>
      <c r="R94" s="35">
        <f>IF(N94="---","---",0.125*SQRT(POWER(M94,2)+POWER(N94,2)))</f>
        <v>5.5285939950859113</v>
      </c>
      <c r="S94" s="36">
        <f>IF(N94="---","---",0.25*SQRT(POWER(M94,2)+POWER(N94,2)))</f>
        <v>11.057187990171823</v>
      </c>
      <c r="T94" s="37">
        <f>IF(N94="---","---",0.375*SQRT(POWER(M94,2)+POWER(N94,2)))</f>
        <v>16.585781985257732</v>
      </c>
      <c r="U94" s="35">
        <f t="shared" si="48"/>
        <v>11.056093995085911</v>
      </c>
      <c r="V94" s="36">
        <f t="shared" si="49"/>
        <v>22.112187990171822</v>
      </c>
      <c r="W94" s="37">
        <f t="shared" si="50"/>
        <v>33.168281985257735</v>
      </c>
      <c r="X94" s="38">
        <f t="shared" si="51"/>
        <v>20</v>
      </c>
      <c r="Y94" s="38">
        <f t="shared" si="51"/>
        <v>17.987773625437917</v>
      </c>
      <c r="Z94" s="38">
        <f t="shared" si="51"/>
        <v>15.929846201391902</v>
      </c>
      <c r="AA94" s="39">
        <f t="shared" si="52"/>
        <v>12.928704739841496</v>
      </c>
      <c r="AB94" s="40">
        <f t="shared" si="52"/>
        <v>25.857409479682993</v>
      </c>
      <c r="AC94" s="41">
        <f t="shared" si="52"/>
        <v>38.786114219524485</v>
      </c>
      <c r="AD94" s="30"/>
    </row>
    <row r="95" spans="1:30">
      <c r="A95" s="30">
        <v>92</v>
      </c>
      <c r="B95" s="47" t="s">
        <v>214</v>
      </c>
      <c r="C95" s="6" t="s">
        <v>125</v>
      </c>
      <c r="D95" s="32">
        <v>4</v>
      </c>
      <c r="E95" s="32">
        <v>11</v>
      </c>
      <c r="F95" s="32">
        <v>16</v>
      </c>
      <c r="G95" s="32">
        <v>3.2</v>
      </c>
      <c r="H95" s="32">
        <v>2.4</v>
      </c>
      <c r="I95" s="32">
        <v>1.6</v>
      </c>
      <c r="J95" s="32">
        <v>5.0999999999999996</v>
      </c>
      <c r="K95" s="32">
        <v>4.4000000000000004</v>
      </c>
      <c r="L95" s="32">
        <v>3.7</v>
      </c>
      <c r="M95" s="34">
        <v>5.6</v>
      </c>
      <c r="N95" s="34">
        <v>7.5</v>
      </c>
      <c r="O95" s="35">
        <f>0.25*M95</f>
        <v>1.4</v>
      </c>
      <c r="P95" s="65">
        <f>0.5*M95</f>
        <v>2.8</v>
      </c>
      <c r="Q95" s="37">
        <f>0.75*M95</f>
        <v>4.1999999999999993</v>
      </c>
      <c r="R95" s="35">
        <f>IF(N95="---","---",0.125*SQRT(POWER(M95,2)+POWER(N95,2)))</f>
        <v>1.1700026709371223</v>
      </c>
      <c r="S95" s="36">
        <f>IF(N95="---","---",0.25*SQRT(POWER(M95,2)+POWER(N95,2)))</f>
        <v>2.3400053418742446</v>
      </c>
      <c r="T95" s="37">
        <f>IF(N95="---","---",0.375*SQRT(POWER(M95,2)+POWER(N95,2)))</f>
        <v>3.5100080128113671</v>
      </c>
      <c r="U95" s="35">
        <f t="shared" si="48"/>
        <v>3.4800026709371217</v>
      </c>
      <c r="V95" s="36">
        <f t="shared" si="49"/>
        <v>6.9600053418742434</v>
      </c>
      <c r="W95" s="37">
        <f t="shared" si="50"/>
        <v>10.440008012811365</v>
      </c>
      <c r="X95" s="38">
        <f t="shared" si="51"/>
        <v>12.041594578792296</v>
      </c>
      <c r="Y95" s="38">
        <f t="shared" si="51"/>
        <v>10.023971268913336</v>
      </c>
      <c r="Z95" s="38">
        <f t="shared" si="51"/>
        <v>8.0622577482985491</v>
      </c>
      <c r="AA95" s="39">
        <f t="shared" si="52"/>
        <v>3.6490580976465692</v>
      </c>
      <c r="AB95" s="40">
        <f t="shared" si="52"/>
        <v>7.2981161952931384</v>
      </c>
      <c r="AC95" s="41">
        <f t="shared" si="52"/>
        <v>10.947174292939708</v>
      </c>
      <c r="AD95" s="30"/>
    </row>
    <row r="96" spans="1:30">
      <c r="A96" s="30">
        <v>93</v>
      </c>
      <c r="B96" s="31" t="s">
        <v>215</v>
      </c>
      <c r="C96" s="6" t="s">
        <v>125</v>
      </c>
      <c r="D96" s="32">
        <v>5.5</v>
      </c>
      <c r="E96" s="32">
        <v>20</v>
      </c>
      <c r="F96" s="32">
        <v>30</v>
      </c>
      <c r="G96" s="32">
        <v>6</v>
      </c>
      <c r="H96" s="32">
        <v>5</v>
      </c>
      <c r="I96" s="32">
        <v>5</v>
      </c>
      <c r="J96" s="32">
        <v>5.3</v>
      </c>
      <c r="K96" s="32">
        <v>4.9000000000000004</v>
      </c>
      <c r="L96" s="32">
        <v>6.2</v>
      </c>
      <c r="M96" s="34" t="s">
        <v>73</v>
      </c>
      <c r="N96" s="34" t="s">
        <v>73</v>
      </c>
      <c r="O96" s="32" t="s">
        <v>111</v>
      </c>
      <c r="P96" s="32" t="s">
        <v>111</v>
      </c>
      <c r="Q96" s="32" t="s">
        <v>111</v>
      </c>
      <c r="R96" s="32" t="s">
        <v>111</v>
      </c>
      <c r="S96" s="32" t="s">
        <v>111</v>
      </c>
      <c r="T96" s="32" t="s">
        <v>111</v>
      </c>
      <c r="U96" s="7" t="s">
        <v>111</v>
      </c>
      <c r="V96" s="7" t="s">
        <v>111</v>
      </c>
      <c r="W96" s="7" t="s">
        <v>111</v>
      </c>
      <c r="X96" s="38">
        <f t="shared" si="51"/>
        <v>16.011246047700347</v>
      </c>
      <c r="Y96" s="38">
        <f t="shared" si="51"/>
        <v>14.001428498549711</v>
      </c>
      <c r="Z96" s="38">
        <f t="shared" si="51"/>
        <v>15.929846201391902</v>
      </c>
      <c r="AA96" s="44" t="s">
        <v>111</v>
      </c>
      <c r="AB96" s="45" t="s">
        <v>111</v>
      </c>
      <c r="AC96" s="46" t="s">
        <v>111</v>
      </c>
      <c r="AD96" s="30"/>
    </row>
    <row r="97" spans="1:30">
      <c r="A97" s="30">
        <v>94</v>
      </c>
      <c r="B97" s="66" t="s">
        <v>216</v>
      </c>
      <c r="C97" s="6" t="s">
        <v>105</v>
      </c>
      <c r="D97" s="32">
        <v>1.25</v>
      </c>
      <c r="E97" s="32">
        <v>2.25</v>
      </c>
      <c r="F97" s="32">
        <v>3</v>
      </c>
      <c r="G97" s="32">
        <v>6</v>
      </c>
      <c r="H97" s="32">
        <v>5</v>
      </c>
      <c r="I97" s="32">
        <v>4</v>
      </c>
      <c r="J97" s="32">
        <v>10.4</v>
      </c>
      <c r="K97" s="32">
        <v>8.6999999999999993</v>
      </c>
      <c r="L97" s="32">
        <v>6.9</v>
      </c>
      <c r="M97" s="34">
        <v>20.399999999999999</v>
      </c>
      <c r="N97" s="34">
        <v>36.4</v>
      </c>
      <c r="O97" s="35">
        <f>0.25*M97</f>
        <v>5.0999999999999996</v>
      </c>
      <c r="P97" s="36">
        <f>0.5*M97</f>
        <v>10.199999999999999</v>
      </c>
      <c r="Q97" s="37">
        <f>0.75*M97</f>
        <v>15.299999999999999</v>
      </c>
      <c r="R97" s="35">
        <f>IF(N97="---","---",0.125*SQRT(POWER(M97,2)+POWER(N97,2)))</f>
        <v>5.2158412552530775</v>
      </c>
      <c r="S97" s="36">
        <f>IF(N97="---","---",0.25*SQRT(POWER(M97,2)+POWER(N97,2)))</f>
        <v>10.431682510506155</v>
      </c>
      <c r="T97" s="37">
        <f>IF(N97="---","---",0.375*SQRT(POWER(M97,2)+POWER(N97,2)))</f>
        <v>15.647523765759232</v>
      </c>
      <c r="U97" s="35">
        <f t="shared" si="48"/>
        <v>13.630841255253078</v>
      </c>
      <c r="V97" s="36">
        <f t="shared" si="49"/>
        <v>27.261682510506155</v>
      </c>
      <c r="W97" s="37">
        <f t="shared" si="50"/>
        <v>40.892523765759229</v>
      </c>
      <c r="X97" s="38">
        <f t="shared" si="51"/>
        <v>24.013329631685817</v>
      </c>
      <c r="Y97" s="38">
        <f t="shared" si="51"/>
        <v>20.06888138387389</v>
      </c>
      <c r="Z97" s="38">
        <f t="shared" si="51"/>
        <v>15.951175505272332</v>
      </c>
      <c r="AA97" s="39">
        <f t="shared" si="52"/>
        <v>14.589722409970657</v>
      </c>
      <c r="AB97" s="40">
        <f t="shared" si="52"/>
        <v>29.179444819941313</v>
      </c>
      <c r="AC97" s="41">
        <f t="shared" si="52"/>
        <v>43.769167229911972</v>
      </c>
      <c r="AD97" s="30"/>
    </row>
    <row r="98" spans="1:30">
      <c r="A98" s="30">
        <v>95</v>
      </c>
      <c r="B98" s="31" t="s">
        <v>71</v>
      </c>
      <c r="C98" s="6" t="s">
        <v>34</v>
      </c>
      <c r="D98" s="32">
        <v>5.5</v>
      </c>
      <c r="E98" s="32">
        <v>8.5</v>
      </c>
      <c r="F98" s="32">
        <v>10</v>
      </c>
      <c r="G98" s="32">
        <v>5</v>
      </c>
      <c r="H98" s="32">
        <v>5</v>
      </c>
      <c r="I98" s="32">
        <v>5</v>
      </c>
      <c r="J98" s="32">
        <v>6.2</v>
      </c>
      <c r="K98" s="32">
        <v>6.2</v>
      </c>
      <c r="L98" s="32">
        <v>6.2</v>
      </c>
      <c r="M98" s="34">
        <v>1.85</v>
      </c>
      <c r="N98" s="34">
        <v>5.7</v>
      </c>
      <c r="O98" s="35">
        <f>0.25*M98</f>
        <v>0.46250000000000002</v>
      </c>
      <c r="P98" s="36">
        <f>0.5*M98</f>
        <v>0.92500000000000004</v>
      </c>
      <c r="Q98" s="37">
        <f>0.75*M98</f>
        <v>1.3875000000000002</v>
      </c>
      <c r="R98" s="35">
        <f>IF(N98="---","---",0.125*SQRT(POWER(M98,2)+POWER(N98,2)))</f>
        <v>0.7490879871550471</v>
      </c>
      <c r="S98" s="36">
        <f>IF(N98="---","---",0.25*SQRT(POWER(M98,2)+POWER(N98,2)))</f>
        <v>1.4981759743100942</v>
      </c>
      <c r="T98" s="37">
        <f>IF(N98="---","---",0.375*SQRT(POWER(M98,2)+POWER(N98,2)))</f>
        <v>2.2472639614651415</v>
      </c>
      <c r="U98" s="35">
        <f t="shared" si="48"/>
        <v>1.5122129871550469</v>
      </c>
      <c r="V98" s="36">
        <f t="shared" si="49"/>
        <v>3.0244259743100939</v>
      </c>
      <c r="W98" s="37">
        <f t="shared" si="50"/>
        <v>4.5366389614651421</v>
      </c>
      <c r="X98" s="38">
        <f t="shared" si="51"/>
        <v>15.929846201391902</v>
      </c>
      <c r="Y98" s="38">
        <f t="shared" si="51"/>
        <v>15.929846201391902</v>
      </c>
      <c r="Z98" s="38">
        <f t="shared" si="51"/>
        <v>15.929846201391902</v>
      </c>
      <c r="AA98" s="39">
        <f t="shared" si="52"/>
        <v>1.7607260576250925</v>
      </c>
      <c r="AB98" s="40">
        <f t="shared" si="52"/>
        <v>3.521452115250185</v>
      </c>
      <c r="AC98" s="41">
        <f t="shared" si="52"/>
        <v>5.2821781728752777</v>
      </c>
      <c r="AD98" s="30"/>
    </row>
    <row r="99" spans="1:30">
      <c r="A99" s="30">
        <v>96</v>
      </c>
      <c r="B99" s="31" t="s">
        <v>217</v>
      </c>
      <c r="C99" s="6" t="s">
        <v>34</v>
      </c>
      <c r="D99" s="32">
        <v>7.5</v>
      </c>
      <c r="E99" s="32">
        <v>12.5</v>
      </c>
      <c r="F99" s="32">
        <v>15</v>
      </c>
      <c r="G99" s="32">
        <v>10</v>
      </c>
      <c r="H99" s="32">
        <v>5</v>
      </c>
      <c r="I99" s="32">
        <v>5</v>
      </c>
      <c r="J99" s="32">
        <v>17.3</v>
      </c>
      <c r="K99" s="32">
        <v>14.1</v>
      </c>
      <c r="L99" s="32">
        <v>8.6999999999999993</v>
      </c>
      <c r="M99" s="34" t="s">
        <v>73</v>
      </c>
      <c r="N99" s="34" t="s">
        <v>73</v>
      </c>
      <c r="O99" s="32" t="s">
        <v>111</v>
      </c>
      <c r="P99" s="32" t="s">
        <v>111</v>
      </c>
      <c r="Q99" s="32" t="s">
        <v>111</v>
      </c>
      <c r="R99" s="32" t="s">
        <v>111</v>
      </c>
      <c r="S99" s="32" t="s">
        <v>111</v>
      </c>
      <c r="T99" s="32" t="s">
        <v>111</v>
      </c>
      <c r="U99" s="7" t="s">
        <v>111</v>
      </c>
      <c r="V99" s="7" t="s">
        <v>111</v>
      </c>
      <c r="W99" s="7" t="s">
        <v>111</v>
      </c>
      <c r="X99" s="38">
        <f t="shared" si="51"/>
        <v>39.964484232878576</v>
      </c>
      <c r="Y99" s="38">
        <f t="shared" si="51"/>
        <v>29.920561492057598</v>
      </c>
      <c r="Z99" s="38">
        <f t="shared" si="51"/>
        <v>20.06888138387389</v>
      </c>
      <c r="AA99" s="44" t="s">
        <v>111</v>
      </c>
      <c r="AB99" s="45" t="s">
        <v>111</v>
      </c>
      <c r="AC99" s="46" t="s">
        <v>111</v>
      </c>
      <c r="AD99" s="30"/>
    </row>
    <row r="100" spans="1:30">
      <c r="A100" s="30">
        <v>97</v>
      </c>
      <c r="B100" s="31" t="s">
        <v>218</v>
      </c>
      <c r="C100" s="48" t="s">
        <v>111</v>
      </c>
      <c r="D100" s="32" t="s">
        <v>111</v>
      </c>
      <c r="E100" s="32" t="s">
        <v>111</v>
      </c>
      <c r="F100" s="32" t="s">
        <v>111</v>
      </c>
      <c r="G100" s="32" t="s">
        <v>111</v>
      </c>
      <c r="H100" s="32" t="s">
        <v>111</v>
      </c>
      <c r="I100" s="32" t="s">
        <v>111</v>
      </c>
      <c r="J100" s="32" t="s">
        <v>111</v>
      </c>
      <c r="K100" s="32" t="s">
        <v>111</v>
      </c>
      <c r="L100" s="32" t="s">
        <v>111</v>
      </c>
      <c r="M100" s="34">
        <v>8.8000000000000007</v>
      </c>
      <c r="N100" s="34" t="s">
        <v>197</v>
      </c>
      <c r="O100" s="35">
        <f>0.25*M100</f>
        <v>2.2000000000000002</v>
      </c>
      <c r="P100" s="65">
        <f>0.5*M100</f>
        <v>4.4000000000000004</v>
      </c>
      <c r="Q100" s="37">
        <f>0.75*M100</f>
        <v>6.6000000000000005</v>
      </c>
      <c r="R100" s="35" t="s">
        <v>219</v>
      </c>
      <c r="S100" s="36" t="s">
        <v>219</v>
      </c>
      <c r="T100" s="37" t="s">
        <v>219</v>
      </c>
      <c r="U100" s="35" t="str">
        <f t="shared" si="48"/>
        <v>---</v>
      </c>
      <c r="V100" s="36" t="str">
        <f t="shared" si="49"/>
        <v>---</v>
      </c>
      <c r="W100" s="37" t="str">
        <f t="shared" si="50"/>
        <v>---</v>
      </c>
      <c r="X100" s="32" t="s">
        <v>111</v>
      </c>
      <c r="Y100" s="32" t="s">
        <v>111</v>
      </c>
      <c r="Z100" s="32" t="s">
        <v>111</v>
      </c>
      <c r="AA100" s="44" t="s">
        <v>111</v>
      </c>
      <c r="AB100" s="45" t="s">
        <v>111</v>
      </c>
      <c r="AC100" s="46" t="s">
        <v>111</v>
      </c>
      <c r="AD100" s="30"/>
    </row>
    <row r="101" spans="1:30">
      <c r="A101" s="30">
        <v>98</v>
      </c>
      <c r="B101" s="31" t="s">
        <v>220</v>
      </c>
      <c r="C101" s="6" t="s">
        <v>34</v>
      </c>
      <c r="D101" s="32">
        <v>55</v>
      </c>
      <c r="E101" s="32">
        <v>85</v>
      </c>
      <c r="F101" s="32">
        <v>100</v>
      </c>
      <c r="G101" s="32">
        <v>5</v>
      </c>
      <c r="H101" s="32">
        <v>5</v>
      </c>
      <c r="I101" s="32">
        <v>5</v>
      </c>
      <c r="J101" s="32">
        <v>8.6999999999999993</v>
      </c>
      <c r="K101" s="32">
        <v>8.6999999999999993</v>
      </c>
      <c r="L101" s="32">
        <v>8.6999999999999993</v>
      </c>
      <c r="M101" s="34" t="s">
        <v>73</v>
      </c>
      <c r="N101" s="34" t="s">
        <v>73</v>
      </c>
      <c r="O101" s="32" t="s">
        <v>111</v>
      </c>
      <c r="P101" s="32" t="s">
        <v>111</v>
      </c>
      <c r="Q101" s="32" t="s">
        <v>111</v>
      </c>
      <c r="R101" s="32" t="s">
        <v>111</v>
      </c>
      <c r="S101" s="32" t="s">
        <v>111</v>
      </c>
      <c r="T101" s="32" t="s">
        <v>111</v>
      </c>
      <c r="U101" s="7" t="s">
        <v>111</v>
      </c>
      <c r="V101" s="7" t="s">
        <v>111</v>
      </c>
      <c r="W101" s="7" t="s">
        <v>111</v>
      </c>
      <c r="X101" s="38">
        <f t="shared" si="51"/>
        <v>20.06888138387389</v>
      </c>
      <c r="Y101" s="38">
        <f t="shared" si="51"/>
        <v>20.06888138387389</v>
      </c>
      <c r="Z101" s="38">
        <f t="shared" si="51"/>
        <v>20.06888138387389</v>
      </c>
      <c r="AA101" s="44" t="s">
        <v>111</v>
      </c>
      <c r="AB101" s="45" t="s">
        <v>111</v>
      </c>
      <c r="AC101" s="46" t="s">
        <v>111</v>
      </c>
      <c r="AD101" s="30"/>
    </row>
    <row r="102" spans="1:30">
      <c r="A102" s="30">
        <v>99</v>
      </c>
      <c r="B102" s="56" t="s">
        <v>221</v>
      </c>
      <c r="C102" s="6" t="s">
        <v>222</v>
      </c>
      <c r="D102" s="32" t="s">
        <v>111</v>
      </c>
      <c r="E102" s="32" t="s">
        <v>111</v>
      </c>
      <c r="F102" s="32" t="s">
        <v>111</v>
      </c>
      <c r="G102" s="32" t="s">
        <v>111</v>
      </c>
      <c r="H102" s="32" t="s">
        <v>111</v>
      </c>
      <c r="I102" s="32" t="s">
        <v>111</v>
      </c>
      <c r="J102" s="32" t="s">
        <v>111</v>
      </c>
      <c r="K102" s="32" t="s">
        <v>111</v>
      </c>
      <c r="L102" s="32" t="s">
        <v>111</v>
      </c>
      <c r="M102" s="49">
        <v>3.25</v>
      </c>
      <c r="N102" s="34">
        <v>6.3</v>
      </c>
      <c r="O102" s="35">
        <f t="shared" ref="O102" si="59">0.25*M102</f>
        <v>0.8125</v>
      </c>
      <c r="P102" s="36">
        <f t="shared" ref="P102" si="60">0.5*M102</f>
        <v>1.625</v>
      </c>
      <c r="Q102" s="37">
        <f t="shared" ref="Q102" si="61">0.75*M102</f>
        <v>2.4375</v>
      </c>
      <c r="R102" s="35">
        <f t="shared" ref="R102" si="62">IF(N102="---","---",0.125*SQRT(POWER(M102,2)+POWER(N102,2)))</f>
        <v>0.88611247169871155</v>
      </c>
      <c r="S102" s="36">
        <f t="shared" ref="S102" si="63">IF(N102="---","---",0.25*SQRT(POWER(M102,2)+POWER(N102,2)))</f>
        <v>1.7722249433974231</v>
      </c>
      <c r="T102" s="37">
        <f t="shared" ref="T102" si="64">IF(N102="---","---",0.375*SQRT(POWER(M102,2)+POWER(N102,2)))</f>
        <v>2.6583374150961347</v>
      </c>
      <c r="U102" s="35">
        <f t="shared" si="48"/>
        <v>2.2267374716987116</v>
      </c>
      <c r="V102" s="36">
        <f t="shared" si="49"/>
        <v>4.4534749433974232</v>
      </c>
      <c r="W102" s="37">
        <f t="shared" si="50"/>
        <v>6.6802124150961344</v>
      </c>
      <c r="X102" s="38" t="e">
        <f t="shared" si="51"/>
        <v>#VALUE!</v>
      </c>
      <c r="Y102" s="38" t="e">
        <f t="shared" si="51"/>
        <v>#VALUE!</v>
      </c>
      <c r="Z102" s="38" t="e">
        <f t="shared" si="51"/>
        <v>#VALUE!</v>
      </c>
      <c r="AA102" s="39">
        <f t="shared" si="52"/>
        <v>2.4044554996921859</v>
      </c>
      <c r="AB102" s="40">
        <f t="shared" si="52"/>
        <v>4.8089109993843717</v>
      </c>
      <c r="AC102" s="41">
        <f t="shared" si="52"/>
        <v>7.2133664990765585</v>
      </c>
      <c r="AD102" s="30"/>
    </row>
    <row r="103" spans="1:30">
      <c r="A103" s="30">
        <v>100</v>
      </c>
      <c r="B103" s="47" t="s">
        <v>223</v>
      </c>
      <c r="C103" s="6" t="s">
        <v>125</v>
      </c>
      <c r="D103" s="32">
        <v>1.1000000000000001</v>
      </c>
      <c r="E103" s="32">
        <v>1.8</v>
      </c>
      <c r="F103" s="32">
        <v>2.2000000000000002</v>
      </c>
      <c r="G103" s="32">
        <v>6</v>
      </c>
      <c r="H103" s="32">
        <v>6</v>
      </c>
      <c r="I103" s="32">
        <v>6</v>
      </c>
      <c r="J103" s="32">
        <v>8</v>
      </c>
      <c r="K103" s="32">
        <v>8</v>
      </c>
      <c r="L103" s="32">
        <v>8</v>
      </c>
      <c r="M103" s="34">
        <v>7.3</v>
      </c>
      <c r="N103" s="34">
        <v>21.2</v>
      </c>
      <c r="O103" s="35">
        <f>0.25*M103</f>
        <v>1.825</v>
      </c>
      <c r="P103" s="36">
        <f>0.5*M103</f>
        <v>3.65</v>
      </c>
      <c r="Q103" s="37">
        <f>0.75*M103</f>
        <v>5.4749999999999996</v>
      </c>
      <c r="R103" s="35">
        <f>IF(N103="---","---",0.125*SQRT(POWER(M103,2)+POWER(N103,2)))</f>
        <v>2.8027051664418789</v>
      </c>
      <c r="S103" s="36">
        <f>IF(N103="---","---",0.25*SQRT(POWER(M103,2)+POWER(N103,2)))</f>
        <v>5.6054103328837579</v>
      </c>
      <c r="T103" s="37">
        <f>IF(N103="---","---",0.375*SQRT(POWER(M103,2)+POWER(N103,2)))</f>
        <v>8.4081154993256373</v>
      </c>
      <c r="U103" s="35">
        <f t="shared" si="48"/>
        <v>5.8139551664418789</v>
      </c>
      <c r="V103" s="36">
        <f t="shared" si="49"/>
        <v>11.627910332883758</v>
      </c>
      <c r="W103" s="37">
        <f t="shared" si="50"/>
        <v>17.441865499325637</v>
      </c>
      <c r="X103" s="38">
        <f t="shared" si="51"/>
        <v>20</v>
      </c>
      <c r="Y103" s="38">
        <f t="shared" si="51"/>
        <v>20</v>
      </c>
      <c r="Z103" s="38">
        <f t="shared" si="51"/>
        <v>20</v>
      </c>
      <c r="AA103" s="39">
        <f t="shared" si="52"/>
        <v>6.689030198765737</v>
      </c>
      <c r="AB103" s="40">
        <f t="shared" si="52"/>
        <v>13.378060397531474</v>
      </c>
      <c r="AC103" s="41">
        <f t="shared" si="52"/>
        <v>20.067090596297213</v>
      </c>
      <c r="AD103" s="30"/>
    </row>
    <row r="104" spans="1:30">
      <c r="A104" s="30">
        <v>101</v>
      </c>
      <c r="B104" s="67" t="s">
        <v>224</v>
      </c>
      <c r="C104" s="6" t="s">
        <v>159</v>
      </c>
      <c r="D104" s="32" t="s">
        <v>111</v>
      </c>
      <c r="E104" s="32" t="s">
        <v>111</v>
      </c>
      <c r="F104" s="32" t="s">
        <v>111</v>
      </c>
      <c r="G104" s="32" t="s">
        <v>111</v>
      </c>
      <c r="H104" s="32" t="s">
        <v>111</v>
      </c>
      <c r="I104" s="32" t="s">
        <v>111</v>
      </c>
      <c r="J104" s="32" t="s">
        <v>111</v>
      </c>
      <c r="K104" s="32" t="s">
        <v>111</v>
      </c>
      <c r="L104" s="32" t="s">
        <v>111</v>
      </c>
      <c r="M104" s="32" t="s">
        <v>111</v>
      </c>
      <c r="N104" s="32" t="s">
        <v>111</v>
      </c>
      <c r="O104" s="32" t="s">
        <v>111</v>
      </c>
      <c r="P104" s="32" t="s">
        <v>111</v>
      </c>
      <c r="Q104" s="32" t="s">
        <v>111</v>
      </c>
      <c r="R104" s="32" t="s">
        <v>111</v>
      </c>
      <c r="S104" s="32" t="s">
        <v>111</v>
      </c>
      <c r="T104" s="32" t="s">
        <v>111</v>
      </c>
      <c r="U104" s="7" t="s">
        <v>111</v>
      </c>
      <c r="V104" s="7" t="s">
        <v>111</v>
      </c>
      <c r="W104" s="7" t="s">
        <v>111</v>
      </c>
      <c r="X104" s="32" t="s">
        <v>111</v>
      </c>
      <c r="Y104" s="32" t="s">
        <v>111</v>
      </c>
      <c r="Z104" s="32" t="s">
        <v>111</v>
      </c>
      <c r="AA104" s="44" t="s">
        <v>111</v>
      </c>
      <c r="AB104" s="45" t="s">
        <v>111</v>
      </c>
      <c r="AC104" s="46" t="s">
        <v>111</v>
      </c>
      <c r="AD104" s="30"/>
    </row>
    <row r="105" spans="1:30">
      <c r="A105" s="30">
        <v>102</v>
      </c>
      <c r="B105" s="68" t="s">
        <v>225</v>
      </c>
      <c r="C105" s="6" t="s">
        <v>34</v>
      </c>
      <c r="D105" s="32" t="s">
        <v>111</v>
      </c>
      <c r="E105" s="32" t="s">
        <v>111</v>
      </c>
      <c r="F105" s="32" t="s">
        <v>111</v>
      </c>
      <c r="G105" s="32" t="s">
        <v>111</v>
      </c>
      <c r="H105" s="32" t="s">
        <v>111</v>
      </c>
      <c r="I105" s="32" t="s">
        <v>111</v>
      </c>
      <c r="J105" s="32" t="s">
        <v>111</v>
      </c>
      <c r="K105" s="32" t="s">
        <v>111</v>
      </c>
      <c r="L105" s="32" t="s">
        <v>111</v>
      </c>
      <c r="M105" s="34">
        <v>2.7</v>
      </c>
      <c r="N105" s="34">
        <v>6.41</v>
      </c>
      <c r="O105" s="35">
        <f>0.25*M105</f>
        <v>0.67500000000000004</v>
      </c>
      <c r="P105" s="36">
        <f>0.5*M105</f>
        <v>1.35</v>
      </c>
      <c r="Q105" s="37">
        <f>0.75*M105</f>
        <v>2.0250000000000004</v>
      </c>
      <c r="R105" s="35">
        <f>IF(N105="---","---",0.125*SQRT(POWER(M105,2)+POWER(N105,2)))</f>
        <v>0.86942959030619615</v>
      </c>
      <c r="S105" s="36">
        <f>IF(N105="---","---",0.25*SQRT(POWER(M105,2)+POWER(N105,2)))</f>
        <v>1.7388591806123923</v>
      </c>
      <c r="T105" s="37">
        <f>IF(N105="---","---",0.375*SQRT(POWER(M105,2)+POWER(N105,2)))</f>
        <v>2.6082887709185885</v>
      </c>
      <c r="U105" s="35">
        <f t="shared" si="48"/>
        <v>1.9831795903061962</v>
      </c>
      <c r="V105" s="36">
        <f t="shared" si="49"/>
        <v>3.9663591806123923</v>
      </c>
      <c r="W105" s="37">
        <f t="shared" si="50"/>
        <v>5.949538770918589</v>
      </c>
      <c r="X105" s="32" t="s">
        <v>111</v>
      </c>
      <c r="Y105" s="32" t="s">
        <v>111</v>
      </c>
      <c r="Z105" s="32" t="s">
        <v>111</v>
      </c>
      <c r="AA105" s="39">
        <f t="shared" si="52"/>
        <v>2.2013930248821998</v>
      </c>
      <c r="AB105" s="40">
        <f t="shared" si="52"/>
        <v>4.4027860497643996</v>
      </c>
      <c r="AC105" s="41">
        <f t="shared" si="52"/>
        <v>6.6041790746465985</v>
      </c>
      <c r="AD105" s="30"/>
    </row>
    <row r="106" spans="1:30">
      <c r="A106" s="30">
        <v>103</v>
      </c>
      <c r="B106" s="68" t="s">
        <v>226</v>
      </c>
      <c r="C106" s="6" t="s">
        <v>227</v>
      </c>
      <c r="D106" s="32" t="s">
        <v>111</v>
      </c>
      <c r="E106" s="32" t="s">
        <v>111</v>
      </c>
      <c r="F106" s="32" t="s">
        <v>111</v>
      </c>
      <c r="G106" s="32" t="s">
        <v>111</v>
      </c>
      <c r="H106" s="32" t="s">
        <v>111</v>
      </c>
      <c r="I106" s="32" t="s">
        <v>111</v>
      </c>
      <c r="J106" s="32" t="s">
        <v>111</v>
      </c>
      <c r="K106" s="32" t="s">
        <v>111</v>
      </c>
      <c r="L106" s="32" t="s">
        <v>111</v>
      </c>
      <c r="M106" s="34">
        <v>2.85</v>
      </c>
      <c r="N106" s="34">
        <v>6.8</v>
      </c>
      <c r="O106" s="35">
        <f>0.25*M106</f>
        <v>0.71250000000000002</v>
      </c>
      <c r="P106" s="36">
        <f>0.5*M106</f>
        <v>1.425</v>
      </c>
      <c r="Q106" s="37">
        <f>0.75*M106</f>
        <v>2.1375000000000002</v>
      </c>
      <c r="R106" s="35">
        <f>IF(N106="---","---",0.125*SQRT(POWER(M106,2)+POWER(N106,2)))</f>
        <v>0.92163662172246608</v>
      </c>
      <c r="S106" s="36">
        <f>IF(N106="---","---",0.25*SQRT(POWER(M106,2)+POWER(N106,2)))</f>
        <v>1.8432732434449322</v>
      </c>
      <c r="T106" s="37">
        <f>IF(N106="---","---",0.375*SQRT(POWER(M106,2)+POWER(N106,2)))</f>
        <v>2.7649098651673985</v>
      </c>
      <c r="U106" s="35">
        <f t="shared" si="48"/>
        <v>2.097261621722466</v>
      </c>
      <c r="V106" s="36">
        <f t="shared" si="49"/>
        <v>4.194523243444932</v>
      </c>
      <c r="W106" s="37">
        <f t="shared" si="50"/>
        <v>6.2917848651673989</v>
      </c>
      <c r="X106" s="32" t="s">
        <v>111</v>
      </c>
      <c r="Y106" s="32" t="s">
        <v>111</v>
      </c>
      <c r="Z106" s="32" t="s">
        <v>111</v>
      </c>
      <c r="AA106" s="39">
        <f t="shared" si="52"/>
        <v>2.3298672172465107</v>
      </c>
      <c r="AB106" s="40">
        <f t="shared" si="52"/>
        <v>4.6597344344930214</v>
      </c>
      <c r="AC106" s="41">
        <f t="shared" si="52"/>
        <v>6.989601651739533</v>
      </c>
      <c r="AD106" s="30"/>
    </row>
    <row r="107" spans="1:30">
      <c r="A107" s="30">
        <v>104</v>
      </c>
      <c r="B107" s="69" t="s">
        <v>228</v>
      </c>
      <c r="C107" s="6" t="s">
        <v>113</v>
      </c>
      <c r="D107" s="32" t="s">
        <v>111</v>
      </c>
      <c r="E107" s="32" t="s">
        <v>111</v>
      </c>
      <c r="F107" s="32" t="s">
        <v>111</v>
      </c>
      <c r="G107" s="32" t="s">
        <v>111</v>
      </c>
      <c r="H107" s="32" t="s">
        <v>111</v>
      </c>
      <c r="I107" s="32" t="s">
        <v>111</v>
      </c>
      <c r="J107" s="32" t="s">
        <v>111</v>
      </c>
      <c r="K107" s="32" t="s">
        <v>111</v>
      </c>
      <c r="L107" s="32" t="s">
        <v>111</v>
      </c>
      <c r="M107" s="34" t="s">
        <v>73</v>
      </c>
      <c r="N107" s="34" t="s">
        <v>73</v>
      </c>
      <c r="O107" s="32" t="s">
        <v>111</v>
      </c>
      <c r="P107" s="32" t="s">
        <v>111</v>
      </c>
      <c r="Q107" s="32" t="s">
        <v>111</v>
      </c>
      <c r="R107" s="32" t="s">
        <v>111</v>
      </c>
      <c r="S107" s="32" t="s">
        <v>111</v>
      </c>
      <c r="T107" s="32" t="s">
        <v>111</v>
      </c>
      <c r="U107" s="54" t="s">
        <v>111</v>
      </c>
      <c r="V107" s="54" t="s">
        <v>111</v>
      </c>
      <c r="W107" s="54" t="s">
        <v>111</v>
      </c>
      <c r="X107" s="32" t="s">
        <v>111</v>
      </c>
      <c r="Y107" s="32" t="s">
        <v>111</v>
      </c>
      <c r="Z107" s="32" t="s">
        <v>111</v>
      </c>
      <c r="AA107" s="44" t="s">
        <v>111</v>
      </c>
      <c r="AB107" s="45" t="s">
        <v>111</v>
      </c>
      <c r="AC107" s="46" t="s">
        <v>111</v>
      </c>
      <c r="AD107" s="30"/>
    </row>
    <row r="108" spans="1:30">
      <c r="A108" s="30">
        <v>105</v>
      </c>
      <c r="B108" s="69" t="s">
        <v>229</v>
      </c>
      <c r="C108" s="6" t="s">
        <v>113</v>
      </c>
      <c r="D108" s="32" t="s">
        <v>111</v>
      </c>
      <c r="E108" s="32" t="s">
        <v>111</v>
      </c>
      <c r="F108" s="32" t="s">
        <v>111</v>
      </c>
      <c r="G108" s="32" t="s">
        <v>111</v>
      </c>
      <c r="H108" s="32" t="s">
        <v>111</v>
      </c>
      <c r="I108" s="32" t="s">
        <v>111</v>
      </c>
      <c r="J108" s="32" t="s">
        <v>111</v>
      </c>
      <c r="K108" s="32" t="s">
        <v>111</v>
      </c>
      <c r="L108" s="32" t="s">
        <v>111</v>
      </c>
      <c r="M108" s="34" t="s">
        <v>73</v>
      </c>
      <c r="N108" s="34" t="s">
        <v>73</v>
      </c>
      <c r="O108" s="32" t="s">
        <v>111</v>
      </c>
      <c r="P108" s="32" t="s">
        <v>111</v>
      </c>
      <c r="Q108" s="32" t="s">
        <v>111</v>
      </c>
      <c r="R108" s="32" t="s">
        <v>111</v>
      </c>
      <c r="S108" s="32" t="s">
        <v>111</v>
      </c>
      <c r="T108" s="32" t="s">
        <v>111</v>
      </c>
      <c r="U108" s="54" t="s">
        <v>111</v>
      </c>
      <c r="V108" s="54" t="s">
        <v>111</v>
      </c>
      <c r="W108" s="54" t="s">
        <v>111</v>
      </c>
      <c r="X108" s="32" t="s">
        <v>111</v>
      </c>
      <c r="Y108" s="32" t="s">
        <v>111</v>
      </c>
      <c r="Z108" s="32" t="s">
        <v>111</v>
      </c>
      <c r="AA108" s="44" t="s">
        <v>111</v>
      </c>
      <c r="AB108" s="45" t="s">
        <v>111</v>
      </c>
      <c r="AC108" s="46" t="s">
        <v>111</v>
      </c>
      <c r="AD108" s="30"/>
    </row>
    <row r="109" spans="1:30">
      <c r="A109" s="30">
        <v>106</v>
      </c>
      <c r="B109" s="70" t="s">
        <v>230</v>
      </c>
      <c r="C109" s="6" t="s">
        <v>111</v>
      </c>
      <c r="D109" s="32" t="s">
        <v>111</v>
      </c>
      <c r="E109" s="32" t="s">
        <v>111</v>
      </c>
      <c r="F109" s="32" t="s">
        <v>111</v>
      </c>
      <c r="G109" s="32" t="s">
        <v>111</v>
      </c>
      <c r="H109" s="32" t="s">
        <v>111</v>
      </c>
      <c r="I109" s="32" t="s">
        <v>111</v>
      </c>
      <c r="J109" s="32" t="s">
        <v>111</v>
      </c>
      <c r="K109" s="32" t="s">
        <v>111</v>
      </c>
      <c r="L109" s="32" t="s">
        <v>111</v>
      </c>
      <c r="M109" s="32" t="s">
        <v>111</v>
      </c>
      <c r="N109" s="32" t="s">
        <v>111</v>
      </c>
      <c r="O109" s="32" t="s">
        <v>111</v>
      </c>
      <c r="P109" s="32" t="s">
        <v>111</v>
      </c>
      <c r="Q109" s="32" t="s">
        <v>111</v>
      </c>
      <c r="R109" s="32" t="s">
        <v>111</v>
      </c>
      <c r="S109" s="32" t="s">
        <v>111</v>
      </c>
      <c r="T109" s="32" t="s">
        <v>111</v>
      </c>
      <c r="U109" s="54" t="s">
        <v>111</v>
      </c>
      <c r="V109" s="54" t="s">
        <v>111</v>
      </c>
      <c r="W109" s="54" t="s">
        <v>111</v>
      </c>
      <c r="X109" s="32" t="s">
        <v>111</v>
      </c>
      <c r="Y109" s="32" t="s">
        <v>111</v>
      </c>
      <c r="Z109" s="32" t="s">
        <v>111</v>
      </c>
      <c r="AA109" s="44" t="s">
        <v>111</v>
      </c>
      <c r="AB109" s="45" t="s">
        <v>111</v>
      </c>
      <c r="AC109" s="46" t="s">
        <v>111</v>
      </c>
      <c r="AD109" s="30"/>
    </row>
    <row r="110" spans="1:30">
      <c r="A110" s="30">
        <v>107</v>
      </c>
      <c r="B110" s="47" t="s">
        <v>231</v>
      </c>
      <c r="C110" s="6" t="s">
        <v>105</v>
      </c>
      <c r="D110" s="32">
        <v>1.5</v>
      </c>
      <c r="E110" s="32">
        <v>3</v>
      </c>
      <c r="F110" s="32">
        <v>4</v>
      </c>
      <c r="G110" s="32">
        <v>6</v>
      </c>
      <c r="H110" s="32">
        <v>5</v>
      </c>
      <c r="I110" s="32">
        <v>4</v>
      </c>
      <c r="J110" s="32">
        <v>8</v>
      </c>
      <c r="K110" s="32">
        <v>7.5</v>
      </c>
      <c r="L110" s="32">
        <v>6.9</v>
      </c>
      <c r="M110" s="34">
        <v>5.4</v>
      </c>
      <c r="N110" s="34">
        <v>35.9</v>
      </c>
      <c r="O110" s="35">
        <f>0.25*M110</f>
        <v>1.35</v>
      </c>
      <c r="P110" s="36">
        <f>0.5*M110</f>
        <v>2.7</v>
      </c>
      <c r="Q110" s="37">
        <f>0.75*M110</f>
        <v>4.0500000000000007</v>
      </c>
      <c r="R110" s="35">
        <f>IF(N110="---","---",0.125*SQRT(POWER(M110,2)+POWER(N110,2)))</f>
        <v>4.537982068056241</v>
      </c>
      <c r="S110" s="36">
        <f>IF(N110="---","---",0.25*SQRT(POWER(M110,2)+POWER(N110,2)))</f>
        <v>9.0759641361124821</v>
      </c>
      <c r="T110" s="37">
        <f>IF(N110="---","---",0.375*SQRT(POWER(M110,2)+POWER(N110,2)))</f>
        <v>13.613946204168723</v>
      </c>
      <c r="U110" s="35">
        <f t="shared" si="48"/>
        <v>6.7654820680562411</v>
      </c>
      <c r="V110" s="36">
        <f t="shared" si="49"/>
        <v>13.530964136112482</v>
      </c>
      <c r="W110" s="37">
        <f t="shared" si="50"/>
        <v>20.296446204168724</v>
      </c>
      <c r="X110" s="38">
        <f t="shared" si="51"/>
        <v>20</v>
      </c>
      <c r="Y110" s="38">
        <f t="shared" si="51"/>
        <v>18.027756377319946</v>
      </c>
      <c r="Z110" s="38">
        <f t="shared" si="51"/>
        <v>15.951175505272332</v>
      </c>
      <c r="AA110" s="39">
        <f t="shared" si="52"/>
        <v>9.4690614635242483</v>
      </c>
      <c r="AB110" s="40">
        <f t="shared" si="52"/>
        <v>18.938122927048497</v>
      </c>
      <c r="AC110" s="41">
        <f t="shared" si="52"/>
        <v>28.407184390572748</v>
      </c>
      <c r="AD110" s="30"/>
    </row>
    <row r="111" spans="1:30">
      <c r="A111" s="30">
        <v>108</v>
      </c>
      <c r="B111" s="47" t="s">
        <v>232</v>
      </c>
      <c r="C111" s="6" t="s">
        <v>127</v>
      </c>
      <c r="D111" s="32">
        <v>110</v>
      </c>
      <c r="E111" s="32">
        <v>350</v>
      </c>
      <c r="F111" s="32">
        <v>500</v>
      </c>
      <c r="G111" s="32">
        <v>12</v>
      </c>
      <c r="H111" s="32">
        <v>8</v>
      </c>
      <c r="I111" s="32">
        <v>8</v>
      </c>
      <c r="J111" s="32">
        <v>9</v>
      </c>
      <c r="K111" s="32">
        <v>6</v>
      </c>
      <c r="L111" s="32">
        <v>6</v>
      </c>
      <c r="M111" s="34" t="s">
        <v>73</v>
      </c>
      <c r="N111" s="34" t="s">
        <v>73</v>
      </c>
      <c r="O111" s="32" t="s">
        <v>111</v>
      </c>
      <c r="P111" s="32" t="s">
        <v>111</v>
      </c>
      <c r="Q111" s="32" t="s">
        <v>111</v>
      </c>
      <c r="R111" s="32" t="s">
        <v>111</v>
      </c>
      <c r="S111" s="32" t="s">
        <v>111</v>
      </c>
      <c r="T111" s="32" t="s">
        <v>111</v>
      </c>
      <c r="U111" s="54" t="s">
        <v>111</v>
      </c>
      <c r="V111" s="54" t="s">
        <v>111</v>
      </c>
      <c r="W111" s="54" t="s">
        <v>111</v>
      </c>
      <c r="X111" s="38">
        <f t="shared" si="51"/>
        <v>30</v>
      </c>
      <c r="Y111" s="38">
        <f t="shared" si="51"/>
        <v>20</v>
      </c>
      <c r="Z111" s="38">
        <f t="shared" si="51"/>
        <v>20</v>
      </c>
      <c r="AA111" s="44" t="s">
        <v>111</v>
      </c>
      <c r="AB111" s="45" t="s">
        <v>111</v>
      </c>
      <c r="AC111" s="46" t="s">
        <v>111</v>
      </c>
      <c r="AD111" s="30"/>
    </row>
    <row r="112" spans="1:30">
      <c r="A112" s="30">
        <v>109</v>
      </c>
      <c r="B112" s="47" t="s">
        <v>233</v>
      </c>
      <c r="C112" s="6" t="s">
        <v>105</v>
      </c>
      <c r="D112" s="32">
        <v>7.5</v>
      </c>
      <c r="E112" s="32">
        <v>15</v>
      </c>
      <c r="F112" s="32">
        <v>20</v>
      </c>
      <c r="G112" s="32">
        <v>6</v>
      </c>
      <c r="H112" s="32">
        <v>5</v>
      </c>
      <c r="I112" s="32">
        <v>4</v>
      </c>
      <c r="J112" s="32">
        <v>10.4</v>
      </c>
      <c r="K112" s="32">
        <v>8.6999999999999993</v>
      </c>
      <c r="L112" s="32">
        <v>6.9</v>
      </c>
      <c r="M112" s="34">
        <v>4.5</v>
      </c>
      <c r="N112" s="34">
        <v>16.5</v>
      </c>
      <c r="O112" s="35">
        <f>0.25*M112</f>
        <v>1.125</v>
      </c>
      <c r="P112" s="36">
        <f>0.5*M112</f>
        <v>2.25</v>
      </c>
      <c r="Q112" s="37">
        <f>0.75*M112</f>
        <v>3.375</v>
      </c>
      <c r="R112" s="35">
        <f>IF(N112="---","---",0.125*SQRT(POWER(M112,2)+POWER(N112,2)))</f>
        <v>2.1378289220608839</v>
      </c>
      <c r="S112" s="36">
        <f>IF(N112="---","---",0.25*SQRT(POWER(M112,2)+POWER(N112,2)))</f>
        <v>4.2756578441217679</v>
      </c>
      <c r="T112" s="37">
        <f>IF(N112="---","---",0.375*SQRT(POWER(M112,2)+POWER(N112,2)))</f>
        <v>6.4134867661826522</v>
      </c>
      <c r="U112" s="35">
        <f t="shared" si="48"/>
        <v>3.9940789220608837</v>
      </c>
      <c r="V112" s="36">
        <f t="shared" si="49"/>
        <v>7.9881578441217673</v>
      </c>
      <c r="W112" s="37">
        <f t="shared" si="50"/>
        <v>11.982236766182652</v>
      </c>
      <c r="X112" s="38">
        <f t="shared" si="51"/>
        <v>24.013329631685817</v>
      </c>
      <c r="Y112" s="38">
        <f t="shared" si="51"/>
        <v>20.06888138387389</v>
      </c>
      <c r="Z112" s="38">
        <f t="shared" si="51"/>
        <v>15.951175505272332</v>
      </c>
      <c r="AA112" s="39">
        <f t="shared" si="52"/>
        <v>4.8315370225219221</v>
      </c>
      <c r="AB112" s="40">
        <f t="shared" si="52"/>
        <v>9.6630740450438442</v>
      </c>
      <c r="AC112" s="41">
        <f t="shared" si="52"/>
        <v>14.494611067565769</v>
      </c>
      <c r="AD112" s="30"/>
    </row>
    <row r="113" spans="1:31">
      <c r="A113" s="30">
        <v>110</v>
      </c>
      <c r="B113" s="47" t="s">
        <v>234</v>
      </c>
      <c r="C113" s="6" t="s">
        <v>105</v>
      </c>
      <c r="D113" s="32">
        <v>1.5</v>
      </c>
      <c r="E113" s="32">
        <v>3</v>
      </c>
      <c r="F113" s="32">
        <v>4</v>
      </c>
      <c r="G113" s="32">
        <v>6</v>
      </c>
      <c r="H113" s="32">
        <v>5</v>
      </c>
      <c r="I113" s="32">
        <v>4</v>
      </c>
      <c r="J113" s="32">
        <v>8</v>
      </c>
      <c r="K113" s="32">
        <v>7.5</v>
      </c>
      <c r="L113" s="32">
        <v>6.9</v>
      </c>
      <c r="M113" s="34">
        <v>5.9</v>
      </c>
      <c r="N113" s="34">
        <v>47.3</v>
      </c>
      <c r="O113" s="35">
        <f>0.25*M113</f>
        <v>1.4750000000000001</v>
      </c>
      <c r="P113" s="36">
        <f>0.5*M113</f>
        <v>2.95</v>
      </c>
      <c r="Q113" s="37">
        <f>0.75*M113</f>
        <v>4.4250000000000007</v>
      </c>
      <c r="R113" s="35">
        <f>IF(N113="---","---",0.125*SQRT(POWER(M113,2)+POWER(N113,2)))</f>
        <v>5.9583187645509526</v>
      </c>
      <c r="S113" s="36">
        <f>IF(N113="---","---",0.25*SQRT(POWER(M113,2)+POWER(N113,2)))</f>
        <v>11.916637529101905</v>
      </c>
      <c r="T113" s="37">
        <f>IF(N113="---","---",0.375*SQRT(POWER(M113,2)+POWER(N113,2)))</f>
        <v>17.874956293652858</v>
      </c>
      <c r="U113" s="35">
        <f t="shared" si="48"/>
        <v>8.3920687645509524</v>
      </c>
      <c r="V113" s="36">
        <f t="shared" si="49"/>
        <v>16.784137529101905</v>
      </c>
      <c r="W113" s="37">
        <f t="shared" si="50"/>
        <v>25.176206293652857</v>
      </c>
      <c r="X113" s="38">
        <f t="shared" si="51"/>
        <v>20</v>
      </c>
      <c r="Y113" s="38">
        <f t="shared" si="51"/>
        <v>18.027756377319946</v>
      </c>
      <c r="Z113" s="38">
        <f t="shared" si="51"/>
        <v>15.951175505272332</v>
      </c>
      <c r="AA113" s="39">
        <f t="shared" si="52"/>
        <v>12.276349213019316</v>
      </c>
      <c r="AB113" s="40">
        <f t="shared" si="52"/>
        <v>24.552698426038631</v>
      </c>
      <c r="AC113" s="41">
        <f t="shared" si="52"/>
        <v>36.829047639057947</v>
      </c>
      <c r="AD113" s="30"/>
    </row>
    <row r="114" spans="1:31">
      <c r="A114" s="30">
        <v>111</v>
      </c>
      <c r="B114" s="47" t="s">
        <v>235</v>
      </c>
      <c r="C114" s="6" t="s">
        <v>125</v>
      </c>
      <c r="D114" s="32">
        <v>2</v>
      </c>
      <c r="E114" s="32">
        <v>5.5</v>
      </c>
      <c r="F114" s="32">
        <v>8</v>
      </c>
      <c r="G114" s="32">
        <v>5</v>
      </c>
      <c r="H114" s="32">
        <v>5</v>
      </c>
      <c r="I114" s="32">
        <v>5</v>
      </c>
      <c r="J114" s="32">
        <v>8.6999999999999993</v>
      </c>
      <c r="K114" s="32">
        <v>8.6999999999999993</v>
      </c>
      <c r="L114" s="32">
        <v>8.6999999999999993</v>
      </c>
      <c r="M114" s="34">
        <v>27.2</v>
      </c>
      <c r="N114" s="34">
        <v>16.7</v>
      </c>
      <c r="O114" s="35">
        <f t="shared" ref="O114:O119" si="65">0.25*M114</f>
        <v>6.8</v>
      </c>
      <c r="P114" s="36">
        <f t="shared" ref="P114:P119" si="66">0.5*M114</f>
        <v>13.6</v>
      </c>
      <c r="Q114" s="37">
        <f t="shared" ref="Q114:Q119" si="67">0.75*M114</f>
        <v>20.399999999999999</v>
      </c>
      <c r="R114" s="35">
        <f t="shared" ref="R114:R119" si="68">IF(N114="---","---",0.125*SQRT(POWER(M114,2)+POWER(N114,2)))</f>
        <v>3.9896937539114452</v>
      </c>
      <c r="S114" s="36">
        <f t="shared" ref="S114:S119" si="69">IF(N114="---","---",0.25*SQRT(POWER(M114,2)+POWER(N114,2)))</f>
        <v>7.9793875078228904</v>
      </c>
      <c r="T114" s="37">
        <f t="shared" ref="T114:T119" si="70">IF(N114="---","---",0.375*SQRT(POWER(M114,2)+POWER(N114,2)))</f>
        <v>11.969081261734335</v>
      </c>
      <c r="U114" s="35">
        <f t="shared" si="48"/>
        <v>15.209693753911445</v>
      </c>
      <c r="V114" s="36">
        <f t="shared" si="49"/>
        <v>30.41938750782289</v>
      </c>
      <c r="W114" s="37">
        <f t="shared" si="50"/>
        <v>45.629081261734328</v>
      </c>
      <c r="X114" s="38">
        <f t="shared" si="51"/>
        <v>20.06888138387389</v>
      </c>
      <c r="Y114" s="38">
        <f t="shared" si="51"/>
        <v>20.06888138387389</v>
      </c>
      <c r="Z114" s="38">
        <f t="shared" si="51"/>
        <v>20.06888138387389</v>
      </c>
      <c r="AA114" s="39">
        <f t="shared" si="52"/>
        <v>15.768025399522921</v>
      </c>
      <c r="AB114" s="40">
        <f t="shared" si="52"/>
        <v>31.536050799045842</v>
      </c>
      <c r="AC114" s="41">
        <f t="shared" si="52"/>
        <v>47.304076198568765</v>
      </c>
      <c r="AD114" s="30"/>
    </row>
    <row r="115" spans="1:31">
      <c r="A115" s="30">
        <v>112</v>
      </c>
      <c r="B115" s="47" t="s">
        <v>236</v>
      </c>
      <c r="C115" s="6" t="s">
        <v>108</v>
      </c>
      <c r="D115" s="32">
        <v>225</v>
      </c>
      <c r="E115" s="32">
        <v>600</v>
      </c>
      <c r="F115" s="32">
        <v>900</v>
      </c>
      <c r="G115" s="32">
        <v>6</v>
      </c>
      <c r="H115" s="32">
        <v>6</v>
      </c>
      <c r="I115" s="32">
        <v>5</v>
      </c>
      <c r="J115" s="32">
        <v>8</v>
      </c>
      <c r="K115" s="32">
        <v>6.7</v>
      </c>
      <c r="L115" s="32">
        <v>6.2</v>
      </c>
      <c r="M115" s="34">
        <v>8.6</v>
      </c>
      <c r="N115" s="34">
        <v>14.7</v>
      </c>
      <c r="O115" s="35">
        <f t="shared" si="65"/>
        <v>2.15</v>
      </c>
      <c r="P115" s="36">
        <f t="shared" si="66"/>
        <v>4.3</v>
      </c>
      <c r="Q115" s="37">
        <f t="shared" si="67"/>
        <v>6.4499999999999993</v>
      </c>
      <c r="R115" s="35">
        <f t="shared" si="68"/>
        <v>2.1288567941503249</v>
      </c>
      <c r="S115" s="36">
        <f t="shared" si="69"/>
        <v>4.2577135883006498</v>
      </c>
      <c r="T115" s="37">
        <f t="shared" si="70"/>
        <v>6.3865703824509747</v>
      </c>
      <c r="U115" s="35">
        <f t="shared" si="48"/>
        <v>5.6763567941503243</v>
      </c>
      <c r="V115" s="36">
        <f t="shared" si="49"/>
        <v>11.352713588300649</v>
      </c>
      <c r="W115" s="37">
        <f t="shared" si="50"/>
        <v>17.029070382450975</v>
      </c>
      <c r="X115" s="38">
        <f t="shared" si="51"/>
        <v>20</v>
      </c>
      <c r="Y115" s="38">
        <f t="shared" si="51"/>
        <v>17.987773625437917</v>
      </c>
      <c r="Z115" s="38">
        <f t="shared" si="51"/>
        <v>15.929846201391902</v>
      </c>
      <c r="AA115" s="39">
        <f t="shared" si="52"/>
        <v>6.0512911845324373</v>
      </c>
      <c r="AB115" s="40">
        <f t="shared" si="52"/>
        <v>12.102582369064875</v>
      </c>
      <c r="AC115" s="41">
        <f t="shared" si="52"/>
        <v>18.153873553597311</v>
      </c>
      <c r="AD115" s="30"/>
    </row>
    <row r="116" spans="1:31">
      <c r="A116" s="30">
        <v>113</v>
      </c>
      <c r="B116" s="31" t="s">
        <v>237</v>
      </c>
      <c r="C116" s="6" t="s">
        <v>125</v>
      </c>
      <c r="D116" s="32" t="s">
        <v>111</v>
      </c>
      <c r="E116" s="32" t="s">
        <v>111</v>
      </c>
      <c r="F116" s="32" t="s">
        <v>111</v>
      </c>
      <c r="G116" s="32" t="s">
        <v>111</v>
      </c>
      <c r="H116" s="32" t="s">
        <v>111</v>
      </c>
      <c r="I116" s="32" t="s">
        <v>111</v>
      </c>
      <c r="J116" s="32" t="s">
        <v>111</v>
      </c>
      <c r="K116" s="32" t="s">
        <v>111</v>
      </c>
      <c r="L116" s="32" t="s">
        <v>111</v>
      </c>
      <c r="M116" s="34">
        <v>8.3000000000000007</v>
      </c>
      <c r="N116" s="34">
        <v>25.7</v>
      </c>
      <c r="O116" s="35">
        <f t="shared" si="65"/>
        <v>2.0750000000000002</v>
      </c>
      <c r="P116" s="36">
        <f t="shared" si="66"/>
        <v>4.1500000000000004</v>
      </c>
      <c r="Q116" s="37">
        <f t="shared" si="67"/>
        <v>6.2250000000000005</v>
      </c>
      <c r="R116" s="35">
        <f t="shared" si="68"/>
        <v>3.3758795150301202</v>
      </c>
      <c r="S116" s="36">
        <f t="shared" si="69"/>
        <v>6.7517590300602404</v>
      </c>
      <c r="T116" s="37">
        <f t="shared" si="70"/>
        <v>10.12763854509036</v>
      </c>
      <c r="U116" s="35">
        <f t="shared" si="48"/>
        <v>6.7996295150301203</v>
      </c>
      <c r="V116" s="36">
        <f t="shared" si="49"/>
        <v>13.599259030060241</v>
      </c>
      <c r="W116" s="37">
        <f t="shared" si="50"/>
        <v>20.398888545090358</v>
      </c>
      <c r="X116" s="32" t="s">
        <v>111</v>
      </c>
      <c r="Y116" s="32" t="s">
        <v>111</v>
      </c>
      <c r="Z116" s="32" t="s">
        <v>111</v>
      </c>
      <c r="AA116" s="39">
        <f t="shared" si="52"/>
        <v>7.9251971584308238</v>
      </c>
      <c r="AB116" s="40">
        <f t="shared" si="52"/>
        <v>15.850394316861648</v>
      </c>
      <c r="AC116" s="41">
        <f t="shared" si="52"/>
        <v>23.775591475292469</v>
      </c>
      <c r="AD116" s="30"/>
    </row>
    <row r="117" spans="1:31">
      <c r="A117" s="30">
        <v>114</v>
      </c>
      <c r="B117" s="56" t="s">
        <v>238</v>
      </c>
      <c r="C117" s="6" t="s">
        <v>211</v>
      </c>
      <c r="D117" s="32" t="s">
        <v>111</v>
      </c>
      <c r="E117" s="32" t="s">
        <v>111</v>
      </c>
      <c r="F117" s="32" t="s">
        <v>111</v>
      </c>
      <c r="G117" s="32" t="s">
        <v>111</v>
      </c>
      <c r="H117" s="32" t="s">
        <v>111</v>
      </c>
      <c r="I117" s="32" t="s">
        <v>111</v>
      </c>
      <c r="J117" s="32" t="s">
        <v>111</v>
      </c>
      <c r="K117" s="32" t="s">
        <v>111</v>
      </c>
      <c r="L117" s="32" t="s">
        <v>111</v>
      </c>
      <c r="M117" s="34">
        <v>11.45</v>
      </c>
      <c r="N117" s="34">
        <v>21.3</v>
      </c>
      <c r="O117" s="35">
        <f t="shared" si="65"/>
        <v>2.8624999999999998</v>
      </c>
      <c r="P117" s="36">
        <f t="shared" si="66"/>
        <v>5.7249999999999996</v>
      </c>
      <c r="Q117" s="37">
        <f t="shared" si="67"/>
        <v>8.5874999999999986</v>
      </c>
      <c r="R117" s="35">
        <f t="shared" si="68"/>
        <v>3.0228104162351963</v>
      </c>
      <c r="S117" s="36">
        <f t="shared" si="69"/>
        <v>6.0456208324703926</v>
      </c>
      <c r="T117" s="37">
        <f t="shared" si="70"/>
        <v>9.0684312487055898</v>
      </c>
      <c r="U117" s="35">
        <f t="shared" si="48"/>
        <v>7.7459354162351959</v>
      </c>
      <c r="V117" s="36">
        <f t="shared" si="49"/>
        <v>15.491870832470392</v>
      </c>
      <c r="W117" s="37">
        <f t="shared" si="50"/>
        <v>23.237806248705589</v>
      </c>
      <c r="X117" s="32" t="s">
        <v>111</v>
      </c>
      <c r="Y117" s="32" t="s">
        <v>111</v>
      </c>
      <c r="Z117" s="32" t="s">
        <v>111</v>
      </c>
      <c r="AA117" s="39">
        <f t="shared" si="52"/>
        <v>8.3261729654145427</v>
      </c>
      <c r="AB117" s="40">
        <f t="shared" si="52"/>
        <v>16.652345930829085</v>
      </c>
      <c r="AC117" s="41">
        <f t="shared" si="52"/>
        <v>24.978518896243628</v>
      </c>
      <c r="AD117" s="30"/>
    </row>
    <row r="118" spans="1:31">
      <c r="A118" s="30">
        <v>115</v>
      </c>
      <c r="B118" s="47" t="s">
        <v>239</v>
      </c>
      <c r="C118" s="6" t="s">
        <v>159</v>
      </c>
      <c r="D118" s="32">
        <v>12.5</v>
      </c>
      <c r="E118" s="32">
        <v>35</v>
      </c>
      <c r="F118" s="32">
        <v>50</v>
      </c>
      <c r="G118" s="32">
        <v>10</v>
      </c>
      <c r="H118" s="32">
        <v>8</v>
      </c>
      <c r="I118" s="32">
        <v>8</v>
      </c>
      <c r="J118" s="32">
        <v>17.3</v>
      </c>
      <c r="K118" s="32">
        <v>12.7</v>
      </c>
      <c r="L118" s="32">
        <v>12.7</v>
      </c>
      <c r="M118" s="34">
        <v>23</v>
      </c>
      <c r="N118" s="34">
        <v>27.4</v>
      </c>
      <c r="O118" s="35">
        <f t="shared" si="65"/>
        <v>5.75</v>
      </c>
      <c r="P118" s="36">
        <f t="shared" si="66"/>
        <v>11.5</v>
      </c>
      <c r="Q118" s="37">
        <f t="shared" si="67"/>
        <v>17.25</v>
      </c>
      <c r="R118" s="35">
        <f t="shared" si="68"/>
        <v>4.4717166725990136</v>
      </c>
      <c r="S118" s="36">
        <f t="shared" si="69"/>
        <v>8.9434333451980272</v>
      </c>
      <c r="T118" s="37">
        <f t="shared" si="70"/>
        <v>13.415150017797041</v>
      </c>
      <c r="U118" s="35">
        <f t="shared" si="48"/>
        <v>13.959216672599013</v>
      </c>
      <c r="V118" s="36">
        <f t="shared" si="49"/>
        <v>27.918433345198025</v>
      </c>
      <c r="W118" s="37">
        <f t="shared" si="50"/>
        <v>41.877650017797038</v>
      </c>
      <c r="X118" s="38">
        <f t="shared" ref="X118:Z159" si="71">2*(SQRT((G118^2)+(J118^2)))</f>
        <v>39.964484232878576</v>
      </c>
      <c r="Y118" s="38">
        <f t="shared" si="71"/>
        <v>30.019327107715121</v>
      </c>
      <c r="Z118" s="38">
        <f t="shared" si="71"/>
        <v>30.019327107715121</v>
      </c>
      <c r="AA118" s="39">
        <f t="shared" si="52"/>
        <v>14.568287476570468</v>
      </c>
      <c r="AB118" s="40">
        <f t="shared" si="52"/>
        <v>29.136574953140936</v>
      </c>
      <c r="AC118" s="41">
        <f t="shared" si="52"/>
        <v>43.704862429711412</v>
      </c>
      <c r="AD118" s="30"/>
    </row>
    <row r="119" spans="1:31">
      <c r="A119" s="30">
        <v>116</v>
      </c>
      <c r="B119" s="47" t="s">
        <v>240</v>
      </c>
      <c r="C119" s="6" t="s">
        <v>108</v>
      </c>
      <c r="D119" s="32">
        <v>140</v>
      </c>
      <c r="E119" s="32">
        <v>300</v>
      </c>
      <c r="F119" s="32">
        <v>400</v>
      </c>
      <c r="G119" s="32" t="s">
        <v>111</v>
      </c>
      <c r="H119" s="32" t="s">
        <v>111</v>
      </c>
      <c r="I119" s="32" t="s">
        <v>111</v>
      </c>
      <c r="J119" s="32" t="s">
        <v>111</v>
      </c>
      <c r="K119" s="32" t="s">
        <v>111</v>
      </c>
      <c r="L119" s="32" t="s">
        <v>111</v>
      </c>
      <c r="M119" s="34">
        <v>32.200000000000003</v>
      </c>
      <c r="N119" s="34">
        <v>31.8</v>
      </c>
      <c r="O119" s="35">
        <f t="shared" si="65"/>
        <v>8.0500000000000007</v>
      </c>
      <c r="P119" s="36">
        <f t="shared" si="66"/>
        <v>16.100000000000001</v>
      </c>
      <c r="Q119" s="37">
        <f t="shared" si="67"/>
        <v>24.150000000000002</v>
      </c>
      <c r="R119" s="35">
        <f t="shared" si="68"/>
        <v>5.6569647338480022</v>
      </c>
      <c r="S119" s="36">
        <f t="shared" si="69"/>
        <v>11.313929467696004</v>
      </c>
      <c r="T119" s="37">
        <f t="shared" si="70"/>
        <v>16.970894201544006</v>
      </c>
      <c r="U119" s="35">
        <f t="shared" si="48"/>
        <v>18.939464733848002</v>
      </c>
      <c r="V119" s="36">
        <f t="shared" si="49"/>
        <v>37.878929467696004</v>
      </c>
      <c r="W119" s="37">
        <f t="shared" si="50"/>
        <v>56.81839420154401</v>
      </c>
      <c r="X119" s="32" t="s">
        <v>111</v>
      </c>
      <c r="Y119" s="32" t="s">
        <v>111</v>
      </c>
      <c r="Z119" s="32" t="s">
        <v>111</v>
      </c>
      <c r="AA119" s="39">
        <f t="shared" si="52"/>
        <v>19.677779346257545</v>
      </c>
      <c r="AB119" s="40">
        <f t="shared" si="52"/>
        <v>39.355558692515089</v>
      </c>
      <c r="AC119" s="41">
        <f t="shared" si="52"/>
        <v>59.033338038772641</v>
      </c>
      <c r="AD119" s="30"/>
    </row>
    <row r="120" spans="1:31">
      <c r="A120" s="30">
        <v>117</v>
      </c>
      <c r="B120" s="71" t="s">
        <v>241</v>
      </c>
      <c r="C120" s="6" t="s">
        <v>125</v>
      </c>
      <c r="D120" s="32">
        <v>0.35</v>
      </c>
      <c r="E120" s="32">
        <v>0.9</v>
      </c>
      <c r="F120" s="32">
        <v>1.2</v>
      </c>
      <c r="G120" s="32">
        <v>10</v>
      </c>
      <c r="H120" s="32">
        <v>5</v>
      </c>
      <c r="I120" s="32">
        <v>5</v>
      </c>
      <c r="J120" s="32">
        <v>11.2</v>
      </c>
      <c r="K120" s="32">
        <v>6.2</v>
      </c>
      <c r="L120" s="32">
        <v>6.2</v>
      </c>
      <c r="M120" s="34" t="s">
        <v>73</v>
      </c>
      <c r="N120" s="34" t="s">
        <v>73</v>
      </c>
      <c r="O120" s="32" t="s">
        <v>111</v>
      </c>
      <c r="P120" s="32" t="s">
        <v>111</v>
      </c>
      <c r="Q120" s="32" t="s">
        <v>111</v>
      </c>
      <c r="R120" s="32" t="s">
        <v>111</v>
      </c>
      <c r="S120" s="32" t="s">
        <v>111</v>
      </c>
      <c r="T120" s="32" t="s">
        <v>111</v>
      </c>
      <c r="U120" s="54" t="s">
        <v>111</v>
      </c>
      <c r="V120" s="54" t="s">
        <v>111</v>
      </c>
      <c r="W120" s="54" t="s">
        <v>111</v>
      </c>
      <c r="X120" s="38">
        <f t="shared" si="71"/>
        <v>30.029319006597536</v>
      </c>
      <c r="Y120" s="38">
        <f t="shared" si="71"/>
        <v>15.929846201391902</v>
      </c>
      <c r="Z120" s="38">
        <f t="shared" si="71"/>
        <v>15.929846201391902</v>
      </c>
      <c r="AA120" s="44" t="s">
        <v>111</v>
      </c>
      <c r="AB120" s="45" t="s">
        <v>111</v>
      </c>
      <c r="AC120" s="46" t="s">
        <v>111</v>
      </c>
      <c r="AD120" s="30"/>
    </row>
    <row r="121" spans="1:31">
      <c r="A121" s="30">
        <v>118</v>
      </c>
      <c r="B121" s="56" t="s">
        <v>242</v>
      </c>
      <c r="C121" s="6" t="s">
        <v>211</v>
      </c>
      <c r="D121" s="32" t="s">
        <v>111</v>
      </c>
      <c r="E121" s="32" t="s">
        <v>111</v>
      </c>
      <c r="F121" s="32" t="s">
        <v>111</v>
      </c>
      <c r="G121" s="32" t="s">
        <v>111</v>
      </c>
      <c r="H121" s="32" t="s">
        <v>111</v>
      </c>
      <c r="I121" s="32" t="s">
        <v>111</v>
      </c>
      <c r="J121" s="32" t="s">
        <v>111</v>
      </c>
      <c r="K121" s="32" t="s">
        <v>111</v>
      </c>
      <c r="L121" s="32" t="s">
        <v>111</v>
      </c>
      <c r="M121" s="34">
        <v>10.199999999999999</v>
      </c>
      <c r="N121" s="34">
        <v>35.299999999999997</v>
      </c>
      <c r="O121" s="35">
        <f t="shared" ref="O121" si="72">0.25*M121</f>
        <v>2.5499999999999998</v>
      </c>
      <c r="P121" s="65">
        <f t="shared" ref="P121" si="73">0.5*M121</f>
        <v>5.0999999999999996</v>
      </c>
      <c r="Q121" s="37">
        <f t="shared" ref="Q121" si="74">0.75*M121</f>
        <v>7.6499999999999995</v>
      </c>
      <c r="R121" s="35">
        <f t="shared" ref="R121" si="75">IF(N121="---","---",0.125*SQRT(POWER(M121,2)+POWER(N121,2)))</f>
        <v>4.5930143968857742</v>
      </c>
      <c r="S121" s="36">
        <f t="shared" ref="S121" si="76">IF(N121="---","---",0.25*SQRT(POWER(M121,2)+POWER(N121,2)))</f>
        <v>9.1860287937715484</v>
      </c>
      <c r="T121" s="37">
        <f t="shared" ref="T121" si="77">IF(N121="---","---",0.375*SQRT(POWER(M121,2)+POWER(N121,2)))</f>
        <v>13.779043190657323</v>
      </c>
      <c r="U121" s="35">
        <f t="shared" si="48"/>
        <v>8.8005143968857737</v>
      </c>
      <c r="V121" s="36">
        <f t="shared" si="49"/>
        <v>17.601028793771547</v>
      </c>
      <c r="W121" s="37">
        <f t="shared" si="50"/>
        <v>26.401543190657321</v>
      </c>
      <c r="X121" s="32" t="s">
        <v>111</v>
      </c>
      <c r="Y121" s="32" t="s">
        <v>111</v>
      </c>
      <c r="Z121" s="32" t="s">
        <v>111</v>
      </c>
      <c r="AA121" s="39">
        <f t="shared" si="52"/>
        <v>10.506813265686223</v>
      </c>
      <c r="AB121" s="40">
        <f t="shared" si="52"/>
        <v>21.013626531372445</v>
      </c>
      <c r="AC121" s="41">
        <f t="shared" si="52"/>
        <v>31.520439797058664</v>
      </c>
      <c r="AD121" s="30"/>
    </row>
    <row r="122" spans="1:31">
      <c r="A122" s="30">
        <v>119</v>
      </c>
      <c r="B122" s="47" t="s">
        <v>243</v>
      </c>
      <c r="C122" s="6" t="s">
        <v>125</v>
      </c>
      <c r="D122" s="32">
        <v>0.7</v>
      </c>
      <c r="E122" s="32">
        <v>1.25</v>
      </c>
      <c r="F122" s="32">
        <v>1.6</v>
      </c>
      <c r="G122" s="32">
        <v>4</v>
      </c>
      <c r="H122" s="32">
        <v>3.2</v>
      </c>
      <c r="I122" s="32">
        <v>3.2</v>
      </c>
      <c r="J122" s="32">
        <v>4.5</v>
      </c>
      <c r="K122" s="32">
        <v>5.0999999999999996</v>
      </c>
      <c r="L122" s="32">
        <v>5.0999999999999996</v>
      </c>
      <c r="M122" s="34">
        <v>3.6</v>
      </c>
      <c r="N122" s="34">
        <v>6.4</v>
      </c>
      <c r="O122" s="35">
        <f>0.25*M122</f>
        <v>0.9</v>
      </c>
      <c r="P122" s="36">
        <f>0.5*M122</f>
        <v>1.8</v>
      </c>
      <c r="Q122" s="37">
        <f>0.75*M122</f>
        <v>2.7</v>
      </c>
      <c r="R122" s="35">
        <f>IF(N122="---","---",0.125*SQRT(POWER(M122,2)+POWER(N122,2)))</f>
        <v>0.91787798753429106</v>
      </c>
      <c r="S122" s="36">
        <f>IF(N122="---","---",0.25*SQRT(POWER(M122,2)+POWER(N122,2)))</f>
        <v>1.8357559750685821</v>
      </c>
      <c r="T122" s="37">
        <f>IF(N122="---","---",0.375*SQRT(POWER(M122,2)+POWER(N122,2)))</f>
        <v>2.7536339626028732</v>
      </c>
      <c r="U122" s="35">
        <f t="shared" si="48"/>
        <v>2.4028779875342909</v>
      </c>
      <c r="V122" s="36">
        <f t="shared" si="49"/>
        <v>4.8057559750685819</v>
      </c>
      <c r="W122" s="37">
        <f t="shared" si="50"/>
        <v>7.2086339626028728</v>
      </c>
      <c r="X122" s="38">
        <f t="shared" si="71"/>
        <v>12.041594578792296</v>
      </c>
      <c r="Y122" s="38">
        <f t="shared" si="71"/>
        <v>12.041594578792296</v>
      </c>
      <c r="Z122" s="38">
        <f t="shared" si="71"/>
        <v>12.041594578792296</v>
      </c>
      <c r="AA122" s="39">
        <f t="shared" si="52"/>
        <v>2.5709920264364885</v>
      </c>
      <c r="AB122" s="40">
        <f t="shared" si="52"/>
        <v>5.141984052872977</v>
      </c>
      <c r="AC122" s="41">
        <f t="shared" si="52"/>
        <v>7.712976079309465</v>
      </c>
      <c r="AD122" s="30"/>
    </row>
    <row r="123" spans="1:31">
      <c r="A123" s="30">
        <v>120</v>
      </c>
      <c r="B123" s="31" t="s">
        <v>244</v>
      </c>
      <c r="C123" s="6" t="s">
        <v>125</v>
      </c>
      <c r="D123" s="32">
        <v>1.25</v>
      </c>
      <c r="E123" s="32">
        <v>4</v>
      </c>
      <c r="F123" s="32">
        <v>6</v>
      </c>
      <c r="G123" s="32">
        <v>6</v>
      </c>
      <c r="H123" s="32">
        <v>6</v>
      </c>
      <c r="I123" s="32">
        <v>6</v>
      </c>
      <c r="J123" s="32">
        <v>8</v>
      </c>
      <c r="K123" s="32">
        <v>8</v>
      </c>
      <c r="L123" s="32">
        <v>8</v>
      </c>
      <c r="M123" s="34">
        <v>38.299999999999997</v>
      </c>
      <c r="N123" s="34">
        <v>37.6</v>
      </c>
      <c r="O123" s="35">
        <f>0.25*M123</f>
        <v>9.5749999999999993</v>
      </c>
      <c r="P123" s="36">
        <f>0.5*M123</f>
        <v>19.149999999999999</v>
      </c>
      <c r="Q123" s="37">
        <f>0.75*M123</f>
        <v>28.724999999999998</v>
      </c>
      <c r="R123" s="35">
        <f>IF(N123="---","---",0.125*SQRT(POWER(M123,2)+POWER(N123,2)))</f>
        <v>6.7089608919712749</v>
      </c>
      <c r="S123" s="36">
        <f>IF(N123="---","---",0.25*SQRT(POWER(M123,2)+POWER(N123,2)))</f>
        <v>13.41792178394255</v>
      </c>
      <c r="T123" s="37">
        <f>IF(N123="---","---",0.375*SQRT(POWER(M123,2)+POWER(N123,2)))</f>
        <v>20.126882675913826</v>
      </c>
      <c r="U123" s="35">
        <f t="shared" si="48"/>
        <v>22.507710891971271</v>
      </c>
      <c r="V123" s="36">
        <f t="shared" si="49"/>
        <v>45.015421783942543</v>
      </c>
      <c r="W123" s="37">
        <f t="shared" si="50"/>
        <v>67.523132675913814</v>
      </c>
      <c r="X123" s="38">
        <f t="shared" si="71"/>
        <v>20</v>
      </c>
      <c r="Y123" s="38">
        <f t="shared" si="71"/>
        <v>20</v>
      </c>
      <c r="Z123" s="38">
        <f t="shared" si="71"/>
        <v>20</v>
      </c>
      <c r="AA123" s="39">
        <f t="shared" si="52"/>
        <v>23.382966556876394</v>
      </c>
      <c r="AB123" s="40">
        <f t="shared" si="52"/>
        <v>46.765933113752787</v>
      </c>
      <c r="AC123" s="41">
        <f t="shared" si="52"/>
        <v>70.148899670629191</v>
      </c>
      <c r="AD123" s="30"/>
    </row>
    <row r="124" spans="1:31">
      <c r="A124" s="30">
        <v>121</v>
      </c>
      <c r="B124" s="31" t="s">
        <v>245</v>
      </c>
      <c r="C124" s="6" t="s">
        <v>34</v>
      </c>
      <c r="D124" s="32">
        <v>0.8</v>
      </c>
      <c r="E124" s="32">
        <v>3</v>
      </c>
      <c r="F124" s="32">
        <v>4.5</v>
      </c>
      <c r="G124" s="32">
        <v>25</v>
      </c>
      <c r="H124" s="32">
        <v>15</v>
      </c>
      <c r="I124" s="32">
        <v>10</v>
      </c>
      <c r="J124" s="32">
        <v>16.600000000000001</v>
      </c>
      <c r="K124" s="32">
        <v>20</v>
      </c>
      <c r="L124" s="32">
        <v>11.2</v>
      </c>
      <c r="M124" s="34" t="s">
        <v>73</v>
      </c>
      <c r="N124" s="34" t="s">
        <v>73</v>
      </c>
      <c r="O124" s="32" t="s">
        <v>111</v>
      </c>
      <c r="P124" s="32" t="s">
        <v>111</v>
      </c>
      <c r="Q124" s="32" t="s">
        <v>111</v>
      </c>
      <c r="R124" s="32" t="s">
        <v>111</v>
      </c>
      <c r="S124" s="32" t="s">
        <v>111</v>
      </c>
      <c r="T124" s="32" t="s">
        <v>111</v>
      </c>
      <c r="U124" s="54" t="s">
        <v>111</v>
      </c>
      <c r="V124" s="54" t="s">
        <v>111</v>
      </c>
      <c r="W124" s="54" t="s">
        <v>111</v>
      </c>
      <c r="X124" s="38">
        <f t="shared" si="71"/>
        <v>60.018663763865987</v>
      </c>
      <c r="Y124" s="38">
        <f t="shared" si="71"/>
        <v>50</v>
      </c>
      <c r="Z124" s="38">
        <f t="shared" si="71"/>
        <v>30.029319006597536</v>
      </c>
      <c r="AA124" s="44" t="s">
        <v>111</v>
      </c>
      <c r="AB124" s="45" t="s">
        <v>111</v>
      </c>
      <c r="AC124" s="46" t="s">
        <v>111</v>
      </c>
      <c r="AD124" s="30"/>
    </row>
    <row r="125" spans="1:31">
      <c r="A125" s="30">
        <v>122</v>
      </c>
      <c r="B125" s="31" t="s">
        <v>246</v>
      </c>
      <c r="C125" s="6" t="s">
        <v>139</v>
      </c>
      <c r="D125" s="32">
        <v>35</v>
      </c>
      <c r="E125" s="32">
        <v>75</v>
      </c>
      <c r="F125" s="32">
        <v>100</v>
      </c>
      <c r="G125" s="32">
        <v>8</v>
      </c>
      <c r="H125" s="32">
        <v>6</v>
      </c>
      <c r="I125" s="32">
        <v>6</v>
      </c>
      <c r="J125" s="32">
        <v>8.9</v>
      </c>
      <c r="K125" s="32">
        <v>8</v>
      </c>
      <c r="L125" s="32">
        <v>8</v>
      </c>
      <c r="M125" s="34">
        <v>35</v>
      </c>
      <c r="N125" s="34">
        <v>35</v>
      </c>
      <c r="O125" s="35">
        <f t="shared" ref="O125:O126" si="78">0.25*M125</f>
        <v>8.75</v>
      </c>
      <c r="P125" s="65">
        <f t="shared" ref="P125:P126" si="79">0.5*M125</f>
        <v>17.5</v>
      </c>
      <c r="Q125" s="37">
        <f t="shared" ref="Q125:Q126" si="80">0.75*M125</f>
        <v>26.25</v>
      </c>
      <c r="R125" s="35">
        <f t="shared" ref="R125:R126" si="81">IF(N125="---","---",0.125*SQRT(POWER(M125,2)+POWER(N125,2)))</f>
        <v>6.1871843353822911</v>
      </c>
      <c r="S125" s="36">
        <f t="shared" ref="S125:S126" si="82">IF(N125="---","---",0.25*SQRT(POWER(M125,2)+POWER(N125,2)))</f>
        <v>12.374368670764582</v>
      </c>
      <c r="T125" s="37">
        <f t="shared" ref="T125:T126" si="83">IF(N125="---","---",0.375*SQRT(POWER(M125,2)+POWER(N125,2)))</f>
        <v>18.561553006146873</v>
      </c>
      <c r="U125" s="35">
        <f t="shared" si="48"/>
        <v>20.624684335382291</v>
      </c>
      <c r="V125" s="36">
        <f t="shared" si="49"/>
        <v>41.249368670764582</v>
      </c>
      <c r="W125" s="37">
        <f t="shared" si="50"/>
        <v>61.874053006146873</v>
      </c>
      <c r="X125" s="38">
        <f t="shared" si="71"/>
        <v>23.934076125892137</v>
      </c>
      <c r="Y125" s="38">
        <f t="shared" si="71"/>
        <v>20</v>
      </c>
      <c r="Z125" s="38">
        <f t="shared" si="71"/>
        <v>20</v>
      </c>
      <c r="AA125" s="39">
        <f t="shared" si="52"/>
        <v>21.433035249352809</v>
      </c>
      <c r="AB125" s="40">
        <f t="shared" si="52"/>
        <v>42.866070498705618</v>
      </c>
      <c r="AC125" s="41">
        <f t="shared" si="52"/>
        <v>64.299105748058423</v>
      </c>
      <c r="AD125" s="30"/>
    </row>
    <row r="126" spans="1:31">
      <c r="A126" s="30">
        <v>123</v>
      </c>
      <c r="B126" s="56" t="s">
        <v>247</v>
      </c>
      <c r="C126" s="6" t="s">
        <v>211</v>
      </c>
      <c r="D126" s="32" t="s">
        <v>111</v>
      </c>
      <c r="E126" s="32" t="s">
        <v>111</v>
      </c>
      <c r="F126" s="32" t="s">
        <v>111</v>
      </c>
      <c r="G126" s="32" t="s">
        <v>111</v>
      </c>
      <c r="H126" s="32" t="s">
        <v>111</v>
      </c>
      <c r="I126" s="32" t="s">
        <v>111</v>
      </c>
      <c r="J126" s="32" t="s">
        <v>111</v>
      </c>
      <c r="K126" s="32" t="s">
        <v>111</v>
      </c>
      <c r="L126" s="32" t="s">
        <v>111</v>
      </c>
      <c r="M126" s="34">
        <v>17.5</v>
      </c>
      <c r="N126" s="34">
        <v>49.8</v>
      </c>
      <c r="O126" s="35">
        <f t="shared" si="78"/>
        <v>4.375</v>
      </c>
      <c r="P126" s="65">
        <f t="shared" si="79"/>
        <v>8.75</v>
      </c>
      <c r="Q126" s="37">
        <f t="shared" si="80"/>
        <v>13.125</v>
      </c>
      <c r="R126" s="35">
        <f t="shared" si="81"/>
        <v>6.5981649911168478</v>
      </c>
      <c r="S126" s="36">
        <f t="shared" si="82"/>
        <v>13.196329982233696</v>
      </c>
      <c r="T126" s="37">
        <f t="shared" si="83"/>
        <v>19.794494973350545</v>
      </c>
      <c r="U126" s="35">
        <f t="shared" si="48"/>
        <v>13.816914991116848</v>
      </c>
      <c r="V126" s="36">
        <f t="shared" si="49"/>
        <v>27.633829982233696</v>
      </c>
      <c r="W126" s="37">
        <f t="shared" si="50"/>
        <v>41.450744973350545</v>
      </c>
      <c r="X126" s="32" t="s">
        <v>111</v>
      </c>
      <c r="Y126" s="32" t="s">
        <v>111</v>
      </c>
      <c r="Z126" s="32" t="s">
        <v>111</v>
      </c>
      <c r="AA126" s="39">
        <f t="shared" si="52"/>
        <v>15.833686399572272</v>
      </c>
      <c r="AB126" s="40">
        <f t="shared" si="52"/>
        <v>31.667372799144545</v>
      </c>
      <c r="AC126" s="41">
        <f t="shared" si="52"/>
        <v>47.501059198716824</v>
      </c>
      <c r="AD126" s="30"/>
    </row>
    <row r="127" spans="1:31">
      <c r="A127" s="30">
        <v>124</v>
      </c>
      <c r="B127" s="47" t="s">
        <v>248</v>
      </c>
      <c r="C127" s="6" t="s">
        <v>190</v>
      </c>
      <c r="D127" s="32" t="s">
        <v>111</v>
      </c>
      <c r="E127" s="32" t="s">
        <v>111</v>
      </c>
      <c r="F127" s="32" t="s">
        <v>111</v>
      </c>
      <c r="G127" s="32" t="s">
        <v>111</v>
      </c>
      <c r="H127" s="32" t="s">
        <v>111</v>
      </c>
      <c r="I127" s="32" t="s">
        <v>111</v>
      </c>
      <c r="J127" s="32" t="s">
        <v>111</v>
      </c>
      <c r="K127" s="32" t="s">
        <v>111</v>
      </c>
      <c r="L127" s="32" t="s">
        <v>111</v>
      </c>
      <c r="M127" s="34">
        <v>17.600000000000001</v>
      </c>
      <c r="N127" s="34">
        <v>46.3</v>
      </c>
      <c r="O127" s="35">
        <f>0.25*M127</f>
        <v>4.4000000000000004</v>
      </c>
      <c r="P127" s="36">
        <f>0.5*M127</f>
        <v>8.8000000000000007</v>
      </c>
      <c r="Q127" s="37">
        <f>0.75*M127</f>
        <v>13.200000000000001</v>
      </c>
      <c r="R127" s="35">
        <f>IF(N127="---","---",0.125*SQRT(POWER(M127,2)+POWER(N127,2)))</f>
        <v>6.1915390857201249</v>
      </c>
      <c r="S127" s="36">
        <f>IF(N127="---","---",0.25*SQRT(POWER(M127,2)+POWER(N127,2)))</f>
        <v>12.38307817144025</v>
      </c>
      <c r="T127" s="37">
        <f>IF(N127="---","---",0.375*SQRT(POWER(M127,2)+POWER(N127,2)))</f>
        <v>18.574617257160376</v>
      </c>
      <c r="U127" s="35">
        <f t="shared" si="48"/>
        <v>13.451539085720125</v>
      </c>
      <c r="V127" s="36">
        <f t="shared" si="49"/>
        <v>26.903078171440249</v>
      </c>
      <c r="W127" s="37">
        <f t="shared" si="50"/>
        <v>40.354617257160378</v>
      </c>
      <c r="X127" s="32" t="s">
        <v>111</v>
      </c>
      <c r="Y127" s="32" t="s">
        <v>111</v>
      </c>
      <c r="Z127" s="32" t="s">
        <v>111</v>
      </c>
      <c r="AA127" s="39">
        <f t="shared" si="52"/>
        <v>15.191465531672709</v>
      </c>
      <c r="AB127" s="40">
        <f t="shared" si="52"/>
        <v>30.382931063345417</v>
      </c>
      <c r="AC127" s="41">
        <f t="shared" si="52"/>
        <v>45.574396595018129</v>
      </c>
      <c r="AD127" s="30"/>
      <c r="AE127" s="72"/>
    </row>
    <row r="128" spans="1:31">
      <c r="A128" s="30">
        <v>125</v>
      </c>
      <c r="B128" s="31" t="s">
        <v>249</v>
      </c>
      <c r="C128" s="6" t="s">
        <v>121</v>
      </c>
      <c r="D128" s="32" t="s">
        <v>111</v>
      </c>
      <c r="E128" s="32" t="s">
        <v>111</v>
      </c>
      <c r="F128" s="32" t="s">
        <v>111</v>
      </c>
      <c r="G128" s="32" t="s">
        <v>111</v>
      </c>
      <c r="H128" s="32" t="s">
        <v>111</v>
      </c>
      <c r="I128" s="32" t="s">
        <v>111</v>
      </c>
      <c r="J128" s="32" t="s">
        <v>111</v>
      </c>
      <c r="K128" s="32" t="s">
        <v>111</v>
      </c>
      <c r="L128" s="32" t="s">
        <v>111</v>
      </c>
      <c r="M128" s="34" t="s">
        <v>73</v>
      </c>
      <c r="N128" s="34" t="s">
        <v>73</v>
      </c>
      <c r="O128" s="32" t="s">
        <v>111</v>
      </c>
      <c r="P128" s="32" t="s">
        <v>111</v>
      </c>
      <c r="Q128" s="32" t="s">
        <v>111</v>
      </c>
      <c r="R128" s="32" t="s">
        <v>111</v>
      </c>
      <c r="S128" s="32" t="s">
        <v>111</v>
      </c>
      <c r="T128" s="32" t="s">
        <v>111</v>
      </c>
      <c r="U128" s="54" t="s">
        <v>111</v>
      </c>
      <c r="V128" s="54" t="s">
        <v>111</v>
      </c>
      <c r="W128" s="54" t="s">
        <v>111</v>
      </c>
      <c r="X128" s="32" t="s">
        <v>111</v>
      </c>
      <c r="Y128" s="32" t="s">
        <v>111</v>
      </c>
      <c r="Z128" s="32" t="s">
        <v>111</v>
      </c>
      <c r="AA128" s="44" t="s">
        <v>111</v>
      </c>
      <c r="AB128" s="45" t="s">
        <v>111</v>
      </c>
      <c r="AC128" s="46" t="s">
        <v>111</v>
      </c>
      <c r="AD128" s="30"/>
      <c r="AE128" s="72"/>
    </row>
    <row r="129" spans="1:31">
      <c r="A129" s="30">
        <v>126</v>
      </c>
      <c r="B129" s="31" t="s">
        <v>250</v>
      </c>
      <c r="C129" s="6" t="s">
        <v>251</v>
      </c>
      <c r="D129" s="32">
        <v>50</v>
      </c>
      <c r="E129" s="32">
        <v>150</v>
      </c>
      <c r="F129" s="32">
        <v>200</v>
      </c>
      <c r="G129" s="32">
        <v>2</v>
      </c>
      <c r="H129" s="32">
        <v>2</v>
      </c>
      <c r="I129" s="32">
        <v>2</v>
      </c>
      <c r="J129" s="32">
        <v>9.8000000000000007</v>
      </c>
      <c r="K129" s="32">
        <v>7.7</v>
      </c>
      <c r="L129" s="32">
        <v>7.7</v>
      </c>
      <c r="M129" s="34" t="s">
        <v>73</v>
      </c>
      <c r="N129" s="34" t="s">
        <v>73</v>
      </c>
      <c r="O129" s="32" t="s">
        <v>111</v>
      </c>
      <c r="P129" s="32" t="s">
        <v>111</v>
      </c>
      <c r="Q129" s="32" t="s">
        <v>111</v>
      </c>
      <c r="R129" s="32" t="s">
        <v>111</v>
      </c>
      <c r="S129" s="32" t="s">
        <v>111</v>
      </c>
      <c r="T129" s="32" t="s">
        <v>111</v>
      </c>
      <c r="U129" s="7" t="s">
        <v>111</v>
      </c>
      <c r="V129" s="7" t="s">
        <v>111</v>
      </c>
      <c r="W129" s="7" t="s">
        <v>111</v>
      </c>
      <c r="X129" s="38">
        <f t="shared" si="71"/>
        <v>20.003999600079982</v>
      </c>
      <c r="Y129" s="38">
        <f t="shared" si="71"/>
        <v>15.911002482559043</v>
      </c>
      <c r="Z129" s="38">
        <f t="shared" si="71"/>
        <v>15.911002482559043</v>
      </c>
      <c r="AA129" s="44" t="s">
        <v>111</v>
      </c>
      <c r="AB129" s="45" t="s">
        <v>111</v>
      </c>
      <c r="AC129" s="46" t="s">
        <v>111</v>
      </c>
      <c r="AD129" s="30"/>
      <c r="AE129" s="72"/>
    </row>
    <row r="130" spans="1:31">
      <c r="A130" s="30">
        <v>127</v>
      </c>
      <c r="B130" s="47" t="s">
        <v>252</v>
      </c>
      <c r="C130" s="6" t="s">
        <v>108</v>
      </c>
      <c r="D130" s="32">
        <v>35</v>
      </c>
      <c r="E130" s="32">
        <v>220</v>
      </c>
      <c r="F130" s="32">
        <v>390</v>
      </c>
      <c r="G130" s="32">
        <v>6</v>
      </c>
      <c r="H130" s="32">
        <v>6</v>
      </c>
      <c r="I130" s="32">
        <v>5</v>
      </c>
      <c r="J130" s="32">
        <v>8</v>
      </c>
      <c r="K130" s="32">
        <v>6.7</v>
      </c>
      <c r="L130" s="32">
        <v>6.2</v>
      </c>
      <c r="M130" s="49">
        <v>6.45</v>
      </c>
      <c r="N130" s="34">
        <v>26.1</v>
      </c>
      <c r="O130" s="35">
        <f>0.25*M130</f>
        <v>1.6125</v>
      </c>
      <c r="P130" s="36">
        <f>0.5*M130</f>
        <v>3.2250000000000001</v>
      </c>
      <c r="Q130" s="37">
        <f>0.75*M130</f>
        <v>4.8375000000000004</v>
      </c>
      <c r="R130" s="35">
        <f>IF(N130="---","---",0.125*SQRT(POWER(M130,2)+POWER(N130,2)))</f>
        <v>3.3606465616752974</v>
      </c>
      <c r="S130" s="36">
        <f>IF(N130="---","---",0.25*SQRT(POWER(M130,2)+POWER(N130,2)))</f>
        <v>6.7212931233505948</v>
      </c>
      <c r="T130" s="37">
        <f>IF(N130="---","---",0.375*SQRT(POWER(M130,2)+POWER(N130,2)))</f>
        <v>10.081939685025892</v>
      </c>
      <c r="U130" s="35">
        <f t="shared" ref="U130:U182" si="84">IF($N130="---","---",$O130*1.65+$R130)</f>
        <v>6.021271561675297</v>
      </c>
      <c r="V130" s="36">
        <f t="shared" ref="V130:V182" si="85">IF($N130="---","---",$P130*1.65+$S130)</f>
        <v>12.042543123350594</v>
      </c>
      <c r="W130" s="37">
        <f t="shared" ref="W130:W182" si="86">IF($N130="---","---",$Q130*1.65+$T130)</f>
        <v>18.063814685025893</v>
      </c>
      <c r="X130" s="38">
        <f t="shared" si="71"/>
        <v>20</v>
      </c>
      <c r="Y130" s="38">
        <f t="shared" si="71"/>
        <v>17.987773625437917</v>
      </c>
      <c r="Z130" s="38">
        <f t="shared" si="71"/>
        <v>15.929846201391902</v>
      </c>
      <c r="AA130" s="39">
        <f t="shared" si="52"/>
        <v>7.4549585008905312</v>
      </c>
      <c r="AB130" s="40">
        <f t="shared" si="52"/>
        <v>14.909917001781062</v>
      </c>
      <c r="AC130" s="41">
        <f t="shared" si="52"/>
        <v>22.364875502671595</v>
      </c>
      <c r="AD130" s="30"/>
      <c r="AE130" s="72"/>
    </row>
    <row r="131" spans="1:31">
      <c r="A131" s="30">
        <v>128</v>
      </c>
      <c r="B131" s="47" t="s">
        <v>253</v>
      </c>
      <c r="C131" s="6" t="s">
        <v>139</v>
      </c>
      <c r="D131" s="32">
        <v>26</v>
      </c>
      <c r="E131" s="32">
        <v>95</v>
      </c>
      <c r="F131" s="32">
        <v>150</v>
      </c>
      <c r="G131" s="32">
        <v>8</v>
      </c>
      <c r="H131" s="32">
        <v>6</v>
      </c>
      <c r="I131" s="32">
        <v>6</v>
      </c>
      <c r="J131" s="32">
        <v>12.7</v>
      </c>
      <c r="K131" s="32">
        <v>10.4</v>
      </c>
      <c r="L131" s="32">
        <v>10.4</v>
      </c>
      <c r="M131" s="34" t="s">
        <v>73</v>
      </c>
      <c r="N131" s="34" t="s">
        <v>73</v>
      </c>
      <c r="O131" s="32" t="s">
        <v>111</v>
      </c>
      <c r="P131" s="32" t="s">
        <v>111</v>
      </c>
      <c r="Q131" s="32" t="s">
        <v>111</v>
      </c>
      <c r="R131" s="32" t="s">
        <v>111</v>
      </c>
      <c r="S131" s="32" t="s">
        <v>111</v>
      </c>
      <c r="T131" s="32" t="s">
        <v>111</v>
      </c>
      <c r="U131" s="7" t="s">
        <v>111</v>
      </c>
      <c r="V131" s="7" t="s">
        <v>111</v>
      </c>
      <c r="W131" s="7" t="s">
        <v>111</v>
      </c>
      <c r="X131" s="38">
        <f t="shared" si="71"/>
        <v>30.019327107715121</v>
      </c>
      <c r="Y131" s="38">
        <f t="shared" si="71"/>
        <v>24.013329631685817</v>
      </c>
      <c r="Z131" s="38">
        <f t="shared" si="71"/>
        <v>24.013329631685817</v>
      </c>
      <c r="AA131" s="44" t="s">
        <v>111</v>
      </c>
      <c r="AB131" s="45" t="s">
        <v>111</v>
      </c>
      <c r="AC131" s="46" t="s">
        <v>111</v>
      </c>
      <c r="AD131" s="30"/>
      <c r="AE131" s="72"/>
    </row>
    <row r="132" spans="1:31">
      <c r="A132" s="30">
        <v>129</v>
      </c>
      <c r="B132" s="31" t="s">
        <v>254</v>
      </c>
      <c r="C132" s="6" t="s">
        <v>251</v>
      </c>
      <c r="D132" s="32">
        <v>30</v>
      </c>
      <c r="E132" s="32">
        <v>70</v>
      </c>
      <c r="F132" s="32">
        <v>100</v>
      </c>
      <c r="G132" s="32">
        <v>6</v>
      </c>
      <c r="H132" s="32">
        <v>5</v>
      </c>
      <c r="I132" s="32">
        <v>5</v>
      </c>
      <c r="J132" s="32">
        <v>8</v>
      </c>
      <c r="K132" s="32">
        <v>6.2</v>
      </c>
      <c r="L132" s="32">
        <v>6.2</v>
      </c>
      <c r="M132" s="34">
        <v>4.8</v>
      </c>
      <c r="N132" s="34">
        <v>5.3</v>
      </c>
      <c r="O132" s="35">
        <f>0.25*M132</f>
        <v>1.2</v>
      </c>
      <c r="P132" s="36">
        <f>0.5*M132</f>
        <v>2.4</v>
      </c>
      <c r="Q132" s="37">
        <f>0.75*M132</f>
        <v>3.5999999999999996</v>
      </c>
      <c r="R132" s="35">
        <f>IF(N132="---","---",0.125*SQRT(POWER(M132,2)+POWER(N132,2)))</f>
        <v>0.89381555703623772</v>
      </c>
      <c r="S132" s="36">
        <f>IF(N132="---","---",0.25*SQRT(POWER(M132,2)+POWER(N132,2)))</f>
        <v>1.7876311140724754</v>
      </c>
      <c r="T132" s="37">
        <f>IF(N132="---","---",0.375*SQRT(POWER(M132,2)+POWER(N132,2)))</f>
        <v>2.6814466711087133</v>
      </c>
      <c r="U132" s="35">
        <f t="shared" si="84"/>
        <v>2.8738155570362376</v>
      </c>
      <c r="V132" s="36">
        <f t="shared" si="85"/>
        <v>5.7476311140724752</v>
      </c>
      <c r="W132" s="37">
        <f t="shared" si="86"/>
        <v>8.6214466711087123</v>
      </c>
      <c r="X132" s="38">
        <f t="shared" si="71"/>
        <v>20</v>
      </c>
      <c r="Y132" s="38">
        <f t="shared" si="71"/>
        <v>15.929846201391902</v>
      </c>
      <c r="Z132" s="38">
        <f t="shared" si="71"/>
        <v>15.929846201391902</v>
      </c>
      <c r="AA132" s="39">
        <f t="shared" si="52"/>
        <v>2.9925950277309492</v>
      </c>
      <c r="AB132" s="40">
        <f t="shared" si="52"/>
        <v>5.9851900554618984</v>
      </c>
      <c r="AC132" s="41">
        <f t="shared" si="52"/>
        <v>8.9777850831928472</v>
      </c>
      <c r="AD132" s="30"/>
    </row>
    <row r="133" spans="1:31">
      <c r="A133" s="30">
        <v>130</v>
      </c>
      <c r="B133" s="47" t="s">
        <v>255</v>
      </c>
      <c r="C133" s="6"/>
      <c r="D133" s="32" t="s">
        <v>111</v>
      </c>
      <c r="E133" s="32" t="s">
        <v>111</v>
      </c>
      <c r="F133" s="32" t="s">
        <v>111</v>
      </c>
      <c r="G133" s="32" t="s">
        <v>111</v>
      </c>
      <c r="H133" s="32" t="s">
        <v>111</v>
      </c>
      <c r="I133" s="32" t="s">
        <v>111</v>
      </c>
      <c r="J133" s="32" t="s">
        <v>111</v>
      </c>
      <c r="K133" s="32" t="s">
        <v>111</v>
      </c>
      <c r="L133" s="32" t="s">
        <v>111</v>
      </c>
      <c r="M133" s="32" t="s">
        <v>111</v>
      </c>
      <c r="N133" s="32" t="s">
        <v>111</v>
      </c>
      <c r="O133" s="32" t="s">
        <v>111</v>
      </c>
      <c r="P133" s="32" t="s">
        <v>111</v>
      </c>
      <c r="Q133" s="32" t="s">
        <v>111</v>
      </c>
      <c r="R133" s="32" t="s">
        <v>111</v>
      </c>
      <c r="S133" s="32" t="s">
        <v>111</v>
      </c>
      <c r="T133" s="32" t="s">
        <v>111</v>
      </c>
      <c r="U133" s="7" t="s">
        <v>111</v>
      </c>
      <c r="V133" s="7" t="s">
        <v>111</v>
      </c>
      <c r="W133" s="7" t="s">
        <v>111</v>
      </c>
      <c r="X133" s="32" t="s">
        <v>111</v>
      </c>
      <c r="Y133" s="32" t="s">
        <v>111</v>
      </c>
      <c r="Z133" s="32" t="s">
        <v>111</v>
      </c>
      <c r="AA133" s="44" t="s">
        <v>111</v>
      </c>
      <c r="AB133" s="45" t="s">
        <v>111</v>
      </c>
      <c r="AC133" s="46" t="s">
        <v>111</v>
      </c>
      <c r="AD133" s="30"/>
    </row>
    <row r="134" spans="1:31">
      <c r="A134" s="30">
        <v>131</v>
      </c>
      <c r="B134" s="31" t="s">
        <v>256</v>
      </c>
      <c r="C134" s="6" t="s">
        <v>257</v>
      </c>
      <c r="D134" s="32">
        <v>7.3</v>
      </c>
      <c r="E134" s="32">
        <v>7.4749999999999996</v>
      </c>
      <c r="F134" s="32">
        <v>7.55</v>
      </c>
      <c r="G134" s="32" t="s">
        <v>111</v>
      </c>
      <c r="H134" s="32" t="s">
        <v>111</v>
      </c>
      <c r="I134" s="32" t="s">
        <v>111</v>
      </c>
      <c r="J134" s="32" t="s">
        <v>111</v>
      </c>
      <c r="K134" s="32" t="s">
        <v>111</v>
      </c>
      <c r="L134" s="32" t="s">
        <v>111</v>
      </c>
      <c r="M134" s="34" t="s">
        <v>197</v>
      </c>
      <c r="N134" s="34" t="s">
        <v>197</v>
      </c>
      <c r="O134" s="32" t="s">
        <v>111</v>
      </c>
      <c r="P134" s="32" t="s">
        <v>111</v>
      </c>
      <c r="Q134" s="32" t="s">
        <v>111</v>
      </c>
      <c r="R134" s="32" t="s">
        <v>111</v>
      </c>
      <c r="S134" s="32" t="s">
        <v>111</v>
      </c>
      <c r="T134" s="32" t="s">
        <v>111</v>
      </c>
      <c r="U134" s="35" t="str">
        <f t="shared" si="84"/>
        <v>---</v>
      </c>
      <c r="V134" s="36" t="str">
        <f t="shared" si="85"/>
        <v>---</v>
      </c>
      <c r="W134" s="37" t="str">
        <f t="shared" si="86"/>
        <v>---</v>
      </c>
      <c r="X134" s="32" t="s">
        <v>111</v>
      </c>
      <c r="Y134" s="32" t="s">
        <v>111</v>
      </c>
      <c r="Z134" s="32" t="s">
        <v>111</v>
      </c>
      <c r="AA134" s="44" t="s">
        <v>111</v>
      </c>
      <c r="AB134" s="45" t="s">
        <v>111</v>
      </c>
      <c r="AC134" s="46" t="s">
        <v>111</v>
      </c>
      <c r="AD134" s="30"/>
    </row>
    <row r="135" spans="1:31">
      <c r="A135" s="30">
        <v>132</v>
      </c>
      <c r="B135" s="31" t="s">
        <v>256</v>
      </c>
      <c r="C135" s="6" t="s">
        <v>182</v>
      </c>
      <c r="D135" s="32">
        <v>63.1</v>
      </c>
      <c r="E135" s="32">
        <v>39.799999999999997</v>
      </c>
      <c r="F135" s="32">
        <v>28.2</v>
      </c>
      <c r="G135" s="32">
        <v>2</v>
      </c>
      <c r="H135" s="32">
        <v>2</v>
      </c>
      <c r="I135" s="32">
        <v>2</v>
      </c>
      <c r="J135" s="32">
        <v>3.5</v>
      </c>
      <c r="K135" s="32">
        <v>3.5</v>
      </c>
      <c r="L135" s="32">
        <v>3.5</v>
      </c>
      <c r="M135" s="34">
        <v>3.5</v>
      </c>
      <c r="N135" s="34">
        <v>2</v>
      </c>
      <c r="O135" s="35">
        <f>0.25*M135</f>
        <v>0.875</v>
      </c>
      <c r="P135" s="36">
        <f>0.5*M135</f>
        <v>1.75</v>
      </c>
      <c r="Q135" s="37">
        <f>0.75*M135</f>
        <v>2.625</v>
      </c>
      <c r="R135" s="35">
        <f>IF(N135="---","---",0.125*SQRT(POWER(M135,2)+POWER(N135,2)))</f>
        <v>0.50389110926865932</v>
      </c>
      <c r="S135" s="36">
        <f>IF(N135="---","---",0.25*SQRT(POWER(M135,2)+POWER(N135,2)))</f>
        <v>1.0077822185373186</v>
      </c>
      <c r="T135" s="37">
        <f>IF(N135="---","---",0.375*SQRT(POWER(M135,2)+POWER(N135,2)))</f>
        <v>1.511673327805978</v>
      </c>
      <c r="U135" s="35">
        <f t="shared" si="84"/>
        <v>1.9476411092686592</v>
      </c>
      <c r="V135" s="36">
        <f t="shared" si="85"/>
        <v>3.8952822185373184</v>
      </c>
      <c r="W135" s="37">
        <f t="shared" si="86"/>
        <v>5.8429233278059778</v>
      </c>
      <c r="X135" s="38">
        <f t="shared" si="71"/>
        <v>8.0622577482985491</v>
      </c>
      <c r="Y135" s="38">
        <f t="shared" si="71"/>
        <v>8.0622577482985491</v>
      </c>
      <c r="Z135" s="38">
        <f t="shared" si="71"/>
        <v>8.0622577482985491</v>
      </c>
      <c r="AA135" s="39">
        <f t="shared" ref="AA135:AC182" si="87">2*(SQRT((O135^2)+(R135^2)))</f>
        <v>2.0194368026754388</v>
      </c>
      <c r="AB135" s="40">
        <f t="shared" si="87"/>
        <v>4.0388736053508776</v>
      </c>
      <c r="AC135" s="41">
        <f t="shared" si="87"/>
        <v>6.0583104080263173</v>
      </c>
      <c r="AD135" s="30"/>
    </row>
    <row r="136" spans="1:31">
      <c r="A136" s="30">
        <v>133</v>
      </c>
      <c r="B136" s="47" t="s">
        <v>258</v>
      </c>
      <c r="C136" s="6" t="s">
        <v>139</v>
      </c>
      <c r="D136" s="32">
        <v>17.5</v>
      </c>
      <c r="E136" s="32">
        <v>37.5</v>
      </c>
      <c r="F136" s="32">
        <v>50</v>
      </c>
      <c r="G136" s="32">
        <v>10</v>
      </c>
      <c r="H136" s="32">
        <v>7</v>
      </c>
      <c r="I136" s="32">
        <v>7</v>
      </c>
      <c r="J136" s="32">
        <v>11.2</v>
      </c>
      <c r="K136" s="32">
        <v>13.3</v>
      </c>
      <c r="L136" s="32">
        <v>13.3</v>
      </c>
      <c r="M136" s="34" t="s">
        <v>73</v>
      </c>
      <c r="N136" s="34" t="s">
        <v>73</v>
      </c>
      <c r="O136" s="32" t="s">
        <v>111</v>
      </c>
      <c r="P136" s="32" t="s">
        <v>111</v>
      </c>
      <c r="Q136" s="32" t="s">
        <v>111</v>
      </c>
      <c r="R136" s="32" t="s">
        <v>111</v>
      </c>
      <c r="S136" s="32" t="s">
        <v>111</v>
      </c>
      <c r="T136" s="32" t="s">
        <v>111</v>
      </c>
      <c r="U136" s="54" t="s">
        <v>111</v>
      </c>
      <c r="V136" s="54" t="s">
        <v>111</v>
      </c>
      <c r="W136" s="54" t="s">
        <v>111</v>
      </c>
      <c r="X136" s="38">
        <f t="shared" si="71"/>
        <v>30.029319006597536</v>
      </c>
      <c r="Y136" s="38">
        <f t="shared" si="71"/>
        <v>30.059274775017446</v>
      </c>
      <c r="Z136" s="38">
        <f t="shared" si="71"/>
        <v>30.059274775017446</v>
      </c>
      <c r="AA136" s="44" t="s">
        <v>111</v>
      </c>
      <c r="AB136" s="45" t="s">
        <v>111</v>
      </c>
      <c r="AC136" s="46" t="s">
        <v>111</v>
      </c>
      <c r="AD136" s="30"/>
    </row>
    <row r="137" spans="1:31">
      <c r="A137" s="30">
        <v>134</v>
      </c>
      <c r="B137" s="47" t="s">
        <v>259</v>
      </c>
      <c r="C137" s="6" t="s">
        <v>125</v>
      </c>
      <c r="D137" s="32">
        <v>1</v>
      </c>
      <c r="E137" s="32">
        <v>2.25</v>
      </c>
      <c r="F137" s="32">
        <v>3</v>
      </c>
      <c r="G137" s="32">
        <v>4</v>
      </c>
      <c r="H137" s="32">
        <v>3.3</v>
      </c>
      <c r="I137" s="32">
        <v>2.4</v>
      </c>
      <c r="J137" s="32">
        <v>3.9</v>
      </c>
      <c r="K137" s="32">
        <v>4.5</v>
      </c>
      <c r="L137" s="32">
        <v>5.0999999999999996</v>
      </c>
      <c r="M137" s="34">
        <v>8.15</v>
      </c>
      <c r="N137" s="34">
        <v>10.8</v>
      </c>
      <c r="O137" s="35">
        <f t="shared" ref="O137:O144" si="88">0.25*M137</f>
        <v>2.0375000000000001</v>
      </c>
      <c r="P137" s="36">
        <f t="shared" ref="P137:P144" si="89">0.5*M137</f>
        <v>4.0750000000000002</v>
      </c>
      <c r="Q137" s="37">
        <f t="shared" ref="Q137:Q144" si="90">0.75*M137</f>
        <v>6.1125000000000007</v>
      </c>
      <c r="R137" s="35">
        <f t="shared" ref="R137:R144" si="91">IF(N137="---","---",0.125*SQRT(POWER(M137,2)+POWER(N137,2)))</f>
        <v>1.6912573909668511</v>
      </c>
      <c r="S137" s="36">
        <f t="shared" ref="S137:S144" si="92">IF(N137="---","---",0.25*SQRT(POWER(M137,2)+POWER(N137,2)))</f>
        <v>3.3825147819337023</v>
      </c>
      <c r="T137" s="37">
        <f t="shared" ref="T137:T144" si="93">IF(N137="---","---",0.375*SQRT(POWER(M137,2)+POWER(N137,2)))</f>
        <v>5.0737721729005534</v>
      </c>
      <c r="U137" s="35">
        <f t="shared" si="84"/>
        <v>5.0531323909668515</v>
      </c>
      <c r="V137" s="36">
        <f t="shared" si="85"/>
        <v>10.106264781933703</v>
      </c>
      <c r="W137" s="37">
        <f t="shared" si="86"/>
        <v>15.159397172900555</v>
      </c>
      <c r="X137" s="38">
        <f t="shared" si="71"/>
        <v>11.173182178770737</v>
      </c>
      <c r="Y137" s="38">
        <f t="shared" si="71"/>
        <v>11.160645142642965</v>
      </c>
      <c r="Z137" s="38">
        <f t="shared" si="71"/>
        <v>11.272976536833561</v>
      </c>
      <c r="AA137" s="39">
        <f t="shared" si="87"/>
        <v>5.2959447929524348</v>
      </c>
      <c r="AB137" s="40">
        <f t="shared" si="87"/>
        <v>10.59188958590487</v>
      </c>
      <c r="AC137" s="41">
        <f t="shared" si="87"/>
        <v>15.887834378857304</v>
      </c>
      <c r="AD137" s="30"/>
    </row>
    <row r="138" spans="1:31">
      <c r="A138" s="30">
        <v>135</v>
      </c>
      <c r="B138" s="31" t="s">
        <v>260</v>
      </c>
      <c r="C138" s="6" t="s">
        <v>125</v>
      </c>
      <c r="D138" s="32">
        <v>6</v>
      </c>
      <c r="E138" s="32">
        <v>15</v>
      </c>
      <c r="F138" s="32">
        <v>20</v>
      </c>
      <c r="G138" s="32">
        <v>6</v>
      </c>
      <c r="H138" s="32">
        <v>6</v>
      </c>
      <c r="I138" s="32">
        <v>5</v>
      </c>
      <c r="J138" s="32">
        <v>10.4</v>
      </c>
      <c r="K138" s="32">
        <v>8</v>
      </c>
      <c r="L138" s="32">
        <v>6.2</v>
      </c>
      <c r="M138" s="34">
        <v>18</v>
      </c>
      <c r="N138" s="34">
        <v>22.6</v>
      </c>
      <c r="O138" s="35">
        <f t="shared" si="88"/>
        <v>4.5</v>
      </c>
      <c r="P138" s="36">
        <f t="shared" si="89"/>
        <v>9</v>
      </c>
      <c r="Q138" s="37">
        <f t="shared" si="90"/>
        <v>13.5</v>
      </c>
      <c r="R138" s="35">
        <f t="shared" si="91"/>
        <v>3.6115266854891162</v>
      </c>
      <c r="S138" s="36">
        <f t="shared" si="92"/>
        <v>7.2230533709782323</v>
      </c>
      <c r="T138" s="37">
        <f t="shared" si="93"/>
        <v>10.834580056467349</v>
      </c>
      <c r="U138" s="35">
        <f t="shared" si="84"/>
        <v>11.036526685489116</v>
      </c>
      <c r="V138" s="36">
        <f t="shared" si="85"/>
        <v>22.073053370978233</v>
      </c>
      <c r="W138" s="37">
        <f t="shared" si="86"/>
        <v>33.109580056467351</v>
      </c>
      <c r="X138" s="38">
        <f t="shared" si="71"/>
        <v>24.013329631685817</v>
      </c>
      <c r="Y138" s="38">
        <f t="shared" si="71"/>
        <v>20</v>
      </c>
      <c r="Z138" s="38">
        <f t="shared" si="71"/>
        <v>15.929846201391902</v>
      </c>
      <c r="AA138" s="39">
        <f t="shared" si="87"/>
        <v>11.540038994734811</v>
      </c>
      <c r="AB138" s="40">
        <f t="shared" si="87"/>
        <v>23.080077989469622</v>
      </c>
      <c r="AC138" s="41">
        <f t="shared" si="87"/>
        <v>34.620116984204429</v>
      </c>
      <c r="AD138" s="30"/>
    </row>
    <row r="139" spans="1:31">
      <c r="A139" s="30">
        <v>136</v>
      </c>
      <c r="B139" s="56" t="s">
        <v>261</v>
      </c>
      <c r="C139" s="48" t="s">
        <v>111</v>
      </c>
      <c r="D139" s="32" t="s">
        <v>111</v>
      </c>
      <c r="E139" s="32" t="s">
        <v>111</v>
      </c>
      <c r="F139" s="32" t="s">
        <v>111</v>
      </c>
      <c r="G139" s="32" t="s">
        <v>111</v>
      </c>
      <c r="H139" s="32" t="s">
        <v>111</v>
      </c>
      <c r="I139" s="32" t="s">
        <v>111</v>
      </c>
      <c r="J139" s="32" t="s">
        <v>111</v>
      </c>
      <c r="K139" s="32" t="s">
        <v>111</v>
      </c>
      <c r="L139" s="32" t="s">
        <v>111</v>
      </c>
      <c r="M139" s="34">
        <v>9.1</v>
      </c>
      <c r="N139" s="34">
        <v>21.9</v>
      </c>
      <c r="O139" s="35">
        <f t="shared" si="88"/>
        <v>2.2749999999999999</v>
      </c>
      <c r="P139" s="36">
        <f t="shared" si="89"/>
        <v>4.55</v>
      </c>
      <c r="Q139" s="37">
        <f t="shared" si="90"/>
        <v>6.8249999999999993</v>
      </c>
      <c r="R139" s="35">
        <f t="shared" si="91"/>
        <v>2.9644244804008753</v>
      </c>
      <c r="S139" s="36">
        <f t="shared" si="92"/>
        <v>5.9288489608017505</v>
      </c>
      <c r="T139" s="37">
        <f t="shared" si="93"/>
        <v>8.8932734412026253</v>
      </c>
      <c r="U139" s="35">
        <f t="shared" si="84"/>
        <v>6.7181744804008749</v>
      </c>
      <c r="V139" s="36">
        <f t="shared" si="85"/>
        <v>13.43634896080175</v>
      </c>
      <c r="W139" s="37">
        <f t="shared" si="86"/>
        <v>20.154523441202624</v>
      </c>
      <c r="X139" s="32" t="s">
        <v>111</v>
      </c>
      <c r="Y139" s="32" t="s">
        <v>111</v>
      </c>
      <c r="Z139" s="32" t="s">
        <v>111</v>
      </c>
      <c r="AA139" s="39">
        <f t="shared" si="87"/>
        <v>7.4735366460598822</v>
      </c>
      <c r="AB139" s="40">
        <f t="shared" si="87"/>
        <v>14.947073292119764</v>
      </c>
      <c r="AC139" s="41">
        <f t="shared" si="87"/>
        <v>22.420609938179645</v>
      </c>
      <c r="AD139" s="30"/>
    </row>
    <row r="140" spans="1:31">
      <c r="A140" s="30">
        <v>137</v>
      </c>
      <c r="B140" s="56" t="s">
        <v>262</v>
      </c>
      <c r="C140" s="6" t="s">
        <v>211</v>
      </c>
      <c r="D140" s="32" t="s">
        <v>111</v>
      </c>
      <c r="E140" s="32" t="s">
        <v>111</v>
      </c>
      <c r="F140" s="32" t="s">
        <v>111</v>
      </c>
      <c r="G140" s="32" t="s">
        <v>111</v>
      </c>
      <c r="H140" s="32" t="s">
        <v>111</v>
      </c>
      <c r="I140" s="32" t="s">
        <v>111</v>
      </c>
      <c r="J140" s="32" t="s">
        <v>111</v>
      </c>
      <c r="K140" s="32" t="s">
        <v>111</v>
      </c>
      <c r="L140" s="32" t="s">
        <v>111</v>
      </c>
      <c r="M140" s="73">
        <v>17.100000000000001</v>
      </c>
      <c r="N140" s="73">
        <v>32.799999999999997</v>
      </c>
      <c r="O140" s="35">
        <f t="shared" si="88"/>
        <v>4.2750000000000004</v>
      </c>
      <c r="P140" s="65">
        <f t="shared" si="89"/>
        <v>8.5500000000000007</v>
      </c>
      <c r="Q140" s="37">
        <f t="shared" si="90"/>
        <v>12.825000000000001</v>
      </c>
      <c r="R140" s="35">
        <f t="shared" si="91"/>
        <v>4.6237329345454201</v>
      </c>
      <c r="S140" s="36">
        <f t="shared" si="92"/>
        <v>9.2474658690908402</v>
      </c>
      <c r="T140" s="37">
        <f t="shared" si="93"/>
        <v>13.871198803636261</v>
      </c>
      <c r="U140" s="35">
        <f t="shared" si="84"/>
        <v>11.67748293454542</v>
      </c>
      <c r="V140" s="36">
        <f t="shared" si="85"/>
        <v>23.35496586909084</v>
      </c>
      <c r="W140" s="37">
        <f t="shared" si="86"/>
        <v>35.032448803636257</v>
      </c>
      <c r="X140" s="32" t="s">
        <v>111</v>
      </c>
      <c r="Y140" s="32" t="s">
        <v>111</v>
      </c>
      <c r="Z140" s="32" t="s">
        <v>111</v>
      </c>
      <c r="AA140" s="39">
        <f t="shared" si="87"/>
        <v>12.594368781324455</v>
      </c>
      <c r="AB140" s="40">
        <f t="shared" si="87"/>
        <v>25.18873756264891</v>
      </c>
      <c r="AC140" s="41">
        <f t="shared" si="87"/>
        <v>37.783106343973365</v>
      </c>
      <c r="AD140" s="30"/>
    </row>
    <row r="141" spans="1:31">
      <c r="A141" s="30">
        <v>138</v>
      </c>
      <c r="B141" s="57" t="s">
        <v>263</v>
      </c>
      <c r="C141" s="6" t="s">
        <v>125</v>
      </c>
      <c r="D141" s="32">
        <v>3</v>
      </c>
      <c r="E141" s="74">
        <v>5</v>
      </c>
      <c r="F141" s="32">
        <v>6</v>
      </c>
      <c r="G141" s="32">
        <v>2</v>
      </c>
      <c r="H141" s="32">
        <v>1.6</v>
      </c>
      <c r="I141" s="32">
        <v>1.6</v>
      </c>
      <c r="J141" s="32">
        <v>2.9</v>
      </c>
      <c r="K141" s="32">
        <v>3.1</v>
      </c>
      <c r="L141" s="32">
        <v>3.1</v>
      </c>
      <c r="M141" s="34">
        <v>4.5999999999999996</v>
      </c>
      <c r="N141" s="34">
        <v>5.6</v>
      </c>
      <c r="O141" s="35">
        <f t="shared" si="88"/>
        <v>1.1499999999999999</v>
      </c>
      <c r="P141" s="36">
        <f t="shared" si="89"/>
        <v>2.2999999999999998</v>
      </c>
      <c r="Q141" s="37">
        <f t="shared" si="90"/>
        <v>3.4499999999999997</v>
      </c>
      <c r="R141" s="35">
        <f t="shared" si="91"/>
        <v>0.90588354659967185</v>
      </c>
      <c r="S141" s="36">
        <f t="shared" si="92"/>
        <v>1.8117670931993437</v>
      </c>
      <c r="T141" s="37">
        <f t="shared" si="93"/>
        <v>2.7176506397990154</v>
      </c>
      <c r="U141" s="35">
        <f t="shared" si="84"/>
        <v>2.8033835465996715</v>
      </c>
      <c r="V141" s="36">
        <f t="shared" si="85"/>
        <v>5.606767093199343</v>
      </c>
      <c r="W141" s="37">
        <f t="shared" si="86"/>
        <v>8.4101506397990136</v>
      </c>
      <c r="X141" s="38">
        <f t="shared" si="71"/>
        <v>7.0455659815234153</v>
      </c>
      <c r="Y141" s="38">
        <f t="shared" si="71"/>
        <v>6.9771054170049638</v>
      </c>
      <c r="Z141" s="38">
        <f t="shared" si="71"/>
        <v>6.9771054170049638</v>
      </c>
      <c r="AA141" s="39">
        <f t="shared" si="87"/>
        <v>2.92788319439147</v>
      </c>
      <c r="AB141" s="40">
        <f t="shared" si="87"/>
        <v>5.8557663887829401</v>
      </c>
      <c r="AC141" s="41">
        <f t="shared" si="87"/>
        <v>8.7836495831744106</v>
      </c>
      <c r="AD141" s="30"/>
    </row>
    <row r="142" spans="1:31" s="72" customFormat="1">
      <c r="A142" s="30">
        <v>139</v>
      </c>
      <c r="B142" s="31" t="s">
        <v>264</v>
      </c>
      <c r="C142" s="6" t="s">
        <v>125</v>
      </c>
      <c r="D142" s="32">
        <v>60</v>
      </c>
      <c r="E142" s="32">
        <v>150</v>
      </c>
      <c r="F142" s="32">
        <v>200</v>
      </c>
      <c r="G142" s="32">
        <v>5</v>
      </c>
      <c r="H142" s="32">
        <v>5</v>
      </c>
      <c r="I142" s="32">
        <v>4</v>
      </c>
      <c r="J142" s="32">
        <v>4.9000000000000004</v>
      </c>
      <c r="K142" s="32">
        <v>4.9000000000000004</v>
      </c>
      <c r="L142" s="32">
        <v>4.5</v>
      </c>
      <c r="M142" s="34">
        <v>24.4</v>
      </c>
      <c r="N142" s="34">
        <v>22.2</v>
      </c>
      <c r="O142" s="35">
        <f t="shared" si="88"/>
        <v>6.1</v>
      </c>
      <c r="P142" s="36">
        <f t="shared" si="89"/>
        <v>12.2</v>
      </c>
      <c r="Q142" s="37">
        <f t="shared" si="90"/>
        <v>18.299999999999997</v>
      </c>
      <c r="R142" s="35">
        <f t="shared" si="91"/>
        <v>4.1234845701178511</v>
      </c>
      <c r="S142" s="36">
        <f t="shared" si="92"/>
        <v>8.2469691402357022</v>
      </c>
      <c r="T142" s="37">
        <f t="shared" si="93"/>
        <v>12.370453710353553</v>
      </c>
      <c r="U142" s="35">
        <f t="shared" si="84"/>
        <v>14.188484570117851</v>
      </c>
      <c r="V142" s="36">
        <f t="shared" si="85"/>
        <v>28.376969140235701</v>
      </c>
      <c r="W142" s="37">
        <f t="shared" si="86"/>
        <v>42.565453710353545</v>
      </c>
      <c r="X142" s="38">
        <f t="shared" si="71"/>
        <v>14.001428498549711</v>
      </c>
      <c r="Y142" s="38">
        <f t="shared" si="71"/>
        <v>14.001428498549711</v>
      </c>
      <c r="Z142" s="38">
        <f t="shared" si="71"/>
        <v>12.041594578792296</v>
      </c>
      <c r="AA142" s="39">
        <f t="shared" si="87"/>
        <v>14.725912535391481</v>
      </c>
      <c r="AB142" s="40">
        <f t="shared" si="87"/>
        <v>29.451825070782963</v>
      </c>
      <c r="AC142" s="41">
        <f t="shared" si="87"/>
        <v>44.177737606174439</v>
      </c>
      <c r="AD142" s="75"/>
      <c r="AE142"/>
    </row>
    <row r="143" spans="1:31" s="72" customFormat="1">
      <c r="A143" s="30">
        <v>140</v>
      </c>
      <c r="B143" s="47" t="s">
        <v>265</v>
      </c>
      <c r="C143" s="6" t="s">
        <v>105</v>
      </c>
      <c r="D143" s="32">
        <v>0.25</v>
      </c>
      <c r="E143" s="32">
        <v>0.45</v>
      </c>
      <c r="F143" s="32">
        <v>0.6</v>
      </c>
      <c r="G143" s="32">
        <v>8</v>
      </c>
      <c r="H143" s="32">
        <v>6</v>
      </c>
      <c r="I143" s="32">
        <v>5</v>
      </c>
      <c r="J143" s="32">
        <v>8.9</v>
      </c>
      <c r="K143" s="32">
        <v>8</v>
      </c>
      <c r="L143" s="32">
        <v>7.5</v>
      </c>
      <c r="M143" s="34">
        <v>10.9</v>
      </c>
      <c r="N143" s="34">
        <v>19.100000000000001</v>
      </c>
      <c r="O143" s="35">
        <f t="shared" si="88"/>
        <v>2.7250000000000001</v>
      </c>
      <c r="P143" s="36">
        <f t="shared" si="89"/>
        <v>5.45</v>
      </c>
      <c r="Q143" s="37">
        <f t="shared" si="90"/>
        <v>8.1750000000000007</v>
      </c>
      <c r="R143" s="35">
        <f t="shared" si="91"/>
        <v>2.74892024256798</v>
      </c>
      <c r="S143" s="36">
        <f t="shared" si="92"/>
        <v>5.4978404851359599</v>
      </c>
      <c r="T143" s="37">
        <f t="shared" si="93"/>
        <v>8.2467607277039399</v>
      </c>
      <c r="U143" s="35">
        <f t="shared" si="84"/>
        <v>7.2451702425679798</v>
      </c>
      <c r="V143" s="36">
        <f t="shared" si="85"/>
        <v>14.49034048513596</v>
      </c>
      <c r="W143" s="37">
        <f t="shared" si="86"/>
        <v>21.735510727703939</v>
      </c>
      <c r="X143" s="38">
        <f t="shared" si="71"/>
        <v>23.934076125892137</v>
      </c>
      <c r="Y143" s="38">
        <f t="shared" si="71"/>
        <v>20</v>
      </c>
      <c r="Z143" s="38">
        <f t="shared" si="71"/>
        <v>18.027756377319946</v>
      </c>
      <c r="AA143" s="39">
        <f t="shared" si="87"/>
        <v>7.7413661585019993</v>
      </c>
      <c r="AB143" s="40">
        <f t="shared" si="87"/>
        <v>15.482732317003999</v>
      </c>
      <c r="AC143" s="41">
        <f t="shared" si="87"/>
        <v>23.224098475506</v>
      </c>
      <c r="AD143" s="75"/>
      <c r="AE143"/>
    </row>
    <row r="144" spans="1:31" s="72" customFormat="1">
      <c r="A144" s="30">
        <v>141</v>
      </c>
      <c r="B144" s="47" t="s">
        <v>266</v>
      </c>
      <c r="C144" s="48" t="s">
        <v>111</v>
      </c>
      <c r="D144" s="32" t="s">
        <v>111</v>
      </c>
      <c r="E144" s="32" t="s">
        <v>111</v>
      </c>
      <c r="F144" s="32" t="s">
        <v>111</v>
      </c>
      <c r="G144" s="32" t="s">
        <v>111</v>
      </c>
      <c r="H144" s="32" t="s">
        <v>111</v>
      </c>
      <c r="I144" s="32" t="s">
        <v>111</v>
      </c>
      <c r="J144" s="32" t="s">
        <v>111</v>
      </c>
      <c r="K144" s="32" t="s">
        <v>111</v>
      </c>
      <c r="L144" s="32" t="s">
        <v>111</v>
      </c>
      <c r="M144" s="34">
        <v>10</v>
      </c>
      <c r="N144" s="34">
        <v>16</v>
      </c>
      <c r="O144" s="35">
        <f t="shared" si="88"/>
        <v>2.5</v>
      </c>
      <c r="P144" s="36">
        <f t="shared" si="89"/>
        <v>5</v>
      </c>
      <c r="Q144" s="37">
        <f t="shared" si="90"/>
        <v>7.5</v>
      </c>
      <c r="R144" s="35">
        <f t="shared" si="91"/>
        <v>2.3584952830141508</v>
      </c>
      <c r="S144" s="36">
        <f t="shared" si="92"/>
        <v>4.7169905660283016</v>
      </c>
      <c r="T144" s="37">
        <f t="shared" si="93"/>
        <v>7.0754858490424528</v>
      </c>
      <c r="U144" s="35">
        <f t="shared" si="84"/>
        <v>6.4834952830141503</v>
      </c>
      <c r="V144" s="36">
        <f t="shared" si="85"/>
        <v>12.966990566028301</v>
      </c>
      <c r="W144" s="37">
        <f t="shared" si="86"/>
        <v>19.450485849042451</v>
      </c>
      <c r="X144" s="32" t="s">
        <v>111</v>
      </c>
      <c r="Y144" s="32" t="s">
        <v>111</v>
      </c>
      <c r="Z144" s="32" t="s">
        <v>111</v>
      </c>
      <c r="AA144" s="39">
        <f t="shared" si="87"/>
        <v>6.8738635424337602</v>
      </c>
      <c r="AB144" s="40">
        <f t="shared" si="87"/>
        <v>13.74772708486752</v>
      </c>
      <c r="AC144" s="41">
        <f t="shared" si="87"/>
        <v>20.621590627301281</v>
      </c>
      <c r="AD144" s="75"/>
      <c r="AE144"/>
    </row>
    <row r="145" spans="1:31" s="72" customFormat="1">
      <c r="A145" s="30">
        <v>142</v>
      </c>
      <c r="B145" s="47" t="s">
        <v>267</v>
      </c>
      <c r="C145" s="6" t="s">
        <v>182</v>
      </c>
      <c r="D145" s="32">
        <v>11.5</v>
      </c>
      <c r="E145" s="32">
        <v>45</v>
      </c>
      <c r="F145" s="32">
        <v>70</v>
      </c>
      <c r="G145" s="32">
        <v>25</v>
      </c>
      <c r="H145" s="32">
        <v>10</v>
      </c>
      <c r="I145" s="32">
        <v>10</v>
      </c>
      <c r="J145" s="32">
        <v>24.5</v>
      </c>
      <c r="K145" s="32">
        <v>11.2</v>
      </c>
      <c r="L145" s="32">
        <v>11.2</v>
      </c>
      <c r="M145" s="34" t="s">
        <v>73</v>
      </c>
      <c r="N145" s="34" t="s">
        <v>73</v>
      </c>
      <c r="O145" s="32" t="s">
        <v>111</v>
      </c>
      <c r="P145" s="32" t="s">
        <v>111</v>
      </c>
      <c r="Q145" s="32" t="s">
        <v>111</v>
      </c>
      <c r="R145" s="32" t="s">
        <v>111</v>
      </c>
      <c r="S145" s="32" t="s">
        <v>111</v>
      </c>
      <c r="T145" s="32" t="s">
        <v>111</v>
      </c>
      <c r="U145" s="54" t="s">
        <v>111</v>
      </c>
      <c r="V145" s="54" t="s">
        <v>111</v>
      </c>
      <c r="W145" s="54" t="s">
        <v>111</v>
      </c>
      <c r="X145" s="38">
        <f t="shared" si="71"/>
        <v>70.007142492748557</v>
      </c>
      <c r="Y145" s="38">
        <f t="shared" si="71"/>
        <v>30.029319006597536</v>
      </c>
      <c r="Z145" s="38">
        <f t="shared" si="71"/>
        <v>30.029319006597536</v>
      </c>
      <c r="AA145" s="44" t="s">
        <v>111</v>
      </c>
      <c r="AB145" s="45" t="s">
        <v>111</v>
      </c>
      <c r="AC145" s="46" t="s">
        <v>111</v>
      </c>
      <c r="AD145" s="75"/>
      <c r="AE145"/>
    </row>
    <row r="146" spans="1:31" s="72" customFormat="1">
      <c r="A146" s="30">
        <v>143</v>
      </c>
      <c r="B146" s="47" t="s">
        <v>268</v>
      </c>
      <c r="C146" s="6" t="s">
        <v>182</v>
      </c>
      <c r="D146" s="32">
        <v>375</v>
      </c>
      <c r="E146" s="32">
        <v>1050</v>
      </c>
      <c r="F146" s="32">
        <v>1500</v>
      </c>
      <c r="G146" s="32">
        <v>15</v>
      </c>
      <c r="H146" s="32">
        <v>10</v>
      </c>
      <c r="I146" s="32">
        <v>10</v>
      </c>
      <c r="J146" s="32">
        <v>20</v>
      </c>
      <c r="K146" s="32">
        <v>11.2</v>
      </c>
      <c r="L146" s="32">
        <v>11.2</v>
      </c>
      <c r="M146" s="34">
        <v>23</v>
      </c>
      <c r="N146" s="34">
        <v>35</v>
      </c>
      <c r="O146" s="35">
        <f t="shared" ref="O146:O151" si="94">0.25*M146</f>
        <v>5.75</v>
      </c>
      <c r="P146" s="36">
        <f t="shared" ref="P146:P151" si="95">0.5*M146</f>
        <v>11.5</v>
      </c>
      <c r="Q146" s="37">
        <f t="shared" ref="Q146:Q151" si="96">0.75*M146</f>
        <v>17.25</v>
      </c>
      <c r="R146" s="35">
        <f t="shared" ref="R146:R151" si="97">IF(N146="---","---",0.125*SQRT(POWER(M146,2)+POWER(N146,2)))</f>
        <v>5.235097897842981</v>
      </c>
      <c r="S146" s="36">
        <f t="shared" ref="S146:S151" si="98">IF(N146="---","---",0.25*SQRT(POWER(M146,2)+POWER(N146,2)))</f>
        <v>10.470195795685962</v>
      </c>
      <c r="T146" s="37">
        <f t="shared" ref="T146:T151" si="99">IF(N146="---","---",0.375*SQRT(POWER(M146,2)+POWER(N146,2)))</f>
        <v>15.705293693528944</v>
      </c>
      <c r="U146" s="35">
        <f t="shared" si="84"/>
        <v>14.722597897842981</v>
      </c>
      <c r="V146" s="36">
        <f t="shared" si="85"/>
        <v>29.445195795685962</v>
      </c>
      <c r="W146" s="37">
        <f t="shared" si="86"/>
        <v>44.167793693528942</v>
      </c>
      <c r="X146" s="38">
        <f t="shared" si="71"/>
        <v>50</v>
      </c>
      <c r="Y146" s="38">
        <f t="shared" si="71"/>
        <v>30.029319006597536</v>
      </c>
      <c r="Z146" s="38">
        <f t="shared" si="71"/>
        <v>30.029319006597536</v>
      </c>
      <c r="AA146" s="39">
        <f t="shared" si="87"/>
        <v>15.55233101499579</v>
      </c>
      <c r="AB146" s="40">
        <f t="shared" si="87"/>
        <v>31.10466202999158</v>
      </c>
      <c r="AC146" s="41">
        <f t="shared" si="87"/>
        <v>46.656993044987374</v>
      </c>
      <c r="AD146" s="75"/>
      <c r="AE146"/>
    </row>
    <row r="147" spans="1:31" s="72" customFormat="1">
      <c r="A147" s="30">
        <v>144</v>
      </c>
      <c r="B147" s="31" t="s">
        <v>269</v>
      </c>
      <c r="C147" s="48" t="s">
        <v>111</v>
      </c>
      <c r="D147" s="32" t="s">
        <v>111</v>
      </c>
      <c r="E147" s="32" t="s">
        <v>111</v>
      </c>
      <c r="F147" s="32" t="s">
        <v>111</v>
      </c>
      <c r="G147" s="32" t="s">
        <v>111</v>
      </c>
      <c r="H147" s="32" t="s">
        <v>111</v>
      </c>
      <c r="I147" s="32" t="s">
        <v>111</v>
      </c>
      <c r="J147" s="32" t="s">
        <v>111</v>
      </c>
      <c r="K147" s="32" t="s">
        <v>111</v>
      </c>
      <c r="L147" s="32" t="s">
        <v>111</v>
      </c>
      <c r="M147" s="34">
        <v>5.6</v>
      </c>
      <c r="N147" s="34">
        <v>55.2</v>
      </c>
      <c r="O147" s="35">
        <f t="shared" si="94"/>
        <v>1.4</v>
      </c>
      <c r="P147" s="36">
        <f t="shared" si="95"/>
        <v>2.8</v>
      </c>
      <c r="Q147" s="37">
        <f t="shared" si="96"/>
        <v>4.1999999999999993</v>
      </c>
      <c r="R147" s="35">
        <f t="shared" si="97"/>
        <v>6.935416353759881</v>
      </c>
      <c r="S147" s="36">
        <f t="shared" si="98"/>
        <v>13.870832707519762</v>
      </c>
      <c r="T147" s="37">
        <f t="shared" si="99"/>
        <v>20.806249061279644</v>
      </c>
      <c r="U147" s="35">
        <f t="shared" si="84"/>
        <v>9.2454163537598806</v>
      </c>
      <c r="V147" s="36">
        <f t="shared" si="85"/>
        <v>18.490832707519761</v>
      </c>
      <c r="W147" s="37">
        <f t="shared" si="86"/>
        <v>27.736249061279644</v>
      </c>
      <c r="X147" s="32" t="s">
        <v>111</v>
      </c>
      <c r="Y147" s="32" t="s">
        <v>111</v>
      </c>
      <c r="Z147" s="32" t="s">
        <v>111</v>
      </c>
      <c r="AA147" s="39">
        <f t="shared" si="87"/>
        <v>14.150618361046984</v>
      </c>
      <c r="AB147" s="40">
        <f t="shared" si="87"/>
        <v>28.301236722093968</v>
      </c>
      <c r="AC147" s="41">
        <f t="shared" si="87"/>
        <v>42.451855083140948</v>
      </c>
      <c r="AD147" s="75"/>
      <c r="AE147"/>
    </row>
    <row r="148" spans="1:31" s="72" customFormat="1">
      <c r="A148" s="30">
        <v>145</v>
      </c>
      <c r="B148" s="31" t="s">
        <v>270</v>
      </c>
      <c r="C148" s="48" t="s">
        <v>111</v>
      </c>
      <c r="D148" s="32" t="s">
        <v>111</v>
      </c>
      <c r="E148" s="32" t="s">
        <v>111</v>
      </c>
      <c r="F148" s="32" t="s">
        <v>111</v>
      </c>
      <c r="G148" s="32" t="s">
        <v>111</v>
      </c>
      <c r="H148" s="32" t="s">
        <v>111</v>
      </c>
      <c r="I148" s="32" t="s">
        <v>111</v>
      </c>
      <c r="J148" s="32" t="s">
        <v>111</v>
      </c>
      <c r="K148" s="32" t="s">
        <v>111</v>
      </c>
      <c r="L148" s="32" t="s">
        <v>111</v>
      </c>
      <c r="M148" s="34">
        <v>5.8</v>
      </c>
      <c r="N148" s="34">
        <v>63.4</v>
      </c>
      <c r="O148" s="35">
        <f t="shared" si="94"/>
        <v>1.45</v>
      </c>
      <c r="P148" s="36">
        <f t="shared" si="95"/>
        <v>2.9</v>
      </c>
      <c r="Q148" s="37">
        <f t="shared" si="96"/>
        <v>4.3499999999999996</v>
      </c>
      <c r="R148" s="35">
        <f t="shared" si="97"/>
        <v>7.9580933646194421</v>
      </c>
      <c r="S148" s="36">
        <f t="shared" si="98"/>
        <v>15.916186729238884</v>
      </c>
      <c r="T148" s="37">
        <f t="shared" si="99"/>
        <v>23.874280093858324</v>
      </c>
      <c r="U148" s="35">
        <f t="shared" si="84"/>
        <v>10.350593364619442</v>
      </c>
      <c r="V148" s="36">
        <f t="shared" si="85"/>
        <v>20.701186729238884</v>
      </c>
      <c r="W148" s="37">
        <f t="shared" si="86"/>
        <v>31.051780093858323</v>
      </c>
      <c r="X148" s="32" t="s">
        <v>111</v>
      </c>
      <c r="Y148" s="32" t="s">
        <v>111</v>
      </c>
      <c r="Z148" s="32" t="s">
        <v>111</v>
      </c>
      <c r="AA148" s="39">
        <f t="shared" si="87"/>
        <v>16.178226107951389</v>
      </c>
      <c r="AB148" s="40">
        <f t="shared" si="87"/>
        <v>32.356452215902777</v>
      </c>
      <c r="AC148" s="41">
        <f t="shared" si="87"/>
        <v>48.534678323854166</v>
      </c>
      <c r="AD148" s="75"/>
      <c r="AE148"/>
    </row>
    <row r="149" spans="1:31" s="72" customFormat="1">
      <c r="A149" s="30">
        <v>146</v>
      </c>
      <c r="B149" s="47" t="s">
        <v>271</v>
      </c>
      <c r="C149" s="6" t="s">
        <v>105</v>
      </c>
      <c r="D149" s="32">
        <v>52.5</v>
      </c>
      <c r="E149" s="32">
        <v>77.5</v>
      </c>
      <c r="F149" s="32">
        <v>90</v>
      </c>
      <c r="G149" s="32">
        <v>3.2</v>
      </c>
      <c r="H149" s="32">
        <v>2.4</v>
      </c>
      <c r="I149" s="32">
        <v>2.4</v>
      </c>
      <c r="J149" s="32">
        <v>3.8</v>
      </c>
      <c r="K149" s="32">
        <v>3.8</v>
      </c>
      <c r="L149" s="32">
        <v>3.2</v>
      </c>
      <c r="M149" s="34">
        <v>2.75</v>
      </c>
      <c r="N149" s="34">
        <v>4.7</v>
      </c>
      <c r="O149" s="35">
        <f t="shared" si="94"/>
        <v>0.6875</v>
      </c>
      <c r="P149" s="36">
        <f t="shared" si="95"/>
        <v>1.375</v>
      </c>
      <c r="Q149" s="37">
        <f t="shared" si="96"/>
        <v>2.0625</v>
      </c>
      <c r="R149" s="35">
        <f t="shared" si="97"/>
        <v>0.68067636399393217</v>
      </c>
      <c r="S149" s="36">
        <f t="shared" si="98"/>
        <v>1.3613527279878643</v>
      </c>
      <c r="T149" s="37">
        <f t="shared" si="99"/>
        <v>2.0420290919817967</v>
      </c>
      <c r="U149" s="35">
        <f t="shared" si="84"/>
        <v>1.8150513639939321</v>
      </c>
      <c r="V149" s="36">
        <f t="shared" si="85"/>
        <v>3.6301027279878642</v>
      </c>
      <c r="W149" s="37">
        <f t="shared" si="86"/>
        <v>5.4451540919817969</v>
      </c>
      <c r="X149" s="38">
        <f t="shared" si="71"/>
        <v>9.9357938786993767</v>
      </c>
      <c r="Y149" s="38">
        <f t="shared" si="71"/>
        <v>8.9888820216976928</v>
      </c>
      <c r="Z149" s="38">
        <f t="shared" si="71"/>
        <v>8</v>
      </c>
      <c r="AA149" s="39">
        <f t="shared" si="87"/>
        <v>1.9349176339058984</v>
      </c>
      <c r="AB149" s="40">
        <f t="shared" si="87"/>
        <v>3.8698352678117969</v>
      </c>
      <c r="AC149" s="41">
        <f t="shared" si="87"/>
        <v>5.8047529017176949</v>
      </c>
      <c r="AD149" s="75"/>
      <c r="AE149"/>
    </row>
    <row r="150" spans="1:31">
      <c r="A150" s="30">
        <v>147</v>
      </c>
      <c r="B150" s="31" t="s">
        <v>272</v>
      </c>
      <c r="C150" s="6" t="s">
        <v>105</v>
      </c>
      <c r="D150" s="32">
        <v>0.4</v>
      </c>
      <c r="E150" s="32">
        <v>0.9</v>
      </c>
      <c r="F150" s="32">
        <v>1.2</v>
      </c>
      <c r="G150" s="32">
        <v>9</v>
      </c>
      <c r="H150" s="32">
        <v>7</v>
      </c>
      <c r="I150" s="32">
        <v>5</v>
      </c>
      <c r="J150" s="32">
        <v>17.899999999999999</v>
      </c>
      <c r="K150" s="32">
        <v>13.3</v>
      </c>
      <c r="L150" s="32">
        <v>8.6999999999999993</v>
      </c>
      <c r="M150" s="34">
        <v>35.5</v>
      </c>
      <c r="N150" s="34">
        <v>23.7</v>
      </c>
      <c r="O150" s="35">
        <f t="shared" si="94"/>
        <v>8.875</v>
      </c>
      <c r="P150" s="36">
        <f t="shared" si="95"/>
        <v>17.75</v>
      </c>
      <c r="Q150" s="37">
        <f t="shared" si="96"/>
        <v>26.625</v>
      </c>
      <c r="R150" s="35">
        <f t="shared" si="97"/>
        <v>5.3355236387818579</v>
      </c>
      <c r="S150" s="36">
        <f t="shared" si="98"/>
        <v>10.671047277563716</v>
      </c>
      <c r="T150" s="37">
        <f t="shared" si="99"/>
        <v>16.006570916345574</v>
      </c>
      <c r="U150" s="35">
        <f t="shared" si="84"/>
        <v>19.979273638781855</v>
      </c>
      <c r="V150" s="36">
        <f t="shared" si="85"/>
        <v>39.95854727756371</v>
      </c>
      <c r="W150" s="37">
        <f t="shared" si="86"/>
        <v>59.937820916345572</v>
      </c>
      <c r="X150" s="38">
        <f t="shared" si="71"/>
        <v>40.070437981135171</v>
      </c>
      <c r="Y150" s="38">
        <f t="shared" si="71"/>
        <v>30.059274775017446</v>
      </c>
      <c r="Z150" s="38">
        <f t="shared" si="71"/>
        <v>20.06888138387389</v>
      </c>
      <c r="AA150" s="39">
        <f t="shared" si="87"/>
        <v>20.710715825388554</v>
      </c>
      <c r="AB150" s="40">
        <f t="shared" si="87"/>
        <v>41.421431650777109</v>
      </c>
      <c r="AC150" s="41">
        <f t="shared" si="87"/>
        <v>62.13214747616567</v>
      </c>
      <c r="AD150" s="30"/>
    </row>
    <row r="151" spans="1:31">
      <c r="A151" s="30">
        <v>148</v>
      </c>
      <c r="B151" s="47" t="s">
        <v>273</v>
      </c>
      <c r="C151" s="6" t="s">
        <v>121</v>
      </c>
      <c r="D151" s="32">
        <v>2.75</v>
      </c>
      <c r="E151" s="32">
        <v>27.5</v>
      </c>
      <c r="F151" s="32">
        <v>50</v>
      </c>
      <c r="G151" s="32">
        <v>20</v>
      </c>
      <c r="H151" s="32">
        <v>7</v>
      </c>
      <c r="I151" s="32">
        <v>7</v>
      </c>
      <c r="J151" s="32">
        <v>22.4</v>
      </c>
      <c r="K151" s="32">
        <v>13.3</v>
      </c>
      <c r="L151" s="32">
        <v>13.3</v>
      </c>
      <c r="M151" s="34">
        <v>18.100000000000001</v>
      </c>
      <c r="N151" s="34">
        <v>72.400000000000006</v>
      </c>
      <c r="O151" s="35">
        <f t="shared" si="94"/>
        <v>4.5250000000000004</v>
      </c>
      <c r="P151" s="36">
        <f t="shared" si="95"/>
        <v>9.0500000000000007</v>
      </c>
      <c r="Q151" s="37">
        <f t="shared" si="96"/>
        <v>13.575000000000001</v>
      </c>
      <c r="R151" s="35">
        <f t="shared" si="97"/>
        <v>9.3285264779599579</v>
      </c>
      <c r="S151" s="36">
        <f t="shared" si="98"/>
        <v>18.657052955919916</v>
      </c>
      <c r="T151" s="37">
        <f t="shared" si="99"/>
        <v>27.985579433879874</v>
      </c>
      <c r="U151" s="35">
        <f t="shared" si="84"/>
        <v>16.794776477959957</v>
      </c>
      <c r="V151" s="36">
        <f t="shared" si="85"/>
        <v>33.589552955919913</v>
      </c>
      <c r="W151" s="37">
        <f t="shared" si="86"/>
        <v>50.38432943387987</v>
      </c>
      <c r="X151" s="38">
        <f t="shared" si="71"/>
        <v>60.058638013195072</v>
      </c>
      <c r="Y151" s="38">
        <f t="shared" si="71"/>
        <v>30.059274775017446</v>
      </c>
      <c r="Z151" s="38">
        <f t="shared" si="71"/>
        <v>30.059274775017446</v>
      </c>
      <c r="AA151" s="39">
        <f t="shared" si="87"/>
        <v>20.736155019675177</v>
      </c>
      <c r="AB151" s="40">
        <f t="shared" si="87"/>
        <v>41.472310039350354</v>
      </c>
      <c r="AC151" s="41">
        <f t="shared" si="87"/>
        <v>62.208465059025535</v>
      </c>
      <c r="AD151" s="30"/>
    </row>
    <row r="152" spans="1:31">
      <c r="A152" s="30">
        <v>149</v>
      </c>
      <c r="B152" s="47" t="s">
        <v>274</v>
      </c>
      <c r="C152" s="6" t="s">
        <v>121</v>
      </c>
      <c r="D152" s="32" t="s">
        <v>111</v>
      </c>
      <c r="E152" s="32" t="s">
        <v>111</v>
      </c>
      <c r="F152" s="32" t="s">
        <v>111</v>
      </c>
      <c r="G152" s="32" t="s">
        <v>111</v>
      </c>
      <c r="H152" s="32" t="s">
        <v>111</v>
      </c>
      <c r="I152" s="32" t="s">
        <v>111</v>
      </c>
      <c r="J152" s="32" t="s">
        <v>111</v>
      </c>
      <c r="K152" s="32" t="s">
        <v>111</v>
      </c>
      <c r="L152" s="32" t="s">
        <v>111</v>
      </c>
      <c r="M152" s="32" t="s">
        <v>111</v>
      </c>
      <c r="N152" s="32" t="s">
        <v>111</v>
      </c>
      <c r="O152" s="32" t="s">
        <v>111</v>
      </c>
      <c r="P152" s="32" t="s">
        <v>111</v>
      </c>
      <c r="Q152" s="32" t="s">
        <v>111</v>
      </c>
      <c r="R152" s="32" t="s">
        <v>111</v>
      </c>
      <c r="S152" s="32" t="s">
        <v>111</v>
      </c>
      <c r="T152" s="32" t="s">
        <v>111</v>
      </c>
      <c r="U152" s="32" t="s">
        <v>111</v>
      </c>
      <c r="V152" s="32" t="s">
        <v>111</v>
      </c>
      <c r="W152" s="32" t="s">
        <v>111</v>
      </c>
      <c r="X152" s="32" t="s">
        <v>111</v>
      </c>
      <c r="Y152" s="32" t="s">
        <v>111</v>
      </c>
      <c r="Z152" s="32" t="s">
        <v>111</v>
      </c>
      <c r="AA152" s="44" t="s">
        <v>111</v>
      </c>
      <c r="AB152" s="45" t="s">
        <v>111</v>
      </c>
      <c r="AC152" s="46" t="s">
        <v>111</v>
      </c>
      <c r="AD152" s="30"/>
    </row>
    <row r="153" spans="1:31">
      <c r="A153" s="30">
        <v>150</v>
      </c>
      <c r="B153" s="66" t="s">
        <v>275</v>
      </c>
      <c r="C153" s="6" t="s">
        <v>276</v>
      </c>
      <c r="D153" s="32">
        <v>37.5</v>
      </c>
      <c r="E153" s="32">
        <v>160</v>
      </c>
      <c r="F153" s="32">
        <v>250</v>
      </c>
      <c r="G153" s="32">
        <v>15</v>
      </c>
      <c r="H153" s="32">
        <v>8</v>
      </c>
      <c r="I153" s="32">
        <v>8</v>
      </c>
      <c r="J153" s="32">
        <v>20</v>
      </c>
      <c r="K153" s="32">
        <v>12.7</v>
      </c>
      <c r="L153" s="32">
        <v>12.7</v>
      </c>
      <c r="M153" s="34">
        <v>25.9</v>
      </c>
      <c r="N153" s="34">
        <v>23.8</v>
      </c>
      <c r="O153" s="35">
        <f>0.25*M153</f>
        <v>6.4749999999999996</v>
      </c>
      <c r="P153" s="36">
        <f>0.5*M153</f>
        <v>12.95</v>
      </c>
      <c r="Q153" s="37">
        <f>0.75*M153</f>
        <v>19.424999999999997</v>
      </c>
      <c r="R153" s="35">
        <f>IF(N153="---","---",0.125*SQRT(POWER(M153,2)+POWER(N153,2)))</f>
        <v>4.3968205842403894</v>
      </c>
      <c r="S153" s="36">
        <f>IF(N153="---","---",0.25*SQRT(POWER(M153,2)+POWER(N153,2)))</f>
        <v>8.7936411684807787</v>
      </c>
      <c r="T153" s="37">
        <f>IF(N153="---","---",0.375*SQRT(POWER(M153,2)+POWER(N153,2)))</f>
        <v>13.190461752721168</v>
      </c>
      <c r="U153" s="35">
        <f t="shared" si="84"/>
        <v>15.080570584240387</v>
      </c>
      <c r="V153" s="36">
        <f t="shared" si="85"/>
        <v>30.161141168480775</v>
      </c>
      <c r="W153" s="37">
        <f t="shared" si="86"/>
        <v>45.241711752721166</v>
      </c>
      <c r="X153" s="38">
        <f t="shared" si="71"/>
        <v>50</v>
      </c>
      <c r="Y153" s="38">
        <f t="shared" si="71"/>
        <v>30.019327107715121</v>
      </c>
      <c r="Z153" s="38">
        <f t="shared" si="71"/>
        <v>30.019327107715121</v>
      </c>
      <c r="AA153" s="39">
        <f t="shared" si="87"/>
        <v>15.653454091669353</v>
      </c>
      <c r="AB153" s="40">
        <f t="shared" si="87"/>
        <v>31.306908183338706</v>
      </c>
      <c r="AC153" s="41">
        <f t="shared" si="87"/>
        <v>46.960362275008052</v>
      </c>
      <c r="AD153" s="30"/>
    </row>
    <row r="154" spans="1:31">
      <c r="A154" s="30">
        <v>151</v>
      </c>
      <c r="B154" s="47" t="s">
        <v>277</v>
      </c>
      <c r="C154" s="6" t="s">
        <v>125</v>
      </c>
      <c r="D154" s="32">
        <v>15</v>
      </c>
      <c r="E154" s="32">
        <v>25</v>
      </c>
      <c r="F154" s="32">
        <v>30</v>
      </c>
      <c r="G154" s="32">
        <v>10</v>
      </c>
      <c r="H154" s="32">
        <v>8</v>
      </c>
      <c r="I154" s="32">
        <v>6</v>
      </c>
      <c r="J154" s="32">
        <v>6.6</v>
      </c>
      <c r="K154" s="32">
        <v>6</v>
      </c>
      <c r="L154" s="32">
        <v>5.3</v>
      </c>
      <c r="M154" s="34">
        <v>4.8</v>
      </c>
      <c r="N154" s="34">
        <v>4.7</v>
      </c>
      <c r="O154" s="35">
        <f>0.25*M154</f>
        <v>1.2</v>
      </c>
      <c r="P154" s="36">
        <f>0.5*M154</f>
        <v>2.4</v>
      </c>
      <c r="Q154" s="37">
        <f>0.75*M154</f>
        <v>3.5999999999999996</v>
      </c>
      <c r="R154" s="35">
        <f>IF(N154="---","---",0.125*SQRT(POWER(M154,2)+POWER(N154,2)))</f>
        <v>0.83973582155342164</v>
      </c>
      <c r="S154" s="36">
        <f>IF(N154="---","---",0.25*SQRT(POWER(M154,2)+POWER(N154,2)))</f>
        <v>1.6794716431068433</v>
      </c>
      <c r="T154" s="37">
        <f>IF(N154="---","---",0.375*SQRT(POWER(M154,2)+POWER(N154,2)))</f>
        <v>2.5192074646602647</v>
      </c>
      <c r="U154" s="35">
        <f t="shared" si="84"/>
        <v>2.8197358215534214</v>
      </c>
      <c r="V154" s="36">
        <f t="shared" si="85"/>
        <v>5.6394716431068428</v>
      </c>
      <c r="W154" s="37">
        <f t="shared" si="86"/>
        <v>8.4592074646602633</v>
      </c>
      <c r="X154" s="38">
        <f t="shared" si="71"/>
        <v>23.963305281200256</v>
      </c>
      <c r="Y154" s="38">
        <f t="shared" si="71"/>
        <v>20</v>
      </c>
      <c r="Z154" s="38">
        <f t="shared" si="71"/>
        <v>16.011246047700347</v>
      </c>
      <c r="AA154" s="39">
        <f t="shared" si="87"/>
        <v>2.9292703869735206</v>
      </c>
      <c r="AB154" s="40">
        <f t="shared" si="87"/>
        <v>5.8585407739470412</v>
      </c>
      <c r="AC154" s="41">
        <f t="shared" si="87"/>
        <v>8.7878111609205618</v>
      </c>
      <c r="AD154" s="30"/>
    </row>
    <row r="155" spans="1:31">
      <c r="A155" s="30">
        <v>152</v>
      </c>
      <c r="B155" s="68" t="s">
        <v>278</v>
      </c>
      <c r="C155" s="48" t="s">
        <v>111</v>
      </c>
      <c r="D155" s="32" t="s">
        <v>111</v>
      </c>
      <c r="E155" s="32" t="s">
        <v>111</v>
      </c>
      <c r="F155" s="32" t="s">
        <v>111</v>
      </c>
      <c r="G155" s="32" t="s">
        <v>111</v>
      </c>
      <c r="H155" s="32" t="s">
        <v>111</v>
      </c>
      <c r="I155" s="32" t="s">
        <v>111</v>
      </c>
      <c r="J155" s="32" t="s">
        <v>111</v>
      </c>
      <c r="K155" s="32" t="s">
        <v>111</v>
      </c>
      <c r="L155" s="32" t="s">
        <v>111</v>
      </c>
      <c r="M155" s="34">
        <v>11</v>
      </c>
      <c r="N155" s="34">
        <v>29</v>
      </c>
      <c r="O155" s="35">
        <f>0.25*M155</f>
        <v>2.75</v>
      </c>
      <c r="P155" s="36">
        <f>0.5*M155</f>
        <v>5.5</v>
      </c>
      <c r="Q155" s="37">
        <f>0.75*M155</f>
        <v>8.25</v>
      </c>
      <c r="R155" s="35">
        <f>IF(N155="---","---",0.125*SQRT(POWER(M155,2)+POWER(N155,2)))</f>
        <v>3.8770156048177058</v>
      </c>
      <c r="S155" s="36">
        <f>IF(N155="---","---",0.25*SQRT(POWER(M155,2)+POWER(N155,2)))</f>
        <v>7.7540312096354116</v>
      </c>
      <c r="T155" s="37">
        <f>IF(N155="---","---",0.375*SQRT(POWER(M155,2)+POWER(N155,2)))</f>
        <v>11.631046814453118</v>
      </c>
      <c r="U155" s="35">
        <f t="shared" si="84"/>
        <v>8.414515604817705</v>
      </c>
      <c r="V155" s="36">
        <f t="shared" si="85"/>
        <v>16.82903120963541</v>
      </c>
      <c r="W155" s="37">
        <f t="shared" si="86"/>
        <v>25.243546814453119</v>
      </c>
      <c r="X155" s="32" t="s">
        <v>111</v>
      </c>
      <c r="Y155" s="32" t="s">
        <v>111</v>
      </c>
      <c r="Z155" s="32" t="s">
        <v>111</v>
      </c>
      <c r="AA155" s="39">
        <f t="shared" si="87"/>
        <v>9.5065766709157717</v>
      </c>
      <c r="AB155" s="40">
        <f t="shared" si="87"/>
        <v>19.013153341831543</v>
      </c>
      <c r="AC155" s="41">
        <f t="shared" si="87"/>
        <v>28.519730012747317</v>
      </c>
      <c r="AD155" s="30"/>
    </row>
    <row r="156" spans="1:31">
      <c r="A156" s="30">
        <v>153</v>
      </c>
      <c r="B156" s="69" t="s">
        <v>279</v>
      </c>
      <c r="C156" s="6" t="s">
        <v>113</v>
      </c>
      <c r="D156" s="32" t="s">
        <v>111</v>
      </c>
      <c r="E156" s="32" t="s">
        <v>111</v>
      </c>
      <c r="F156" s="32" t="s">
        <v>111</v>
      </c>
      <c r="G156" s="32" t="s">
        <v>111</v>
      </c>
      <c r="H156" s="32" t="s">
        <v>111</v>
      </c>
      <c r="I156" s="32" t="s">
        <v>111</v>
      </c>
      <c r="J156" s="32" t="s">
        <v>111</v>
      </c>
      <c r="K156" s="32" t="s">
        <v>111</v>
      </c>
      <c r="L156" s="32" t="s">
        <v>111</v>
      </c>
      <c r="M156" s="34" t="s">
        <v>73</v>
      </c>
      <c r="N156" s="34" t="s">
        <v>73</v>
      </c>
      <c r="O156" s="32" t="s">
        <v>111</v>
      </c>
      <c r="P156" s="32" t="s">
        <v>111</v>
      </c>
      <c r="Q156" s="32" t="s">
        <v>111</v>
      </c>
      <c r="R156" s="32" t="s">
        <v>111</v>
      </c>
      <c r="S156" s="32" t="s">
        <v>111</v>
      </c>
      <c r="T156" s="32" t="s">
        <v>111</v>
      </c>
      <c r="U156" s="54" t="s">
        <v>111</v>
      </c>
      <c r="V156" s="54" t="s">
        <v>111</v>
      </c>
      <c r="W156" s="54" t="s">
        <v>111</v>
      </c>
      <c r="X156" s="32" t="s">
        <v>111</v>
      </c>
      <c r="Y156" s="32" t="s">
        <v>111</v>
      </c>
      <c r="Z156" s="32" t="s">
        <v>111</v>
      </c>
      <c r="AA156" s="44" t="s">
        <v>111</v>
      </c>
      <c r="AB156" s="45" t="s">
        <v>111</v>
      </c>
      <c r="AC156" s="46" t="s">
        <v>111</v>
      </c>
      <c r="AD156" s="30"/>
    </row>
    <row r="157" spans="1:31">
      <c r="A157" s="30">
        <v>154</v>
      </c>
      <c r="B157" s="69" t="s">
        <v>280</v>
      </c>
      <c r="C157" s="6" t="s">
        <v>113</v>
      </c>
      <c r="D157" s="32" t="s">
        <v>111</v>
      </c>
      <c r="E157" s="32" t="s">
        <v>111</v>
      </c>
      <c r="F157" s="32" t="s">
        <v>111</v>
      </c>
      <c r="G157" s="32" t="s">
        <v>111</v>
      </c>
      <c r="H157" s="32" t="s">
        <v>111</v>
      </c>
      <c r="I157" s="32" t="s">
        <v>111</v>
      </c>
      <c r="J157" s="32" t="s">
        <v>111</v>
      </c>
      <c r="K157" s="32" t="s">
        <v>111</v>
      </c>
      <c r="L157" s="32" t="s">
        <v>111</v>
      </c>
      <c r="M157" s="34" t="s">
        <v>73</v>
      </c>
      <c r="N157" s="34" t="s">
        <v>73</v>
      </c>
      <c r="O157" s="32" t="s">
        <v>111</v>
      </c>
      <c r="P157" s="32" t="s">
        <v>111</v>
      </c>
      <c r="Q157" s="32" t="s">
        <v>111</v>
      </c>
      <c r="R157" s="32" t="s">
        <v>111</v>
      </c>
      <c r="S157" s="32" t="s">
        <v>111</v>
      </c>
      <c r="T157" s="32" t="s">
        <v>111</v>
      </c>
      <c r="U157" s="54" t="s">
        <v>111</v>
      </c>
      <c r="V157" s="54" t="s">
        <v>111</v>
      </c>
      <c r="W157" s="54" t="s">
        <v>111</v>
      </c>
      <c r="X157" s="32" t="s">
        <v>111</v>
      </c>
      <c r="Y157" s="32" t="s">
        <v>111</v>
      </c>
      <c r="Z157" s="32" t="s">
        <v>111</v>
      </c>
      <c r="AA157" s="44" t="s">
        <v>111</v>
      </c>
      <c r="AB157" s="45" t="s">
        <v>111</v>
      </c>
      <c r="AC157" s="46" t="s">
        <v>111</v>
      </c>
      <c r="AD157" s="30"/>
    </row>
    <row r="158" spans="1:31">
      <c r="A158" s="30">
        <v>155</v>
      </c>
      <c r="B158" s="76" t="s">
        <v>281</v>
      </c>
      <c r="C158" s="6" t="s">
        <v>139</v>
      </c>
      <c r="D158" s="32">
        <v>95</v>
      </c>
      <c r="E158" s="32">
        <v>275</v>
      </c>
      <c r="F158" s="32">
        <v>400</v>
      </c>
      <c r="G158" s="32">
        <v>8</v>
      </c>
      <c r="H158" s="32">
        <v>7</v>
      </c>
      <c r="I158" s="32">
        <v>6</v>
      </c>
      <c r="J158" s="32">
        <v>12.7</v>
      </c>
      <c r="K158" s="32">
        <v>8.5</v>
      </c>
      <c r="L158" s="32">
        <v>8</v>
      </c>
      <c r="M158" s="34" t="s">
        <v>73</v>
      </c>
      <c r="N158" s="34" t="s">
        <v>73</v>
      </c>
      <c r="O158" s="32" t="s">
        <v>111</v>
      </c>
      <c r="P158" s="32" t="s">
        <v>111</v>
      </c>
      <c r="Q158" s="32" t="s">
        <v>111</v>
      </c>
      <c r="R158" s="32" t="s">
        <v>111</v>
      </c>
      <c r="S158" s="32" t="s">
        <v>111</v>
      </c>
      <c r="T158" s="32" t="s">
        <v>111</v>
      </c>
      <c r="U158" s="54" t="s">
        <v>111</v>
      </c>
      <c r="V158" s="54" t="s">
        <v>111</v>
      </c>
      <c r="W158" s="54" t="s">
        <v>111</v>
      </c>
      <c r="X158" s="38">
        <f t="shared" si="71"/>
        <v>30.019327107715121</v>
      </c>
      <c r="Y158" s="38">
        <f t="shared" si="71"/>
        <v>22.022715545545239</v>
      </c>
      <c r="Z158" s="38">
        <f t="shared" si="71"/>
        <v>20</v>
      </c>
      <c r="AA158" s="44" t="s">
        <v>111</v>
      </c>
      <c r="AB158" s="45" t="s">
        <v>111</v>
      </c>
      <c r="AC158" s="46" t="s">
        <v>111</v>
      </c>
      <c r="AD158" s="30"/>
    </row>
    <row r="159" spans="1:31">
      <c r="A159" s="30">
        <v>156</v>
      </c>
      <c r="B159" s="77" t="s">
        <v>282</v>
      </c>
      <c r="C159" s="6" t="s">
        <v>125</v>
      </c>
      <c r="D159" s="32">
        <v>130</v>
      </c>
      <c r="E159" s="32">
        <v>155</v>
      </c>
      <c r="F159" s="32">
        <v>160</v>
      </c>
      <c r="G159" s="32">
        <v>1.3</v>
      </c>
      <c r="H159" s="32">
        <v>1.1000000000000001</v>
      </c>
      <c r="I159" s="32">
        <v>0.9</v>
      </c>
      <c r="J159" s="32">
        <v>1.5</v>
      </c>
      <c r="K159" s="32">
        <v>1.4</v>
      </c>
      <c r="L159" s="32">
        <v>1.3</v>
      </c>
      <c r="M159" s="34">
        <v>6</v>
      </c>
      <c r="N159" s="34">
        <v>0.7</v>
      </c>
      <c r="O159" s="35">
        <f t="shared" ref="O159:O165" si="100">0.25*M159</f>
        <v>1.5</v>
      </c>
      <c r="P159" s="36">
        <f t="shared" ref="P159:P165" si="101">0.5*M159</f>
        <v>3</v>
      </c>
      <c r="Q159" s="37">
        <f t="shared" ref="Q159:Q165" si="102">0.75*M159</f>
        <v>4.5</v>
      </c>
      <c r="R159" s="35">
        <f t="shared" ref="R159:R165" si="103">IF(N159="---","---",0.125*SQRT(POWER(M159,2)+POWER(N159,2)))</f>
        <v>0.75508691552694784</v>
      </c>
      <c r="S159" s="36">
        <f t="shared" ref="S159:S165" si="104">IF(N159="---","---",0.25*SQRT(POWER(M159,2)+POWER(N159,2)))</f>
        <v>1.5101738310538957</v>
      </c>
      <c r="T159" s="37">
        <f t="shared" ref="T159:T165" si="105">IF(N159="---","---",0.375*SQRT(POWER(M159,2)+POWER(N159,2)))</f>
        <v>2.2652607465808434</v>
      </c>
      <c r="U159" s="35">
        <f t="shared" si="84"/>
        <v>3.2300869155269476</v>
      </c>
      <c r="V159" s="36">
        <f t="shared" si="85"/>
        <v>6.4601738310538952</v>
      </c>
      <c r="W159" s="37">
        <f t="shared" si="86"/>
        <v>9.6902607465808437</v>
      </c>
      <c r="X159" s="38">
        <f t="shared" si="71"/>
        <v>3.9698866482558417</v>
      </c>
      <c r="Y159" s="38">
        <f t="shared" si="71"/>
        <v>3.5608987629529709</v>
      </c>
      <c r="Z159" s="38">
        <f t="shared" si="71"/>
        <v>3.1622776601683795</v>
      </c>
      <c r="AA159" s="39">
        <f t="shared" si="87"/>
        <v>3.358664168981472</v>
      </c>
      <c r="AB159" s="40">
        <f t="shared" si="87"/>
        <v>6.717328337962944</v>
      </c>
      <c r="AC159" s="41">
        <f t="shared" si="87"/>
        <v>10.075992506944415</v>
      </c>
      <c r="AD159" s="30"/>
    </row>
    <row r="160" spans="1:31">
      <c r="A160" s="30">
        <v>157</v>
      </c>
      <c r="B160" s="69" t="s">
        <v>283</v>
      </c>
      <c r="C160" s="6" t="s">
        <v>125</v>
      </c>
      <c r="D160" s="32">
        <v>60</v>
      </c>
      <c r="E160" s="32">
        <v>150</v>
      </c>
      <c r="F160" s="32">
        <v>200</v>
      </c>
      <c r="G160" s="32">
        <v>5</v>
      </c>
      <c r="H160" s="32">
        <v>5</v>
      </c>
      <c r="I160" s="32">
        <v>4</v>
      </c>
      <c r="J160" s="32">
        <v>4.9000000000000004</v>
      </c>
      <c r="K160" s="32">
        <v>4.9000000000000004</v>
      </c>
      <c r="L160" s="32">
        <v>4.5</v>
      </c>
      <c r="M160" s="34">
        <v>28.7</v>
      </c>
      <c r="N160" s="34">
        <v>16.7</v>
      </c>
      <c r="O160" s="35">
        <f t="shared" si="100"/>
        <v>7.1749999999999998</v>
      </c>
      <c r="P160" s="36">
        <f t="shared" si="101"/>
        <v>14.35</v>
      </c>
      <c r="Q160" s="37">
        <f t="shared" si="102"/>
        <v>21.524999999999999</v>
      </c>
      <c r="R160" s="35">
        <f t="shared" si="103"/>
        <v>4.1506400108898864</v>
      </c>
      <c r="S160" s="36">
        <f t="shared" si="104"/>
        <v>8.3012800217797729</v>
      </c>
      <c r="T160" s="37">
        <f t="shared" si="105"/>
        <v>12.451920032669658</v>
      </c>
      <c r="U160" s="35">
        <f t="shared" si="84"/>
        <v>15.989390010889885</v>
      </c>
      <c r="V160" s="36">
        <f t="shared" si="85"/>
        <v>31.97878002177977</v>
      </c>
      <c r="W160" s="37">
        <f t="shared" si="86"/>
        <v>47.968170032669647</v>
      </c>
      <c r="X160" s="38">
        <f t="shared" ref="X160:Z177" si="106">2*(SQRT((G160^2)+(J160^2)))</f>
        <v>14.001428498549711</v>
      </c>
      <c r="Y160" s="38">
        <f t="shared" si="106"/>
        <v>14.001428498549711</v>
      </c>
      <c r="Z160" s="38">
        <f t="shared" si="106"/>
        <v>12.041594578792296</v>
      </c>
      <c r="AA160" s="39">
        <f t="shared" si="87"/>
        <v>16.578110567854225</v>
      </c>
      <c r="AB160" s="40">
        <f t="shared" si="87"/>
        <v>33.156221135708449</v>
      </c>
      <c r="AC160" s="41">
        <f t="shared" si="87"/>
        <v>49.734331703562674</v>
      </c>
      <c r="AD160" s="30"/>
    </row>
    <row r="161" spans="1:30">
      <c r="A161" s="30">
        <v>158</v>
      </c>
      <c r="B161" s="68" t="s">
        <v>31</v>
      </c>
      <c r="C161" s="48" t="s">
        <v>111</v>
      </c>
      <c r="D161" s="32" t="s">
        <v>111</v>
      </c>
      <c r="E161" s="32" t="s">
        <v>111</v>
      </c>
      <c r="F161" s="32" t="s">
        <v>111</v>
      </c>
      <c r="G161" s="32" t="s">
        <v>111</v>
      </c>
      <c r="H161" s="32" t="s">
        <v>111</v>
      </c>
      <c r="I161" s="32" t="s">
        <v>111</v>
      </c>
      <c r="J161" s="32" t="s">
        <v>111</v>
      </c>
      <c r="K161" s="32" t="s">
        <v>111</v>
      </c>
      <c r="L161" s="32" t="s">
        <v>111</v>
      </c>
      <c r="M161" s="34">
        <v>1.4</v>
      </c>
      <c r="N161" s="34">
        <v>5.2</v>
      </c>
      <c r="O161" s="35">
        <f t="shared" si="100"/>
        <v>0.35</v>
      </c>
      <c r="P161" s="36">
        <f t="shared" si="101"/>
        <v>0.7</v>
      </c>
      <c r="Q161" s="37">
        <f t="shared" si="102"/>
        <v>1.0499999999999998</v>
      </c>
      <c r="R161" s="35">
        <f t="shared" si="103"/>
        <v>0.67314560089181308</v>
      </c>
      <c r="S161" s="36">
        <f t="shared" si="104"/>
        <v>1.3462912017836262</v>
      </c>
      <c r="T161" s="37">
        <f t="shared" si="105"/>
        <v>2.0194368026754392</v>
      </c>
      <c r="U161" s="35">
        <f t="shared" si="84"/>
        <v>1.250645600891813</v>
      </c>
      <c r="V161" s="36">
        <f t="shared" si="85"/>
        <v>2.501291201783626</v>
      </c>
      <c r="W161" s="37">
        <f t="shared" si="86"/>
        <v>3.7519368026754387</v>
      </c>
      <c r="X161" s="32" t="s">
        <v>111</v>
      </c>
      <c r="Y161" s="32" t="s">
        <v>111</v>
      </c>
      <c r="Z161" s="32" t="s">
        <v>111</v>
      </c>
      <c r="AA161" s="39">
        <f t="shared" si="87"/>
        <v>1.517399090549352</v>
      </c>
      <c r="AB161" s="40">
        <f t="shared" si="87"/>
        <v>3.0347981810987039</v>
      </c>
      <c r="AC161" s="41">
        <f t="shared" si="87"/>
        <v>4.5521972716480557</v>
      </c>
      <c r="AD161" s="30"/>
    </row>
    <row r="162" spans="1:30">
      <c r="A162" s="30">
        <v>159</v>
      </c>
      <c r="B162" s="78" t="s">
        <v>77</v>
      </c>
      <c r="C162" s="48" t="s">
        <v>284</v>
      </c>
      <c r="D162" s="32" t="s">
        <v>111</v>
      </c>
      <c r="E162" s="32" t="s">
        <v>111</v>
      </c>
      <c r="F162" s="32" t="s">
        <v>111</v>
      </c>
      <c r="G162" s="32" t="s">
        <v>111</v>
      </c>
      <c r="H162" s="32" t="s">
        <v>111</v>
      </c>
      <c r="I162" s="32" t="s">
        <v>111</v>
      </c>
      <c r="J162" s="32" t="s">
        <v>111</v>
      </c>
      <c r="K162" s="32" t="s">
        <v>111</v>
      </c>
      <c r="L162" s="32" t="s">
        <v>111</v>
      </c>
      <c r="M162" s="34">
        <v>2.7</v>
      </c>
      <c r="N162" s="34">
        <v>8.6</v>
      </c>
      <c r="O162" s="35">
        <f t="shared" si="100"/>
        <v>0.67500000000000004</v>
      </c>
      <c r="P162" s="36">
        <f t="shared" si="101"/>
        <v>1.35</v>
      </c>
      <c r="Q162" s="37">
        <f t="shared" si="102"/>
        <v>2.0250000000000004</v>
      </c>
      <c r="R162" s="35">
        <f t="shared" si="103"/>
        <v>1.1267347735824966</v>
      </c>
      <c r="S162" s="36">
        <f t="shared" si="104"/>
        <v>2.2534695471649933</v>
      </c>
      <c r="T162" s="37">
        <f t="shared" si="105"/>
        <v>3.3802043207474899</v>
      </c>
      <c r="U162" s="35">
        <f t="shared" si="84"/>
        <v>2.2404847735824966</v>
      </c>
      <c r="V162" s="36">
        <f t="shared" si="85"/>
        <v>4.4809695471649933</v>
      </c>
      <c r="W162" s="37">
        <f t="shared" si="86"/>
        <v>6.7214543207474904</v>
      </c>
      <c r="X162" s="32" t="s">
        <v>111</v>
      </c>
      <c r="Y162" s="32" t="s">
        <v>111</v>
      </c>
      <c r="Z162" s="32" t="s">
        <v>111</v>
      </c>
      <c r="AA162" s="39">
        <f t="shared" si="87"/>
        <v>2.6269040713356855</v>
      </c>
      <c r="AB162" s="40">
        <f t="shared" si="87"/>
        <v>5.253808142671371</v>
      </c>
      <c r="AC162" s="41">
        <f t="shared" si="87"/>
        <v>7.8807122140070565</v>
      </c>
      <c r="AD162" s="30"/>
    </row>
    <row r="163" spans="1:30">
      <c r="A163" s="30">
        <v>160</v>
      </c>
      <c r="B163" s="78" t="s">
        <v>78</v>
      </c>
      <c r="C163" s="48" t="s">
        <v>284</v>
      </c>
      <c r="D163" s="32" t="s">
        <v>111</v>
      </c>
      <c r="E163" s="32" t="s">
        <v>111</v>
      </c>
      <c r="F163" s="32" t="s">
        <v>111</v>
      </c>
      <c r="G163" s="32" t="s">
        <v>111</v>
      </c>
      <c r="H163" s="32" t="s">
        <v>111</v>
      </c>
      <c r="I163" s="32" t="s">
        <v>111</v>
      </c>
      <c r="J163" s="32" t="s">
        <v>111</v>
      </c>
      <c r="K163" s="32" t="s">
        <v>111</v>
      </c>
      <c r="L163" s="32" t="s">
        <v>111</v>
      </c>
      <c r="M163" s="34">
        <v>2.7</v>
      </c>
      <c r="N163" s="34">
        <v>8.6</v>
      </c>
      <c r="O163" s="35">
        <f t="shared" si="100"/>
        <v>0.67500000000000004</v>
      </c>
      <c r="P163" s="36">
        <f t="shared" si="101"/>
        <v>1.35</v>
      </c>
      <c r="Q163" s="37">
        <f t="shared" si="102"/>
        <v>2.0250000000000004</v>
      </c>
      <c r="R163" s="35">
        <f t="shared" si="103"/>
        <v>1.1267347735824966</v>
      </c>
      <c r="S163" s="36">
        <f t="shared" si="104"/>
        <v>2.2534695471649933</v>
      </c>
      <c r="T163" s="37">
        <f t="shared" si="105"/>
        <v>3.3802043207474899</v>
      </c>
      <c r="U163" s="35">
        <f t="shared" si="84"/>
        <v>2.2404847735824966</v>
      </c>
      <c r="V163" s="36">
        <f t="shared" si="85"/>
        <v>4.4809695471649933</v>
      </c>
      <c r="W163" s="37">
        <f t="shared" si="86"/>
        <v>6.7214543207474904</v>
      </c>
      <c r="X163" s="32" t="s">
        <v>111</v>
      </c>
      <c r="Y163" s="32" t="s">
        <v>111</v>
      </c>
      <c r="Z163" s="32" t="s">
        <v>111</v>
      </c>
      <c r="AA163" s="39">
        <f t="shared" si="87"/>
        <v>2.6269040713356855</v>
      </c>
      <c r="AB163" s="40">
        <f t="shared" si="87"/>
        <v>5.253808142671371</v>
      </c>
      <c r="AC163" s="41">
        <f t="shared" si="87"/>
        <v>7.8807122140070565</v>
      </c>
      <c r="AD163" s="30"/>
    </row>
    <row r="164" spans="1:30">
      <c r="A164" s="30">
        <v>161</v>
      </c>
      <c r="B164" s="78" t="s">
        <v>76</v>
      </c>
      <c r="C164" s="6" t="s">
        <v>285</v>
      </c>
      <c r="D164" s="32" t="s">
        <v>111</v>
      </c>
      <c r="E164" s="32" t="s">
        <v>111</v>
      </c>
      <c r="F164" s="32" t="s">
        <v>111</v>
      </c>
      <c r="G164" s="32" t="s">
        <v>111</v>
      </c>
      <c r="H164" s="32" t="s">
        <v>111</v>
      </c>
      <c r="I164" s="32" t="s">
        <v>111</v>
      </c>
      <c r="J164" s="32" t="s">
        <v>111</v>
      </c>
      <c r="K164" s="32" t="s">
        <v>111</v>
      </c>
      <c r="L164" s="32" t="s">
        <v>111</v>
      </c>
      <c r="M164" s="34">
        <v>4</v>
      </c>
      <c r="N164" s="34">
        <v>6.8</v>
      </c>
      <c r="O164" s="35">
        <f t="shared" si="100"/>
        <v>1</v>
      </c>
      <c r="P164" s="36">
        <f t="shared" si="101"/>
        <v>2</v>
      </c>
      <c r="Q164" s="37">
        <f t="shared" si="102"/>
        <v>3</v>
      </c>
      <c r="R164" s="35">
        <f t="shared" si="103"/>
        <v>0.98615414616580099</v>
      </c>
      <c r="S164" s="36">
        <f t="shared" si="104"/>
        <v>1.972308292331602</v>
      </c>
      <c r="T164" s="37">
        <f t="shared" si="105"/>
        <v>2.9584624384974028</v>
      </c>
      <c r="U164" s="35">
        <f t="shared" si="84"/>
        <v>2.6361541461658007</v>
      </c>
      <c r="V164" s="36">
        <f t="shared" si="85"/>
        <v>5.2723082923316014</v>
      </c>
      <c r="W164" s="37">
        <f t="shared" si="86"/>
        <v>7.908462438497402</v>
      </c>
      <c r="X164" s="32" t="s">
        <v>111</v>
      </c>
      <c r="Y164" s="32" t="s">
        <v>111</v>
      </c>
      <c r="Z164" s="32" t="s">
        <v>111</v>
      </c>
      <c r="AA164" s="39">
        <f t="shared" si="87"/>
        <v>2.8089143810376278</v>
      </c>
      <c r="AB164" s="40">
        <f t="shared" si="87"/>
        <v>5.6178287620752556</v>
      </c>
      <c r="AC164" s="41">
        <f t="shared" si="87"/>
        <v>8.4267431431128834</v>
      </c>
      <c r="AD164" s="30"/>
    </row>
    <row r="165" spans="1:30">
      <c r="A165" s="30">
        <v>162</v>
      </c>
      <c r="B165" s="47" t="s">
        <v>286</v>
      </c>
      <c r="C165" s="6" t="s">
        <v>182</v>
      </c>
      <c r="D165" s="32">
        <v>3.5</v>
      </c>
      <c r="E165" s="32">
        <v>17.5</v>
      </c>
      <c r="F165" s="32">
        <v>30</v>
      </c>
      <c r="G165" s="32">
        <v>25</v>
      </c>
      <c r="H165" s="32">
        <v>10</v>
      </c>
      <c r="I165" s="32">
        <v>10</v>
      </c>
      <c r="J165" s="32">
        <v>16.600000000000001</v>
      </c>
      <c r="K165" s="32">
        <v>11.2</v>
      </c>
      <c r="L165" s="32">
        <v>11.2</v>
      </c>
      <c r="M165" s="34">
        <v>9.25</v>
      </c>
      <c r="N165" s="34">
        <v>22.1</v>
      </c>
      <c r="O165" s="35">
        <f t="shared" si="100"/>
        <v>2.3125</v>
      </c>
      <c r="P165" s="36">
        <f t="shared" si="101"/>
        <v>4.625</v>
      </c>
      <c r="Q165" s="37">
        <f t="shared" si="102"/>
        <v>6.9375</v>
      </c>
      <c r="R165" s="35">
        <f t="shared" si="103"/>
        <v>2.9947153975795433</v>
      </c>
      <c r="S165" s="36">
        <f t="shared" si="104"/>
        <v>5.9894307951590866</v>
      </c>
      <c r="T165" s="37">
        <f t="shared" si="105"/>
        <v>8.9841461927386295</v>
      </c>
      <c r="U165" s="35">
        <f t="shared" si="84"/>
        <v>6.8103403975795427</v>
      </c>
      <c r="V165" s="36">
        <f t="shared" si="85"/>
        <v>13.620680795159085</v>
      </c>
      <c r="W165" s="37">
        <f t="shared" si="86"/>
        <v>20.431021192738626</v>
      </c>
      <c r="X165" s="38">
        <f t="shared" si="106"/>
        <v>60.018663763865987</v>
      </c>
      <c r="Y165" s="38">
        <f t="shared" si="106"/>
        <v>30.029319006597536</v>
      </c>
      <c r="Z165" s="38">
        <f t="shared" si="106"/>
        <v>30.029319006597536</v>
      </c>
      <c r="AA165" s="39">
        <f t="shared" si="87"/>
        <v>7.5672918702796181</v>
      </c>
      <c r="AB165" s="40">
        <f t="shared" si="87"/>
        <v>15.134583740559236</v>
      </c>
      <c r="AC165" s="41">
        <f t="shared" si="87"/>
        <v>22.701875610838854</v>
      </c>
      <c r="AD165" s="30"/>
    </row>
    <row r="166" spans="1:30">
      <c r="A166" s="30">
        <v>163</v>
      </c>
      <c r="B166" s="69" t="s">
        <v>287</v>
      </c>
      <c r="C166" s="48" t="s">
        <v>111</v>
      </c>
      <c r="D166" s="32" t="s">
        <v>111</v>
      </c>
      <c r="E166" s="32" t="s">
        <v>111</v>
      </c>
      <c r="F166" s="32" t="s">
        <v>111</v>
      </c>
      <c r="G166" s="32" t="s">
        <v>111</v>
      </c>
      <c r="H166" s="32" t="s">
        <v>111</v>
      </c>
      <c r="I166" s="32" t="s">
        <v>111</v>
      </c>
      <c r="J166" s="32" t="s">
        <v>111</v>
      </c>
      <c r="K166" s="32" t="s">
        <v>111</v>
      </c>
      <c r="L166" s="32" t="s">
        <v>111</v>
      </c>
      <c r="M166" s="34" t="s">
        <v>73</v>
      </c>
      <c r="N166" s="34" t="s">
        <v>73</v>
      </c>
      <c r="O166" s="32" t="s">
        <v>111</v>
      </c>
      <c r="P166" s="32" t="s">
        <v>111</v>
      </c>
      <c r="Q166" s="32" t="s">
        <v>111</v>
      </c>
      <c r="R166" s="32" t="s">
        <v>111</v>
      </c>
      <c r="S166" s="32" t="s">
        <v>111</v>
      </c>
      <c r="T166" s="32" t="s">
        <v>111</v>
      </c>
      <c r="U166" s="54" t="s">
        <v>111</v>
      </c>
      <c r="V166" s="54" t="s">
        <v>111</v>
      </c>
      <c r="W166" s="54" t="s">
        <v>111</v>
      </c>
      <c r="X166" s="32" t="s">
        <v>111</v>
      </c>
      <c r="Y166" s="32" t="s">
        <v>111</v>
      </c>
      <c r="Z166" s="32" t="s">
        <v>111</v>
      </c>
      <c r="AA166" s="44" t="s">
        <v>111</v>
      </c>
      <c r="AB166" s="45" t="s">
        <v>111</v>
      </c>
      <c r="AC166" s="46" t="s">
        <v>111</v>
      </c>
      <c r="AD166" s="30"/>
    </row>
    <row r="167" spans="1:30">
      <c r="A167" s="30">
        <v>164</v>
      </c>
      <c r="B167" s="69" t="s">
        <v>288</v>
      </c>
      <c r="C167" s="6" t="s">
        <v>289</v>
      </c>
      <c r="D167" s="32" t="s">
        <v>111</v>
      </c>
      <c r="E167" s="32" t="s">
        <v>111</v>
      </c>
      <c r="F167" s="32" t="s">
        <v>111</v>
      </c>
      <c r="G167" s="32" t="s">
        <v>111</v>
      </c>
      <c r="H167" s="32" t="s">
        <v>111</v>
      </c>
      <c r="I167" s="32" t="s">
        <v>111</v>
      </c>
      <c r="J167" s="32" t="s">
        <v>111</v>
      </c>
      <c r="K167" s="32" t="s">
        <v>111</v>
      </c>
      <c r="L167" s="32" t="s">
        <v>111</v>
      </c>
      <c r="M167" s="34" t="s">
        <v>73</v>
      </c>
      <c r="N167" s="34" t="s">
        <v>73</v>
      </c>
      <c r="O167" s="32" t="s">
        <v>111</v>
      </c>
      <c r="P167" s="32" t="s">
        <v>111</v>
      </c>
      <c r="Q167" s="32" t="s">
        <v>111</v>
      </c>
      <c r="R167" s="32" t="s">
        <v>111</v>
      </c>
      <c r="S167" s="32" t="s">
        <v>111</v>
      </c>
      <c r="T167" s="32" t="s">
        <v>111</v>
      </c>
      <c r="U167" s="54" t="s">
        <v>111</v>
      </c>
      <c r="V167" s="54" t="s">
        <v>111</v>
      </c>
      <c r="W167" s="54" t="s">
        <v>111</v>
      </c>
      <c r="X167" s="32" t="s">
        <v>111</v>
      </c>
      <c r="Y167" s="32" t="s">
        <v>111</v>
      </c>
      <c r="Z167" s="32" t="s">
        <v>111</v>
      </c>
      <c r="AA167" s="44" t="s">
        <v>111</v>
      </c>
      <c r="AB167" s="45" t="s">
        <v>111</v>
      </c>
      <c r="AC167" s="46" t="s">
        <v>111</v>
      </c>
      <c r="AD167" s="30"/>
    </row>
    <row r="168" spans="1:30">
      <c r="A168" s="30">
        <v>165</v>
      </c>
      <c r="B168" s="69" t="s">
        <v>290</v>
      </c>
      <c r="C168" s="6" t="s">
        <v>113</v>
      </c>
      <c r="D168" s="32" t="s">
        <v>111</v>
      </c>
      <c r="E168" s="32" t="s">
        <v>111</v>
      </c>
      <c r="F168" s="32" t="s">
        <v>111</v>
      </c>
      <c r="G168" s="32" t="s">
        <v>111</v>
      </c>
      <c r="H168" s="32" t="s">
        <v>111</v>
      </c>
      <c r="I168" s="32" t="s">
        <v>111</v>
      </c>
      <c r="J168" s="32" t="s">
        <v>111</v>
      </c>
      <c r="K168" s="32" t="s">
        <v>111</v>
      </c>
      <c r="L168" s="32" t="s">
        <v>111</v>
      </c>
      <c r="M168" s="34" t="s">
        <v>73</v>
      </c>
      <c r="N168" s="34" t="s">
        <v>73</v>
      </c>
      <c r="O168" s="32" t="s">
        <v>111</v>
      </c>
      <c r="P168" s="32" t="s">
        <v>111</v>
      </c>
      <c r="Q168" s="32" t="s">
        <v>111</v>
      </c>
      <c r="R168" s="32" t="s">
        <v>111</v>
      </c>
      <c r="S168" s="32" t="s">
        <v>111</v>
      </c>
      <c r="T168" s="32" t="s">
        <v>111</v>
      </c>
      <c r="U168" s="54" t="s">
        <v>111</v>
      </c>
      <c r="V168" s="54" t="s">
        <v>111</v>
      </c>
      <c r="W168" s="54" t="s">
        <v>111</v>
      </c>
      <c r="X168" s="32" t="s">
        <v>111</v>
      </c>
      <c r="Y168" s="32" t="s">
        <v>111</v>
      </c>
      <c r="Z168" s="32" t="s">
        <v>111</v>
      </c>
      <c r="AA168" s="44" t="s">
        <v>111</v>
      </c>
      <c r="AB168" s="45" t="s">
        <v>111</v>
      </c>
      <c r="AC168" s="46" t="s">
        <v>111</v>
      </c>
      <c r="AD168" s="30"/>
    </row>
    <row r="169" spans="1:30">
      <c r="A169" s="30">
        <v>166</v>
      </c>
      <c r="B169" s="69" t="s">
        <v>291</v>
      </c>
      <c r="C169" s="6" t="s">
        <v>113</v>
      </c>
      <c r="D169" s="32" t="s">
        <v>111</v>
      </c>
      <c r="E169" s="32" t="s">
        <v>111</v>
      </c>
      <c r="F169" s="32" t="s">
        <v>111</v>
      </c>
      <c r="G169" s="32" t="s">
        <v>111</v>
      </c>
      <c r="H169" s="32" t="s">
        <v>111</v>
      </c>
      <c r="I169" s="32" t="s">
        <v>111</v>
      </c>
      <c r="J169" s="32" t="s">
        <v>111</v>
      </c>
      <c r="K169" s="32" t="s">
        <v>111</v>
      </c>
      <c r="L169" s="32" t="s">
        <v>111</v>
      </c>
      <c r="M169" s="34" t="s">
        <v>73</v>
      </c>
      <c r="N169" s="34" t="s">
        <v>73</v>
      </c>
      <c r="O169" s="32" t="s">
        <v>111</v>
      </c>
      <c r="P169" s="32" t="s">
        <v>111</v>
      </c>
      <c r="Q169" s="32" t="s">
        <v>111</v>
      </c>
      <c r="R169" s="32" t="s">
        <v>111</v>
      </c>
      <c r="S169" s="32" t="s">
        <v>111</v>
      </c>
      <c r="T169" s="32" t="s">
        <v>111</v>
      </c>
      <c r="U169" s="54" t="s">
        <v>111</v>
      </c>
      <c r="V169" s="54" t="s">
        <v>111</v>
      </c>
      <c r="W169" s="54" t="s">
        <v>111</v>
      </c>
      <c r="X169" s="32" t="s">
        <v>111</v>
      </c>
      <c r="Y169" s="32" t="s">
        <v>111</v>
      </c>
      <c r="Z169" s="32" t="s">
        <v>111</v>
      </c>
      <c r="AA169" s="44" t="s">
        <v>111</v>
      </c>
      <c r="AB169" s="45" t="s">
        <v>111</v>
      </c>
      <c r="AC169" s="46" t="s">
        <v>111</v>
      </c>
      <c r="AD169" s="30"/>
    </row>
    <row r="170" spans="1:30">
      <c r="A170" s="30">
        <v>167</v>
      </c>
      <c r="B170" s="69" t="s">
        <v>292</v>
      </c>
      <c r="C170" s="48" t="s">
        <v>111</v>
      </c>
      <c r="D170" s="32" t="s">
        <v>111</v>
      </c>
      <c r="E170" s="32" t="s">
        <v>111</v>
      </c>
      <c r="F170" s="32" t="s">
        <v>111</v>
      </c>
      <c r="G170" s="32" t="s">
        <v>111</v>
      </c>
      <c r="H170" s="32" t="s">
        <v>111</v>
      </c>
      <c r="I170" s="32" t="s">
        <v>111</v>
      </c>
      <c r="J170" s="32" t="s">
        <v>111</v>
      </c>
      <c r="K170" s="32" t="s">
        <v>111</v>
      </c>
      <c r="L170" s="32" t="s">
        <v>111</v>
      </c>
      <c r="M170" s="34" t="s">
        <v>73</v>
      </c>
      <c r="N170" s="34" t="s">
        <v>73</v>
      </c>
      <c r="O170" s="32" t="s">
        <v>111</v>
      </c>
      <c r="P170" s="32" t="s">
        <v>111</v>
      </c>
      <c r="Q170" s="32" t="s">
        <v>111</v>
      </c>
      <c r="R170" s="32" t="s">
        <v>111</v>
      </c>
      <c r="S170" s="32" t="s">
        <v>111</v>
      </c>
      <c r="T170" s="32" t="s">
        <v>111</v>
      </c>
      <c r="U170" s="54" t="s">
        <v>111</v>
      </c>
      <c r="V170" s="54" t="s">
        <v>111</v>
      </c>
      <c r="W170" s="54" t="s">
        <v>111</v>
      </c>
      <c r="X170" s="32" t="s">
        <v>111</v>
      </c>
      <c r="Y170" s="32" t="s">
        <v>111</v>
      </c>
      <c r="Z170" s="32" t="s">
        <v>111</v>
      </c>
      <c r="AA170" s="44" t="s">
        <v>111</v>
      </c>
      <c r="AB170" s="45" t="s">
        <v>111</v>
      </c>
      <c r="AC170" s="46" t="s">
        <v>111</v>
      </c>
      <c r="AD170" s="30"/>
    </row>
    <row r="171" spans="1:30">
      <c r="A171" s="30">
        <v>168</v>
      </c>
      <c r="B171" s="47" t="s">
        <v>293</v>
      </c>
      <c r="C171" s="6" t="s">
        <v>105</v>
      </c>
      <c r="D171" s="32">
        <v>1</v>
      </c>
      <c r="E171" s="32">
        <v>2</v>
      </c>
      <c r="F171" s="32">
        <v>4</v>
      </c>
      <c r="G171" s="32">
        <v>8</v>
      </c>
      <c r="H171" s="32">
        <v>6</v>
      </c>
      <c r="I171" s="32">
        <v>5</v>
      </c>
      <c r="J171" s="32">
        <v>8.9</v>
      </c>
      <c r="K171" s="32">
        <v>8.6</v>
      </c>
      <c r="L171" s="32">
        <v>7.5</v>
      </c>
      <c r="M171" s="34">
        <v>3</v>
      </c>
      <c r="N171" s="34">
        <v>4.3</v>
      </c>
      <c r="O171" s="35">
        <f>0.25*M171</f>
        <v>0.75</v>
      </c>
      <c r="P171" s="36">
        <f>0.5*M171</f>
        <v>1.5</v>
      </c>
      <c r="Q171" s="37">
        <f>0.75*M171</f>
        <v>2.25</v>
      </c>
      <c r="R171" s="35">
        <f>IF(N171="---","---",0.125*SQRT(POWER(M171,2)+POWER(N171,2)))</f>
        <v>0.65538633644591648</v>
      </c>
      <c r="S171" s="36">
        <f>IF(N171="---","---",0.25*SQRT(POWER(M171,2)+POWER(N171,2)))</f>
        <v>1.310772672891833</v>
      </c>
      <c r="T171" s="37">
        <f>IF(N171="---","---",0.375*SQRT(POWER(M171,2)+POWER(N171,2)))</f>
        <v>1.9661590093377495</v>
      </c>
      <c r="U171" s="35">
        <f t="shared" si="84"/>
        <v>1.8928863364459163</v>
      </c>
      <c r="V171" s="36">
        <f t="shared" si="85"/>
        <v>3.7857726728918326</v>
      </c>
      <c r="W171" s="37">
        <f t="shared" si="86"/>
        <v>5.6786590093377498</v>
      </c>
      <c r="X171" s="38">
        <f t="shared" si="106"/>
        <v>23.934076125892137</v>
      </c>
      <c r="Y171" s="38">
        <f t="shared" si="106"/>
        <v>20.972362766269327</v>
      </c>
      <c r="Z171" s="38">
        <f t="shared" si="106"/>
        <v>18.027756377319946</v>
      </c>
      <c r="AA171" s="39">
        <f t="shared" si="87"/>
        <v>1.9920153111861365</v>
      </c>
      <c r="AB171" s="40">
        <f t="shared" si="87"/>
        <v>3.984030622372273</v>
      </c>
      <c r="AC171" s="41">
        <f t="shared" si="87"/>
        <v>5.9760459335584102</v>
      </c>
      <c r="AD171" s="30"/>
    </row>
    <row r="172" spans="1:30">
      <c r="A172" s="30">
        <v>169</v>
      </c>
      <c r="B172" s="47" t="s">
        <v>294</v>
      </c>
      <c r="C172" s="6" t="s">
        <v>125</v>
      </c>
      <c r="D172" s="32">
        <v>1</v>
      </c>
      <c r="E172" s="32">
        <v>2.25</v>
      </c>
      <c r="F172" s="32">
        <v>3</v>
      </c>
      <c r="G172" s="32">
        <v>5.6</v>
      </c>
      <c r="H172" s="32">
        <v>4.8</v>
      </c>
      <c r="I172" s="32">
        <v>4.8</v>
      </c>
      <c r="J172" s="32">
        <v>8.3000000000000007</v>
      </c>
      <c r="K172" s="32">
        <v>6.4</v>
      </c>
      <c r="L172" s="32">
        <v>6.4</v>
      </c>
      <c r="M172" s="34">
        <v>19.899999999999999</v>
      </c>
      <c r="N172" s="34">
        <v>32.700000000000003</v>
      </c>
      <c r="O172" s="35">
        <f>0.25*M172</f>
        <v>4.9749999999999996</v>
      </c>
      <c r="P172" s="36">
        <f>0.5*M172</f>
        <v>9.9499999999999993</v>
      </c>
      <c r="Q172" s="37">
        <f>0.75*M172</f>
        <v>14.924999999999999</v>
      </c>
      <c r="R172" s="35">
        <f>IF(N172="---","---",0.125*SQRT(POWER(M172,2)+POWER(N172,2)))</f>
        <v>4.7849046489977205</v>
      </c>
      <c r="S172" s="36">
        <f>IF(N172="---","---",0.25*SQRT(POWER(M172,2)+POWER(N172,2)))</f>
        <v>9.569809297995441</v>
      </c>
      <c r="T172" s="37">
        <f>IF(N172="---","---",0.375*SQRT(POWER(M172,2)+POWER(N172,2)))</f>
        <v>14.354713946993161</v>
      </c>
      <c r="U172" s="35">
        <f t="shared" si="84"/>
        <v>12.993654648997719</v>
      </c>
      <c r="V172" s="36">
        <f t="shared" si="85"/>
        <v>25.987309297995438</v>
      </c>
      <c r="W172" s="37">
        <f t="shared" si="86"/>
        <v>38.980963946993157</v>
      </c>
      <c r="X172" s="38">
        <f t="shared" si="106"/>
        <v>20.024984394500787</v>
      </c>
      <c r="Y172" s="38">
        <f t="shared" si="106"/>
        <v>16</v>
      </c>
      <c r="Z172" s="38">
        <f t="shared" si="106"/>
        <v>16</v>
      </c>
      <c r="AA172" s="39">
        <f t="shared" si="87"/>
        <v>13.805207350851344</v>
      </c>
      <c r="AB172" s="40">
        <f t="shared" si="87"/>
        <v>27.610414701702688</v>
      </c>
      <c r="AC172" s="41">
        <f t="shared" si="87"/>
        <v>41.415622052554035</v>
      </c>
      <c r="AD172" s="30"/>
    </row>
    <row r="173" spans="1:30">
      <c r="A173" s="30">
        <v>170</v>
      </c>
      <c r="B173" s="47" t="s">
        <v>295</v>
      </c>
      <c r="C173" s="48" t="s">
        <v>111</v>
      </c>
      <c r="D173" s="32" t="s">
        <v>111</v>
      </c>
      <c r="E173" s="32" t="s">
        <v>111</v>
      </c>
      <c r="F173" s="32" t="s">
        <v>111</v>
      </c>
      <c r="G173" s="32" t="s">
        <v>111</v>
      </c>
      <c r="H173" s="32" t="s">
        <v>111</v>
      </c>
      <c r="I173" s="32" t="s">
        <v>111</v>
      </c>
      <c r="J173" s="32" t="s">
        <v>111</v>
      </c>
      <c r="K173" s="32" t="s">
        <v>111</v>
      </c>
      <c r="L173" s="32" t="s">
        <v>111</v>
      </c>
      <c r="M173" s="34">
        <v>30.5</v>
      </c>
      <c r="N173" s="34">
        <v>90</v>
      </c>
      <c r="O173" s="35">
        <f t="shared" ref="O173" si="107">0.25*M173</f>
        <v>7.625</v>
      </c>
      <c r="P173" s="36">
        <f t="shared" ref="P173" si="108">0.5*M173</f>
        <v>15.25</v>
      </c>
      <c r="Q173" s="37">
        <f t="shared" ref="Q173" si="109">0.75*M173</f>
        <v>22.875</v>
      </c>
      <c r="R173" s="35">
        <f t="shared" ref="R173" si="110">IF(N173="---","---",0.125*SQRT(POWER(M173,2)+POWER(N173,2)))</f>
        <v>11.878453445209102</v>
      </c>
      <c r="S173" s="36">
        <f t="shared" ref="S173" si="111">IF(N173="---","---",0.25*SQRT(POWER(M173,2)+POWER(N173,2)))</f>
        <v>23.756906890418204</v>
      </c>
      <c r="T173" s="37">
        <f t="shared" ref="T173" si="112">IF(N173="---","---",0.375*SQRT(POWER(M173,2)+POWER(N173,2)))</f>
        <v>35.635360335627304</v>
      </c>
      <c r="U173" s="35">
        <f t="shared" si="84"/>
        <v>24.459703445209101</v>
      </c>
      <c r="V173" s="36">
        <f t="shared" si="85"/>
        <v>48.919406890418202</v>
      </c>
      <c r="W173" s="37">
        <f t="shared" si="86"/>
        <v>73.379110335627303</v>
      </c>
      <c r="X173" s="32" t="s">
        <v>111</v>
      </c>
      <c r="Y173" s="32" t="s">
        <v>111</v>
      </c>
      <c r="Z173" s="32" t="s">
        <v>111</v>
      </c>
      <c r="AA173" s="39">
        <f t="shared" si="87"/>
        <v>28.230358215934842</v>
      </c>
      <c r="AB173" s="40">
        <f t="shared" si="87"/>
        <v>56.460716431869685</v>
      </c>
      <c r="AC173" s="41">
        <f t="shared" si="87"/>
        <v>84.691074647804527</v>
      </c>
      <c r="AD173" s="30"/>
    </row>
    <row r="174" spans="1:30">
      <c r="A174" s="30">
        <v>171</v>
      </c>
      <c r="B174" s="47" t="s">
        <v>296</v>
      </c>
      <c r="C174" s="6" t="s">
        <v>297</v>
      </c>
      <c r="D174" s="32">
        <v>0.55000000000000004</v>
      </c>
      <c r="E174" s="32">
        <v>15.5</v>
      </c>
      <c r="F174" s="32">
        <v>30</v>
      </c>
      <c r="G174" s="32">
        <v>20</v>
      </c>
      <c r="H174" s="32">
        <v>7</v>
      </c>
      <c r="I174" s="32">
        <v>5</v>
      </c>
      <c r="J174" s="32">
        <v>28.7</v>
      </c>
      <c r="K174" s="32">
        <v>13.3</v>
      </c>
      <c r="L174" s="32">
        <v>8.6999999999999993</v>
      </c>
      <c r="M174" s="34">
        <v>29.3</v>
      </c>
      <c r="N174" s="34">
        <v>48.4</v>
      </c>
      <c r="O174" s="35">
        <f>0.25*M174</f>
        <v>7.3250000000000002</v>
      </c>
      <c r="P174" s="36">
        <f>0.5*M174</f>
        <v>14.65</v>
      </c>
      <c r="Q174" s="37">
        <f>0.75*M174</f>
        <v>21.975000000000001</v>
      </c>
      <c r="R174" s="35">
        <f>IF(N174="---","---",0.125*SQRT(POWER(M174,2)+POWER(N174,2)))</f>
        <v>7.0722278137797572</v>
      </c>
      <c r="S174" s="36">
        <f>IF(N174="---","---",0.25*SQRT(POWER(M174,2)+POWER(N174,2)))</f>
        <v>14.144455627559514</v>
      </c>
      <c r="T174" s="37">
        <f>IF(N174="---","---",0.375*SQRT(POWER(M174,2)+POWER(N174,2)))</f>
        <v>21.216683441339271</v>
      </c>
      <c r="U174" s="35">
        <f t="shared" si="84"/>
        <v>19.158477813779758</v>
      </c>
      <c r="V174" s="36">
        <f t="shared" si="85"/>
        <v>38.316955627559516</v>
      </c>
      <c r="W174" s="37">
        <f t="shared" si="86"/>
        <v>57.47543344133927</v>
      </c>
      <c r="X174" s="38">
        <f t="shared" si="106"/>
        <v>69.962561416803496</v>
      </c>
      <c r="Y174" s="38">
        <f t="shared" si="106"/>
        <v>30.059274775017446</v>
      </c>
      <c r="Z174" s="38">
        <f t="shared" si="106"/>
        <v>20.06888138387389</v>
      </c>
      <c r="AA174" s="39">
        <f t="shared" si="87"/>
        <v>20.363892677972942</v>
      </c>
      <c r="AB174" s="40">
        <f t="shared" si="87"/>
        <v>40.727785355945883</v>
      </c>
      <c r="AC174" s="41">
        <f t="shared" si="87"/>
        <v>61.091678033918825</v>
      </c>
      <c r="AD174" s="30"/>
    </row>
    <row r="175" spans="1:30">
      <c r="A175" s="30">
        <v>172</v>
      </c>
      <c r="B175" s="47" t="s">
        <v>298</v>
      </c>
      <c r="C175" s="6" t="s">
        <v>125</v>
      </c>
      <c r="D175" s="32">
        <v>6.25</v>
      </c>
      <c r="E175" s="32">
        <v>17.5</v>
      </c>
      <c r="F175" s="32">
        <v>25</v>
      </c>
      <c r="G175" s="32">
        <v>6</v>
      </c>
      <c r="H175" s="32">
        <v>4</v>
      </c>
      <c r="I175" s="32">
        <v>2.5</v>
      </c>
      <c r="J175" s="32">
        <v>10.4</v>
      </c>
      <c r="K175" s="32">
        <v>6.9</v>
      </c>
      <c r="L175" s="32">
        <v>4.3</v>
      </c>
      <c r="M175" s="34">
        <v>8.6</v>
      </c>
      <c r="N175" s="34">
        <v>17.5</v>
      </c>
      <c r="O175" s="35">
        <f>0.25*M175</f>
        <v>2.15</v>
      </c>
      <c r="P175" s="36">
        <f>0.5*M175</f>
        <v>4.3</v>
      </c>
      <c r="Q175" s="37">
        <f>0.75*M175</f>
        <v>6.4499999999999993</v>
      </c>
      <c r="R175" s="35">
        <f>IF(N175="---","---",0.125*SQRT(POWER(M175,2)+POWER(N175,2)))</f>
        <v>2.4373717915000164</v>
      </c>
      <c r="S175" s="36">
        <f>IF(N175="---","---",0.25*SQRT(POWER(M175,2)+POWER(N175,2)))</f>
        <v>4.8747435830000327</v>
      </c>
      <c r="T175" s="37">
        <f>IF(N175="---","---",0.375*SQRT(POWER(M175,2)+POWER(N175,2)))</f>
        <v>7.3121153745000491</v>
      </c>
      <c r="U175" s="35">
        <f t="shared" si="84"/>
        <v>5.9848717915000158</v>
      </c>
      <c r="V175" s="36">
        <f t="shared" si="85"/>
        <v>11.969743583000032</v>
      </c>
      <c r="W175" s="37">
        <f t="shared" si="86"/>
        <v>17.954615374500047</v>
      </c>
      <c r="X175" s="38">
        <f t="shared" si="106"/>
        <v>24.013329631685817</v>
      </c>
      <c r="Y175" s="38">
        <f t="shared" si="106"/>
        <v>15.951175505272332</v>
      </c>
      <c r="Z175" s="38">
        <f t="shared" si="106"/>
        <v>9.9478640923567099</v>
      </c>
      <c r="AA175" s="39">
        <f t="shared" si="87"/>
        <v>6.5002403801705668</v>
      </c>
      <c r="AB175" s="40">
        <f t="shared" si="87"/>
        <v>13.000480760341134</v>
      </c>
      <c r="AC175" s="41">
        <f t="shared" si="87"/>
        <v>19.5007211405117</v>
      </c>
      <c r="AD175" s="30"/>
    </row>
    <row r="176" spans="1:30">
      <c r="A176" s="30">
        <v>173</v>
      </c>
      <c r="B176" s="31" t="s">
        <v>299</v>
      </c>
      <c r="C176" s="6" t="s">
        <v>125</v>
      </c>
      <c r="D176" s="32">
        <v>80</v>
      </c>
      <c r="E176" s="32">
        <v>250</v>
      </c>
      <c r="F176" s="32">
        <v>350</v>
      </c>
      <c r="G176" s="32">
        <v>6</v>
      </c>
      <c r="H176" s="32">
        <v>6</v>
      </c>
      <c r="I176" s="32">
        <v>5</v>
      </c>
      <c r="J176" s="32">
        <v>8</v>
      </c>
      <c r="K176" s="32">
        <v>6.7</v>
      </c>
      <c r="L176" s="32">
        <v>6.2</v>
      </c>
      <c r="M176" s="34">
        <v>17.399999999999999</v>
      </c>
      <c r="N176" s="34">
        <v>25.4</v>
      </c>
      <c r="O176" s="35">
        <f>0.25*M176</f>
        <v>4.3499999999999996</v>
      </c>
      <c r="P176" s="36">
        <f>0.5*M176</f>
        <v>8.6999999999999993</v>
      </c>
      <c r="Q176" s="37">
        <f>0.75*M176</f>
        <v>13.049999999999999</v>
      </c>
      <c r="R176" s="35">
        <f>IF(N176="---","---",0.125*SQRT(POWER(M176,2)+POWER(N176,2)))</f>
        <v>3.8485386837084019</v>
      </c>
      <c r="S176" s="36">
        <f>IF(N176="---","---",0.25*SQRT(POWER(M176,2)+POWER(N176,2)))</f>
        <v>7.6970773674168038</v>
      </c>
      <c r="T176" s="37">
        <f>IF(N176="---","---",0.375*SQRT(POWER(M176,2)+POWER(N176,2)))</f>
        <v>11.545616051125206</v>
      </c>
      <c r="U176" s="35">
        <f t="shared" si="84"/>
        <v>11.026038683708402</v>
      </c>
      <c r="V176" s="36">
        <f t="shared" si="85"/>
        <v>22.052077367416803</v>
      </c>
      <c r="W176" s="37">
        <f t="shared" si="86"/>
        <v>33.0781160511252</v>
      </c>
      <c r="X176" s="38">
        <f t="shared" si="106"/>
        <v>20</v>
      </c>
      <c r="Y176" s="38">
        <f t="shared" si="106"/>
        <v>17.987773625437917</v>
      </c>
      <c r="Z176" s="38">
        <f t="shared" si="106"/>
        <v>15.929846201391902</v>
      </c>
      <c r="AA176" s="39">
        <f t="shared" si="87"/>
        <v>11.616152547207701</v>
      </c>
      <c r="AB176" s="40">
        <f t="shared" si="87"/>
        <v>23.232305094415402</v>
      </c>
      <c r="AC176" s="41">
        <f t="shared" si="87"/>
        <v>34.848457641623106</v>
      </c>
      <c r="AD176" s="30"/>
    </row>
    <row r="177" spans="1:30">
      <c r="A177" s="30">
        <v>174</v>
      </c>
      <c r="B177" s="47" t="s">
        <v>300</v>
      </c>
      <c r="C177" s="6" t="s">
        <v>139</v>
      </c>
      <c r="D177" s="32">
        <v>20</v>
      </c>
      <c r="E177" s="32">
        <v>50</v>
      </c>
      <c r="F177" s="32">
        <v>70</v>
      </c>
      <c r="G177" s="32">
        <v>10</v>
      </c>
      <c r="H177" s="32">
        <v>8</v>
      </c>
      <c r="I177" s="32">
        <v>8</v>
      </c>
      <c r="J177" s="32">
        <v>11.2</v>
      </c>
      <c r="K177" s="32">
        <v>8.9</v>
      </c>
      <c r="L177" s="32">
        <v>8.9</v>
      </c>
      <c r="M177" s="34" t="s">
        <v>73</v>
      </c>
      <c r="N177" s="34" t="s">
        <v>73</v>
      </c>
      <c r="O177" s="32" t="s">
        <v>111</v>
      </c>
      <c r="P177" s="32" t="s">
        <v>111</v>
      </c>
      <c r="Q177" s="32" t="s">
        <v>111</v>
      </c>
      <c r="R177" s="32" t="s">
        <v>111</v>
      </c>
      <c r="S177" s="32" t="s">
        <v>111</v>
      </c>
      <c r="T177" s="32" t="s">
        <v>111</v>
      </c>
      <c r="U177" s="54" t="s">
        <v>111</v>
      </c>
      <c r="V177" s="54" t="s">
        <v>111</v>
      </c>
      <c r="W177" s="54" t="s">
        <v>111</v>
      </c>
      <c r="X177" s="38">
        <f t="shared" si="106"/>
        <v>30.029319006597536</v>
      </c>
      <c r="Y177" s="38">
        <f t="shared" si="106"/>
        <v>23.934076125892137</v>
      </c>
      <c r="Z177" s="38">
        <f t="shared" si="106"/>
        <v>23.934076125892137</v>
      </c>
      <c r="AA177" s="44" t="s">
        <v>111</v>
      </c>
      <c r="AB177" s="45" t="s">
        <v>111</v>
      </c>
      <c r="AC177" s="46" t="s">
        <v>111</v>
      </c>
      <c r="AD177" s="30"/>
    </row>
    <row r="178" spans="1:30">
      <c r="A178" s="30">
        <v>175</v>
      </c>
      <c r="B178" s="47" t="s">
        <v>301</v>
      </c>
      <c r="C178" s="6" t="s">
        <v>302</v>
      </c>
      <c r="D178" s="32" t="s">
        <v>111</v>
      </c>
      <c r="E178" s="32" t="s">
        <v>111</v>
      </c>
      <c r="F178" s="32" t="s">
        <v>111</v>
      </c>
      <c r="G178" s="32" t="s">
        <v>111</v>
      </c>
      <c r="H178" s="32" t="s">
        <v>111</v>
      </c>
      <c r="I178" s="32" t="s">
        <v>111</v>
      </c>
      <c r="J178" s="32" t="s">
        <v>111</v>
      </c>
      <c r="K178" s="32" t="s">
        <v>111</v>
      </c>
      <c r="L178" s="32" t="s">
        <v>111</v>
      </c>
      <c r="M178" s="34">
        <v>15</v>
      </c>
      <c r="N178" s="34">
        <v>69</v>
      </c>
      <c r="O178" s="35">
        <f>0.25*M178</f>
        <v>3.75</v>
      </c>
      <c r="P178" s="36">
        <f>0.5*M178</f>
        <v>7.5</v>
      </c>
      <c r="Q178" s="37">
        <f>0.75*M178</f>
        <v>11.25</v>
      </c>
      <c r="R178" s="35">
        <f>IF(N178="---","---",0.125*SQRT(POWER(M178,2)+POWER(N178,2)))</f>
        <v>8.8264517219548644</v>
      </c>
      <c r="S178" s="36">
        <f>IF(N178="---","---",0.25*SQRT(POWER(M178,2)+POWER(N178,2)))</f>
        <v>17.652903443909729</v>
      </c>
      <c r="T178" s="37">
        <f>IF(N178="---","---",0.375*SQRT(POWER(M178,2)+POWER(N178,2)))</f>
        <v>26.479355165864593</v>
      </c>
      <c r="U178" s="35">
        <f t="shared" si="84"/>
        <v>15.013951721954864</v>
      </c>
      <c r="V178" s="36">
        <f t="shared" si="85"/>
        <v>30.027903443909729</v>
      </c>
      <c r="W178" s="37">
        <f t="shared" si="86"/>
        <v>45.04185516586459</v>
      </c>
      <c r="X178" s="32" t="s">
        <v>111</v>
      </c>
      <c r="Y178" s="32" t="s">
        <v>111</v>
      </c>
      <c r="Z178" s="32" t="s">
        <v>111</v>
      </c>
      <c r="AA178" s="39">
        <f t="shared" si="87"/>
        <v>19.180067778816632</v>
      </c>
      <c r="AB178" s="40">
        <f t="shared" si="87"/>
        <v>38.360135557633264</v>
      </c>
      <c r="AC178" s="41">
        <f t="shared" si="87"/>
        <v>57.540203336449892</v>
      </c>
      <c r="AD178" s="30"/>
    </row>
    <row r="179" spans="1:30">
      <c r="A179" s="30">
        <v>176</v>
      </c>
      <c r="B179" s="47" t="s">
        <v>303</v>
      </c>
      <c r="C179" s="6" t="s">
        <v>111</v>
      </c>
      <c r="D179" s="32" t="s">
        <v>111</v>
      </c>
      <c r="E179" s="32" t="s">
        <v>111</v>
      </c>
      <c r="F179" s="32" t="s">
        <v>111</v>
      </c>
      <c r="G179" s="32" t="s">
        <v>111</v>
      </c>
      <c r="H179" s="32" t="s">
        <v>111</v>
      </c>
      <c r="I179" s="32" t="s">
        <v>111</v>
      </c>
      <c r="J179" s="32" t="s">
        <v>111</v>
      </c>
      <c r="K179" s="32" t="s">
        <v>111</v>
      </c>
      <c r="L179" s="32" t="s">
        <v>111</v>
      </c>
      <c r="M179" s="32" t="s">
        <v>111</v>
      </c>
      <c r="N179" s="32" t="s">
        <v>111</v>
      </c>
      <c r="O179" s="32" t="s">
        <v>111</v>
      </c>
      <c r="P179" s="32" t="s">
        <v>111</v>
      </c>
      <c r="Q179" s="32" t="s">
        <v>111</v>
      </c>
      <c r="R179" s="32" t="s">
        <v>111</v>
      </c>
      <c r="S179" s="32" t="s">
        <v>111</v>
      </c>
      <c r="T179" s="32" t="s">
        <v>111</v>
      </c>
      <c r="U179" s="54" t="s">
        <v>111</v>
      </c>
      <c r="V179" s="54" t="s">
        <v>111</v>
      </c>
      <c r="W179" s="54" t="s">
        <v>111</v>
      </c>
      <c r="X179" s="32" t="s">
        <v>111</v>
      </c>
      <c r="Y179" s="32" t="s">
        <v>111</v>
      </c>
      <c r="Z179" s="32" t="s">
        <v>111</v>
      </c>
      <c r="AA179" s="44" t="s">
        <v>111</v>
      </c>
      <c r="AB179" s="45" t="s">
        <v>111</v>
      </c>
      <c r="AC179" s="46" t="s">
        <v>111</v>
      </c>
      <c r="AD179" s="30"/>
    </row>
    <row r="180" spans="1:30">
      <c r="A180" s="30">
        <v>177</v>
      </c>
      <c r="B180" s="56" t="s">
        <v>304</v>
      </c>
      <c r="C180" s="6" t="s">
        <v>111</v>
      </c>
      <c r="D180" s="32" t="s">
        <v>111</v>
      </c>
      <c r="E180" s="32" t="s">
        <v>111</v>
      </c>
      <c r="F180" s="32" t="s">
        <v>111</v>
      </c>
      <c r="G180" s="32" t="s">
        <v>111</v>
      </c>
      <c r="H180" s="32" t="s">
        <v>111</v>
      </c>
      <c r="I180" s="32" t="s">
        <v>111</v>
      </c>
      <c r="J180" s="32" t="s">
        <v>111</v>
      </c>
      <c r="K180" s="32" t="s">
        <v>111</v>
      </c>
      <c r="L180" s="32" t="s">
        <v>111</v>
      </c>
      <c r="M180" s="32" t="s">
        <v>111</v>
      </c>
      <c r="N180" s="32" t="s">
        <v>111</v>
      </c>
      <c r="O180" s="32" t="s">
        <v>111</v>
      </c>
      <c r="P180" s="32" t="s">
        <v>111</v>
      </c>
      <c r="Q180" s="32" t="s">
        <v>111</v>
      </c>
      <c r="R180" s="32" t="s">
        <v>111</v>
      </c>
      <c r="S180" s="32" t="s">
        <v>111</v>
      </c>
      <c r="T180" s="32" t="s">
        <v>111</v>
      </c>
      <c r="U180" s="54" t="s">
        <v>111</v>
      </c>
      <c r="V180" s="54" t="s">
        <v>111</v>
      </c>
      <c r="W180" s="54" t="s">
        <v>111</v>
      </c>
      <c r="X180" s="32" t="s">
        <v>111</v>
      </c>
      <c r="Y180" s="32" t="s">
        <v>111</v>
      </c>
      <c r="Z180" s="32" t="s">
        <v>111</v>
      </c>
      <c r="AA180" s="44" t="s">
        <v>111</v>
      </c>
      <c r="AB180" s="45" t="s">
        <v>111</v>
      </c>
      <c r="AC180" s="46" t="s">
        <v>111</v>
      </c>
      <c r="AD180" s="30"/>
    </row>
    <row r="181" spans="1:30">
      <c r="A181" s="30">
        <v>178</v>
      </c>
      <c r="B181" s="56" t="s">
        <v>32</v>
      </c>
      <c r="C181" s="6" t="s">
        <v>305</v>
      </c>
      <c r="D181" s="32" t="s">
        <v>111</v>
      </c>
      <c r="E181" s="32" t="s">
        <v>111</v>
      </c>
      <c r="F181" s="32" t="s">
        <v>111</v>
      </c>
      <c r="G181" s="32" t="s">
        <v>111</v>
      </c>
      <c r="H181" s="32" t="s">
        <v>111</v>
      </c>
      <c r="I181" s="32" t="s">
        <v>111</v>
      </c>
      <c r="J181" s="32" t="s">
        <v>111</v>
      </c>
      <c r="K181" s="32" t="s">
        <v>111</v>
      </c>
      <c r="L181" s="32" t="s">
        <v>111</v>
      </c>
      <c r="M181" s="34">
        <v>1.4</v>
      </c>
      <c r="N181" s="34">
        <v>4.8499999999999996</v>
      </c>
      <c r="O181" s="35">
        <f>0.25*M181</f>
        <v>0.35</v>
      </c>
      <c r="P181" s="36">
        <f>0.5*M181</f>
        <v>0.7</v>
      </c>
      <c r="Q181" s="37">
        <f>0.75*M181</f>
        <v>1.0499999999999998</v>
      </c>
      <c r="R181" s="35">
        <f>IF(N181="---","---",0.125*SQRT(POWER(M181,2)+POWER(N181,2)))</f>
        <v>0.63100242669897866</v>
      </c>
      <c r="S181" s="36">
        <f>IF(N181="---","---",0.25*SQRT(POWER(M181,2)+POWER(N181,2)))</f>
        <v>1.2620048533979573</v>
      </c>
      <c r="T181" s="37">
        <f>IF(N181="---","---",0.375*SQRT(POWER(M181,2)+POWER(N181,2)))</f>
        <v>1.893007280096936</v>
      </c>
      <c r="U181" s="35">
        <f t="shared" si="84"/>
        <v>1.2085024266989786</v>
      </c>
      <c r="V181" s="36">
        <f t="shared" si="85"/>
        <v>2.4170048533979571</v>
      </c>
      <c r="W181" s="37">
        <f t="shared" si="86"/>
        <v>3.6255072800969357</v>
      </c>
      <c r="X181" s="32" t="s">
        <v>111</v>
      </c>
      <c r="Y181" s="32" t="s">
        <v>111</v>
      </c>
      <c r="Z181" s="32" t="s">
        <v>111</v>
      </c>
      <c r="AA181" s="39">
        <f t="shared" si="87"/>
        <v>1.4431411053670391</v>
      </c>
      <c r="AB181" s="40">
        <f t="shared" si="87"/>
        <v>2.8862822107340782</v>
      </c>
      <c r="AC181" s="41">
        <f t="shared" si="87"/>
        <v>4.3294233161011171</v>
      </c>
      <c r="AD181" s="30"/>
    </row>
    <row r="182" spans="1:30">
      <c r="A182" s="30">
        <v>179</v>
      </c>
      <c r="B182" s="56" t="s">
        <v>33</v>
      </c>
      <c r="C182" s="48" t="s">
        <v>111</v>
      </c>
      <c r="D182" s="32" t="s">
        <v>111</v>
      </c>
      <c r="E182" s="32" t="s">
        <v>111</v>
      </c>
      <c r="F182" s="32" t="s">
        <v>111</v>
      </c>
      <c r="G182" s="32" t="s">
        <v>111</v>
      </c>
      <c r="H182" s="32" t="s">
        <v>111</v>
      </c>
      <c r="I182" s="32" t="s">
        <v>111</v>
      </c>
      <c r="J182" s="32" t="s">
        <v>111</v>
      </c>
      <c r="K182" s="32" t="s">
        <v>111</v>
      </c>
      <c r="L182" s="32" t="s">
        <v>111</v>
      </c>
      <c r="M182" s="34">
        <v>4.3</v>
      </c>
      <c r="N182" s="34">
        <v>8.1</v>
      </c>
      <c r="O182" s="35">
        <f>0.25*M182</f>
        <v>1.075</v>
      </c>
      <c r="P182" s="36">
        <f>0.5*M182</f>
        <v>2.15</v>
      </c>
      <c r="Q182" s="37">
        <f>0.75*M182</f>
        <v>3.2249999999999996</v>
      </c>
      <c r="R182" s="35">
        <f>IF(N182="---","---",0.125*SQRT(POWER(M182,2)+POWER(N182,2)))</f>
        <v>1.1463256518110374</v>
      </c>
      <c r="S182" s="36">
        <f>IF(N182="---","---",0.25*SQRT(POWER(M182,2)+POWER(N182,2)))</f>
        <v>2.2926513036220748</v>
      </c>
      <c r="T182" s="37">
        <f>IF(N182="---","---",0.375*SQRT(POWER(M182,2)+POWER(N182,2)))</f>
        <v>3.4389769554331124</v>
      </c>
      <c r="U182" s="35">
        <f t="shared" si="84"/>
        <v>2.9200756518110373</v>
      </c>
      <c r="V182" s="36">
        <f t="shared" si="85"/>
        <v>5.8401513036220747</v>
      </c>
      <c r="W182" s="37">
        <f t="shared" si="86"/>
        <v>8.7602269554331116</v>
      </c>
      <c r="X182" s="32" t="s">
        <v>111</v>
      </c>
      <c r="Y182" s="32" t="s">
        <v>111</v>
      </c>
      <c r="Z182" s="32" t="s">
        <v>111</v>
      </c>
      <c r="AA182" s="39">
        <f t="shared" si="87"/>
        <v>3.1430478838223257</v>
      </c>
      <c r="AB182" s="40">
        <f t="shared" si="87"/>
        <v>6.2860957676446514</v>
      </c>
      <c r="AC182" s="41">
        <f t="shared" si="87"/>
        <v>9.4291436514669762</v>
      </c>
      <c r="AD182" s="30"/>
    </row>
  </sheetData>
  <mergeCells count="8">
    <mergeCell ref="X2:Z2"/>
    <mergeCell ref="AA2:AC2"/>
    <mergeCell ref="D2:F2"/>
    <mergeCell ref="G2:I2"/>
    <mergeCell ref="J2:L2"/>
    <mergeCell ref="O2:Q2"/>
    <mergeCell ref="R2:T2"/>
    <mergeCell ref="U2:W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28F54C-B832-45E0-AC22-06985C6FC59F}">
  <dimension ref="A2:I19"/>
  <sheetViews>
    <sheetView workbookViewId="0">
      <selection activeCell="G28" sqref="G28"/>
    </sheetView>
  </sheetViews>
  <sheetFormatPr baseColWidth="10" defaultRowHeight="15"/>
  <cols>
    <col min="9" max="9" width="15.5703125" bestFit="1" customWidth="1"/>
  </cols>
  <sheetData>
    <row r="2" spans="1:8">
      <c r="A2" t="s">
        <v>0</v>
      </c>
      <c r="B2">
        <v>42</v>
      </c>
      <c r="C2" t="s">
        <v>1</v>
      </c>
      <c r="D2">
        <v>5.59</v>
      </c>
      <c r="E2">
        <v>0.03</v>
      </c>
      <c r="F2">
        <v>0.54</v>
      </c>
      <c r="G2">
        <v>5.6</v>
      </c>
    </row>
    <row r="3" spans="1:8">
      <c r="A3" t="s">
        <v>2</v>
      </c>
      <c r="B3">
        <v>40</v>
      </c>
      <c r="C3" t="s">
        <v>3</v>
      </c>
      <c r="D3">
        <v>5.6120000000000001</v>
      </c>
      <c r="E3">
        <v>0.10199999999999999</v>
      </c>
      <c r="F3">
        <v>1.82</v>
      </c>
      <c r="G3">
        <v>5.6</v>
      </c>
    </row>
    <row r="4" spans="1:8">
      <c r="A4" t="s">
        <v>4</v>
      </c>
      <c r="B4">
        <v>41</v>
      </c>
      <c r="C4" t="s">
        <v>1</v>
      </c>
      <c r="D4">
        <v>5.5590000000000002</v>
      </c>
      <c r="E4">
        <v>0.05</v>
      </c>
      <c r="F4">
        <v>0.9</v>
      </c>
      <c r="G4">
        <v>5.6</v>
      </c>
    </row>
    <row r="5" spans="1:8">
      <c r="A5" t="s">
        <v>5</v>
      </c>
      <c r="B5">
        <v>41</v>
      </c>
      <c r="C5" t="s">
        <v>6</v>
      </c>
      <c r="D5">
        <v>5.5339999999999998</v>
      </c>
      <c r="E5">
        <v>6.6000000000000003E-2</v>
      </c>
      <c r="F5">
        <v>1.19</v>
      </c>
      <c r="G5">
        <v>5.6</v>
      </c>
    </row>
    <row r="6" spans="1:8">
      <c r="A6" t="s">
        <v>7</v>
      </c>
      <c r="B6">
        <v>41</v>
      </c>
      <c r="C6" t="s">
        <v>1</v>
      </c>
      <c r="D6">
        <v>5.5119999999999996</v>
      </c>
      <c r="E6">
        <v>3.3000000000000002E-2</v>
      </c>
      <c r="F6">
        <v>0.6</v>
      </c>
      <c r="G6">
        <v>5.6</v>
      </c>
    </row>
    <row r="7" spans="1:8">
      <c r="A7" t="s">
        <v>8</v>
      </c>
      <c r="B7">
        <v>41</v>
      </c>
      <c r="C7" t="s">
        <v>9</v>
      </c>
      <c r="D7">
        <v>5.51</v>
      </c>
      <c r="E7">
        <v>4.9000000000000002E-2</v>
      </c>
      <c r="F7">
        <v>0.89</v>
      </c>
      <c r="G7">
        <v>5.6</v>
      </c>
    </row>
    <row r="8" spans="1:8">
      <c r="A8" t="s">
        <v>10</v>
      </c>
      <c r="B8">
        <v>41</v>
      </c>
      <c r="C8" t="s">
        <v>1</v>
      </c>
      <c r="D8">
        <v>5.5339999999999998</v>
      </c>
      <c r="E8">
        <v>4.8000000000000001E-2</v>
      </c>
      <c r="F8">
        <v>0.87</v>
      </c>
      <c r="G8">
        <v>5.6</v>
      </c>
    </row>
    <row r="9" spans="1:8">
      <c r="A9" t="s">
        <v>11</v>
      </c>
      <c r="B9">
        <v>41</v>
      </c>
      <c r="C9" t="s">
        <v>6</v>
      </c>
      <c r="D9">
        <v>5.5410000000000004</v>
      </c>
      <c r="E9">
        <v>6.7000000000000004E-2</v>
      </c>
      <c r="F9">
        <v>1.21</v>
      </c>
      <c r="G9">
        <v>5.6</v>
      </c>
    </row>
    <row r="10" spans="1:8">
      <c r="A10" t="s">
        <v>12</v>
      </c>
      <c r="B10">
        <v>41</v>
      </c>
      <c r="C10" t="s">
        <v>1</v>
      </c>
      <c r="D10">
        <v>5.5540000000000003</v>
      </c>
      <c r="E10">
        <v>0.05</v>
      </c>
      <c r="F10">
        <v>0.9</v>
      </c>
      <c r="G10">
        <v>5.6</v>
      </c>
    </row>
    <row r="11" spans="1:8">
      <c r="A11" t="s">
        <v>13</v>
      </c>
      <c r="B11">
        <v>41</v>
      </c>
      <c r="C11" t="s">
        <v>1</v>
      </c>
      <c r="D11">
        <v>5.5339999999999998</v>
      </c>
      <c r="E11">
        <v>4.8000000000000001E-2</v>
      </c>
      <c r="F11">
        <v>0.87</v>
      </c>
      <c r="G11">
        <v>5.6</v>
      </c>
    </row>
    <row r="12" spans="1:8">
      <c r="A12" t="s">
        <v>14</v>
      </c>
      <c r="B12">
        <v>41</v>
      </c>
      <c r="C12" t="s">
        <v>9</v>
      </c>
      <c r="D12">
        <v>5.5369999999999999</v>
      </c>
      <c r="E12">
        <v>5.8000000000000003E-2</v>
      </c>
      <c r="F12">
        <v>1.05</v>
      </c>
      <c r="G12">
        <v>5.6</v>
      </c>
    </row>
    <row r="13" spans="1:8">
      <c r="A13" t="s">
        <v>15</v>
      </c>
      <c r="B13">
        <v>41</v>
      </c>
      <c r="C13" t="s">
        <v>16</v>
      </c>
      <c r="D13">
        <v>5.4950000000000001</v>
      </c>
      <c r="E13">
        <v>2.1999999999999999E-2</v>
      </c>
      <c r="F13">
        <v>0.4</v>
      </c>
      <c r="G13">
        <v>5.6</v>
      </c>
    </row>
    <row r="15" spans="1:8">
      <c r="A15" t="s">
        <v>17</v>
      </c>
      <c r="B15">
        <f>SUM(B2:B10)-9</f>
        <v>360</v>
      </c>
      <c r="D15">
        <f>((D2*B2)+(D3*B3)+(D4*B4)+(D5*B5)+(D6*B6)+(D7*B7)+(D8*B8)+(D9*B9)+(D10*B10))/B16</f>
        <v>5.5494959349593502</v>
      </c>
      <c r="E15">
        <f>SQRT((((B2-1)*E2^2)+((B3-1)*E3^2)+((B4-1)*E4^2)+((B5-1)*E5^2)+((B6-1)*E6^2)+((B7-1)*E7^2)+((B8-1)*E8^2)+((B9-1)*E9^2)+((B10-1)*E10^2))/B15)</f>
        <v>5.8409854571905173E-2</v>
      </c>
      <c r="H15">
        <f>AVERAGE(F2:F13)</f>
        <v>0.93666666666666665</v>
      </c>
    </row>
    <row r="16" spans="1:8">
      <c r="A16" t="s">
        <v>18</v>
      </c>
      <c r="B16">
        <f>SUM(B2:B10)</f>
        <v>369</v>
      </c>
    </row>
    <row r="18" spans="2:9">
      <c r="B18">
        <f>SUM(B2:B13)-12</f>
        <v>480</v>
      </c>
      <c r="D18">
        <f>((D2*B2)+(D3*B3)+(D4*B4)+(D5*B5)+(D6*B6)+(D7*B7)+(D8*B8)+(D9*B9)+(D10*B10)+(D11*B11)+(D12*B12)+(D13*B13))/B19</f>
        <v>5.5426219512195125</v>
      </c>
      <c r="E18">
        <f>SQRT((((B2-1)*E2^2)+((B3-1)*E3^2)+((B4-1)*E4^2)+((B5-1)*E5^2)+((B6-1)*E6^2)+((B7-1)*E7^2)+((B8-1)*E8^2)+((B9-1)*E9^2)+((B10-1)*E10^2)+((B11-1)*E11^2)+((B12-1)*E12^2)+((B13-1)*E13^2))/B18)</f>
        <v>5.5420664016231351E-2</v>
      </c>
      <c r="F18" s="1">
        <f>E18/D18</f>
        <v>9.9989976772703118E-3</v>
      </c>
      <c r="I18" s="2"/>
    </row>
    <row r="19" spans="2:9">
      <c r="B19">
        <f>SUM(B1:B13)</f>
        <v>492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HBA1C EEQ+IM</vt:lpstr>
      <vt:lpstr>Base de données</vt:lpstr>
      <vt:lpstr>Formule consolidation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Alihoussen Mamod</dc:creator>
  <cp:lastModifiedBy>Sylvie PIVOT</cp:lastModifiedBy>
  <cp:lastPrinted>2020-04-30T08:42:26Z</cp:lastPrinted>
  <dcterms:created xsi:type="dcterms:W3CDTF">2020-02-21T10:33:00Z</dcterms:created>
  <dcterms:modified xsi:type="dcterms:W3CDTF">2020-05-18T07:24:04Z</dcterms:modified>
</cp:coreProperties>
</file>