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410"/>
  <workbookPr/>
  <mc:AlternateContent xmlns:mc="http://schemas.openxmlformats.org/markup-compatibility/2006">
    <mc:Choice Requires="x15">
      <x15ac:absPath xmlns:x15ac="http://schemas.microsoft.com/office/spreadsheetml/2010/11/ac" url="/Users/lucylstaub/Desktop/"/>
    </mc:Choice>
  </mc:AlternateContent>
  <bookViews>
    <workbookView xWindow="0" yWindow="460" windowWidth="28800" windowHeight="16200" tabRatio="500" activeTab="4"/>
  </bookViews>
  <sheets>
    <sheet name="I.1) " sheetId="2" r:id="rId1"/>
    <sheet name="I) 2)" sheetId="1" r:id="rId2"/>
    <sheet name="Classique.Multi" sheetId="3" r:id="rId3"/>
    <sheet name="Holt Winter s" sheetId="4" r:id="rId4"/>
    <sheet name="Simulation" sheetId="5" r:id="rId5"/>
  </sheets>
  <definedNames>
    <definedName name="solver_adj" localSheetId="2" hidden="1">Classique.Multi!$L$2:$L$7</definedName>
    <definedName name="solver_adj" localSheetId="3" hidden="1">'Holt Winter s'!$O$1:$O$3</definedName>
    <definedName name="solver_cvg" localSheetId="2" hidden="1">0.0001</definedName>
    <definedName name="solver_cvg" localSheetId="3" hidden="1">0.0001</definedName>
    <definedName name="solver_drv" localSheetId="2" hidden="1">1</definedName>
    <definedName name="solver_drv" localSheetId="3" hidden="1">1</definedName>
    <definedName name="solver_eng" localSheetId="2" hidden="1">1</definedName>
    <definedName name="solver_eng" localSheetId="3" hidden="1">1</definedName>
    <definedName name="solver_eng" localSheetId="4" hidden="1">1</definedName>
    <definedName name="solver_itr" localSheetId="2" hidden="1">2147483647</definedName>
    <definedName name="solver_itr" localSheetId="3" hidden="1">2147483647</definedName>
    <definedName name="solver_lhs1" localSheetId="2" hidden="1">Classique.Multi!$L$2:$L$7</definedName>
    <definedName name="solver_lhs1" localSheetId="3" hidden="1">'Holt Winter s'!$O$1:$O$3</definedName>
    <definedName name="solver_lhs2" localSheetId="2" hidden="1">Classique.Multi!$L$8</definedName>
    <definedName name="solver_lin" localSheetId="2" hidden="1">2</definedName>
    <definedName name="solver_lin" localSheetId="3" hidden="1">2</definedName>
    <definedName name="solver_lin" localSheetId="4" hidden="1">2</definedName>
    <definedName name="solver_mip" localSheetId="2" hidden="1">2147483647</definedName>
    <definedName name="solver_mip" localSheetId="3" hidden="1">2147483647</definedName>
    <definedName name="solver_mni" localSheetId="2" hidden="1">30</definedName>
    <definedName name="solver_mni" localSheetId="3" hidden="1">30</definedName>
    <definedName name="solver_mrt" localSheetId="2" hidden="1">0.075</definedName>
    <definedName name="solver_mrt" localSheetId="3" hidden="1">0.075</definedName>
    <definedName name="solver_msl" localSheetId="2" hidden="1">2</definedName>
    <definedName name="solver_msl" localSheetId="3" hidden="1">2</definedName>
    <definedName name="solver_neg" localSheetId="2" hidden="1">1</definedName>
    <definedName name="solver_neg" localSheetId="3" hidden="1">1</definedName>
    <definedName name="solver_neg" localSheetId="4" hidden="1">1</definedName>
    <definedName name="solver_nod" localSheetId="2" hidden="1">2147483647</definedName>
    <definedName name="solver_nod" localSheetId="3" hidden="1">2147483647</definedName>
    <definedName name="solver_num" localSheetId="2" hidden="1">2</definedName>
    <definedName name="solver_num" localSheetId="3" hidden="1">1</definedName>
    <definedName name="solver_num" localSheetId="4" hidden="1">0</definedName>
    <definedName name="solver_opt" localSheetId="2" hidden="1">Classique.Multi!$L$10</definedName>
    <definedName name="solver_opt" localSheetId="3" hidden="1">'Holt Winter s'!$M$5</definedName>
    <definedName name="solver_opt" localSheetId="4" hidden="1">Simulation!$G$10</definedName>
    <definedName name="solver_pre" localSheetId="2" hidden="1">0.000001</definedName>
    <definedName name="solver_pre" localSheetId="3" hidden="1">0.000001</definedName>
    <definedName name="solver_rbv" localSheetId="2" hidden="1">1</definedName>
    <definedName name="solver_rbv" localSheetId="3" hidden="1">1</definedName>
    <definedName name="solver_rel1" localSheetId="2" hidden="1">3</definedName>
    <definedName name="solver_rel1" localSheetId="3" hidden="1">3</definedName>
    <definedName name="solver_rel2" localSheetId="2" hidden="1">2</definedName>
    <definedName name="solver_rhs1" localSheetId="2" hidden="1">0</definedName>
    <definedName name="solver_rhs1" localSheetId="3" hidden="1">0</definedName>
    <definedName name="solver_rhs2" localSheetId="2" hidden="1">1</definedName>
    <definedName name="solver_rlx" localSheetId="2" hidden="1">2</definedName>
    <definedName name="solver_rlx" localSheetId="3" hidden="1">1</definedName>
    <definedName name="solver_rsd" localSheetId="2" hidden="1">0</definedName>
    <definedName name="solver_rsd" localSheetId="3" hidden="1">0</definedName>
    <definedName name="solver_scl" localSheetId="2" hidden="1">1</definedName>
    <definedName name="solver_scl" localSheetId="3" hidden="1">2</definedName>
    <definedName name="solver_sho" localSheetId="2" hidden="1">2</definedName>
    <definedName name="solver_sho" localSheetId="3" hidden="1">2</definedName>
    <definedName name="solver_ssz" localSheetId="2" hidden="1">100</definedName>
    <definedName name="solver_ssz" localSheetId="3" hidden="1">100</definedName>
    <definedName name="solver_tim" localSheetId="2" hidden="1">2147483647</definedName>
    <definedName name="solver_tim" localSheetId="3" hidden="1">2147483647</definedName>
    <definedName name="solver_tol" localSheetId="2" hidden="1">0.01</definedName>
    <definedName name="solver_tol" localSheetId="3" hidden="1">0.01</definedName>
    <definedName name="solver_typ" localSheetId="2" hidden="1">2</definedName>
    <definedName name="solver_typ" localSheetId="3" hidden="1">2</definedName>
    <definedName name="solver_typ" localSheetId="4" hidden="1">1</definedName>
    <definedName name="solver_val" localSheetId="2" hidden="1">0</definedName>
    <definedName name="solver_val" localSheetId="3" hidden="1">0</definedName>
    <definedName name="solver_val" localSheetId="4" hidden="1">0</definedName>
    <definedName name="solver_ver" localSheetId="2" hidden="1">2</definedName>
    <definedName name="solver_ver" localSheetId="3" hidden="1">2</definedName>
    <definedName name="solver_ver" localSheetId="4" hidden="1">2</definedName>
  </definedNames>
  <calcPr calcId="150000" calcMode="autoNoTable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4" i="5" l="1"/>
  <c r="B26" i="5"/>
  <c r="B27" i="5"/>
  <c r="B28" i="5"/>
  <c r="B29" i="5"/>
  <c r="B30" i="5"/>
  <c r="B31" i="5"/>
  <c r="B32" i="5"/>
  <c r="C25" i="5"/>
  <c r="C24" i="5"/>
  <c r="C26" i="5"/>
  <c r="C27" i="5"/>
  <c r="C28" i="5"/>
  <c r="C29" i="5"/>
  <c r="C30" i="5"/>
  <c r="C31" i="5"/>
  <c r="C32" i="5"/>
  <c r="D25" i="5"/>
  <c r="D24" i="5"/>
  <c r="D26" i="5"/>
  <c r="D27" i="5"/>
  <c r="D28" i="5"/>
  <c r="D29" i="5"/>
  <c r="D30" i="5"/>
  <c r="D31" i="5"/>
  <c r="D32" i="5"/>
  <c r="E25" i="5"/>
  <c r="E24" i="5"/>
  <c r="E26" i="5"/>
  <c r="E27" i="5"/>
  <c r="E28" i="5"/>
  <c r="E29" i="5"/>
  <c r="E30" i="5"/>
  <c r="E31" i="5"/>
  <c r="E32" i="5"/>
  <c r="F25" i="5"/>
  <c r="F24" i="5"/>
  <c r="F26" i="5"/>
  <c r="F27" i="5"/>
  <c r="F28" i="5"/>
  <c r="F29" i="5"/>
  <c r="F30" i="5"/>
  <c r="F31" i="5"/>
  <c r="F32" i="5"/>
  <c r="G25" i="5"/>
  <c r="G24" i="5"/>
  <c r="G26" i="5"/>
  <c r="G27" i="5"/>
  <c r="G28" i="5"/>
  <c r="G29" i="5"/>
  <c r="G30" i="5"/>
  <c r="G31" i="5"/>
  <c r="G32" i="5"/>
  <c r="H25" i="5"/>
  <c r="H24" i="5"/>
  <c r="H26" i="5"/>
  <c r="H27" i="5"/>
  <c r="H28" i="5"/>
  <c r="H29" i="5"/>
  <c r="H30" i="5"/>
  <c r="H31" i="5"/>
  <c r="H32" i="5"/>
  <c r="I25" i="5"/>
  <c r="I24" i="5"/>
  <c r="I26" i="5"/>
  <c r="I27" i="5"/>
  <c r="I28" i="5"/>
  <c r="I29" i="5"/>
  <c r="I30" i="5"/>
  <c r="I31" i="5"/>
  <c r="I32" i="5"/>
  <c r="J25" i="5"/>
  <c r="J24" i="5"/>
  <c r="J26" i="5"/>
  <c r="J27" i="5"/>
  <c r="J28" i="5"/>
  <c r="J29" i="5"/>
  <c r="J30" i="5"/>
  <c r="J31" i="5"/>
  <c r="J32" i="5"/>
  <c r="K25" i="5"/>
  <c r="K24" i="5"/>
  <c r="K26" i="5"/>
  <c r="K27" i="5"/>
  <c r="K28" i="5"/>
  <c r="K29" i="5"/>
  <c r="K30" i="5"/>
  <c r="K31" i="5"/>
  <c r="K32" i="5"/>
  <c r="L25" i="5"/>
  <c r="L24" i="5"/>
  <c r="L26" i="5"/>
  <c r="L27" i="5"/>
  <c r="L28" i="5"/>
  <c r="L29" i="5"/>
  <c r="L30" i="5"/>
  <c r="L31" i="5"/>
  <c r="L32" i="5"/>
  <c r="M25" i="5"/>
  <c r="M24" i="5"/>
  <c r="M26" i="5"/>
  <c r="M27" i="5"/>
  <c r="M28" i="5"/>
  <c r="M29" i="5"/>
  <c r="M30" i="5"/>
  <c r="M31" i="5"/>
  <c r="M32" i="5"/>
  <c r="B34" i="5"/>
  <c r="P4" i="5"/>
  <c r="D8" i="4"/>
  <c r="E8" i="4"/>
  <c r="D9" i="4"/>
  <c r="E9" i="4"/>
  <c r="D10" i="4"/>
  <c r="E10" i="4"/>
  <c r="D11" i="4"/>
  <c r="E11" i="4"/>
  <c r="D12" i="4"/>
  <c r="E12" i="4"/>
  <c r="D13" i="4"/>
  <c r="F13" i="4"/>
  <c r="F12" i="4"/>
  <c r="F11" i="4"/>
  <c r="F10" i="4"/>
  <c r="F9" i="4"/>
  <c r="E13" i="4"/>
  <c r="F8" i="4"/>
  <c r="D14" i="4"/>
  <c r="E14" i="4"/>
  <c r="D15" i="4"/>
  <c r="E15" i="4"/>
  <c r="D16" i="4"/>
  <c r="E16" i="4"/>
  <c r="D17" i="4"/>
  <c r="E17" i="4"/>
  <c r="D18" i="4"/>
  <c r="E18" i="4"/>
  <c r="D19" i="4"/>
  <c r="F19" i="4"/>
  <c r="F18" i="4"/>
  <c r="F17" i="4"/>
  <c r="F16" i="4"/>
  <c r="F15" i="4"/>
  <c r="F14" i="4"/>
  <c r="E19" i="4"/>
  <c r="D20" i="4"/>
  <c r="E20" i="4"/>
  <c r="D21" i="4"/>
  <c r="E21" i="4"/>
  <c r="D22" i="4"/>
  <c r="E22" i="4"/>
  <c r="D23" i="4"/>
  <c r="E23" i="4"/>
  <c r="D24" i="4"/>
  <c r="E24" i="4"/>
  <c r="D25" i="4"/>
  <c r="E25" i="4"/>
  <c r="F20" i="4"/>
  <c r="G26" i="4"/>
  <c r="G9" i="4"/>
  <c r="H9" i="4"/>
  <c r="I9" i="4"/>
  <c r="G10" i="4"/>
  <c r="H10" i="4"/>
  <c r="I10" i="4"/>
  <c r="G11" i="4"/>
  <c r="H11" i="4"/>
  <c r="I11" i="4"/>
  <c r="G12" i="4"/>
  <c r="H12" i="4"/>
  <c r="I12" i="4"/>
  <c r="G13" i="4"/>
  <c r="H13" i="4"/>
  <c r="I13" i="4"/>
  <c r="G14" i="4"/>
  <c r="H14" i="4"/>
  <c r="I14" i="4"/>
  <c r="G15" i="4"/>
  <c r="H15" i="4"/>
  <c r="I15" i="4"/>
  <c r="G16" i="4"/>
  <c r="H16" i="4"/>
  <c r="I16" i="4"/>
  <c r="G17" i="4"/>
  <c r="H17" i="4"/>
  <c r="I17" i="4"/>
  <c r="G18" i="4"/>
  <c r="H18" i="4"/>
  <c r="I18" i="4"/>
  <c r="G19" i="4"/>
  <c r="H19" i="4"/>
  <c r="I19" i="4"/>
  <c r="G20" i="4"/>
  <c r="H20" i="4"/>
  <c r="I20" i="4"/>
  <c r="G21" i="4"/>
  <c r="H21" i="4"/>
  <c r="I21" i="4"/>
  <c r="G22" i="4"/>
  <c r="H22" i="4"/>
  <c r="I22" i="4"/>
  <c r="G23" i="4"/>
  <c r="H23" i="4"/>
  <c r="I23" i="4"/>
  <c r="G24" i="4"/>
  <c r="H24" i="4"/>
  <c r="I24" i="4"/>
  <c r="G25" i="4"/>
  <c r="H25" i="4"/>
  <c r="I25" i="4"/>
  <c r="M5" i="4"/>
  <c r="F21" i="4"/>
  <c r="G27" i="4"/>
  <c r="F22" i="4"/>
  <c r="G28" i="4"/>
  <c r="F23" i="4"/>
  <c r="G29" i="4"/>
  <c r="F24" i="4"/>
  <c r="G30" i="4"/>
  <c r="F25" i="4"/>
  <c r="G31" i="4"/>
  <c r="I8" i="4"/>
  <c r="H8" i="4"/>
  <c r="G8" i="4"/>
  <c r="E7" i="4"/>
  <c r="D7" i="4"/>
  <c r="M2" i="4"/>
  <c r="F3" i="4"/>
  <c r="F4" i="4"/>
  <c r="F5" i="4"/>
  <c r="F6" i="4"/>
  <c r="F7" i="4"/>
  <c r="F2" i="4"/>
  <c r="M1" i="4"/>
  <c r="G26" i="3"/>
  <c r="G27" i="3"/>
  <c r="G28" i="3"/>
  <c r="G29" i="3"/>
  <c r="G30" i="3"/>
  <c r="G31" i="3"/>
  <c r="D2" i="3"/>
  <c r="E2" i="3"/>
  <c r="D3" i="3"/>
  <c r="E3" i="3"/>
  <c r="D4" i="3"/>
  <c r="E4" i="3"/>
  <c r="D5" i="3"/>
  <c r="E5" i="3"/>
  <c r="D6" i="3"/>
  <c r="E6" i="3"/>
  <c r="D7" i="3"/>
  <c r="E7" i="3"/>
  <c r="D8" i="3"/>
  <c r="E8" i="3"/>
  <c r="D9" i="3"/>
  <c r="E9" i="3"/>
  <c r="D10" i="3"/>
  <c r="E10" i="3"/>
  <c r="D11" i="3"/>
  <c r="E11" i="3"/>
  <c r="D12" i="3"/>
  <c r="E12" i="3"/>
  <c r="D13" i="3"/>
  <c r="E13" i="3"/>
  <c r="D14" i="3"/>
  <c r="E14" i="3"/>
  <c r="D15" i="3"/>
  <c r="E15" i="3"/>
  <c r="D16" i="3"/>
  <c r="E16" i="3"/>
  <c r="D17" i="3"/>
  <c r="E17" i="3"/>
  <c r="D18" i="3"/>
  <c r="E18" i="3"/>
  <c r="D19" i="3"/>
  <c r="E19" i="3"/>
  <c r="D20" i="3"/>
  <c r="E20" i="3"/>
  <c r="D21" i="3"/>
  <c r="E21" i="3"/>
  <c r="D22" i="3"/>
  <c r="E22" i="3"/>
  <c r="D23" i="3"/>
  <c r="E23" i="3"/>
  <c r="D24" i="3"/>
  <c r="E24" i="3"/>
  <c r="D25" i="3"/>
  <c r="E25" i="3"/>
  <c r="F2" i="3" a="1"/>
  <c r="F3" i="3"/>
  <c r="G3" i="3"/>
  <c r="F4" i="3"/>
  <c r="G4" i="3"/>
  <c r="F5" i="3"/>
  <c r="G5" i="3"/>
  <c r="F6" i="3"/>
  <c r="G6" i="3"/>
  <c r="F7" i="3"/>
  <c r="G7" i="3"/>
  <c r="F8" i="3"/>
  <c r="G8" i="3"/>
  <c r="F9" i="3"/>
  <c r="G9" i="3"/>
  <c r="F10" i="3"/>
  <c r="G10" i="3"/>
  <c r="F11" i="3"/>
  <c r="G11" i="3"/>
  <c r="F12" i="3"/>
  <c r="G12" i="3"/>
  <c r="F13" i="3"/>
  <c r="G13" i="3"/>
  <c r="F14" i="3"/>
  <c r="G14" i="3"/>
  <c r="F15" i="3"/>
  <c r="G15" i="3"/>
  <c r="F16" i="3"/>
  <c r="G16" i="3"/>
  <c r="F17" i="3"/>
  <c r="G17" i="3"/>
  <c r="F18" i="3"/>
  <c r="G18" i="3"/>
  <c r="F19" i="3"/>
  <c r="G19" i="3"/>
  <c r="F20" i="3"/>
  <c r="G20" i="3"/>
  <c r="F21" i="3"/>
  <c r="G21" i="3"/>
  <c r="F22" i="3"/>
  <c r="G22" i="3"/>
  <c r="F23" i="3"/>
  <c r="G23" i="3"/>
  <c r="F24" i="3"/>
  <c r="G24" i="3"/>
  <c r="F25" i="3"/>
  <c r="G25" i="3"/>
  <c r="F2" i="3"/>
  <c r="G2" i="3"/>
  <c r="H2" i="3"/>
  <c r="I2" i="3"/>
  <c r="H3" i="3"/>
  <c r="I3" i="3"/>
  <c r="H4" i="3"/>
  <c r="I4" i="3"/>
  <c r="H5" i="3"/>
  <c r="I5" i="3"/>
  <c r="H6" i="3"/>
  <c r="I6" i="3"/>
  <c r="H7" i="3"/>
  <c r="I7" i="3"/>
  <c r="H8" i="3"/>
  <c r="I8" i="3"/>
  <c r="H9" i="3"/>
  <c r="I9" i="3"/>
  <c r="H10" i="3"/>
  <c r="I10" i="3"/>
  <c r="H11" i="3"/>
  <c r="I11" i="3"/>
  <c r="H12" i="3"/>
  <c r="I12" i="3"/>
  <c r="H13" i="3"/>
  <c r="I13" i="3"/>
  <c r="H14" i="3"/>
  <c r="I14" i="3"/>
  <c r="H15" i="3"/>
  <c r="I15" i="3"/>
  <c r="H16" i="3"/>
  <c r="I16" i="3"/>
  <c r="H17" i="3"/>
  <c r="I17" i="3"/>
  <c r="H18" i="3"/>
  <c r="I18" i="3"/>
  <c r="H19" i="3"/>
  <c r="I19" i="3"/>
  <c r="H20" i="3"/>
  <c r="I20" i="3"/>
  <c r="H21" i="3"/>
  <c r="I21" i="3"/>
  <c r="H22" i="3"/>
  <c r="I22" i="3"/>
  <c r="H23" i="3"/>
  <c r="I23" i="3"/>
  <c r="H24" i="3"/>
  <c r="I24" i="3"/>
  <c r="H25" i="3"/>
  <c r="I25" i="3"/>
  <c r="L10" i="3"/>
  <c r="F26" i="3"/>
  <c r="F27" i="3"/>
  <c r="F28" i="3"/>
  <c r="F29" i="3"/>
  <c r="F30" i="3"/>
  <c r="F31" i="3"/>
  <c r="D26" i="3"/>
  <c r="D27" i="3"/>
  <c r="D28" i="3"/>
  <c r="D29" i="3"/>
  <c r="D30" i="3"/>
  <c r="D31" i="3"/>
  <c r="L8" i="3"/>
  <c r="B23" i="2"/>
  <c r="B24" i="2"/>
  <c r="B27" i="2"/>
  <c r="C19" i="2"/>
  <c r="C18" i="2"/>
  <c r="C20" i="2"/>
  <c r="C21" i="2"/>
  <c r="C22" i="2"/>
  <c r="C24" i="2"/>
  <c r="D19" i="2"/>
  <c r="D18" i="2"/>
  <c r="D20" i="2"/>
  <c r="D21" i="2"/>
  <c r="D22" i="2"/>
  <c r="D24" i="2"/>
  <c r="E19" i="2"/>
  <c r="E18" i="2"/>
  <c r="E20" i="2"/>
  <c r="E21" i="2"/>
  <c r="E22" i="2"/>
  <c r="E24" i="2"/>
  <c r="F19" i="2"/>
  <c r="F18" i="2"/>
  <c r="F20" i="2"/>
  <c r="F21" i="2"/>
  <c r="F22" i="2"/>
  <c r="F24" i="2"/>
  <c r="G19" i="2"/>
  <c r="G18" i="2"/>
  <c r="G20" i="2"/>
  <c r="G21" i="2"/>
  <c r="G22" i="2"/>
  <c r="G24" i="2"/>
  <c r="G27" i="2"/>
  <c r="G28" i="2"/>
  <c r="F27" i="2"/>
  <c r="F28" i="2"/>
  <c r="E27" i="2"/>
  <c r="E28" i="2"/>
  <c r="D27" i="2"/>
  <c r="D28" i="2"/>
  <c r="C27" i="2"/>
  <c r="C28" i="2"/>
  <c r="C20" i="1"/>
  <c r="C19" i="1"/>
  <c r="C21" i="1"/>
  <c r="C22" i="1"/>
  <c r="C23" i="1"/>
  <c r="C25" i="1"/>
  <c r="D20" i="1"/>
  <c r="D19" i="1"/>
  <c r="D21" i="1"/>
  <c r="D22" i="1"/>
  <c r="D23" i="1"/>
  <c r="D25" i="1"/>
  <c r="D28" i="1"/>
  <c r="B24" i="1"/>
  <c r="B25" i="1"/>
  <c r="B28" i="1"/>
  <c r="D29" i="1"/>
  <c r="E20" i="1"/>
  <c r="E19" i="1"/>
  <c r="E21" i="1"/>
  <c r="E22" i="1"/>
  <c r="E23" i="1"/>
  <c r="E25" i="1"/>
  <c r="E28" i="1"/>
  <c r="E29" i="1"/>
  <c r="F20" i="1"/>
  <c r="F19" i="1"/>
  <c r="F21" i="1"/>
  <c r="F22" i="1"/>
  <c r="F23" i="1"/>
  <c r="F25" i="1"/>
  <c r="F28" i="1"/>
  <c r="F29" i="1"/>
  <c r="G20" i="1"/>
  <c r="G19" i="1"/>
  <c r="G21" i="1"/>
  <c r="G22" i="1"/>
  <c r="G23" i="1"/>
  <c r="G25" i="1"/>
  <c r="G28" i="1"/>
  <c r="G29" i="1"/>
  <c r="C28" i="1"/>
  <c r="C29" i="1"/>
</calcChain>
</file>

<file path=xl/sharedStrings.xml><?xml version="1.0" encoding="utf-8"?>
<sst xmlns="http://schemas.openxmlformats.org/spreadsheetml/2006/main" count="126" uniqueCount="83">
  <si>
    <t>Année 0</t>
  </si>
  <si>
    <t>Année 1</t>
  </si>
  <si>
    <t>Année 2</t>
  </si>
  <si>
    <t>Année 3</t>
  </si>
  <si>
    <t>Année 4</t>
  </si>
  <si>
    <t>Année 5</t>
  </si>
  <si>
    <t>Inv. R&amp;D</t>
  </si>
  <si>
    <t xml:space="preserve">Coût essais clinique </t>
  </si>
  <si>
    <t xml:space="preserve">Nbr d'individus </t>
  </si>
  <si>
    <t xml:space="preserve">Augmentation du marché </t>
  </si>
  <si>
    <t xml:space="preserve">Part de marché </t>
  </si>
  <si>
    <t xml:space="preserve">Augmentation de la part de marché </t>
  </si>
  <si>
    <t>Autres</t>
  </si>
  <si>
    <t xml:space="preserve">CA moyen par patient </t>
  </si>
  <si>
    <t xml:space="preserve">CV par patient </t>
  </si>
  <si>
    <t xml:space="preserve">Taux d'actualisation </t>
  </si>
  <si>
    <t>Demande globale du marché</t>
  </si>
  <si>
    <t xml:space="preserve">Demande du produit entreprise </t>
  </si>
  <si>
    <t>CA total</t>
  </si>
  <si>
    <t xml:space="preserve">CV </t>
  </si>
  <si>
    <t>Investissement initial</t>
  </si>
  <si>
    <t xml:space="preserve">Résultats avant impôt </t>
  </si>
  <si>
    <t>Critère</t>
  </si>
  <si>
    <t>Cashflow actualisé</t>
  </si>
  <si>
    <t xml:space="preserve">VAN </t>
  </si>
  <si>
    <t>CRITÈRE DE DECISION</t>
  </si>
  <si>
    <t xml:space="preserve">Ventes </t>
  </si>
  <si>
    <t xml:space="preserve">Bimestre </t>
  </si>
  <si>
    <t xml:space="preserve">Nbr de périodes </t>
  </si>
  <si>
    <t xml:space="preserve">Description de la série </t>
  </si>
  <si>
    <t xml:space="preserve">On observe une tendance croissante de la série. </t>
  </si>
  <si>
    <t xml:space="preserve">On remarque un effet saisonnier : nous pouvons donc mener deux types de prévisions ; celle d'une décomposition classique et celle à partir du modèle Holt Winters. </t>
  </si>
  <si>
    <t xml:space="preserve">Etant donné que l'effet saisonnier est proportionnel à la croissance, nous allons étudier une décomposition classique multiplicative. </t>
  </si>
  <si>
    <t>Bimestre n°</t>
  </si>
  <si>
    <t xml:space="preserve">Coefficients saisonniers </t>
  </si>
  <si>
    <t xml:space="preserve">Coefficient saisonnier </t>
  </si>
  <si>
    <t xml:space="preserve">Ventes désaisonnalisées </t>
  </si>
  <si>
    <t>TENDANCE</t>
  </si>
  <si>
    <t xml:space="preserve">Ventes resaisonnalisées </t>
  </si>
  <si>
    <t xml:space="preserve">Erreur </t>
  </si>
  <si>
    <t>Erreurs 2</t>
  </si>
  <si>
    <t>RMSE</t>
  </si>
  <si>
    <t>Nt</t>
  </si>
  <si>
    <t>Tt</t>
  </si>
  <si>
    <t>St</t>
  </si>
  <si>
    <t>Ft</t>
  </si>
  <si>
    <t>Et</t>
  </si>
  <si>
    <t>Et^2</t>
  </si>
  <si>
    <t>Moyenne</t>
  </si>
  <si>
    <t>alpha=</t>
  </si>
  <si>
    <t>beta=</t>
  </si>
  <si>
    <t>gamma=</t>
  </si>
  <si>
    <t xml:space="preserve">RMSE </t>
  </si>
  <si>
    <t xml:space="preserve">Stock minimal exigé </t>
  </si>
  <si>
    <t xml:space="preserve">Commande si stock &lt; </t>
  </si>
  <si>
    <t>Ventes mensuelles</t>
  </si>
  <si>
    <t>Probabilités</t>
  </si>
  <si>
    <t xml:space="preserve">Probabilités cumulées </t>
  </si>
  <si>
    <t xml:space="preserve">Coût stockage moyen </t>
  </si>
  <si>
    <t xml:space="preserve">Ecart type coût de stockage </t>
  </si>
  <si>
    <t xml:space="preserve">CF/Commande </t>
  </si>
  <si>
    <t xml:space="preserve">CV unitaire transport </t>
  </si>
  <si>
    <t xml:space="preserve">Coût </t>
  </si>
  <si>
    <t xml:space="preserve">Mois 1 </t>
  </si>
  <si>
    <t xml:space="preserve">Mois 2 </t>
  </si>
  <si>
    <t>Mois 3</t>
  </si>
  <si>
    <t>Mois 4</t>
  </si>
  <si>
    <t>Mois 5</t>
  </si>
  <si>
    <t>Mois 6</t>
  </si>
  <si>
    <t>Mois 7</t>
  </si>
  <si>
    <t>Mois 8</t>
  </si>
  <si>
    <t>Mois 9</t>
  </si>
  <si>
    <t>Mois 10</t>
  </si>
  <si>
    <t>Mois 11</t>
  </si>
  <si>
    <t>Mois 12</t>
  </si>
  <si>
    <t xml:space="preserve">Stock en début de mois </t>
  </si>
  <si>
    <t>Stock en fin de mois</t>
  </si>
  <si>
    <t>Nbr de frigos pour réapprovissionner</t>
  </si>
  <si>
    <t>Stock après vente</t>
  </si>
  <si>
    <t>Coût de stocks</t>
  </si>
  <si>
    <t>Coût fixe commande</t>
  </si>
  <si>
    <t>CV unitaire</t>
  </si>
  <si>
    <t xml:space="preserve">Coût 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</si>
</sst>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_);[Red]\(#,##0.00\ &quot;€&quot;\)"/>
    <numFmt numFmtId="43" formatCode="_ * #,##0.00_)\ _€_ ;_ * \(#,##0.00\)\ _€_ ;_ * &quot;-&quot;??_)\ _€_ ;_ @_ "/>
  </numFmts>
  <fonts count="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indexed="206"/>
      <name val="Calibri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1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9" fontId="0" fillId="0" borderId="0" xfId="0" applyNumberFormat="1"/>
    <xf numFmtId="0" fontId="0" fillId="0" borderId="1" xfId="0" applyBorder="1"/>
    <xf numFmtId="43" fontId="0" fillId="0" borderId="1" xfId="1" applyFont="1" applyBorder="1"/>
    <xf numFmtId="9" fontId="0" fillId="0" borderId="1" xfId="0" applyNumberFormat="1" applyBorder="1"/>
    <xf numFmtId="43" fontId="2" fillId="0" borderId="0" xfId="0" applyNumberFormat="1" applyFont="1"/>
    <xf numFmtId="0" fontId="0" fillId="0" borderId="2" xfId="0" applyBorder="1"/>
    <xf numFmtId="43" fontId="0" fillId="0" borderId="1" xfId="0" applyNumberFormat="1" applyBorder="1"/>
    <xf numFmtId="10" fontId="0" fillId="0" borderId="1" xfId="2" applyNumberFormat="1" applyFont="1" applyBorder="1"/>
    <xf numFmtId="43" fontId="2" fillId="0" borderId="1" xfId="0" applyNumberFormat="1" applyFont="1" applyBorder="1"/>
    <xf numFmtId="8" fontId="0" fillId="0" borderId="1" xfId="0" applyNumberFormat="1" applyBorder="1"/>
    <xf numFmtId="0" fontId="0" fillId="2" borderId="1" xfId="0" applyFill="1" applyBorder="1"/>
    <xf numFmtId="0" fontId="0" fillId="2" borderId="0" xfId="0" applyFill="1" applyBorder="1"/>
    <xf numFmtId="0" fontId="0" fillId="3" borderId="1" xfId="0" applyFill="1" applyBorder="1"/>
    <xf numFmtId="2" fontId="0" fillId="0" borderId="0" xfId="0" applyNumberFormat="1"/>
  </cellXfs>
  <cellStyles count="11"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Milliers" xfId="1" builtinId="3"/>
    <cellStyle name="Normal" xfId="0" builtinId="0"/>
    <cellStyle name="Pourcentage" xfId="2" builtinId="5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_rels/chart2.xml.rels><?xml version="1.0" encoding="UTF-8" standalone="yes"?>
<Relationships xmlns="http://schemas.openxmlformats.org/package/2006/relationships"><Relationship Id="rId1" Type="http://schemas.microsoft.com/office/2011/relationships/chartStyle" Target="style2.xml"/><Relationship Id="rId2" Type="http://schemas.microsoft.com/office/2011/relationships/chartColorStyle" Target="colors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'Classique.Multi'!$C$2:$C$31</c:f>
              <c:numCache>
                <c:formatCode>General</c:formatCode>
                <c:ptCount val="30"/>
                <c:pt idx="0">
                  <c:v>927.0</c:v>
                </c:pt>
                <c:pt idx="1">
                  <c:v>961.0</c:v>
                </c:pt>
                <c:pt idx="2">
                  <c:v>1074.0</c:v>
                </c:pt>
                <c:pt idx="3">
                  <c:v>1140.0</c:v>
                </c:pt>
                <c:pt idx="4">
                  <c:v>1012.0</c:v>
                </c:pt>
                <c:pt idx="5">
                  <c:v>1261.0</c:v>
                </c:pt>
                <c:pt idx="6">
                  <c:v>1083.0</c:v>
                </c:pt>
                <c:pt idx="7">
                  <c:v>1527.0</c:v>
                </c:pt>
                <c:pt idx="8">
                  <c:v>1619.0</c:v>
                </c:pt>
                <c:pt idx="9">
                  <c:v>1232.0</c:v>
                </c:pt>
                <c:pt idx="10">
                  <c:v>1133.0</c:v>
                </c:pt>
                <c:pt idx="11">
                  <c:v>1186.0</c:v>
                </c:pt>
                <c:pt idx="12">
                  <c:v>1481.0</c:v>
                </c:pt>
                <c:pt idx="13">
                  <c:v>1827.0</c:v>
                </c:pt>
                <c:pt idx="14">
                  <c:v>1726.0</c:v>
                </c:pt>
                <c:pt idx="15">
                  <c:v>1383.0</c:v>
                </c:pt>
                <c:pt idx="16">
                  <c:v>1443.0</c:v>
                </c:pt>
                <c:pt idx="17">
                  <c:v>1708.0</c:v>
                </c:pt>
                <c:pt idx="18">
                  <c:v>2277.0</c:v>
                </c:pt>
                <c:pt idx="19">
                  <c:v>2396.0</c:v>
                </c:pt>
                <c:pt idx="20">
                  <c:v>2207.0</c:v>
                </c:pt>
                <c:pt idx="21">
                  <c:v>2047.0</c:v>
                </c:pt>
                <c:pt idx="22">
                  <c:v>2090.0</c:v>
                </c:pt>
                <c:pt idx="23">
                  <c:v>2113.0</c:v>
                </c:pt>
              </c:numCache>
            </c:numRef>
          </c:val>
          <c:smooth val="0"/>
        </c:ser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'Classique.Multi'!$G$2:$G$31</c:f>
              <c:numCache>
                <c:formatCode>General</c:formatCode>
                <c:ptCount val="30"/>
                <c:pt idx="0">
                  <c:v>881.7194843970556</c:v>
                </c:pt>
                <c:pt idx="1">
                  <c:v>1046.689877554591</c:v>
                </c:pt>
                <c:pt idx="2">
                  <c:v>1043.163034081651</c:v>
                </c:pt>
                <c:pt idx="3">
                  <c:v>932.9212856353884</c:v>
                </c:pt>
                <c:pt idx="4">
                  <c:v>946.4346230359455</c:v>
                </c:pt>
                <c:pt idx="5">
                  <c:v>1051.461131876786</c:v>
                </c:pt>
                <c:pt idx="6">
                  <c:v>1268.545947235751</c:v>
                </c:pt>
                <c:pt idx="7">
                  <c:v>1474.602984578061</c:v>
                </c:pt>
                <c:pt idx="8">
                  <c:v>1442.429268393529</c:v>
                </c:pt>
                <c:pt idx="9">
                  <c:v>1268.580907671196</c:v>
                </c:pt>
                <c:pt idx="10">
                  <c:v>1267.691852785394</c:v>
                </c:pt>
                <c:pt idx="11">
                  <c:v>1389.258224530875</c:v>
                </c:pt>
                <c:pt idx="12">
                  <c:v>1655.372410074446</c:v>
                </c:pt>
                <c:pt idx="13">
                  <c:v>1902.51609160153</c:v>
                </c:pt>
                <c:pt idx="14">
                  <c:v>1841.695502705407</c:v>
                </c:pt>
                <c:pt idx="15">
                  <c:v>1604.240529707004</c:v>
                </c:pt>
                <c:pt idx="16">
                  <c:v>1588.949082534843</c:v>
                </c:pt>
                <c:pt idx="17">
                  <c:v>1727.055317184964</c:v>
                </c:pt>
                <c:pt idx="18">
                  <c:v>2042.198872913141</c:v>
                </c:pt>
                <c:pt idx="19">
                  <c:v>2330.429198625</c:v>
                </c:pt>
                <c:pt idx="20">
                  <c:v>2240.961737017284</c:v>
                </c:pt>
                <c:pt idx="21">
                  <c:v>1939.900151742811</c:v>
                </c:pt>
                <c:pt idx="22">
                  <c:v>1910.206312284292</c:v>
                </c:pt>
                <c:pt idx="23">
                  <c:v>2064.852409839053</c:v>
                </c:pt>
                <c:pt idx="24">
                  <c:v>2429.025335751836</c:v>
                </c:pt>
                <c:pt idx="25">
                  <c:v>2758.342305648469</c:v>
                </c:pt>
                <c:pt idx="26">
                  <c:v>2640.227971329162</c:v>
                </c:pt>
                <c:pt idx="27">
                  <c:v>2275.559773778619</c:v>
                </c:pt>
                <c:pt idx="28">
                  <c:v>2231.46354203374</c:v>
                </c:pt>
                <c:pt idx="29">
                  <c:v>2402.649502493141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063198032"/>
        <c:axId val="1063202400"/>
      </c:lineChart>
      <c:catAx>
        <c:axId val="10631980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3202400"/>
        <c:crosses val="autoZero"/>
        <c:auto val="1"/>
        <c:lblAlgn val="ctr"/>
        <c:lblOffset val="100"/>
        <c:noMultiLvlLbl val="0"/>
      </c:catAx>
      <c:valAx>
        <c:axId val="10632024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31980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'Holt Winter s'!$C$2:$C$31</c:f>
              <c:numCache>
                <c:formatCode>General</c:formatCode>
                <c:ptCount val="30"/>
                <c:pt idx="0">
                  <c:v>927.0</c:v>
                </c:pt>
                <c:pt idx="1">
                  <c:v>961.0</c:v>
                </c:pt>
                <c:pt idx="2">
                  <c:v>1074.0</c:v>
                </c:pt>
                <c:pt idx="3">
                  <c:v>1140.0</c:v>
                </c:pt>
                <c:pt idx="4">
                  <c:v>1012.0</c:v>
                </c:pt>
                <c:pt idx="5">
                  <c:v>1261.0</c:v>
                </c:pt>
                <c:pt idx="6">
                  <c:v>1083.0</c:v>
                </c:pt>
                <c:pt idx="7">
                  <c:v>1527.0</c:v>
                </c:pt>
                <c:pt idx="8">
                  <c:v>1619.0</c:v>
                </c:pt>
                <c:pt idx="9">
                  <c:v>1232.0</c:v>
                </c:pt>
                <c:pt idx="10">
                  <c:v>1133.0</c:v>
                </c:pt>
                <c:pt idx="11">
                  <c:v>1186.0</c:v>
                </c:pt>
                <c:pt idx="12">
                  <c:v>1481.0</c:v>
                </c:pt>
                <c:pt idx="13">
                  <c:v>1827.0</c:v>
                </c:pt>
                <c:pt idx="14">
                  <c:v>1726.0</c:v>
                </c:pt>
                <c:pt idx="15">
                  <c:v>1383.0</c:v>
                </c:pt>
                <c:pt idx="16">
                  <c:v>1443.0</c:v>
                </c:pt>
                <c:pt idx="17">
                  <c:v>1708.0</c:v>
                </c:pt>
                <c:pt idx="18">
                  <c:v>2277.0</c:v>
                </c:pt>
                <c:pt idx="19">
                  <c:v>2396.0</c:v>
                </c:pt>
                <c:pt idx="20">
                  <c:v>2207.0</c:v>
                </c:pt>
                <c:pt idx="21">
                  <c:v>2047.0</c:v>
                </c:pt>
                <c:pt idx="22">
                  <c:v>2090.0</c:v>
                </c:pt>
                <c:pt idx="23">
                  <c:v>2113.0</c:v>
                </c:pt>
              </c:numCache>
            </c:numRef>
          </c:val>
          <c:smooth val="0"/>
        </c:ser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val>
            <c:numRef>
              <c:f>'Holt Winter s'!$G$2:$G$31</c:f>
              <c:numCache>
                <c:formatCode>General</c:formatCode>
                <c:ptCount val="30"/>
                <c:pt idx="6">
                  <c:v>985.2810352941176</c:v>
                </c:pt>
                <c:pt idx="7">
                  <c:v>1125.152862812183</c:v>
                </c:pt>
                <c:pt idx="8">
                  <c:v>1517.00546814656</c:v>
                </c:pt>
                <c:pt idx="9">
                  <c:v>1728.193020071777</c:v>
                </c:pt>
                <c:pt idx="10">
                  <c:v>1409.432948680123</c:v>
                </c:pt>
                <c:pt idx="11">
                  <c:v>1688.21931916718</c:v>
                </c:pt>
                <c:pt idx="12">
                  <c:v>1229.159542074063</c:v>
                </c:pt>
                <c:pt idx="13">
                  <c:v>1684.47671229655</c:v>
                </c:pt>
                <c:pt idx="14">
                  <c:v>1713.767929790744</c:v>
                </c:pt>
                <c:pt idx="15">
                  <c:v>1327.952802528002</c:v>
                </c:pt>
                <c:pt idx="16">
                  <c:v>1401.409631711911</c:v>
                </c:pt>
                <c:pt idx="17">
                  <c:v>1607.072184818074</c:v>
                </c:pt>
                <c:pt idx="18">
                  <c:v>2148.628905390291</c:v>
                </c:pt>
                <c:pt idx="19">
                  <c:v>2534.19115351725</c:v>
                </c:pt>
                <c:pt idx="20">
                  <c:v>2269.402781270161</c:v>
                </c:pt>
                <c:pt idx="21">
                  <c:v>1763.096710213328</c:v>
                </c:pt>
                <c:pt idx="22">
                  <c:v>1917.790695793563</c:v>
                </c:pt>
                <c:pt idx="23">
                  <c:v>2289.352109869078</c:v>
                </c:pt>
                <c:pt idx="24">
                  <c:v>2855.084295700723</c:v>
                </c:pt>
                <c:pt idx="25">
                  <c:v>2976.424186399765</c:v>
                </c:pt>
                <c:pt idx="26">
                  <c:v>2775.558572407377</c:v>
                </c:pt>
                <c:pt idx="27">
                  <c:v>2487.354773134872</c:v>
                </c:pt>
                <c:pt idx="28">
                  <c:v>2404.19097410447</c:v>
                </c:pt>
                <c:pt idx="29">
                  <c:v>2410.118429079897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73824736"/>
        <c:axId val="1073832240"/>
      </c:lineChart>
      <c:catAx>
        <c:axId val="107382473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73832240"/>
        <c:crosses val="autoZero"/>
        <c:auto val="1"/>
        <c:lblAlgn val="ctr"/>
        <c:lblOffset val="100"/>
        <c:noMultiLvlLbl val="0"/>
      </c:catAx>
      <c:valAx>
        <c:axId val="10738322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738247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158750</xdr:colOff>
      <xdr:row>11</xdr:row>
      <xdr:rowOff>114300</xdr:rowOff>
    </xdr:from>
    <xdr:to>
      <xdr:col>14</xdr:col>
      <xdr:colOff>679450</xdr:colOff>
      <xdr:row>25</xdr:row>
      <xdr:rowOff>12700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381000</xdr:colOff>
      <xdr:row>15</xdr:row>
      <xdr:rowOff>114300</xdr:rowOff>
    </xdr:from>
    <xdr:to>
      <xdr:col>16</xdr:col>
      <xdr:colOff>0</xdr:colOff>
      <xdr:row>29</xdr:row>
      <xdr:rowOff>12700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N28"/>
  <sheetViews>
    <sheetView topLeftCell="A12" workbookViewId="0">
      <selection activeCell="A45" sqref="A45"/>
    </sheetView>
  </sheetViews>
  <sheetFormatPr baseColWidth="10" defaultRowHeight="16" x14ac:dyDescent="0.2"/>
  <cols>
    <col min="1" max="2" width="31.33203125" customWidth="1"/>
    <col min="3" max="3" width="17.1640625" bestFit="1" customWidth="1"/>
    <col min="4" max="4" width="19.5" customWidth="1"/>
    <col min="5" max="5" width="19.1640625" customWidth="1"/>
    <col min="6" max="6" width="16.6640625" customWidth="1"/>
    <col min="7" max="7" width="17.33203125" customWidth="1"/>
  </cols>
  <sheetData>
    <row r="5" spans="1:8" x14ac:dyDescent="0.2">
      <c r="B5" s="2" t="s">
        <v>12</v>
      </c>
      <c r="C5" s="2" t="s">
        <v>0</v>
      </c>
      <c r="D5" s="2" t="s">
        <v>1</v>
      </c>
      <c r="E5" s="2" t="s">
        <v>2</v>
      </c>
      <c r="F5" s="2" t="s">
        <v>3</v>
      </c>
      <c r="G5" s="2" t="s">
        <v>4</v>
      </c>
      <c r="H5" s="2" t="s">
        <v>5</v>
      </c>
    </row>
    <row r="6" spans="1:8" x14ac:dyDescent="0.2">
      <c r="A6" s="2" t="s">
        <v>6</v>
      </c>
      <c r="B6" s="2"/>
      <c r="C6" s="3">
        <v>140000000</v>
      </c>
      <c r="D6" s="2"/>
      <c r="E6" s="2"/>
      <c r="F6" s="2"/>
      <c r="G6" s="2"/>
      <c r="H6" s="2"/>
    </row>
    <row r="7" spans="1:8" x14ac:dyDescent="0.2">
      <c r="A7" s="2" t="s">
        <v>7</v>
      </c>
      <c r="B7" s="2"/>
      <c r="C7" s="3">
        <v>60000000</v>
      </c>
      <c r="D7" s="2"/>
      <c r="E7" s="2"/>
      <c r="F7" s="2"/>
      <c r="G7" s="2"/>
      <c r="H7" s="2"/>
    </row>
    <row r="8" spans="1:8" x14ac:dyDescent="0.2">
      <c r="A8" s="2" t="s">
        <v>8</v>
      </c>
      <c r="B8" s="2"/>
      <c r="C8" s="2"/>
      <c r="D8" s="3">
        <v>2000000</v>
      </c>
      <c r="E8" s="2"/>
      <c r="F8" s="2"/>
      <c r="G8" s="2"/>
      <c r="H8" s="2"/>
    </row>
    <row r="9" spans="1:8" x14ac:dyDescent="0.2">
      <c r="A9" s="2" t="s">
        <v>9</v>
      </c>
      <c r="B9" s="2"/>
      <c r="C9" s="2"/>
      <c r="D9" s="4"/>
      <c r="E9" s="4">
        <v>0.04</v>
      </c>
      <c r="F9" s="4">
        <v>0.04</v>
      </c>
      <c r="G9" s="4">
        <v>0.04</v>
      </c>
      <c r="H9" s="4">
        <v>0.04</v>
      </c>
    </row>
    <row r="10" spans="1:8" x14ac:dyDescent="0.2">
      <c r="A10" s="2" t="s">
        <v>10</v>
      </c>
      <c r="B10" s="2"/>
      <c r="C10" s="2"/>
      <c r="D10" s="4">
        <v>0.1</v>
      </c>
      <c r="E10" s="2"/>
      <c r="F10" s="2"/>
      <c r="G10" s="2"/>
      <c r="H10" s="2"/>
    </row>
    <row r="11" spans="1:8" x14ac:dyDescent="0.2">
      <c r="A11" s="2" t="s">
        <v>11</v>
      </c>
      <c r="B11" s="2"/>
      <c r="C11" s="2"/>
      <c r="D11" s="2"/>
      <c r="E11" s="4">
        <v>0.2</v>
      </c>
      <c r="F11" s="4">
        <v>0.2</v>
      </c>
      <c r="G11" s="4">
        <v>0.2</v>
      </c>
      <c r="H11" s="4">
        <v>0.2</v>
      </c>
    </row>
    <row r="12" spans="1:8" x14ac:dyDescent="0.2">
      <c r="A12" s="2" t="s">
        <v>13</v>
      </c>
      <c r="B12" s="2">
        <v>150</v>
      </c>
      <c r="C12" s="2"/>
      <c r="D12" s="2"/>
      <c r="E12" s="2"/>
      <c r="F12" s="2"/>
      <c r="G12" s="2"/>
      <c r="H12" s="2"/>
    </row>
    <row r="13" spans="1:8" x14ac:dyDescent="0.2">
      <c r="A13" s="2" t="s">
        <v>14</v>
      </c>
      <c r="B13" s="2">
        <v>40</v>
      </c>
      <c r="C13" s="2"/>
      <c r="D13" s="2"/>
      <c r="E13" s="2"/>
      <c r="F13" s="2"/>
      <c r="G13" s="2"/>
      <c r="H13" s="2"/>
    </row>
    <row r="14" spans="1:8" x14ac:dyDescent="0.2">
      <c r="A14" s="2" t="s">
        <v>15</v>
      </c>
      <c r="B14" s="4">
        <v>0.03</v>
      </c>
      <c r="C14" s="2"/>
      <c r="D14" s="2"/>
      <c r="E14" s="2"/>
      <c r="F14" s="2"/>
      <c r="G14" s="2"/>
      <c r="H14" s="2"/>
    </row>
    <row r="17" spans="1:14" x14ac:dyDescent="0.2">
      <c r="B17" s="6" t="s">
        <v>0</v>
      </c>
      <c r="C17" s="6" t="s">
        <v>1</v>
      </c>
      <c r="D17" s="6" t="s">
        <v>2</v>
      </c>
      <c r="E17" s="6" t="s">
        <v>3</v>
      </c>
      <c r="F17" s="6" t="s">
        <v>4</v>
      </c>
      <c r="G17" s="6" t="s">
        <v>5</v>
      </c>
    </row>
    <row r="18" spans="1:14" x14ac:dyDescent="0.2">
      <c r="A18" s="2" t="s">
        <v>16</v>
      </c>
      <c r="B18" s="2"/>
      <c r="C18" s="7">
        <f>D8</f>
        <v>2000000</v>
      </c>
      <c r="D18" s="7">
        <f>C18*(1+E9)</f>
        <v>2080000</v>
      </c>
      <c r="E18" s="7">
        <f t="shared" ref="E18:G18" si="0">D18*(1+F9)</f>
        <v>2163200</v>
      </c>
      <c r="F18" s="7">
        <f t="shared" si="0"/>
        <v>2249728</v>
      </c>
      <c r="G18" s="7">
        <f t="shared" si="0"/>
        <v>2339717.1200000001</v>
      </c>
    </row>
    <row r="19" spans="1:14" x14ac:dyDescent="0.2">
      <c r="A19" s="2" t="s">
        <v>10</v>
      </c>
      <c r="B19" s="2"/>
      <c r="C19" s="4">
        <f>D10</f>
        <v>0.1</v>
      </c>
      <c r="D19" s="8">
        <f>C19*(1+E11)</f>
        <v>0.12</v>
      </c>
      <c r="E19" s="8">
        <f t="shared" ref="E19:G19" si="1">D19*(1+F11)</f>
        <v>0.14399999999999999</v>
      </c>
      <c r="F19" s="8">
        <f t="shared" si="1"/>
        <v>0.17279999999999998</v>
      </c>
      <c r="G19" s="8">
        <f t="shared" si="1"/>
        <v>0.20735999999999996</v>
      </c>
    </row>
    <row r="20" spans="1:14" x14ac:dyDescent="0.2">
      <c r="A20" s="2" t="s">
        <v>17</v>
      </c>
      <c r="B20" s="2"/>
      <c r="C20" s="7">
        <f>C19*C18</f>
        <v>200000</v>
      </c>
      <c r="D20" s="7">
        <f t="shared" ref="D20:G20" si="2">D19*D18</f>
        <v>249600</v>
      </c>
      <c r="E20" s="7">
        <f t="shared" si="2"/>
        <v>311500.79999999999</v>
      </c>
      <c r="F20" s="7">
        <f t="shared" si="2"/>
        <v>388752.99839999998</v>
      </c>
      <c r="G20" s="7">
        <f t="shared" si="2"/>
        <v>485163.74200319994</v>
      </c>
    </row>
    <row r="21" spans="1:14" x14ac:dyDescent="0.2">
      <c r="A21" s="2" t="s">
        <v>18</v>
      </c>
      <c r="B21" s="2"/>
      <c r="C21" s="7">
        <f>C20*$B$12</f>
        <v>30000000</v>
      </c>
      <c r="D21" s="7">
        <f t="shared" ref="D21:G21" si="3">D20*$B$12</f>
        <v>37440000</v>
      </c>
      <c r="E21" s="7">
        <f t="shared" si="3"/>
        <v>46725120</v>
      </c>
      <c r="F21" s="7">
        <f t="shared" si="3"/>
        <v>58312949.759999998</v>
      </c>
      <c r="G21" s="7">
        <f t="shared" si="3"/>
        <v>72774561.300479993</v>
      </c>
    </row>
    <row r="22" spans="1:14" x14ac:dyDescent="0.2">
      <c r="A22" s="2" t="s">
        <v>19</v>
      </c>
      <c r="B22" s="2"/>
      <c r="C22" s="7">
        <f>$B$13*C20</f>
        <v>8000000</v>
      </c>
      <c r="D22" s="7">
        <f t="shared" ref="D22:G22" si="4">$B$13*D20</f>
        <v>9984000</v>
      </c>
      <c r="E22" s="7">
        <f t="shared" si="4"/>
        <v>12460032</v>
      </c>
      <c r="F22" s="7">
        <f t="shared" si="4"/>
        <v>15550119.935999999</v>
      </c>
      <c r="G22" s="7">
        <f t="shared" si="4"/>
        <v>19406549.680127997</v>
      </c>
    </row>
    <row r="23" spans="1:14" x14ac:dyDescent="0.2">
      <c r="A23" s="2" t="s">
        <v>20</v>
      </c>
      <c r="B23" s="7">
        <f>C6+C7</f>
        <v>200000000</v>
      </c>
      <c r="C23" s="2"/>
      <c r="D23" s="2"/>
      <c r="E23" s="2"/>
      <c r="F23" s="2"/>
      <c r="G23" s="2"/>
    </row>
    <row r="24" spans="1:14" x14ac:dyDescent="0.2">
      <c r="A24" s="2" t="s">
        <v>21</v>
      </c>
      <c r="B24" s="9">
        <f>B21-B22-B23</f>
        <v>-200000000</v>
      </c>
      <c r="C24" s="9">
        <f t="shared" ref="C24:G24" si="5">C21-C22-C23</f>
        <v>22000000</v>
      </c>
      <c r="D24" s="9">
        <f t="shared" si="5"/>
        <v>27456000</v>
      </c>
      <c r="E24" s="9">
        <f t="shared" si="5"/>
        <v>34265088</v>
      </c>
      <c r="F24" s="9">
        <f t="shared" si="5"/>
        <v>42762829.824000001</v>
      </c>
      <c r="G24" s="9">
        <f t="shared" si="5"/>
        <v>53368011.620352</v>
      </c>
      <c r="H24" s="5"/>
      <c r="I24" s="5"/>
      <c r="J24" s="5"/>
      <c r="K24" s="5"/>
      <c r="L24" s="5"/>
      <c r="M24" s="5"/>
      <c r="N24" s="5"/>
    </row>
    <row r="26" spans="1:14" x14ac:dyDescent="0.2">
      <c r="A26" t="s">
        <v>22</v>
      </c>
    </row>
    <row r="27" spans="1:14" x14ac:dyDescent="0.2">
      <c r="A27" s="2" t="s">
        <v>23</v>
      </c>
      <c r="B27" s="7">
        <f>B24</f>
        <v>-200000000</v>
      </c>
      <c r="C27" s="10">
        <f>NPV(B14,C24)</f>
        <v>21359223.300970875</v>
      </c>
      <c r="D27" s="10">
        <f>NPV(B14,C24:D24)</f>
        <v>47239136.582147233</v>
      </c>
      <c r="E27" s="10">
        <f>NPV(B14,C24:E24)</f>
        <v>78596546.072349265</v>
      </c>
      <c r="F27" s="10">
        <f>NPV(B14,C24:F24)</f>
        <v>116590766.503196</v>
      </c>
      <c r="G27" s="10">
        <f>NPV(B14,C24:G24)</f>
        <v>162626482.13202778</v>
      </c>
    </row>
    <row r="28" spans="1:14" x14ac:dyDescent="0.2">
      <c r="A28" s="2" t="s">
        <v>24</v>
      </c>
      <c r="B28" s="2"/>
      <c r="C28" s="7">
        <f>$B$27+C27</f>
        <v>-178640776.69902912</v>
      </c>
      <c r="D28" s="7">
        <f t="shared" ref="D28:G28" si="6">$B$27+D27</f>
        <v>-152760863.41785276</v>
      </c>
      <c r="E28" s="7">
        <f t="shared" si="6"/>
        <v>-121403453.92765073</v>
      </c>
      <c r="F28" s="7">
        <f t="shared" si="6"/>
        <v>-83409233.496803999</v>
      </c>
      <c r="G28" s="7">
        <f t="shared" si="6"/>
        <v>-37373517.867972225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N29"/>
  <sheetViews>
    <sheetView workbookViewId="0">
      <selection activeCell="A33" sqref="A33"/>
    </sheetView>
  </sheetViews>
  <sheetFormatPr baseColWidth="10" defaultRowHeight="16" x14ac:dyDescent="0.2"/>
  <cols>
    <col min="1" max="2" width="31.33203125" customWidth="1"/>
    <col min="3" max="3" width="17.1640625" bestFit="1" customWidth="1"/>
    <col min="4" max="4" width="19.5" customWidth="1"/>
    <col min="5" max="5" width="19.1640625" customWidth="1"/>
    <col min="6" max="6" width="16.6640625" customWidth="1"/>
    <col min="7" max="7" width="17.33203125" customWidth="1"/>
  </cols>
  <sheetData>
    <row r="5" spans="1:8" x14ac:dyDescent="0.2">
      <c r="B5" s="2" t="s">
        <v>12</v>
      </c>
      <c r="C5" s="2" t="s">
        <v>0</v>
      </c>
      <c r="D5" s="2" t="s">
        <v>1</v>
      </c>
      <c r="E5" s="2" t="s">
        <v>2</v>
      </c>
      <c r="F5" s="2" t="s">
        <v>3</v>
      </c>
      <c r="G5" s="2" t="s">
        <v>4</v>
      </c>
      <c r="H5" s="2" t="s">
        <v>5</v>
      </c>
    </row>
    <row r="6" spans="1:8" x14ac:dyDescent="0.2">
      <c r="A6" s="2" t="s">
        <v>6</v>
      </c>
      <c r="B6" s="2"/>
      <c r="C6" s="3">
        <v>140000000</v>
      </c>
      <c r="D6" s="2"/>
      <c r="E6" s="2"/>
      <c r="F6" s="2"/>
      <c r="G6" s="2"/>
      <c r="H6" s="2"/>
    </row>
    <row r="7" spans="1:8" x14ac:dyDescent="0.2">
      <c r="A7" s="2" t="s">
        <v>7</v>
      </c>
      <c r="B7" s="2"/>
      <c r="C7" s="3">
        <v>60000000</v>
      </c>
      <c r="D7" s="2"/>
      <c r="E7" s="2"/>
      <c r="F7" s="2"/>
      <c r="G7" s="2"/>
      <c r="H7" s="2"/>
    </row>
    <row r="8" spans="1:8" x14ac:dyDescent="0.2">
      <c r="A8" s="2" t="s">
        <v>8</v>
      </c>
      <c r="B8" s="2"/>
      <c r="C8" s="2"/>
      <c r="D8" s="3">
        <v>2000000</v>
      </c>
      <c r="E8" s="2"/>
      <c r="F8" s="2"/>
      <c r="G8" s="2"/>
      <c r="H8" s="2"/>
    </row>
    <row r="9" spans="1:8" x14ac:dyDescent="0.2">
      <c r="A9" s="2" t="s">
        <v>9</v>
      </c>
      <c r="B9" s="2"/>
      <c r="C9" s="2"/>
      <c r="D9" s="4"/>
      <c r="E9" s="4">
        <v>0.04</v>
      </c>
      <c r="F9" s="4">
        <v>0.04</v>
      </c>
      <c r="G9" s="4">
        <v>0.04</v>
      </c>
      <c r="H9" s="4">
        <v>0.04</v>
      </c>
    </row>
    <row r="10" spans="1:8" x14ac:dyDescent="0.2">
      <c r="A10" s="2" t="s">
        <v>10</v>
      </c>
      <c r="B10" s="2"/>
      <c r="C10" s="2"/>
      <c r="D10" s="4">
        <v>0.1</v>
      </c>
      <c r="E10" s="2"/>
      <c r="F10" s="2"/>
      <c r="G10" s="2"/>
      <c r="H10" s="2"/>
    </row>
    <row r="11" spans="1:8" x14ac:dyDescent="0.2">
      <c r="A11" s="2" t="s">
        <v>11</v>
      </c>
      <c r="B11" s="2"/>
      <c r="C11" s="2"/>
      <c r="D11" s="2"/>
      <c r="E11" s="4">
        <v>0.2</v>
      </c>
      <c r="F11" s="4">
        <v>0.2</v>
      </c>
      <c r="G11" s="4">
        <v>0.2</v>
      </c>
      <c r="H11" s="4">
        <v>0.2</v>
      </c>
    </row>
    <row r="12" spans="1:8" x14ac:dyDescent="0.2">
      <c r="A12" s="2" t="s">
        <v>14</v>
      </c>
      <c r="B12" s="2">
        <v>40</v>
      </c>
      <c r="C12" s="2"/>
      <c r="D12" s="2"/>
      <c r="E12" s="2"/>
      <c r="F12" s="2"/>
      <c r="G12" s="2"/>
      <c r="H12" s="2"/>
    </row>
    <row r="13" spans="1:8" x14ac:dyDescent="0.2">
      <c r="A13" s="2" t="s">
        <v>15</v>
      </c>
      <c r="B13" s="4">
        <v>0.03</v>
      </c>
      <c r="C13" s="2"/>
      <c r="D13" s="2"/>
      <c r="E13" s="2"/>
      <c r="F13" s="2"/>
      <c r="G13" s="2"/>
      <c r="H13" s="2"/>
    </row>
    <row r="15" spans="1:8" x14ac:dyDescent="0.2">
      <c r="A15" t="s">
        <v>25</v>
      </c>
    </row>
    <row r="16" spans="1:8" x14ac:dyDescent="0.2">
      <c r="A16" s="2" t="s">
        <v>13</v>
      </c>
      <c r="B16" s="11">
        <v>175.27932051152268</v>
      </c>
      <c r="C16" s="2"/>
      <c r="D16" s="2"/>
      <c r="E16" s="2"/>
      <c r="F16" s="2"/>
      <c r="G16" s="2"/>
      <c r="H16" s="2"/>
    </row>
    <row r="18" spans="1:14" x14ac:dyDescent="0.2">
      <c r="B18" s="6" t="s">
        <v>0</v>
      </c>
      <c r="C18" s="6" t="s">
        <v>1</v>
      </c>
      <c r="D18" s="6" t="s">
        <v>2</v>
      </c>
      <c r="E18" s="6" t="s">
        <v>3</v>
      </c>
      <c r="F18" s="6" t="s">
        <v>4</v>
      </c>
      <c r="G18" s="6" t="s">
        <v>5</v>
      </c>
    </row>
    <row r="19" spans="1:14" x14ac:dyDescent="0.2">
      <c r="A19" s="2" t="s">
        <v>16</v>
      </c>
      <c r="B19" s="2"/>
      <c r="C19" s="7">
        <f>D8</f>
        <v>2000000</v>
      </c>
      <c r="D19" s="7">
        <f>C19*(1+E9)</f>
        <v>2080000</v>
      </c>
      <c r="E19" s="7">
        <f>D19*(1+F9)</f>
        <v>2163200</v>
      </c>
      <c r="F19" s="7">
        <f>E19*(1+G9)</f>
        <v>2249728</v>
      </c>
      <c r="G19" s="7">
        <f>F19*(1+H9)</f>
        <v>2339717.1200000001</v>
      </c>
    </row>
    <row r="20" spans="1:14" x14ac:dyDescent="0.2">
      <c r="A20" s="2" t="s">
        <v>10</v>
      </c>
      <c r="B20" s="2"/>
      <c r="C20" s="4">
        <f>D10</f>
        <v>0.1</v>
      </c>
      <c r="D20" s="8">
        <f>C20*(1+E11)</f>
        <v>0.12</v>
      </c>
      <c r="E20" s="8">
        <f>D20*(1+F11)</f>
        <v>0.14399999999999999</v>
      </c>
      <c r="F20" s="8">
        <f>E20*(1+G11)</f>
        <v>0.17279999999999998</v>
      </c>
      <c r="G20" s="8">
        <f>F20*(1+H11)</f>
        <v>0.20735999999999996</v>
      </c>
    </row>
    <row r="21" spans="1:14" x14ac:dyDescent="0.2">
      <c r="A21" s="2" t="s">
        <v>17</v>
      </c>
      <c r="B21" s="2"/>
      <c r="C21" s="7">
        <f>C20*C19</f>
        <v>200000</v>
      </c>
      <c r="D21" s="7">
        <f t="shared" ref="D21:G21" si="0">D20*D19</f>
        <v>249600</v>
      </c>
      <c r="E21" s="7">
        <f t="shared" si="0"/>
        <v>311500.79999999999</v>
      </c>
      <c r="F21" s="7">
        <f t="shared" si="0"/>
        <v>388752.99839999998</v>
      </c>
      <c r="G21" s="7">
        <f t="shared" si="0"/>
        <v>485163.74200319994</v>
      </c>
    </row>
    <row r="22" spans="1:14" x14ac:dyDescent="0.2">
      <c r="A22" s="2" t="s">
        <v>18</v>
      </c>
      <c r="B22" s="2"/>
      <c r="C22" s="7">
        <f>C21*$B$16</f>
        <v>35055864.102304533</v>
      </c>
      <c r="D22" s="7">
        <f>D21*$B$16</f>
        <v>43749718.399676062</v>
      </c>
      <c r="E22" s="7">
        <f>E21*$B$16</f>
        <v>54599648.562795721</v>
      </c>
      <c r="F22" s="7">
        <f>F21*$B$16</f>
        <v>68140361.40636906</v>
      </c>
      <c r="G22" s="7">
        <f>G21*$B$16</f>
        <v>85039171.035148576</v>
      </c>
    </row>
    <row r="23" spans="1:14" x14ac:dyDescent="0.2">
      <c r="A23" s="2" t="s">
        <v>19</v>
      </c>
      <c r="B23" s="2"/>
      <c r="C23" s="7">
        <f>$B$12*C21</f>
        <v>8000000</v>
      </c>
      <c r="D23" s="7">
        <f>$B$12*D21</f>
        <v>9984000</v>
      </c>
      <c r="E23" s="7">
        <f>$B$12*E21</f>
        <v>12460032</v>
      </c>
      <c r="F23" s="7">
        <f>$B$12*F21</f>
        <v>15550119.935999999</v>
      </c>
      <c r="G23" s="7">
        <f>$B$12*G21</f>
        <v>19406549.680127997</v>
      </c>
    </row>
    <row r="24" spans="1:14" x14ac:dyDescent="0.2">
      <c r="A24" s="2" t="s">
        <v>20</v>
      </c>
      <c r="B24" s="7">
        <f>C6+C7</f>
        <v>200000000</v>
      </c>
      <c r="C24" s="2"/>
      <c r="D24" s="2"/>
      <c r="E24" s="2"/>
      <c r="F24" s="2"/>
      <c r="G24" s="2"/>
    </row>
    <row r="25" spans="1:14" x14ac:dyDescent="0.2">
      <c r="A25" s="2" t="s">
        <v>21</v>
      </c>
      <c r="B25" s="9">
        <f t="shared" ref="B25:G25" si="1">B22-B23-B24</f>
        <v>-200000000</v>
      </c>
      <c r="C25" s="9">
        <f t="shared" si="1"/>
        <v>27055864.102304533</v>
      </c>
      <c r="D25" s="9">
        <f t="shared" si="1"/>
        <v>33765718.399676062</v>
      </c>
      <c r="E25" s="9">
        <f t="shared" si="1"/>
        <v>42139616.562795721</v>
      </c>
      <c r="F25" s="9">
        <f t="shared" si="1"/>
        <v>52590241.470369063</v>
      </c>
      <c r="G25" s="9">
        <f t="shared" si="1"/>
        <v>65632621.355020583</v>
      </c>
      <c r="H25" s="5"/>
      <c r="I25" s="5"/>
      <c r="J25" s="5"/>
      <c r="K25" s="5"/>
      <c r="L25" s="5"/>
      <c r="M25" s="5"/>
      <c r="N25" s="5"/>
    </row>
    <row r="27" spans="1:14" x14ac:dyDescent="0.2">
      <c r="A27" t="s">
        <v>22</v>
      </c>
    </row>
    <row r="28" spans="1:14" x14ac:dyDescent="0.2">
      <c r="A28" s="2" t="s">
        <v>23</v>
      </c>
      <c r="B28" s="7">
        <f>B25</f>
        <v>-200000000</v>
      </c>
      <c r="C28" s="10">
        <f>NPV(B13,C25)</f>
        <v>26267829.22553838</v>
      </c>
      <c r="D28" s="10">
        <f>NPV(B13,C25:D25)</f>
        <v>58095257.258035369</v>
      </c>
      <c r="E28" s="10">
        <f>NPV(B13,C25:E25)</f>
        <v>96658975.883818135</v>
      </c>
      <c r="F28" s="10">
        <f>NPV(B13,C25:F25)</f>
        <v>143384724.27699959</v>
      </c>
      <c r="G28" s="10">
        <f>NPV(B13,C25:G25)</f>
        <v>200000000</v>
      </c>
    </row>
    <row r="29" spans="1:14" x14ac:dyDescent="0.2">
      <c r="A29" s="2" t="s">
        <v>24</v>
      </c>
      <c r="B29" s="2"/>
      <c r="C29" s="7">
        <f>$B$28+C28</f>
        <v>-173732170.77446163</v>
      </c>
      <c r="D29" s="7">
        <f t="shared" ref="D29:G29" si="2">$B$28+D28</f>
        <v>-141904742.74196464</v>
      </c>
      <c r="E29" s="7">
        <f t="shared" si="2"/>
        <v>-103341024.11618187</v>
      </c>
      <c r="F29" s="7">
        <f t="shared" si="2"/>
        <v>-56615275.723000407</v>
      </c>
      <c r="G29" s="7">
        <f t="shared" si="2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1"/>
  <sheetViews>
    <sheetView workbookViewId="0">
      <selection sqref="A1:C1048576"/>
    </sheetView>
  </sheetViews>
  <sheetFormatPr baseColWidth="10" defaultRowHeight="16" x14ac:dyDescent="0.2"/>
  <cols>
    <col min="4" max="4" width="19.1640625" bestFit="1" customWidth="1"/>
    <col min="5" max="5" width="21.1640625" bestFit="1" customWidth="1"/>
    <col min="7" max="7" width="20.83203125" bestFit="1" customWidth="1"/>
    <col min="9" max="9" width="11.83203125" bestFit="1" customWidth="1"/>
    <col min="12" max="12" width="20.6640625" bestFit="1" customWidth="1"/>
  </cols>
  <sheetData>
    <row r="1" spans="1:12" x14ac:dyDescent="0.2">
      <c r="A1" t="s">
        <v>28</v>
      </c>
      <c r="B1" t="s">
        <v>27</v>
      </c>
      <c r="C1" t="s">
        <v>26</v>
      </c>
      <c r="D1" t="s">
        <v>35</v>
      </c>
      <c r="E1" t="s">
        <v>36</v>
      </c>
      <c r="F1" t="s">
        <v>37</v>
      </c>
      <c r="G1" t="s">
        <v>38</v>
      </c>
      <c r="H1" t="s">
        <v>39</v>
      </c>
      <c r="I1" t="s">
        <v>40</v>
      </c>
      <c r="K1" s="2" t="s">
        <v>33</v>
      </c>
      <c r="L1" s="2" t="s">
        <v>34</v>
      </c>
    </row>
    <row r="2" spans="1:12" x14ac:dyDescent="0.2">
      <c r="A2">
        <v>1</v>
      </c>
      <c r="B2">
        <v>1</v>
      </c>
      <c r="C2">
        <v>927</v>
      </c>
      <c r="D2">
        <f>LOOKUP(B2,$K$2:$K$7,$L$2:$L$7)</f>
        <v>1.0508163266387474</v>
      </c>
      <c r="E2">
        <f>C2/D2</f>
        <v>882.17129530638397</v>
      </c>
      <c r="F2">
        <f t="array" ref="F2:F31">TREND(E2:E25,A2:A25,A2:A31,TRUE)</f>
        <v>839.08049584404273</v>
      </c>
      <c r="G2">
        <f>F2*D2</f>
        <v>881.71948439705568</v>
      </c>
      <c r="H2">
        <f>G2-C2</f>
        <v>-45.28051560294432</v>
      </c>
      <c r="I2">
        <f>H2*H2</f>
        <v>2050.3250932684841</v>
      </c>
      <c r="K2" s="2">
        <v>1</v>
      </c>
      <c r="L2" s="2">
        <v>1.0508163266387474</v>
      </c>
    </row>
    <row r="3" spans="1:12" x14ac:dyDescent="0.2">
      <c r="A3">
        <v>2</v>
      </c>
      <c r="B3">
        <v>2</v>
      </c>
      <c r="C3">
        <v>961</v>
      </c>
      <c r="D3">
        <f t="shared" ref="D3:D31" si="0">LOOKUP(B3,$K$2:$K$7,$L$2:$L$7)</f>
        <v>1.1624284335233821</v>
      </c>
      <c r="E3">
        <f t="shared" ref="E3:E25" si="1">C3/D3</f>
        <v>826.71756151658997</v>
      </c>
      <c r="F3">
        <v>900.43382230596262</v>
      </c>
      <c r="G3">
        <f t="shared" ref="G3:G31" si="2">F3*D3</f>
        <v>1046.6898775545915</v>
      </c>
      <c r="H3">
        <f t="shared" ref="H3:H25" si="3">G3-C3</f>
        <v>85.689877554591476</v>
      </c>
      <c r="I3">
        <f t="shared" ref="I3:I25" si="4">H3*H3</f>
        <v>7342.7551153208797</v>
      </c>
      <c r="K3" s="2">
        <v>2</v>
      </c>
      <c r="L3" s="2">
        <v>1.1624284335233821</v>
      </c>
    </row>
    <row r="4" spans="1:12" x14ac:dyDescent="0.2">
      <c r="A4">
        <v>3</v>
      </c>
      <c r="B4">
        <v>3</v>
      </c>
      <c r="C4">
        <v>1074</v>
      </c>
      <c r="D4">
        <f t="shared" si="0"/>
        <v>1.0846090378916131</v>
      </c>
      <c r="E4">
        <f t="shared" si="1"/>
        <v>990.21856030977187</v>
      </c>
      <c r="F4">
        <v>961.78714876788251</v>
      </c>
      <c r="G4">
        <f t="shared" si="2"/>
        <v>1043.1630340816507</v>
      </c>
      <c r="H4">
        <f t="shared" si="3"/>
        <v>-30.836965918349279</v>
      </c>
      <c r="I4">
        <f t="shared" si="4"/>
        <v>950.91846704943498</v>
      </c>
      <c r="K4" s="2">
        <v>3</v>
      </c>
      <c r="L4" s="2">
        <v>1.0846090378916131</v>
      </c>
    </row>
    <row r="5" spans="1:12" x14ac:dyDescent="0.2">
      <c r="A5">
        <v>4</v>
      </c>
      <c r="B5">
        <v>4</v>
      </c>
      <c r="C5">
        <v>1140</v>
      </c>
      <c r="D5">
        <f t="shared" si="0"/>
        <v>0.91182130726071575</v>
      </c>
      <c r="E5">
        <f t="shared" si="1"/>
        <v>1250.2449667740013</v>
      </c>
      <c r="F5">
        <v>1023.1404752298024</v>
      </c>
      <c r="G5">
        <f t="shared" si="2"/>
        <v>932.92128563538836</v>
      </c>
      <c r="H5">
        <f t="shared" si="3"/>
        <v>-207.07871436461164</v>
      </c>
      <c r="I5">
        <f t="shared" si="4"/>
        <v>42881.593942900414</v>
      </c>
      <c r="K5" s="2">
        <v>4</v>
      </c>
      <c r="L5" s="2">
        <v>0.91182130726071575</v>
      </c>
    </row>
    <row r="6" spans="1:12" x14ac:dyDescent="0.2">
      <c r="A6">
        <v>5</v>
      </c>
      <c r="B6">
        <v>5</v>
      </c>
      <c r="C6">
        <v>1012</v>
      </c>
      <c r="D6">
        <f t="shared" si="0"/>
        <v>0.87269712520217657</v>
      </c>
      <c r="E6">
        <f t="shared" si="1"/>
        <v>1159.6233914091918</v>
      </c>
      <c r="F6">
        <v>1084.4938016917224</v>
      </c>
      <c r="G6">
        <f t="shared" si="2"/>
        <v>946.43462303594549</v>
      </c>
      <c r="H6">
        <f t="shared" si="3"/>
        <v>-65.565376964054508</v>
      </c>
      <c r="I6">
        <f t="shared" si="4"/>
        <v>4298.8186564385696</v>
      </c>
      <c r="K6" s="2">
        <v>5</v>
      </c>
      <c r="L6" s="2">
        <v>0.87269712520217657</v>
      </c>
    </row>
    <row r="7" spans="1:12" x14ac:dyDescent="0.2">
      <c r="A7">
        <v>6</v>
      </c>
      <c r="B7">
        <v>6</v>
      </c>
      <c r="C7">
        <v>1261</v>
      </c>
      <c r="D7">
        <f t="shared" si="0"/>
        <v>0.91762775857461476</v>
      </c>
      <c r="E7">
        <f t="shared" si="1"/>
        <v>1374.1955691911044</v>
      </c>
      <c r="F7">
        <v>1145.8471281536422</v>
      </c>
      <c r="G7">
        <f t="shared" si="2"/>
        <v>1051.4611318767861</v>
      </c>
      <c r="H7">
        <f t="shared" si="3"/>
        <v>-209.53886812321389</v>
      </c>
      <c r="I7">
        <f t="shared" si="4"/>
        <v>43906.537254357623</v>
      </c>
      <c r="K7" s="2">
        <v>6</v>
      </c>
      <c r="L7" s="2">
        <v>0.91762775857461476</v>
      </c>
    </row>
    <row r="8" spans="1:12" x14ac:dyDescent="0.2">
      <c r="A8">
        <v>7</v>
      </c>
      <c r="B8">
        <v>1</v>
      </c>
      <c r="C8">
        <v>1083</v>
      </c>
      <c r="D8">
        <f t="shared" si="0"/>
        <v>1.0508163266387474</v>
      </c>
      <c r="E8">
        <f t="shared" si="1"/>
        <v>1030.6273061670051</v>
      </c>
      <c r="F8">
        <v>1207.2004546155622</v>
      </c>
      <c r="G8">
        <f t="shared" si="2"/>
        <v>1268.5459472357509</v>
      </c>
      <c r="H8">
        <f t="shared" si="3"/>
        <v>185.54594723575087</v>
      </c>
      <c r="I8">
        <f t="shared" si="4"/>
        <v>34427.298535612048</v>
      </c>
      <c r="L8" s="2">
        <f>AVERAGE(L2:L7)</f>
        <v>0.99999999818187491</v>
      </c>
    </row>
    <row r="9" spans="1:12" x14ac:dyDescent="0.2">
      <c r="A9">
        <v>8</v>
      </c>
      <c r="B9">
        <v>2</v>
      </c>
      <c r="C9">
        <v>1527</v>
      </c>
      <c r="D9">
        <f t="shared" si="0"/>
        <v>1.1624284335233821</v>
      </c>
      <c r="E9">
        <f t="shared" si="1"/>
        <v>1313.6292574774536</v>
      </c>
      <c r="F9">
        <v>1268.553781077482</v>
      </c>
      <c r="G9">
        <f t="shared" si="2"/>
        <v>1474.6029845780608</v>
      </c>
      <c r="H9">
        <f t="shared" si="3"/>
        <v>-52.397015421939159</v>
      </c>
      <c r="I9">
        <f t="shared" si="4"/>
        <v>2745.4472251269299</v>
      </c>
    </row>
    <row r="10" spans="1:12" x14ac:dyDescent="0.2">
      <c r="A10">
        <v>9</v>
      </c>
      <c r="B10">
        <v>3</v>
      </c>
      <c r="C10">
        <v>1619</v>
      </c>
      <c r="D10">
        <f t="shared" si="0"/>
        <v>1.0846090378916131</v>
      </c>
      <c r="E10">
        <f t="shared" si="1"/>
        <v>1492.7037701503918</v>
      </c>
      <c r="F10">
        <v>1329.907107539402</v>
      </c>
      <c r="G10">
        <f t="shared" si="2"/>
        <v>1442.4292683935289</v>
      </c>
      <c r="H10">
        <f t="shared" si="3"/>
        <v>-176.5707316064711</v>
      </c>
      <c r="I10">
        <f t="shared" si="4"/>
        <v>31177.223260044451</v>
      </c>
      <c r="K10" t="s">
        <v>41</v>
      </c>
      <c r="L10">
        <f>SQRT(AVERAGE(I2:I25))</f>
        <v>138.04878318887137</v>
      </c>
    </row>
    <row r="11" spans="1:12" x14ac:dyDescent="0.2">
      <c r="A11">
        <v>10</v>
      </c>
      <c r="B11">
        <v>4</v>
      </c>
      <c r="C11">
        <v>1232</v>
      </c>
      <c r="D11">
        <f t="shared" si="0"/>
        <v>0.91182130726071575</v>
      </c>
      <c r="E11">
        <f t="shared" si="1"/>
        <v>1351.1419290048857</v>
      </c>
      <c r="F11">
        <v>1391.2604340013218</v>
      </c>
      <c r="G11">
        <f t="shared" si="2"/>
        <v>1268.580907671196</v>
      </c>
      <c r="H11">
        <f t="shared" si="3"/>
        <v>36.580907671195973</v>
      </c>
      <c r="I11">
        <f t="shared" si="4"/>
        <v>1338.1628060485643</v>
      </c>
    </row>
    <row r="12" spans="1:12" x14ac:dyDescent="0.2">
      <c r="A12">
        <v>11</v>
      </c>
      <c r="B12">
        <v>5</v>
      </c>
      <c r="C12">
        <v>1133</v>
      </c>
      <c r="D12">
        <f t="shared" si="0"/>
        <v>0.87269712520217657</v>
      </c>
      <c r="E12">
        <f t="shared" si="1"/>
        <v>1298.2740142950734</v>
      </c>
      <c r="F12">
        <v>1452.6137604632418</v>
      </c>
      <c r="G12">
        <f t="shared" si="2"/>
        <v>1267.6918527853943</v>
      </c>
      <c r="H12">
        <f t="shared" si="3"/>
        <v>134.6918527853943</v>
      </c>
      <c r="I12">
        <f t="shared" si="4"/>
        <v>18141.895206762332</v>
      </c>
    </row>
    <row r="13" spans="1:12" x14ac:dyDescent="0.2">
      <c r="A13">
        <v>12</v>
      </c>
      <c r="B13">
        <v>6</v>
      </c>
      <c r="C13">
        <v>1186</v>
      </c>
      <c r="D13">
        <f t="shared" si="0"/>
        <v>0.91762775857461476</v>
      </c>
      <c r="E13">
        <f t="shared" si="1"/>
        <v>1292.4630809362804</v>
      </c>
      <c r="F13">
        <v>1513.9670869251618</v>
      </c>
      <c r="G13">
        <f t="shared" si="2"/>
        <v>1389.2582245308752</v>
      </c>
      <c r="H13">
        <f t="shared" si="3"/>
        <v>203.25822453087517</v>
      </c>
      <c r="I13">
        <f t="shared" si="4"/>
        <v>41313.905839443665</v>
      </c>
    </row>
    <row r="14" spans="1:12" x14ac:dyDescent="0.2">
      <c r="A14">
        <v>13</v>
      </c>
      <c r="B14">
        <v>1</v>
      </c>
      <c r="C14">
        <v>1481</v>
      </c>
      <c r="D14">
        <f t="shared" si="0"/>
        <v>1.0508163266387474</v>
      </c>
      <c r="E14">
        <f t="shared" si="1"/>
        <v>1409.3804620806413</v>
      </c>
      <c r="F14">
        <v>1575.3204133870815</v>
      </c>
      <c r="G14">
        <f t="shared" si="2"/>
        <v>1655.372410074446</v>
      </c>
      <c r="H14">
        <f t="shared" si="3"/>
        <v>174.37241007444595</v>
      </c>
      <c r="I14">
        <f t="shared" si="4"/>
        <v>30405.737395170741</v>
      </c>
    </row>
    <row r="15" spans="1:12" x14ac:dyDescent="0.2">
      <c r="A15">
        <v>14</v>
      </c>
      <c r="B15">
        <v>2</v>
      </c>
      <c r="C15">
        <v>1827</v>
      </c>
      <c r="D15">
        <f t="shared" si="0"/>
        <v>1.1624284335233821</v>
      </c>
      <c r="E15">
        <f t="shared" si="1"/>
        <v>1571.7096616969927</v>
      </c>
      <c r="F15">
        <v>1636.6737398490013</v>
      </c>
      <c r="G15">
        <f t="shared" si="2"/>
        <v>1902.51609160153</v>
      </c>
      <c r="H15">
        <f t="shared" si="3"/>
        <v>75.516091601529979</v>
      </c>
      <c r="I15">
        <f t="shared" si="4"/>
        <v>5702.6800907706665</v>
      </c>
    </row>
    <row r="16" spans="1:12" x14ac:dyDescent="0.2">
      <c r="A16">
        <v>15</v>
      </c>
      <c r="B16">
        <v>3</v>
      </c>
      <c r="C16">
        <v>1726</v>
      </c>
      <c r="D16">
        <f t="shared" si="0"/>
        <v>1.0846090378916131</v>
      </c>
      <c r="E16">
        <f t="shared" si="1"/>
        <v>1591.3568296970823</v>
      </c>
      <c r="F16">
        <v>1698.0270663109213</v>
      </c>
      <c r="G16">
        <f t="shared" si="2"/>
        <v>1841.6955027054066</v>
      </c>
      <c r="H16">
        <f t="shared" si="3"/>
        <v>115.69550270540662</v>
      </c>
      <c r="I16">
        <f t="shared" si="4"/>
        <v>13385.449346256752</v>
      </c>
    </row>
    <row r="17" spans="1:16" x14ac:dyDescent="0.2">
      <c r="A17">
        <v>16</v>
      </c>
      <c r="B17">
        <v>4</v>
      </c>
      <c r="C17">
        <v>1383</v>
      </c>
      <c r="D17">
        <f t="shared" si="0"/>
        <v>0.91182130726071575</v>
      </c>
      <c r="E17">
        <f t="shared" si="1"/>
        <v>1516.7445517968806</v>
      </c>
      <c r="F17">
        <v>1759.3803927728413</v>
      </c>
      <c r="G17">
        <f t="shared" si="2"/>
        <v>1604.2405297070038</v>
      </c>
      <c r="H17">
        <f t="shared" si="3"/>
        <v>221.24052970700382</v>
      </c>
      <c r="I17">
        <f t="shared" si="4"/>
        <v>48947.371985035636</v>
      </c>
    </row>
    <row r="18" spans="1:16" x14ac:dyDescent="0.2">
      <c r="A18">
        <v>17</v>
      </c>
      <c r="B18">
        <v>5</v>
      </c>
      <c r="C18">
        <v>1443</v>
      </c>
      <c r="D18">
        <f t="shared" si="0"/>
        <v>0.87269712520217657</v>
      </c>
      <c r="E18">
        <f t="shared" si="1"/>
        <v>1653.4946183828692</v>
      </c>
      <c r="F18">
        <v>1820.7337192347611</v>
      </c>
      <c r="G18">
        <f t="shared" si="2"/>
        <v>1588.949082534843</v>
      </c>
      <c r="H18">
        <f t="shared" si="3"/>
        <v>145.949082534843</v>
      </c>
      <c r="I18">
        <f t="shared" si="4"/>
        <v>21301.134692762414</v>
      </c>
    </row>
    <row r="19" spans="1:16" x14ac:dyDescent="0.2">
      <c r="A19">
        <v>18</v>
      </c>
      <c r="B19">
        <v>6</v>
      </c>
      <c r="C19">
        <v>1708</v>
      </c>
      <c r="D19">
        <f t="shared" si="0"/>
        <v>0.91762775857461476</v>
      </c>
      <c r="E19">
        <f t="shared" si="1"/>
        <v>1861.3211991898543</v>
      </c>
      <c r="F19">
        <v>1882.0870456966811</v>
      </c>
      <c r="G19">
        <f t="shared" si="2"/>
        <v>1727.055317184964</v>
      </c>
      <c r="H19">
        <f t="shared" si="3"/>
        <v>19.055317184963997</v>
      </c>
      <c r="I19">
        <f t="shared" si="4"/>
        <v>363.10511301958422</v>
      </c>
    </row>
    <row r="20" spans="1:16" x14ac:dyDescent="0.2">
      <c r="A20">
        <v>19</v>
      </c>
      <c r="B20">
        <v>1</v>
      </c>
      <c r="C20">
        <v>2277</v>
      </c>
      <c r="D20">
        <f t="shared" si="0"/>
        <v>1.0508163266387474</v>
      </c>
      <c r="E20">
        <f t="shared" si="1"/>
        <v>2166.8867739079142</v>
      </c>
      <c r="F20">
        <v>1943.4403721586009</v>
      </c>
      <c r="G20">
        <f t="shared" si="2"/>
        <v>2042.198872913141</v>
      </c>
      <c r="H20">
        <f t="shared" si="3"/>
        <v>-234.80112708685897</v>
      </c>
      <c r="I20">
        <f t="shared" si="4"/>
        <v>55131.569281259297</v>
      </c>
    </row>
    <row r="21" spans="1:16" x14ac:dyDescent="0.2">
      <c r="A21">
        <v>20</v>
      </c>
      <c r="B21">
        <v>2</v>
      </c>
      <c r="C21">
        <v>2396</v>
      </c>
      <c r="D21">
        <f t="shared" si="0"/>
        <v>1.1624284335233821</v>
      </c>
      <c r="E21">
        <f t="shared" si="1"/>
        <v>2061.2021617000519</v>
      </c>
      <c r="F21">
        <v>2004.7936986205209</v>
      </c>
      <c r="G21">
        <f t="shared" si="2"/>
        <v>2330.4291986249996</v>
      </c>
      <c r="H21">
        <f t="shared" si="3"/>
        <v>-65.570801375000428</v>
      </c>
      <c r="I21">
        <f t="shared" si="4"/>
        <v>4299.5299929597577</v>
      </c>
    </row>
    <row r="22" spans="1:16" x14ac:dyDescent="0.2">
      <c r="A22">
        <v>21</v>
      </c>
      <c r="B22">
        <v>3</v>
      </c>
      <c r="C22">
        <v>2207</v>
      </c>
      <c r="D22">
        <f t="shared" si="0"/>
        <v>1.0846090378916131</v>
      </c>
      <c r="E22">
        <f t="shared" si="1"/>
        <v>2034.8346020518311</v>
      </c>
      <c r="F22">
        <v>2066.1470250824405</v>
      </c>
      <c r="G22">
        <f t="shared" si="2"/>
        <v>2240.9617370172846</v>
      </c>
      <c r="H22">
        <f t="shared" si="3"/>
        <v>33.961737017284577</v>
      </c>
      <c r="I22">
        <f t="shared" si="4"/>
        <v>1153.3995812311975</v>
      </c>
    </row>
    <row r="23" spans="1:16" x14ac:dyDescent="0.2">
      <c r="A23">
        <v>22</v>
      </c>
      <c r="B23">
        <v>4</v>
      </c>
      <c r="C23">
        <v>2047</v>
      </c>
      <c r="D23">
        <f t="shared" si="0"/>
        <v>0.91182130726071575</v>
      </c>
      <c r="E23">
        <f t="shared" si="1"/>
        <v>2244.9574096371762</v>
      </c>
      <c r="F23">
        <v>2127.5003515443605</v>
      </c>
      <c r="G23">
        <f t="shared" si="2"/>
        <v>1939.900151742811</v>
      </c>
      <c r="H23">
        <f t="shared" si="3"/>
        <v>-107.09984825718902</v>
      </c>
      <c r="I23">
        <f t="shared" si="4"/>
        <v>11470.377496712914</v>
      </c>
    </row>
    <row r="24" spans="1:16" x14ac:dyDescent="0.2">
      <c r="A24">
        <v>23</v>
      </c>
      <c r="B24">
        <v>5</v>
      </c>
      <c r="C24">
        <v>2090</v>
      </c>
      <c r="D24">
        <f t="shared" si="0"/>
        <v>0.87269712520217657</v>
      </c>
      <c r="E24">
        <f t="shared" si="1"/>
        <v>2394.8743953015914</v>
      </c>
      <c r="F24">
        <v>2188.8536780062805</v>
      </c>
      <c r="G24">
        <f t="shared" si="2"/>
        <v>1910.2063122842917</v>
      </c>
      <c r="H24">
        <f t="shared" si="3"/>
        <v>-179.7936877157083</v>
      </c>
      <c r="I24">
        <f t="shared" si="4"/>
        <v>32325.770142413639</v>
      </c>
    </row>
    <row r="25" spans="1:16" x14ac:dyDescent="0.2">
      <c r="A25">
        <v>24</v>
      </c>
      <c r="B25">
        <v>6</v>
      </c>
      <c r="C25">
        <v>2113</v>
      </c>
      <c r="D25">
        <f t="shared" si="0"/>
        <v>0.91762775857461476</v>
      </c>
      <c r="E25">
        <f t="shared" si="1"/>
        <v>2302.676635765903</v>
      </c>
      <c r="F25">
        <v>2250.2070044682005</v>
      </c>
      <c r="G25">
        <f t="shared" si="2"/>
        <v>2064.8524098390531</v>
      </c>
      <c r="H25">
        <f t="shared" si="3"/>
        <v>-48.147590160946947</v>
      </c>
      <c r="I25">
        <f t="shared" si="4"/>
        <v>2318.1904383065153</v>
      </c>
      <c r="P25" t="s">
        <v>29</v>
      </c>
    </row>
    <row r="26" spans="1:16" x14ac:dyDescent="0.2">
      <c r="A26">
        <v>25</v>
      </c>
      <c r="B26">
        <v>1</v>
      </c>
      <c r="D26">
        <f t="shared" si="0"/>
        <v>1.0508163266387474</v>
      </c>
      <c r="F26">
        <v>2311.5603309301205</v>
      </c>
      <c r="G26">
        <f t="shared" si="2"/>
        <v>2429.0253357518363</v>
      </c>
      <c r="P26" t="s">
        <v>30</v>
      </c>
    </row>
    <row r="27" spans="1:16" x14ac:dyDescent="0.2">
      <c r="A27">
        <v>26</v>
      </c>
      <c r="B27">
        <v>2</v>
      </c>
      <c r="D27">
        <f t="shared" si="0"/>
        <v>1.1624284335233821</v>
      </c>
      <c r="F27">
        <v>2372.9136573920405</v>
      </c>
      <c r="G27">
        <f t="shared" si="2"/>
        <v>2758.3423056484689</v>
      </c>
      <c r="P27" t="s">
        <v>31</v>
      </c>
    </row>
    <row r="28" spans="1:16" x14ac:dyDescent="0.2">
      <c r="A28">
        <v>27</v>
      </c>
      <c r="B28">
        <v>3</v>
      </c>
      <c r="D28">
        <f t="shared" si="0"/>
        <v>1.0846090378916131</v>
      </c>
      <c r="F28">
        <v>2434.26698385396</v>
      </c>
      <c r="G28">
        <f t="shared" si="2"/>
        <v>2640.2279713291623</v>
      </c>
      <c r="P28" t="s">
        <v>32</v>
      </c>
    </row>
    <row r="29" spans="1:16" x14ac:dyDescent="0.2">
      <c r="A29">
        <v>28</v>
      </c>
      <c r="B29">
        <v>4</v>
      </c>
      <c r="D29">
        <f t="shared" si="0"/>
        <v>0.91182130726071575</v>
      </c>
      <c r="F29">
        <v>2495.62031031588</v>
      </c>
      <c r="G29">
        <f t="shared" si="2"/>
        <v>2275.5597737786188</v>
      </c>
    </row>
    <row r="30" spans="1:16" x14ac:dyDescent="0.2">
      <c r="A30">
        <v>29</v>
      </c>
      <c r="B30">
        <v>5</v>
      </c>
      <c r="D30">
        <f t="shared" si="0"/>
        <v>0.87269712520217657</v>
      </c>
      <c r="F30">
        <v>2556.9736367777996</v>
      </c>
      <c r="G30">
        <f t="shared" si="2"/>
        <v>2231.4635420337399</v>
      </c>
    </row>
    <row r="31" spans="1:16" x14ac:dyDescent="0.2">
      <c r="A31">
        <v>30</v>
      </c>
      <c r="B31">
        <v>6</v>
      </c>
      <c r="D31">
        <f t="shared" si="0"/>
        <v>0.91762775857461476</v>
      </c>
      <c r="F31">
        <v>2618.3269632397196</v>
      </c>
      <c r="G31">
        <f t="shared" si="2"/>
        <v>2402.6495024931414</v>
      </c>
    </row>
  </sheetData>
  <pageMargins left="0.7" right="0.7" top="0.75" bottom="0.75" header="0.3" footer="0.3"/>
  <pageSetup paperSize="9" orientation="portrait" horizontalDpi="0" verticalDpi="0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1"/>
  <sheetViews>
    <sheetView workbookViewId="0">
      <selection activeCell="I31" sqref="I31"/>
    </sheetView>
  </sheetViews>
  <sheetFormatPr baseColWidth="10" defaultRowHeight="16" x14ac:dyDescent="0.2"/>
  <sheetData>
    <row r="1" spans="1:15" x14ac:dyDescent="0.2">
      <c r="A1" t="s">
        <v>28</v>
      </c>
      <c r="B1" t="s">
        <v>27</v>
      </c>
      <c r="C1" t="s">
        <v>26</v>
      </c>
      <c r="D1" s="11" t="s">
        <v>42</v>
      </c>
      <c r="E1" s="11" t="s">
        <v>43</v>
      </c>
      <c r="F1" s="11" t="s">
        <v>44</v>
      </c>
      <c r="G1" s="11" t="s">
        <v>45</v>
      </c>
      <c r="H1" s="11" t="s">
        <v>46</v>
      </c>
      <c r="I1" s="11" t="s">
        <v>47</v>
      </c>
      <c r="L1" s="12" t="s">
        <v>48</v>
      </c>
      <c r="M1">
        <f>AVERAGE(C2:C7)</f>
        <v>1062.5</v>
      </c>
      <c r="N1" s="13" t="s">
        <v>49</v>
      </c>
      <c r="O1" s="13">
        <v>0.42758429553614741</v>
      </c>
    </row>
    <row r="2" spans="1:15" x14ac:dyDescent="0.2">
      <c r="A2">
        <v>1</v>
      </c>
      <c r="B2">
        <v>1</v>
      </c>
      <c r="C2">
        <v>927</v>
      </c>
      <c r="F2">
        <f>C2/$M$1</f>
        <v>0.87247058823529411</v>
      </c>
      <c r="M2">
        <f>AVERAGE(F2:F7)</f>
        <v>1</v>
      </c>
      <c r="N2" s="13" t="s">
        <v>50</v>
      </c>
      <c r="O2" s="13">
        <v>0</v>
      </c>
    </row>
    <row r="3" spans="1:15" x14ac:dyDescent="0.2">
      <c r="A3">
        <v>2</v>
      </c>
      <c r="B3">
        <v>2</v>
      </c>
      <c r="C3">
        <v>961</v>
      </c>
      <c r="F3">
        <f t="shared" ref="F3:F7" si="0">C3/$M$1</f>
        <v>0.90447058823529414</v>
      </c>
      <c r="N3" s="13" t="s">
        <v>51</v>
      </c>
      <c r="O3" s="13">
        <v>1.4103774398845177</v>
      </c>
    </row>
    <row r="4" spans="1:15" x14ac:dyDescent="0.2">
      <c r="A4">
        <v>3</v>
      </c>
      <c r="B4">
        <v>3</v>
      </c>
      <c r="C4">
        <v>1074</v>
      </c>
      <c r="F4">
        <f t="shared" si="0"/>
        <v>1.0108235294117647</v>
      </c>
    </row>
    <row r="5" spans="1:15" x14ac:dyDescent="0.2">
      <c r="A5">
        <v>4</v>
      </c>
      <c r="B5">
        <v>4</v>
      </c>
      <c r="C5">
        <v>1140</v>
      </c>
      <c r="F5">
        <f t="shared" si="0"/>
        <v>1.0729411764705883</v>
      </c>
      <c r="L5" t="s">
        <v>52</v>
      </c>
      <c r="M5">
        <f>AVERAGE(I8:I25)</f>
        <v>57552.203777174327</v>
      </c>
    </row>
    <row r="6" spans="1:15" x14ac:dyDescent="0.2">
      <c r="A6">
        <v>5</v>
      </c>
      <c r="B6">
        <v>5</v>
      </c>
      <c r="C6">
        <v>1012</v>
      </c>
      <c r="F6">
        <f t="shared" si="0"/>
        <v>0.95247058823529407</v>
      </c>
      <c r="O6" s="2">
        <v>1</v>
      </c>
    </row>
    <row r="7" spans="1:15" x14ac:dyDescent="0.2">
      <c r="A7">
        <v>6</v>
      </c>
      <c r="B7">
        <v>6</v>
      </c>
      <c r="C7">
        <v>1261</v>
      </c>
      <c r="D7">
        <f>M1</f>
        <v>1062.5</v>
      </c>
      <c r="E7">
        <f>(C7-C2)/(A7-A2)</f>
        <v>66.8</v>
      </c>
      <c r="F7">
        <f t="shared" si="0"/>
        <v>1.1868235294117646</v>
      </c>
      <c r="O7" s="2">
        <v>2</v>
      </c>
    </row>
    <row r="8" spans="1:15" x14ac:dyDescent="0.2">
      <c r="A8">
        <v>7</v>
      </c>
      <c r="B8">
        <v>1</v>
      </c>
      <c r="C8">
        <v>1083</v>
      </c>
      <c r="D8">
        <f>$O$1*(C8/F2)+(1-$O$1)*(D7+E7)</f>
        <v>1177.1905481144058</v>
      </c>
      <c r="E8">
        <f>$O$2*(D8-D7)+(1-$O$2)*E7</f>
        <v>66.8</v>
      </c>
      <c r="F8">
        <f>$O$3*(C8/D8)+(1-$O$3)*F2</f>
        <v>0.9394866624682523</v>
      </c>
      <c r="G8">
        <f>(D7+E7)*F2</f>
        <v>985.2810352941176</v>
      </c>
      <c r="H8">
        <f>G8-C8</f>
        <v>-97.718964705882399</v>
      </c>
      <c r="I8">
        <f>H8*H8</f>
        <v>9548.9960631894901</v>
      </c>
      <c r="O8" s="2">
        <v>3</v>
      </c>
    </row>
    <row r="9" spans="1:15" x14ac:dyDescent="0.2">
      <c r="A9">
        <v>8</v>
      </c>
      <c r="B9">
        <v>2</v>
      </c>
      <c r="C9">
        <v>1527</v>
      </c>
      <c r="D9">
        <f t="shared" ref="D9:D25" si="1">$O$1*(C9/F3)+(1-$O$1)*(D8+E8)</f>
        <v>1433.9619272865179</v>
      </c>
      <c r="E9">
        <f t="shared" ref="E9:E25" si="2">$O$2*(D9-D8)+(1-$O$2)*E8</f>
        <v>66.8</v>
      </c>
      <c r="F9">
        <f t="shared" ref="F9:F25" si="3">$O$3*(C9/D9)+(1-$O$3)*F3</f>
        <v>1.1307109834659412</v>
      </c>
      <c r="G9">
        <f t="shared" ref="G9:G25" si="4">(D8+E8)*F3</f>
        <v>1125.1528628121825</v>
      </c>
      <c r="H9">
        <f t="shared" ref="H9:H25" si="5">G9-C9</f>
        <v>-401.84713718781745</v>
      </c>
      <c r="I9">
        <f t="shared" ref="I9:I25" si="6">H9*H9</f>
        <v>161481.12166604458</v>
      </c>
      <c r="O9" s="2">
        <v>4</v>
      </c>
    </row>
    <row r="10" spans="1:15" x14ac:dyDescent="0.2">
      <c r="A10">
        <v>9</v>
      </c>
      <c r="B10">
        <v>3</v>
      </c>
      <c r="C10">
        <v>1619</v>
      </c>
      <c r="D10">
        <f t="shared" si="1"/>
        <v>1543.9062138826869</v>
      </c>
      <c r="E10">
        <f t="shared" si="2"/>
        <v>66.8</v>
      </c>
      <c r="F10">
        <f t="shared" si="3"/>
        <v>1.0641573709859873</v>
      </c>
      <c r="G10">
        <f t="shared" si="4"/>
        <v>1517.0054681465601</v>
      </c>
      <c r="H10">
        <f t="shared" si="5"/>
        <v>-101.99453185343987</v>
      </c>
      <c r="I10">
        <f t="shared" si="6"/>
        <v>10402.88452800236</v>
      </c>
      <c r="O10" s="2">
        <v>5</v>
      </c>
    </row>
    <row r="11" spans="1:15" x14ac:dyDescent="0.2">
      <c r="A11">
        <v>10</v>
      </c>
      <c r="B11">
        <v>4</v>
      </c>
      <c r="C11">
        <v>1232</v>
      </c>
      <c r="D11">
        <f t="shared" si="1"/>
        <v>1412.9653240836269</v>
      </c>
      <c r="E11">
        <f t="shared" si="2"/>
        <v>66.8</v>
      </c>
      <c r="F11">
        <f t="shared" si="3"/>
        <v>0.78943270553875777</v>
      </c>
      <c r="G11">
        <f t="shared" si="4"/>
        <v>1728.193020071777</v>
      </c>
      <c r="H11">
        <f t="shared" si="5"/>
        <v>496.19302007177703</v>
      </c>
      <c r="I11">
        <f t="shared" si="6"/>
        <v>246207.51316795091</v>
      </c>
      <c r="O11" s="2">
        <v>6</v>
      </c>
    </row>
    <row r="12" spans="1:15" x14ac:dyDescent="0.2">
      <c r="A12">
        <v>11</v>
      </c>
      <c r="B12">
        <v>5</v>
      </c>
      <c r="C12">
        <v>1133</v>
      </c>
      <c r="D12">
        <f t="shared" si="1"/>
        <v>1355.6686967606097</v>
      </c>
      <c r="E12">
        <f t="shared" si="2"/>
        <v>66.8</v>
      </c>
      <c r="F12">
        <f t="shared" si="3"/>
        <v>0.78785038592750922</v>
      </c>
      <c r="G12">
        <f t="shared" si="4"/>
        <v>1409.4329486801225</v>
      </c>
      <c r="H12">
        <f t="shared" si="5"/>
        <v>276.43294868012254</v>
      </c>
      <c r="I12">
        <f t="shared" si="6"/>
        <v>76415.175115987266</v>
      </c>
    </row>
    <row r="13" spans="1:15" x14ac:dyDescent="0.2">
      <c r="A13">
        <v>12</v>
      </c>
      <c r="B13">
        <v>6</v>
      </c>
      <c r="C13">
        <v>1186</v>
      </c>
      <c r="D13">
        <f t="shared" si="1"/>
        <v>1241.5310186062372</v>
      </c>
      <c r="E13">
        <f t="shared" si="2"/>
        <v>66.8</v>
      </c>
      <c r="F13">
        <f t="shared" si="3"/>
        <v>0.86024868154035805</v>
      </c>
      <c r="G13">
        <f t="shared" si="4"/>
        <v>1688.2193191671799</v>
      </c>
      <c r="H13">
        <f t="shared" si="5"/>
        <v>502.21931916717995</v>
      </c>
      <c r="I13">
        <f t="shared" si="6"/>
        <v>252224.24454474577</v>
      </c>
    </row>
    <row r="14" spans="1:15" x14ac:dyDescent="0.2">
      <c r="A14">
        <v>13</v>
      </c>
      <c r="B14">
        <v>1</v>
      </c>
      <c r="C14">
        <v>1481</v>
      </c>
      <c r="D14">
        <f t="shared" si="1"/>
        <v>1422.9500218253506</v>
      </c>
      <c r="E14">
        <f t="shared" si="2"/>
        <v>66.8</v>
      </c>
      <c r="F14">
        <f t="shared" si="3"/>
        <v>1.0823703817615757</v>
      </c>
      <c r="G14">
        <f t="shared" si="4"/>
        <v>1229.1595420740628</v>
      </c>
      <c r="H14">
        <f t="shared" si="5"/>
        <v>-251.84045792593724</v>
      </c>
      <c r="I14">
        <f t="shared" si="6"/>
        <v>63423.616248345767</v>
      </c>
    </row>
    <row r="15" spans="1:15" x14ac:dyDescent="0.2">
      <c r="A15">
        <v>14</v>
      </c>
      <c r="B15">
        <v>2</v>
      </c>
      <c r="C15">
        <v>1827</v>
      </c>
      <c r="D15">
        <f t="shared" si="1"/>
        <v>1543.6459514318494</v>
      </c>
      <c r="E15">
        <f t="shared" si="2"/>
        <v>66.8</v>
      </c>
      <c r="F15">
        <f t="shared" si="3"/>
        <v>1.2052502348248968</v>
      </c>
      <c r="G15">
        <f t="shared" si="4"/>
        <v>1684.4767122965495</v>
      </c>
      <c r="H15">
        <f t="shared" si="5"/>
        <v>-142.52328770345048</v>
      </c>
      <c r="I15">
        <f t="shared" si="6"/>
        <v>20312.887537800518</v>
      </c>
    </row>
    <row r="16" spans="1:15" x14ac:dyDescent="0.2">
      <c r="A16">
        <v>15</v>
      </c>
      <c r="B16">
        <v>3</v>
      </c>
      <c r="C16">
        <v>1726</v>
      </c>
      <c r="D16">
        <f t="shared" si="1"/>
        <v>1615.3608646448524</v>
      </c>
      <c r="E16">
        <f t="shared" si="2"/>
        <v>66.8</v>
      </c>
      <c r="F16">
        <f t="shared" si="3"/>
        <v>1.0702706934000643</v>
      </c>
      <c r="G16">
        <f t="shared" si="4"/>
        <v>1713.7679297907439</v>
      </c>
      <c r="H16">
        <f t="shared" si="5"/>
        <v>-12.232070209256108</v>
      </c>
      <c r="I16">
        <f t="shared" si="6"/>
        <v>149.62354160417075</v>
      </c>
    </row>
    <row r="17" spans="1:9" x14ac:dyDescent="0.2">
      <c r="A17">
        <v>16</v>
      </c>
      <c r="B17">
        <v>4</v>
      </c>
      <c r="C17">
        <v>1383</v>
      </c>
      <c r="D17">
        <f t="shared" si="1"/>
        <v>1711.9763473163489</v>
      </c>
      <c r="E17">
        <f t="shared" si="2"/>
        <v>66.8</v>
      </c>
      <c r="F17">
        <f t="shared" si="3"/>
        <v>0.81539148961075902</v>
      </c>
      <c r="G17">
        <f t="shared" si="4"/>
        <v>1327.9528025280019</v>
      </c>
      <c r="H17">
        <f t="shared" si="5"/>
        <v>-55.047197471998061</v>
      </c>
      <c r="I17">
        <f t="shared" si="6"/>
        <v>3030.1939495211495</v>
      </c>
    </row>
    <row r="18" spans="1:9" x14ac:dyDescent="0.2">
      <c r="A18">
        <v>17</v>
      </c>
      <c r="B18">
        <v>5</v>
      </c>
      <c r="C18">
        <v>1443</v>
      </c>
      <c r="D18">
        <f t="shared" si="1"/>
        <v>1801.3483846513509</v>
      </c>
      <c r="E18">
        <f t="shared" si="2"/>
        <v>66.8</v>
      </c>
      <c r="F18">
        <f t="shared" si="3"/>
        <v>0.80649021581107994</v>
      </c>
      <c r="G18">
        <f t="shared" si="4"/>
        <v>1401.4096317119106</v>
      </c>
      <c r="H18">
        <f t="shared" si="5"/>
        <v>-41.590368288089394</v>
      </c>
      <c r="I18">
        <f t="shared" si="6"/>
        <v>1729.7587343389118</v>
      </c>
    </row>
    <row r="19" spans="1:9" x14ac:dyDescent="0.2">
      <c r="A19">
        <v>18</v>
      </c>
      <c r="B19">
        <v>6</v>
      </c>
      <c r="C19">
        <v>1708</v>
      </c>
      <c r="D19">
        <f t="shared" si="1"/>
        <v>1918.314283978616</v>
      </c>
      <c r="E19">
        <f t="shared" si="2"/>
        <v>66.8</v>
      </c>
      <c r="F19">
        <f t="shared" si="3"/>
        <v>0.90272413306132981</v>
      </c>
      <c r="G19">
        <f t="shared" si="4"/>
        <v>1607.0721848180742</v>
      </c>
      <c r="H19">
        <f t="shared" si="5"/>
        <v>-100.92781518192578</v>
      </c>
      <c r="I19">
        <f t="shared" si="6"/>
        <v>10186.423877396968</v>
      </c>
    </row>
    <row r="20" spans="1:9" x14ac:dyDescent="0.2">
      <c r="A20">
        <v>19</v>
      </c>
      <c r="B20">
        <v>1</v>
      </c>
      <c r="C20">
        <v>2277</v>
      </c>
      <c r="D20">
        <f t="shared" si="1"/>
        <v>2035.8265586128891</v>
      </c>
      <c r="E20">
        <f t="shared" si="2"/>
        <v>66.8</v>
      </c>
      <c r="F20">
        <f t="shared" si="3"/>
        <v>1.1332768961405013</v>
      </c>
      <c r="G20">
        <f t="shared" si="4"/>
        <v>2148.6289053902915</v>
      </c>
      <c r="H20">
        <f t="shared" si="5"/>
        <v>-128.37109460970851</v>
      </c>
      <c r="I20">
        <f t="shared" si="6"/>
        <v>16479.137931294732</v>
      </c>
    </row>
    <row r="21" spans="1:9" x14ac:dyDescent="0.2">
      <c r="A21">
        <v>20</v>
      </c>
      <c r="B21">
        <v>2</v>
      </c>
      <c r="C21">
        <v>2396</v>
      </c>
      <c r="D21">
        <f t="shared" si="1"/>
        <v>2053.6007502631523</v>
      </c>
      <c r="E21">
        <f t="shared" si="2"/>
        <v>66.8</v>
      </c>
      <c r="F21">
        <f t="shared" si="3"/>
        <v>1.1509238106234239</v>
      </c>
      <c r="G21">
        <f t="shared" si="4"/>
        <v>2534.1911535172494</v>
      </c>
      <c r="H21">
        <f t="shared" si="5"/>
        <v>138.1911535172494</v>
      </c>
      <c r="I21">
        <f t="shared" si="6"/>
        <v>19096.794910427991</v>
      </c>
    </row>
    <row r="22" spans="1:9" x14ac:dyDescent="0.2">
      <c r="A22">
        <v>21</v>
      </c>
      <c r="B22">
        <v>3</v>
      </c>
      <c r="C22">
        <v>2207</v>
      </c>
      <c r="D22">
        <f t="shared" si="1"/>
        <v>2095.4701888328168</v>
      </c>
      <c r="E22">
        <f t="shared" si="2"/>
        <v>66.8</v>
      </c>
      <c r="F22">
        <f t="shared" si="3"/>
        <v>1.0462287620625315</v>
      </c>
      <c r="G22">
        <f t="shared" si="4"/>
        <v>2269.4027812701606</v>
      </c>
      <c r="H22">
        <f t="shared" si="5"/>
        <v>62.402781270160631</v>
      </c>
      <c r="I22">
        <f t="shared" si="6"/>
        <v>3894.1071102515102</v>
      </c>
    </row>
    <row r="23" spans="1:9" x14ac:dyDescent="0.2">
      <c r="A23">
        <v>22</v>
      </c>
      <c r="B23">
        <v>4</v>
      </c>
      <c r="C23">
        <v>2047</v>
      </c>
      <c r="D23">
        <f t="shared" si="1"/>
        <v>2311.1466361719686</v>
      </c>
      <c r="E23">
        <f t="shared" si="2"/>
        <v>66.8</v>
      </c>
      <c r="F23">
        <f t="shared" si="3"/>
        <v>0.91456365970218068</v>
      </c>
      <c r="G23">
        <f t="shared" si="4"/>
        <v>1763.0967102133279</v>
      </c>
      <c r="H23">
        <f t="shared" si="5"/>
        <v>-283.90328978667208</v>
      </c>
      <c r="I23">
        <f t="shared" si="6"/>
        <v>80601.077951695101</v>
      </c>
    </row>
    <row r="24" spans="1:9" x14ac:dyDescent="0.2">
      <c r="A24">
        <v>23</v>
      </c>
      <c r="B24">
        <v>5</v>
      </c>
      <c r="C24">
        <v>2090</v>
      </c>
      <c r="D24">
        <f t="shared" si="1"/>
        <v>2469.2484183638662</v>
      </c>
      <c r="E24">
        <f t="shared" si="2"/>
        <v>66.8</v>
      </c>
      <c r="F24">
        <f t="shared" si="3"/>
        <v>0.86279414723294101</v>
      </c>
      <c r="G24">
        <f t="shared" si="4"/>
        <v>1917.7906957935627</v>
      </c>
      <c r="H24">
        <f t="shared" si="5"/>
        <v>-172.20930420643731</v>
      </c>
      <c r="I24">
        <f t="shared" si="6"/>
        <v>29656.044455265266</v>
      </c>
    </row>
    <row r="25" spans="1:9" x14ac:dyDescent="0.2">
      <c r="A25">
        <v>24</v>
      </c>
      <c r="B25">
        <v>6</v>
      </c>
      <c r="C25">
        <v>2113</v>
      </c>
      <c r="D25">
        <f t="shared" si="1"/>
        <v>2452.5174813887274</v>
      </c>
      <c r="E25">
        <f t="shared" si="2"/>
        <v>66.8</v>
      </c>
      <c r="F25">
        <f t="shared" si="3"/>
        <v>0.84467236639467058</v>
      </c>
      <c r="G25">
        <f t="shared" si="4"/>
        <v>2289.352109869078</v>
      </c>
      <c r="H25">
        <f t="shared" si="5"/>
        <v>176.35210986907805</v>
      </c>
      <c r="I25">
        <f t="shared" si="6"/>
        <v>31100.066655275376</v>
      </c>
    </row>
    <row r="26" spans="1:9" x14ac:dyDescent="0.2">
      <c r="A26">
        <v>25</v>
      </c>
      <c r="B26">
        <v>1</v>
      </c>
      <c r="G26">
        <f>($D$25+O6*$E$25)*F20</f>
        <v>2855.0842957007226</v>
      </c>
    </row>
    <row r="27" spans="1:9" x14ac:dyDescent="0.2">
      <c r="A27">
        <v>26</v>
      </c>
      <c r="B27">
        <v>2</v>
      </c>
      <c r="G27">
        <f t="shared" ref="G27:G31" si="7">($D$25+O7*$E$25)*F21</f>
        <v>2976.4241863997654</v>
      </c>
    </row>
    <row r="28" spans="1:9" x14ac:dyDescent="0.2">
      <c r="A28">
        <v>27</v>
      </c>
      <c r="B28">
        <v>3</v>
      </c>
      <c r="G28">
        <f t="shared" si="7"/>
        <v>2775.5585724073771</v>
      </c>
    </row>
    <row r="29" spans="1:9" x14ac:dyDescent="0.2">
      <c r="A29">
        <v>28</v>
      </c>
      <c r="B29">
        <v>4</v>
      </c>
      <c r="G29">
        <f t="shared" si="7"/>
        <v>2487.3547731348717</v>
      </c>
    </row>
    <row r="30" spans="1:9" x14ac:dyDescent="0.2">
      <c r="A30">
        <v>29</v>
      </c>
      <c r="B30">
        <v>5</v>
      </c>
      <c r="G30">
        <f t="shared" si="7"/>
        <v>2404.1909741044697</v>
      </c>
    </row>
    <row r="31" spans="1:9" x14ac:dyDescent="0.2">
      <c r="A31">
        <v>30</v>
      </c>
      <c r="B31">
        <v>6</v>
      </c>
      <c r="G31">
        <f t="shared" si="7"/>
        <v>2410.1184290798974</v>
      </c>
    </row>
  </sheetData>
  <pageMargins left="0.7" right="0.7" top="0.75" bottom="0.75" header="0.3" footer="0.3"/>
  <pageSetup paperSize="9" orientation="portrait" horizontalDpi="0" verticalDpi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P34"/>
  <sheetViews>
    <sheetView tabSelected="1" workbookViewId="0">
      <selection activeCell="Q14" sqref="Q14"/>
    </sheetView>
  </sheetViews>
  <sheetFormatPr baseColWidth="10" defaultRowHeight="16" x14ac:dyDescent="0.2"/>
  <cols>
    <col min="1" max="1" width="31.1640625" bestFit="1" customWidth="1"/>
    <col min="3" max="3" width="19.5" bestFit="1" customWidth="1"/>
  </cols>
  <sheetData>
    <row r="4" spans="1:16" x14ac:dyDescent="0.2">
      <c r="A4" t="s">
        <v>53</v>
      </c>
      <c r="B4">
        <v>150</v>
      </c>
      <c r="P4">
        <f ca="1">B34</f>
        <v>21103.205746619296</v>
      </c>
    </row>
    <row r="5" spans="1:16" x14ac:dyDescent="0.2">
      <c r="A5" t="s">
        <v>54</v>
      </c>
      <c r="B5">
        <v>100</v>
      </c>
      <c r="O5">
        <v>1</v>
      </c>
      <c r="P5">
        <f t="dataTable" ref="P5:P11" dt2D="0" dtr="0" r1="M8" ca="1"/>
        <v>16649.166874638788</v>
      </c>
    </row>
    <row r="6" spans="1:16" x14ac:dyDescent="0.2">
      <c r="A6" t="s">
        <v>55</v>
      </c>
      <c r="B6" t="s">
        <v>56</v>
      </c>
      <c r="C6" t="s">
        <v>57</v>
      </c>
      <c r="O6">
        <v>2</v>
      </c>
      <c r="P6">
        <v>16649.166874638788</v>
      </c>
    </row>
    <row r="7" spans="1:16" x14ac:dyDescent="0.2">
      <c r="A7">
        <v>25</v>
      </c>
      <c r="B7" s="1">
        <v>0.05</v>
      </c>
      <c r="C7" s="1">
        <v>0</v>
      </c>
      <c r="O7">
        <v>3</v>
      </c>
      <c r="P7">
        <v>16649.166874638788</v>
      </c>
    </row>
    <row r="8" spans="1:16" x14ac:dyDescent="0.2">
      <c r="A8">
        <v>30</v>
      </c>
      <c r="B8" s="1">
        <v>0.1</v>
      </c>
      <c r="C8" s="1">
        <v>0.05</v>
      </c>
      <c r="O8">
        <v>4</v>
      </c>
      <c r="P8">
        <v>16649.166874638788</v>
      </c>
    </row>
    <row r="9" spans="1:16" x14ac:dyDescent="0.2">
      <c r="A9">
        <v>40</v>
      </c>
      <c r="B9" s="1">
        <v>0.2</v>
      </c>
      <c r="C9" s="1">
        <v>0.15</v>
      </c>
      <c r="O9">
        <v>5</v>
      </c>
      <c r="P9">
        <v>16649.166874638788</v>
      </c>
    </row>
    <row r="10" spans="1:16" x14ac:dyDescent="0.2">
      <c r="A10">
        <v>50</v>
      </c>
      <c r="B10" s="1">
        <v>0.25</v>
      </c>
      <c r="C10" s="1">
        <v>0.35</v>
      </c>
      <c r="O10">
        <v>6</v>
      </c>
      <c r="P10">
        <v>16649.166874638788</v>
      </c>
    </row>
    <row r="11" spans="1:16" x14ac:dyDescent="0.2">
      <c r="A11">
        <v>60</v>
      </c>
      <c r="B11" s="1">
        <v>0.25</v>
      </c>
      <c r="C11" s="1">
        <v>0.6</v>
      </c>
      <c r="O11">
        <v>7</v>
      </c>
      <c r="P11">
        <v>16649.166874638788</v>
      </c>
    </row>
    <row r="12" spans="1:16" x14ac:dyDescent="0.2">
      <c r="A12">
        <v>70</v>
      </c>
      <c r="B12" s="1">
        <v>0.1</v>
      </c>
      <c r="C12" s="1">
        <v>0.85</v>
      </c>
    </row>
    <row r="13" spans="1:16" x14ac:dyDescent="0.2">
      <c r="A13">
        <v>80</v>
      </c>
      <c r="B13" s="1">
        <v>0.05</v>
      </c>
      <c r="C13" s="1">
        <v>0.95</v>
      </c>
    </row>
    <row r="15" spans="1:16" x14ac:dyDescent="0.2">
      <c r="A15" t="s">
        <v>58</v>
      </c>
      <c r="B15" s="14">
        <v>7</v>
      </c>
    </row>
    <row r="16" spans="1:16" x14ac:dyDescent="0.2">
      <c r="A16" t="s">
        <v>59</v>
      </c>
      <c r="B16" s="14">
        <v>2</v>
      </c>
    </row>
    <row r="17" spans="1:13" x14ac:dyDescent="0.2">
      <c r="A17" t="s">
        <v>60</v>
      </c>
      <c r="B17">
        <v>500</v>
      </c>
    </row>
    <row r="18" spans="1:13" x14ac:dyDescent="0.2">
      <c r="A18" s="2" t="s">
        <v>61</v>
      </c>
      <c r="B18" s="2"/>
      <c r="C18" s="2" t="s">
        <v>62</v>
      </c>
    </row>
    <row r="19" spans="1:13" x14ac:dyDescent="0.2">
      <c r="A19" s="2">
        <v>1</v>
      </c>
      <c r="B19" s="2">
        <v>30</v>
      </c>
      <c r="C19" s="2">
        <v>10</v>
      </c>
    </row>
    <row r="20" spans="1:13" x14ac:dyDescent="0.2">
      <c r="A20" s="2">
        <v>31</v>
      </c>
      <c r="B20" s="2">
        <v>60</v>
      </c>
      <c r="C20" s="2">
        <v>8</v>
      </c>
    </row>
    <row r="21" spans="1:13" x14ac:dyDescent="0.2">
      <c r="A21" s="2">
        <v>61</v>
      </c>
      <c r="B21" s="2"/>
      <c r="C21" s="2">
        <v>6</v>
      </c>
    </row>
    <row r="23" spans="1:13" x14ac:dyDescent="0.2">
      <c r="B23" t="s">
        <v>63</v>
      </c>
      <c r="C23" t="s">
        <v>64</v>
      </c>
      <c r="D23" t="s">
        <v>65</v>
      </c>
      <c r="E23" t="s">
        <v>66</v>
      </c>
      <c r="F23" t="s">
        <v>67</v>
      </c>
      <c r="G23" t="s">
        <v>68</v>
      </c>
      <c r="H23" t="s">
        <v>69</v>
      </c>
      <c r="I23" t="s">
        <v>70</v>
      </c>
      <c r="J23" t="s">
        <v>71</v>
      </c>
      <c r="K23" t="s">
        <v>72</v>
      </c>
      <c r="L23" t="s">
        <v>73</v>
      </c>
      <c r="M23" t="s">
        <v>74</v>
      </c>
    </row>
    <row r="24" spans="1:13" x14ac:dyDescent="0.2">
      <c r="A24" t="s">
        <v>26</v>
      </c>
      <c r="B24">
        <f ca="1">LOOKUP(RAND(),$C$7:$C$13,$A$7:$A$13)</f>
        <v>40</v>
      </c>
      <c r="C24">
        <f t="shared" ref="C24:M24" ca="1" si="0">LOOKUP(RAND(),$C$7:$C$13,$A$7:$A$13)</f>
        <v>70</v>
      </c>
      <c r="D24">
        <f t="shared" ca="1" si="0"/>
        <v>60</v>
      </c>
      <c r="E24">
        <f t="shared" ca="1" si="0"/>
        <v>60</v>
      </c>
      <c r="F24">
        <f t="shared" ca="1" si="0"/>
        <v>40</v>
      </c>
      <c r="G24">
        <f t="shared" ca="1" si="0"/>
        <v>40</v>
      </c>
      <c r="H24">
        <f t="shared" ca="1" si="0"/>
        <v>60</v>
      </c>
      <c r="I24">
        <f t="shared" ca="1" si="0"/>
        <v>70</v>
      </c>
      <c r="J24">
        <f t="shared" ca="1" si="0"/>
        <v>60</v>
      </c>
      <c r="K24">
        <f t="shared" ca="1" si="0"/>
        <v>60</v>
      </c>
      <c r="L24">
        <f t="shared" ca="1" si="0"/>
        <v>50</v>
      </c>
      <c r="M24">
        <f t="shared" ca="1" si="0"/>
        <v>30</v>
      </c>
    </row>
    <row r="25" spans="1:13" x14ac:dyDescent="0.2">
      <c r="A25" t="s">
        <v>75</v>
      </c>
      <c r="B25">
        <v>150</v>
      </c>
      <c r="C25">
        <f ca="1">B28</f>
        <v>110</v>
      </c>
      <c r="D25">
        <f t="shared" ref="D25:M25" ca="1" si="1">C28</f>
        <v>150</v>
      </c>
      <c r="E25">
        <f t="shared" ca="1" si="1"/>
        <v>150</v>
      </c>
      <c r="F25">
        <f t="shared" ca="1" si="1"/>
        <v>150</v>
      </c>
      <c r="G25">
        <f t="shared" ca="1" si="1"/>
        <v>110</v>
      </c>
      <c r="H25">
        <f t="shared" ca="1" si="1"/>
        <v>150</v>
      </c>
      <c r="I25">
        <f t="shared" ca="1" si="1"/>
        <v>150</v>
      </c>
      <c r="J25">
        <f t="shared" ca="1" si="1"/>
        <v>150</v>
      </c>
      <c r="K25">
        <f t="shared" ca="1" si="1"/>
        <v>150</v>
      </c>
      <c r="L25">
        <f t="shared" ca="1" si="1"/>
        <v>150</v>
      </c>
      <c r="M25">
        <f t="shared" ca="1" si="1"/>
        <v>100</v>
      </c>
    </row>
    <row r="26" spans="1:13" x14ac:dyDescent="0.2">
      <c r="A26" t="s">
        <v>78</v>
      </c>
      <c r="B26">
        <f ca="1">B25-B24</f>
        <v>110</v>
      </c>
      <c r="C26">
        <f ca="1">C25-C24</f>
        <v>40</v>
      </c>
      <c r="D26">
        <f t="shared" ref="D26:M26" ca="1" si="2">D25-D24</f>
        <v>90</v>
      </c>
      <c r="E26">
        <f t="shared" ca="1" si="2"/>
        <v>90</v>
      </c>
      <c r="F26">
        <f t="shared" ca="1" si="2"/>
        <v>110</v>
      </c>
      <c r="G26">
        <f t="shared" ca="1" si="2"/>
        <v>70</v>
      </c>
      <c r="H26">
        <f t="shared" ca="1" si="2"/>
        <v>90</v>
      </c>
      <c r="I26">
        <f t="shared" ca="1" si="2"/>
        <v>80</v>
      </c>
      <c r="J26">
        <f t="shared" ca="1" si="2"/>
        <v>90</v>
      </c>
      <c r="K26">
        <f t="shared" ca="1" si="2"/>
        <v>90</v>
      </c>
      <c r="L26">
        <f t="shared" ca="1" si="2"/>
        <v>100</v>
      </c>
      <c r="M26">
        <f t="shared" ca="1" si="2"/>
        <v>70</v>
      </c>
    </row>
    <row r="27" spans="1:13" x14ac:dyDescent="0.2">
      <c r="A27" t="s">
        <v>77</v>
      </c>
      <c r="B27">
        <f ca="1">IF(B26&lt;100,$B$4-B26,0)</f>
        <v>0</v>
      </c>
      <c r="C27">
        <f t="shared" ref="C27:M27" ca="1" si="3">IF(C26&lt;100,$B$4-C26,0)</f>
        <v>110</v>
      </c>
      <c r="D27">
        <f t="shared" ca="1" si="3"/>
        <v>60</v>
      </c>
      <c r="E27">
        <f t="shared" ca="1" si="3"/>
        <v>60</v>
      </c>
      <c r="F27">
        <f t="shared" ca="1" si="3"/>
        <v>0</v>
      </c>
      <c r="G27">
        <f t="shared" ca="1" si="3"/>
        <v>80</v>
      </c>
      <c r="H27">
        <f t="shared" ca="1" si="3"/>
        <v>60</v>
      </c>
      <c r="I27">
        <f t="shared" ca="1" si="3"/>
        <v>70</v>
      </c>
      <c r="J27">
        <f t="shared" ca="1" si="3"/>
        <v>60</v>
      </c>
      <c r="K27">
        <f t="shared" ca="1" si="3"/>
        <v>60</v>
      </c>
      <c r="L27">
        <f t="shared" ca="1" si="3"/>
        <v>0</v>
      </c>
      <c r="M27">
        <f t="shared" ca="1" si="3"/>
        <v>80</v>
      </c>
    </row>
    <row r="28" spans="1:13" x14ac:dyDescent="0.2">
      <c r="A28" t="s">
        <v>76</v>
      </c>
      <c r="B28">
        <f ca="1">B26+B27</f>
        <v>110</v>
      </c>
      <c r="C28">
        <f t="shared" ref="C28:M28" ca="1" si="4">C26+C27</f>
        <v>150</v>
      </c>
      <c r="D28">
        <f t="shared" ca="1" si="4"/>
        <v>150</v>
      </c>
      <c r="E28">
        <f t="shared" ca="1" si="4"/>
        <v>150</v>
      </c>
      <c r="F28">
        <f t="shared" ca="1" si="4"/>
        <v>110</v>
      </c>
      <c r="G28">
        <f t="shared" ca="1" si="4"/>
        <v>150</v>
      </c>
      <c r="H28">
        <f t="shared" ca="1" si="4"/>
        <v>150</v>
      </c>
      <c r="I28">
        <f t="shared" ca="1" si="4"/>
        <v>150</v>
      </c>
      <c r="J28">
        <f t="shared" ca="1" si="4"/>
        <v>150</v>
      </c>
      <c r="K28">
        <f t="shared" ca="1" si="4"/>
        <v>150</v>
      </c>
      <c r="L28">
        <f t="shared" ca="1" si="4"/>
        <v>100</v>
      </c>
      <c r="M28">
        <f t="shared" ca="1" si="4"/>
        <v>150</v>
      </c>
    </row>
    <row r="29" spans="1:13" x14ac:dyDescent="0.2">
      <c r="A29" t="s">
        <v>79</v>
      </c>
      <c r="B29">
        <f ca="1">B28*_xlfn.NORM.INV(RAND(),$B$15,$B$16)</f>
        <v>538.32391078622607</v>
      </c>
      <c r="C29">
        <f t="shared" ref="C29:M29" ca="1" si="5">C28*_xlfn.NORM.INV(RAND(),$B$15,$B$16)</f>
        <v>1103.4696723706315</v>
      </c>
      <c r="D29">
        <f t="shared" ca="1" si="5"/>
        <v>1140.1783270482913</v>
      </c>
      <c r="E29">
        <f t="shared" ca="1" si="5"/>
        <v>1735.314921891003</v>
      </c>
      <c r="F29">
        <f t="shared" ca="1" si="5"/>
        <v>1076.3573414041991</v>
      </c>
      <c r="G29">
        <f t="shared" ca="1" si="5"/>
        <v>1056.152659050254</v>
      </c>
      <c r="H29">
        <f t="shared" ca="1" si="5"/>
        <v>1004.5779167480019</v>
      </c>
      <c r="I29">
        <f t="shared" ca="1" si="5"/>
        <v>999.04386882151994</v>
      </c>
      <c r="J29">
        <f t="shared" ca="1" si="5"/>
        <v>742.10218353188429</v>
      </c>
      <c r="K29">
        <f t="shared" ca="1" si="5"/>
        <v>1036.4220536108701</v>
      </c>
      <c r="L29">
        <f t="shared" ca="1" si="5"/>
        <v>726.35096566226514</v>
      </c>
      <c r="M29">
        <f t="shared" ca="1" si="5"/>
        <v>1004.9119256941472</v>
      </c>
    </row>
    <row r="30" spans="1:13" x14ac:dyDescent="0.2">
      <c r="A30" t="s">
        <v>80</v>
      </c>
      <c r="B30">
        <f ca="1">IF(B27&gt;0,$B$17,0)</f>
        <v>0</v>
      </c>
      <c r="C30">
        <f t="shared" ref="C30:M30" ca="1" si="6">IF(C27&gt;0,$B$17,0)</f>
        <v>500</v>
      </c>
      <c r="D30">
        <f t="shared" ca="1" si="6"/>
        <v>500</v>
      </c>
      <c r="E30">
        <f t="shared" ca="1" si="6"/>
        <v>500</v>
      </c>
      <c r="F30">
        <f t="shared" ca="1" si="6"/>
        <v>0</v>
      </c>
      <c r="G30">
        <f t="shared" ca="1" si="6"/>
        <v>500</v>
      </c>
      <c r="H30">
        <f t="shared" ca="1" si="6"/>
        <v>500</v>
      </c>
      <c r="I30">
        <f t="shared" ca="1" si="6"/>
        <v>500</v>
      </c>
      <c r="J30">
        <f t="shared" ca="1" si="6"/>
        <v>500</v>
      </c>
      <c r="K30">
        <f t="shared" ca="1" si="6"/>
        <v>500</v>
      </c>
      <c r="L30">
        <f t="shared" ca="1" si="6"/>
        <v>0</v>
      </c>
      <c r="M30">
        <f t="shared" ca="1" si="6"/>
        <v>500</v>
      </c>
    </row>
    <row r="31" spans="1:13" x14ac:dyDescent="0.2">
      <c r="A31" t="s">
        <v>81</v>
      </c>
      <c r="B31">
        <f ca="1">IF(B27=0,0,IF(B27&gt;=$A$19,IF(B27&lt;=$B$19,$C$19*$B$19,IF(B27&gt;$A$20,IF(B27&lt;=$B$20,B27*$C$20,IF(B27&gt;$A$21,B27*$C$21,0))))))</f>
        <v>0</v>
      </c>
      <c r="C31">
        <f t="shared" ref="C31:M31" ca="1" si="7">IF(C27=0,0,IF(C27&gt;=$A$19,IF(C27&lt;=$B$19,$C$19*$B$19,IF(C27&gt;$A$20,IF(C27&lt;=$B$20,C27*$C$20,IF(C27&gt;$A$21,C27*$C$21,0))))))</f>
        <v>660</v>
      </c>
      <c r="D31">
        <f t="shared" ca="1" si="7"/>
        <v>480</v>
      </c>
      <c r="E31">
        <f t="shared" ca="1" si="7"/>
        <v>480</v>
      </c>
      <c r="F31">
        <f t="shared" ca="1" si="7"/>
        <v>0</v>
      </c>
      <c r="G31">
        <f t="shared" ca="1" si="7"/>
        <v>480</v>
      </c>
      <c r="H31">
        <f t="shared" ca="1" si="7"/>
        <v>480</v>
      </c>
      <c r="I31">
        <f t="shared" ca="1" si="7"/>
        <v>420</v>
      </c>
      <c r="J31">
        <f t="shared" ca="1" si="7"/>
        <v>480</v>
      </c>
      <c r="K31">
        <f t="shared" ca="1" si="7"/>
        <v>480</v>
      </c>
      <c r="L31">
        <f t="shared" ca="1" si="7"/>
        <v>0</v>
      </c>
      <c r="M31">
        <f t="shared" ca="1" si="7"/>
        <v>480</v>
      </c>
    </row>
    <row r="32" spans="1:13" x14ac:dyDescent="0.2">
      <c r="A32" t="s">
        <v>82</v>
      </c>
      <c r="B32">
        <f ca="1">B29+B30+B31</f>
        <v>538.32391078622607</v>
      </c>
      <c r="C32">
        <f t="shared" ref="C32:M32" ca="1" si="8">C29+C30+C31</f>
        <v>2263.4696723706315</v>
      </c>
      <c r="D32">
        <f t="shared" ca="1" si="8"/>
        <v>2120.1783270482911</v>
      </c>
      <c r="E32">
        <f t="shared" ca="1" si="8"/>
        <v>2715.314921891003</v>
      </c>
      <c r="F32">
        <f t="shared" ca="1" si="8"/>
        <v>1076.3573414041991</v>
      </c>
      <c r="G32">
        <f t="shared" ca="1" si="8"/>
        <v>2036.152659050254</v>
      </c>
      <c r="H32">
        <f t="shared" ca="1" si="8"/>
        <v>1984.5779167480018</v>
      </c>
      <c r="I32">
        <f t="shared" ca="1" si="8"/>
        <v>1919.0438688215199</v>
      </c>
      <c r="J32">
        <f t="shared" ca="1" si="8"/>
        <v>1722.1021835318843</v>
      </c>
      <c r="K32">
        <f t="shared" ca="1" si="8"/>
        <v>2016.4220536108701</v>
      </c>
      <c r="L32">
        <f t="shared" ca="1" si="8"/>
        <v>726.35096566226514</v>
      </c>
      <c r="M32">
        <f t="shared" ca="1" si="8"/>
        <v>1984.9119256941472</v>
      </c>
    </row>
    <row r="34" spans="2:2" x14ac:dyDescent="0.2">
      <c r="B34">
        <f ca="1">SUM(B32:M32)</f>
        <v>21103.205746619296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I.1) </vt:lpstr>
      <vt:lpstr>I) 2)</vt:lpstr>
      <vt:lpstr>Classique.Multi</vt:lpstr>
      <vt:lpstr>Holt Winter s</vt:lpstr>
      <vt:lpstr>Simulation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2017-06-30T10:34:01Z</dcterms:created>
  <dcterms:modified xsi:type="dcterms:W3CDTF">2017-06-30T12:00:18Z</dcterms:modified>
</cp:coreProperties>
</file>