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1600" windowHeight="9735" tabRatio="500"/>
  </bookViews>
  <sheets>
    <sheet name="Présentation" sheetId="3" r:id="rId1"/>
    <sheet name="Calculs" sheetId="1" r:id="rId2"/>
    <sheet name="Données" sheetId="2" r:id="rId3"/>
    <sheet name="Matrice" sheetId="4" r:id="rId4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3" i="1" l="1"/>
  <c r="C15" i="1"/>
  <c r="E15" i="1"/>
  <c r="A18" i="1"/>
  <c r="B18" i="1"/>
  <c r="C18" i="1"/>
  <c r="E18" i="1"/>
  <c r="G18" i="1"/>
  <c r="C3" i="4"/>
  <c r="F18" i="1"/>
  <c r="B3" i="4"/>
  <c r="D18" i="1"/>
  <c r="A11" i="1"/>
  <c r="B4" i="4"/>
  <c r="E4" i="4"/>
  <c r="D4" i="4"/>
  <c r="C4" i="4"/>
  <c r="E3" i="4"/>
  <c r="D3" i="4"/>
  <c r="E2" i="4"/>
  <c r="D2" i="4"/>
  <c r="C2" i="4"/>
  <c r="B2" i="4"/>
  <c r="B15" i="1"/>
  <c r="D15" i="1"/>
  <c r="E21" i="3"/>
  <c r="E22" i="1"/>
  <c r="F22" i="1"/>
  <c r="G22" i="1"/>
  <c r="H22" i="1"/>
  <c r="J22" i="1"/>
  <c r="K22" i="1"/>
  <c r="E27" i="3"/>
  <c r="E26" i="3"/>
  <c r="E24" i="3"/>
  <c r="E23" i="3"/>
  <c r="E20" i="3"/>
  <c r="E19" i="3"/>
  <c r="A4" i="1"/>
  <c r="A7" i="1"/>
  <c r="C7" i="1"/>
  <c r="C13" i="3"/>
  <c r="D7" i="1"/>
  <c r="D13" i="3"/>
  <c r="B7" i="1"/>
  <c r="B13" i="3"/>
</calcChain>
</file>

<file path=xl/sharedStrings.xml><?xml version="1.0" encoding="utf-8"?>
<sst xmlns="http://schemas.openxmlformats.org/spreadsheetml/2006/main" count="88" uniqueCount="66">
  <si>
    <t>Nb de jours réservés/sem</t>
  </si>
  <si>
    <t>Montant horaire</t>
  </si>
  <si>
    <t>Tranche revenu 1</t>
  </si>
  <si>
    <t>Tranche revenu 2</t>
  </si>
  <si>
    <t>Tranche revenu 3</t>
  </si>
  <si>
    <t>Enfants à charge</t>
  </si>
  <si>
    <t>Revenus</t>
  </si>
  <si>
    <t>Inférieurs à</t>
  </si>
  <si>
    <t>Ne dépassant pas</t>
  </si>
  <si>
    <t>Supérieurs à</t>
  </si>
  <si>
    <t>CMG si enfant né ou adopté à partir du 1er avril 2014</t>
  </si>
  <si>
    <t>Elève seul(e) ses enfants</t>
  </si>
  <si>
    <t>Tranche 1</t>
  </si>
  <si>
    <t>Tranche 2</t>
  </si>
  <si>
    <t>Tranche 3</t>
  </si>
  <si>
    <t>plafonds de revenus</t>
  </si>
  <si>
    <t>0 enfants</t>
  </si>
  <si>
    <t>par enfant supplémentaires</t>
  </si>
  <si>
    <t>Nombre de journée de garde</t>
  </si>
  <si>
    <t>Tranche de revenus</t>
  </si>
  <si>
    <t>pour les parents présents</t>
  </si>
  <si>
    <t>tranche</t>
  </si>
  <si>
    <t>Coût horaire</t>
  </si>
  <si>
    <t>Nb d'heure de garde/sem</t>
  </si>
  <si>
    <t>Coût sem</t>
  </si>
  <si>
    <t>Remboursement CAF</t>
  </si>
  <si>
    <t>montant max</t>
  </si>
  <si>
    <t>remboursement reel</t>
  </si>
  <si>
    <t>max pour les parents</t>
  </si>
  <si>
    <t>coût réel</t>
  </si>
  <si>
    <t>Calcul des coûts et remboursement réels pour les parents</t>
  </si>
  <si>
    <t>Si votre enfant né ou adopté à partir du 1er avril 2014</t>
  </si>
  <si>
    <t>Le coût horaire de garde sera de</t>
  </si>
  <si>
    <t>Le coût hebdomadaire de garde sera de</t>
  </si>
  <si>
    <t>Le coût mensuel de garde sera de</t>
  </si>
  <si>
    <t>Le montant maximum remboursé par la CAF est de</t>
  </si>
  <si>
    <t>Le remboursement réel de la CAF sera de</t>
  </si>
  <si>
    <t>Le coût réel mensuel de la garde BeeBaby sera de</t>
  </si>
  <si>
    <r>
      <rPr>
        <b/>
        <sz val="12"/>
        <color theme="1"/>
        <rFont val="Calibri"/>
        <family val="2"/>
        <scheme val="minor"/>
      </rPr>
      <t>Q1</t>
    </r>
    <r>
      <rPr>
        <sz val="12"/>
        <color theme="1"/>
        <rFont val="Calibri"/>
        <family val="2"/>
        <scheme val="minor"/>
      </rPr>
      <t>: Elevez-vous seul(e) votre enfant?</t>
    </r>
  </si>
  <si>
    <r>
      <rPr>
        <b/>
        <sz val="12"/>
        <color theme="1"/>
        <rFont val="Calibri"/>
        <family val="2"/>
        <scheme val="minor"/>
      </rPr>
      <t>Q2</t>
    </r>
    <r>
      <rPr>
        <sz val="12"/>
        <color theme="1"/>
        <rFont val="Calibri"/>
        <family val="2"/>
        <scheme val="minor"/>
      </rPr>
      <t>: Combien d'enfant avez-vous à charge?</t>
    </r>
  </si>
  <si>
    <r>
      <rPr>
        <b/>
        <sz val="12"/>
        <color theme="1"/>
        <rFont val="Calibri"/>
        <family val="2"/>
        <scheme val="minor"/>
      </rPr>
      <t>Q3</t>
    </r>
    <r>
      <rPr>
        <sz val="12"/>
        <color theme="1"/>
        <rFont val="Calibri"/>
        <family val="2"/>
        <scheme val="minor"/>
      </rPr>
      <t>: Dans quelle tranche de revenus vous trouvez-vous?</t>
    </r>
  </si>
  <si>
    <r>
      <rPr>
        <b/>
        <sz val="12"/>
        <color theme="1"/>
        <rFont val="Calibri"/>
        <family val="2"/>
        <scheme val="minor"/>
      </rPr>
      <t>Q4</t>
    </r>
    <r>
      <rPr>
        <sz val="12"/>
        <color theme="1"/>
        <rFont val="Calibri"/>
        <family val="2"/>
        <scheme val="minor"/>
      </rPr>
      <t>: Combien de jours par semaine votre enfant passera chez BeeBaby?</t>
    </r>
  </si>
  <si>
    <r>
      <rPr>
        <b/>
        <sz val="12"/>
        <color theme="1"/>
        <rFont val="Calibri"/>
        <family val="2"/>
        <scheme val="minor"/>
      </rPr>
      <t>Q5</t>
    </r>
    <r>
      <rPr>
        <sz val="12"/>
        <color theme="1"/>
        <rFont val="Calibri"/>
        <family val="2"/>
        <scheme val="minor"/>
      </rPr>
      <t>: Combien d'heure par semaine votre enfant passera chez BeeBaby?</t>
    </r>
  </si>
  <si>
    <t>Lundi</t>
  </si>
  <si>
    <t>Mardi</t>
  </si>
  <si>
    <t>Mercredi</t>
  </si>
  <si>
    <t>Jeudi</t>
  </si>
  <si>
    <t>Vendredi</t>
  </si>
  <si>
    <t xml:space="preserve"> </t>
  </si>
  <si>
    <t>OUI</t>
  </si>
  <si>
    <t>coût réel horaire approximatif de la garde après déduction d'impôts</t>
  </si>
  <si>
    <t>coût réel annuel</t>
  </si>
  <si>
    <t>coût réel annuel apres déduction d'impôts</t>
  </si>
  <si>
    <t>rembousement max d'impôts</t>
  </si>
  <si>
    <t>Le coût réel horaire estimé de la garde après déduction d'impôts sera de</t>
  </si>
  <si>
    <t>Coût Annuel</t>
  </si>
  <si>
    <t>Coût Mensuel Tanche 3</t>
  </si>
  <si>
    <t>Coût Mensuel Tranche 1</t>
  </si>
  <si>
    <t>Coût Mensuel Tranche 2</t>
  </si>
  <si>
    <t>non</t>
  </si>
  <si>
    <t>Volume horaire</t>
  </si>
  <si>
    <t>0 à 15</t>
  </si>
  <si>
    <t>15 à 25</t>
  </si>
  <si>
    <t>25 à 35</t>
  </si>
  <si>
    <t>plus de 35</t>
  </si>
  <si>
    <t>Coût Mensuel Tranche 2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</si>
</sst>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0\ &quot;€&quot;"/>
    <numFmt numFmtId="165" formatCode="00\ 000.00\ &quot;€&quot;"/>
    <numFmt numFmtId="166" formatCode="#,##0.00\ &quot;€&quot;"/>
    <numFmt numFmtId="167" formatCode="&quot;€&quot;#,##0.00"/>
  </numFmts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9" fontId="0" fillId="11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0" fillId="7" borderId="7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6" borderId="11" xfId="0" applyNumberFormat="1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9" fontId="0" fillId="11" borderId="8" xfId="0" applyNumberFormat="1" applyFill="1" applyBorder="1" applyAlignment="1">
      <alignment horizontal="center"/>
    </xf>
    <xf numFmtId="9" fontId="0" fillId="11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4" fillId="12" borderId="0" xfId="5" applyAlignment="1">
      <alignment horizontal="center"/>
    </xf>
    <xf numFmtId="1" fontId="0" fillId="0" borderId="0" xfId="0" applyNumberFormat="1" applyAlignment="1">
      <alignment horizontal="center"/>
    </xf>
    <xf numFmtId="1" fontId="4" fillId="12" borderId="0" xfId="5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5" fillId="13" borderId="0" xfId="6" applyNumberFormat="1"/>
    <xf numFmtId="166" fontId="5" fillId="13" borderId="0" xfId="6" applyNumberFormat="1" applyAlignment="1">
      <alignment horizontal="center"/>
    </xf>
    <xf numFmtId="0" fontId="5" fillId="13" borderId="0" xfId="6"/>
    <xf numFmtId="49" fontId="0" fillId="0" borderId="0" xfId="0" applyNumberFormat="1"/>
    <xf numFmtId="0" fontId="8" fillId="0" borderId="0" xfId="0" applyFont="1"/>
    <xf numFmtId="166" fontId="10" fillId="13" borderId="0" xfId="6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12" borderId="0" xfId="5" applyFont="1" applyAlignment="1">
      <alignment horizontal="center"/>
    </xf>
    <xf numFmtId="0" fontId="0" fillId="0" borderId="16" xfId="0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166" fontId="0" fillId="14" borderId="21" xfId="0" applyNumberFormat="1" applyFill="1" applyBorder="1" applyAlignment="1">
      <alignment horizontal="center"/>
    </xf>
    <xf numFmtId="166" fontId="0" fillId="7" borderId="22" xfId="0" applyNumberFormat="1" applyFill="1" applyBorder="1" applyAlignment="1">
      <alignment horizontal="center"/>
    </xf>
    <xf numFmtId="166" fontId="11" fillId="13" borderId="1" xfId="6" applyNumberFormat="1" applyFont="1" applyBorder="1" applyAlignment="1">
      <alignment horizontal="center"/>
    </xf>
    <xf numFmtId="166" fontId="11" fillId="13" borderId="0" xfId="6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9" fillId="0" borderId="0" xfId="0" applyNumberFormat="1" applyFont="1" applyAlignment="1">
      <alignment horizontal="center"/>
    </xf>
    <xf numFmtId="166" fontId="4" fillId="12" borderId="0" xfId="5" applyNumberFormat="1"/>
    <xf numFmtId="0" fontId="0" fillId="9" borderId="1" xfId="0" applyFill="1" applyBorder="1"/>
    <xf numFmtId="0" fontId="0" fillId="2" borderId="24" xfId="0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9" borderId="23" xfId="0" applyFill="1" applyBorder="1"/>
    <xf numFmtId="0" fontId="0" fillId="8" borderId="16" xfId="0" applyFill="1" applyBorder="1" applyAlignment="1">
      <alignment horizontal="center"/>
    </xf>
    <xf numFmtId="0" fontId="0" fillId="0" borderId="0" xfId="0" applyBorder="1"/>
    <xf numFmtId="0" fontId="0" fillId="16" borderId="16" xfId="0" applyFill="1" applyBorder="1"/>
    <xf numFmtId="2" fontId="5" fillId="13" borderId="0" xfId="6" applyNumberFormat="1" applyAlignment="1">
      <alignment horizontal="center"/>
    </xf>
    <xf numFmtId="0" fontId="0" fillId="0" borderId="0" xfId="0" applyAlignment="1">
      <alignment horizontal="center"/>
    </xf>
    <xf numFmtId="3" fontId="0" fillId="5" borderId="23" xfId="0" applyNumberFormat="1" applyFill="1" applyBorder="1"/>
    <xf numFmtId="3" fontId="0" fillId="6" borderId="23" xfId="0" applyNumberFormat="1" applyFill="1" applyBorder="1"/>
    <xf numFmtId="3" fontId="0" fillId="7" borderId="23" xfId="0" applyNumberFormat="1" applyFill="1" applyBorder="1"/>
    <xf numFmtId="3" fontId="0" fillId="5" borderId="1" xfId="0" applyNumberFormat="1" applyFill="1" applyBorder="1"/>
    <xf numFmtId="3" fontId="0" fillId="6" borderId="1" xfId="0" applyNumberFormat="1" applyFill="1" applyBorder="1"/>
    <xf numFmtId="3" fontId="0" fillId="7" borderId="1" xfId="0" applyNumberFormat="1" applyFill="1" applyBorder="1"/>
    <xf numFmtId="0" fontId="0" fillId="0" borderId="0" xfId="0" applyAlignment="1">
      <alignment horizontal="center"/>
    </xf>
    <xf numFmtId="44" fontId="0" fillId="0" borderId="0" xfId="61" applyFont="1"/>
    <xf numFmtId="0" fontId="0" fillId="18" borderId="0" xfId="0" applyFill="1"/>
    <xf numFmtId="0" fontId="13" fillId="17" borderId="0" xfId="0" applyFont="1" applyFill="1"/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15" xfId="0" applyFill="1" applyBorder="1" applyAlignment="1">
      <alignment horizontal="center"/>
    </xf>
  </cellXfs>
  <cellStyles count="62">
    <cellStyle name="Lien hypertexte" xfId="1" builtinId="8" hidden="1"/>
    <cellStyle name="Lien hypertexte" xfId="3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2" builtinId="9" hidden="1"/>
    <cellStyle name="Lien hypertexte visité" xfId="4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Monétaire" xfId="61" builtinId="4"/>
    <cellStyle name="Neutre" xfId="6" builtinId="28"/>
    <cellStyle name="Normal" xfId="0" builtinId="0"/>
    <cellStyle name="Satisfaisant" xfId="5" builtinId="26"/>
  </cellStyles>
  <dxfs count="12">
    <dxf>
      <fill>
        <patternFill patternType="solid">
          <fgColor indexed="64"/>
          <bgColor theme="7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indexed="64"/>
          <bgColor theme="7" tint="0.59999389629810485"/>
        </patternFill>
      </fill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/>
        <top/>
        <bottom/>
      </border>
    </dxf>
    <dxf>
      <fill>
        <patternFill patternType="solid">
          <fgColor indexed="64"/>
          <bgColor theme="8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indexed="64"/>
          <bgColor theme="8" tint="0.59999389629810485"/>
        </patternFill>
      </fill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B11:B13" totalsRowShown="0" headerRowDxfId="11" dataDxfId="9" headerRowBorderDxfId="10">
  <tableColumns count="1">
    <tableColumn id="1" name="Tranche 1" dataDxfId="8">
      <calculatedColumnFormula>Calculs!B6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1:C13" totalsRowShown="0" headerRowDxfId="7" dataDxfId="5" headerRowBorderDxfId="6">
  <tableColumns count="1">
    <tableColumn id="1" name="Tranche 2" dataDxfId="4">
      <calculatedColumnFormula>Calculs!C6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1:D13" totalsRowShown="0" headerRowDxfId="3" dataDxfId="1" headerRowBorderDxfId="2">
  <tableColumns count="1">
    <tableColumn id="1" name="Tranche 3" dataDxfId="0">
      <calculatedColumnFormula>Calculs!D6</calculatedColumnFormula>
    </tableColumn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F3:K6" totalsRowShown="0">
  <autoFilter ref="F3:K6"/>
  <tableColumns count="6">
    <tableColumn id="1" name=" "/>
    <tableColumn id="2" name="Lundi"/>
    <tableColumn id="3" name="Mardi"/>
    <tableColumn id="4" name="Mercredi"/>
    <tableColumn id="5" name="Jeudi"/>
    <tableColumn id="6" name="Vendredi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E18" sqref="E18"/>
    </sheetView>
  </sheetViews>
  <sheetFormatPr baseColWidth="10" defaultRowHeight="15.75" x14ac:dyDescent="0.25"/>
  <cols>
    <col min="1" max="1" width="21.625" customWidth="1"/>
    <col min="2" max="4" width="16" style="24" customWidth="1"/>
    <col min="5" max="5" width="10.875" style="37"/>
    <col min="6" max="11" width="11" customWidth="1"/>
  </cols>
  <sheetData>
    <row r="1" spans="1:11" ht="21.75" thickBot="1" x14ac:dyDescent="0.4">
      <c r="A1" s="71" t="s">
        <v>30</v>
      </c>
      <c r="B1" s="72"/>
      <c r="C1" s="72"/>
      <c r="D1" s="72"/>
      <c r="E1" s="73"/>
    </row>
    <row r="3" spans="1:11" x14ac:dyDescent="0.25">
      <c r="A3" s="35" t="s">
        <v>31</v>
      </c>
      <c r="F3" t="s">
        <v>48</v>
      </c>
      <c r="G3" t="s">
        <v>43</v>
      </c>
      <c r="H3" t="s">
        <v>44</v>
      </c>
      <c r="I3" t="s">
        <v>45</v>
      </c>
      <c r="J3" t="s">
        <v>46</v>
      </c>
      <c r="K3" t="s">
        <v>47</v>
      </c>
    </row>
    <row r="4" spans="1:11" x14ac:dyDescent="0.25">
      <c r="F4" t="s">
        <v>12</v>
      </c>
      <c r="H4" t="s">
        <v>49</v>
      </c>
      <c r="I4" t="s">
        <v>49</v>
      </c>
      <c r="J4" t="s">
        <v>49</v>
      </c>
      <c r="K4" t="s">
        <v>49</v>
      </c>
    </row>
    <row r="5" spans="1:11" x14ac:dyDescent="0.25">
      <c r="A5" s="34" t="s">
        <v>38</v>
      </c>
      <c r="E5" s="38" t="s">
        <v>59</v>
      </c>
      <c r="F5" t="s">
        <v>13</v>
      </c>
    </row>
    <row r="6" spans="1:11" x14ac:dyDescent="0.25">
      <c r="F6" t="s">
        <v>14</v>
      </c>
    </row>
    <row r="7" spans="1:11" x14ac:dyDescent="0.25">
      <c r="A7" t="s">
        <v>39</v>
      </c>
      <c r="E7" s="38">
        <v>1</v>
      </c>
    </row>
    <row r="9" spans="1:11" x14ac:dyDescent="0.25">
      <c r="A9" t="s">
        <v>40</v>
      </c>
      <c r="E9" s="38">
        <v>2</v>
      </c>
    </row>
    <row r="10" spans="1:11" ht="16.5" thickBot="1" x14ac:dyDescent="0.3"/>
    <row r="11" spans="1:11" ht="16.5" thickBot="1" x14ac:dyDescent="0.3">
      <c r="B11" s="39" t="s">
        <v>12</v>
      </c>
      <c r="C11" s="39" t="s">
        <v>13</v>
      </c>
      <c r="D11" s="39" t="s">
        <v>14</v>
      </c>
    </row>
    <row r="12" spans="1:11" x14ac:dyDescent="0.25">
      <c r="B12" s="40" t="s">
        <v>7</v>
      </c>
      <c r="C12" s="41" t="s">
        <v>8</v>
      </c>
      <c r="D12" s="42" t="s">
        <v>9</v>
      </c>
    </row>
    <row r="13" spans="1:11" ht="16.5" thickBot="1" x14ac:dyDescent="0.3">
      <c r="B13" s="43">
        <f>Calculs!B7</f>
        <v>20509</v>
      </c>
      <c r="C13" s="44">
        <f>Calculs!C7</f>
        <v>45575</v>
      </c>
      <c r="D13" s="45">
        <f>Calculs!D7</f>
        <v>45575</v>
      </c>
    </row>
    <row r="15" spans="1:11" x14ac:dyDescent="0.25">
      <c r="A15" t="s">
        <v>41</v>
      </c>
      <c r="E15" s="38">
        <v>5</v>
      </c>
    </row>
    <row r="17" spans="1:5" x14ac:dyDescent="0.25">
      <c r="A17" t="s">
        <v>42</v>
      </c>
      <c r="E17" s="38">
        <v>23</v>
      </c>
    </row>
    <row r="19" spans="1:5" x14ac:dyDescent="0.25">
      <c r="A19" t="s">
        <v>32</v>
      </c>
      <c r="E19" s="36">
        <f>Calculs!E15</f>
        <v>7.75</v>
      </c>
    </row>
    <row r="20" spans="1:5" x14ac:dyDescent="0.25">
      <c r="A20" t="s">
        <v>33</v>
      </c>
      <c r="E20" s="36">
        <f>Calculs!B18</f>
        <v>178.25</v>
      </c>
    </row>
    <row r="21" spans="1:5" x14ac:dyDescent="0.25">
      <c r="A21" t="s">
        <v>34</v>
      </c>
      <c r="E21" s="47">
        <f>IF(E9=3,Calculs!G18,IF(E9=2,IF(E17&lt;=25,Calculs!D18,Calculs!E18),IF(OR(E17&lt;25,E17&gt;35),Calculs!D18,Calculs!E18)))</f>
        <v>648.27712360983742</v>
      </c>
    </row>
    <row r="23" spans="1:5" x14ac:dyDescent="0.25">
      <c r="A23" t="s">
        <v>35</v>
      </c>
      <c r="E23" s="36">
        <f>Calculs!E22</f>
        <v>727.29</v>
      </c>
    </row>
    <row r="24" spans="1:5" x14ac:dyDescent="0.25">
      <c r="A24" t="s">
        <v>36</v>
      </c>
      <c r="E24" s="47">
        <f>Calculs!F22</f>
        <v>592.5113495358728</v>
      </c>
    </row>
    <row r="26" spans="1:5" x14ac:dyDescent="0.25">
      <c r="A26" t="s">
        <v>37</v>
      </c>
      <c r="E26" s="46">
        <f>Calculs!G22</f>
        <v>104.56082638868349</v>
      </c>
    </row>
    <row r="27" spans="1:5" x14ac:dyDescent="0.25">
      <c r="A27" t="s">
        <v>54</v>
      </c>
      <c r="E27" s="46">
        <f>Calculs!K22</f>
        <v>0.52495645340236718</v>
      </c>
    </row>
    <row r="30" spans="1:5" x14ac:dyDescent="0.25">
      <c r="E30" s="49"/>
    </row>
  </sheetData>
  <mergeCells count="1">
    <mergeCell ref="A1:E1"/>
  </mergeCells>
  <phoneticPr fontId="1" type="noConversion"/>
  <dataValidations count="1">
    <dataValidation type="whole" allowBlank="1" showInputMessage="1" showErrorMessage="1" sqref="E9">
      <formula1>1</formula1>
      <formula2>3</formula2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G17" sqref="G17:G18"/>
    </sheetView>
  </sheetViews>
  <sheetFormatPr baseColWidth="10" defaultRowHeight="15.75" x14ac:dyDescent="0.25"/>
  <cols>
    <col min="1" max="1" width="24.125" bestFit="1" customWidth="1"/>
    <col min="2" max="3" width="15" customWidth="1"/>
    <col min="4" max="4" width="20.75" bestFit="1" customWidth="1"/>
    <col min="5" max="5" width="21.75" bestFit="1" customWidth="1"/>
    <col min="6" max="7" width="23.75" bestFit="1" customWidth="1"/>
    <col min="8" max="8" width="14" bestFit="1" customWidth="1"/>
    <col min="9" max="9" width="8.375" customWidth="1"/>
    <col min="10" max="10" width="15.125" customWidth="1"/>
    <col min="11" max="11" width="19.125" customWidth="1"/>
  </cols>
  <sheetData>
    <row r="1" spans="1:5" ht="16.5" thickBot="1" x14ac:dyDescent="0.3"/>
    <row r="2" spans="1:5" ht="16.5" thickBot="1" x14ac:dyDescent="0.3">
      <c r="A2" s="75" t="s">
        <v>10</v>
      </c>
      <c r="B2" s="76"/>
      <c r="C2" s="76"/>
      <c r="D2" s="77"/>
    </row>
    <row r="3" spans="1:5" x14ac:dyDescent="0.25">
      <c r="A3" s="26" t="s">
        <v>11</v>
      </c>
      <c r="B3" s="24"/>
      <c r="C3" s="1"/>
      <c r="D3" s="1"/>
    </row>
    <row r="4" spans="1:5" x14ac:dyDescent="0.25">
      <c r="A4" s="27" t="str">
        <f>Présentation!E5</f>
        <v>non</v>
      </c>
      <c r="B4" s="1"/>
      <c r="C4" s="1"/>
      <c r="D4" s="1"/>
    </row>
    <row r="5" spans="1:5" x14ac:dyDescent="0.25">
      <c r="B5" s="74" t="s">
        <v>6</v>
      </c>
      <c r="C5" s="74"/>
      <c r="D5" s="74"/>
    </row>
    <row r="6" spans="1:5" x14ac:dyDescent="0.25">
      <c r="A6" s="1" t="s">
        <v>5</v>
      </c>
      <c r="B6" s="1" t="s">
        <v>7</v>
      </c>
      <c r="C6" s="1" t="s">
        <v>8</v>
      </c>
      <c r="D6" s="1" t="s">
        <v>9</v>
      </c>
    </row>
    <row r="7" spans="1:5" x14ac:dyDescent="0.25">
      <c r="A7" s="27">
        <f>Présentation!E7</f>
        <v>1</v>
      </c>
      <c r="B7" s="25">
        <f>IF($A$4="OUI",IF($A$7="","",(Données!B12+$A$7*Données!B13)*1.4),IF($A$7="","",Données!B12+$A$7*Données!B13))</f>
        <v>20509</v>
      </c>
      <c r="C7" s="25">
        <f>IF($A$4="OUI",IF($A$7="","",(Données!C12+$A$7*Données!C13)*1.4),IF($A$7="","",Données!C12+$A$7*Données!C13))</f>
        <v>45575</v>
      </c>
      <c r="D7" s="25">
        <f>IF($A$4="OUI",IF($A$7="","",(Données!D12+$A$7*Données!D13)*1.4),IF($A$7="","",Données!D12+$A$7*Données!D13))</f>
        <v>45575</v>
      </c>
    </row>
    <row r="8" spans="1:5" x14ac:dyDescent="0.25">
      <c r="A8" s="1"/>
      <c r="B8" s="25" t="s">
        <v>12</v>
      </c>
      <c r="C8" s="25" t="s">
        <v>13</v>
      </c>
      <c r="D8" s="25" t="s">
        <v>14</v>
      </c>
    </row>
    <row r="9" spans="1:5" x14ac:dyDescent="0.25">
      <c r="A9" s="1"/>
      <c r="B9" s="25"/>
      <c r="C9" s="25"/>
      <c r="D9" s="25"/>
    </row>
    <row r="10" spans="1:5" x14ac:dyDescent="0.25">
      <c r="A10" s="24" t="s">
        <v>19</v>
      </c>
      <c r="B10" s="25"/>
      <c r="C10" s="25"/>
      <c r="D10" s="25"/>
    </row>
    <row r="11" spans="1:5" x14ac:dyDescent="0.25">
      <c r="A11" s="27">
        <f>Présentation!E9</f>
        <v>2</v>
      </c>
      <c r="B11" s="25"/>
      <c r="C11" s="25"/>
      <c r="D11" s="25"/>
    </row>
    <row r="12" spans="1:5" x14ac:dyDescent="0.25">
      <c r="A12" s="24"/>
      <c r="B12" s="25"/>
      <c r="C12" s="25"/>
      <c r="D12" s="25"/>
    </row>
    <row r="13" spans="1:5" x14ac:dyDescent="0.25">
      <c r="A13" s="24" t="s">
        <v>18</v>
      </c>
      <c r="B13" s="29">
        <f>Présentation!E15</f>
        <v>5</v>
      </c>
      <c r="C13" s="25"/>
      <c r="D13" s="25"/>
    </row>
    <row r="14" spans="1:5" x14ac:dyDescent="0.25">
      <c r="A14" s="24" t="s">
        <v>21</v>
      </c>
      <c r="B14" s="28">
        <v>1</v>
      </c>
      <c r="C14" s="28">
        <v>2</v>
      </c>
      <c r="D14" s="28">
        <v>3</v>
      </c>
      <c r="E14" s="25" t="s">
        <v>20</v>
      </c>
    </row>
    <row r="15" spans="1:5" x14ac:dyDescent="0.25">
      <c r="A15" s="24" t="s">
        <v>22</v>
      </c>
      <c r="B15" s="30">
        <f>VLOOKUP($B$13,Données!$A$4:$D$8,2)</f>
        <v>7.5</v>
      </c>
      <c r="C15" s="30">
        <f>VLOOKUP($B$13,Données!$A$4:$D$8,3)</f>
        <v>7.75</v>
      </c>
      <c r="D15" s="30">
        <f>VLOOKUP($B$13,Données!$A$4:$D$8,4)</f>
        <v>8</v>
      </c>
      <c r="E15" s="33">
        <f>HLOOKUP(A11,B14:D15,2)</f>
        <v>7.75</v>
      </c>
    </row>
    <row r="16" spans="1:5" x14ac:dyDescent="0.25">
      <c r="A16" s="1"/>
      <c r="B16" s="1"/>
      <c r="C16" s="1"/>
      <c r="D16" s="1"/>
    </row>
    <row r="17" spans="1:11" x14ac:dyDescent="0.25">
      <c r="A17" s="24" t="s">
        <v>23</v>
      </c>
      <c r="B17" s="24" t="s">
        <v>24</v>
      </c>
      <c r="C17" s="24" t="s">
        <v>55</v>
      </c>
      <c r="D17" s="60" t="s">
        <v>57</v>
      </c>
      <c r="E17" s="1" t="s">
        <v>58</v>
      </c>
      <c r="F17" s="67" t="s">
        <v>65</v>
      </c>
      <c r="G17" s="60" t="s">
        <v>56</v>
      </c>
    </row>
    <row r="18" spans="1:11" x14ac:dyDescent="0.25">
      <c r="A18" s="27">
        <f>Présentation!E17</f>
        <v>23</v>
      </c>
      <c r="B18" s="30">
        <f>A18*E15</f>
        <v>178.25</v>
      </c>
      <c r="C18" s="32">
        <f>(B18*4.33)*((47*12)/52)</f>
        <v>8371.3055769230778</v>
      </c>
      <c r="D18" s="32">
        <f>IF(A11&gt;=1,E18*0.93,E18)</f>
        <v>648.27712360983742</v>
      </c>
      <c r="E18" s="32">
        <f>(C18/52)*4.33</f>
        <v>697.07217592455629</v>
      </c>
      <c r="F18" s="32">
        <f>IF(A11&gt;=1,E18*0.85,E18)</f>
        <v>592.5113495358728</v>
      </c>
      <c r="G18" s="32">
        <f>IF(A11&lt;=3,E18*0.99,E18)</f>
        <v>690.10145416531077</v>
      </c>
    </row>
    <row r="19" spans="1:11" x14ac:dyDescent="0.25">
      <c r="A19" s="1"/>
      <c r="B19" s="1"/>
      <c r="C19" s="1"/>
      <c r="D19" s="1"/>
    </row>
    <row r="20" spans="1:11" x14ac:dyDescent="0.25">
      <c r="A20" s="24" t="s">
        <v>25</v>
      </c>
      <c r="B20" s="1"/>
      <c r="C20" s="1"/>
      <c r="D20" s="1"/>
    </row>
    <row r="21" spans="1:11" x14ac:dyDescent="0.25">
      <c r="A21" s="24" t="s">
        <v>21</v>
      </c>
      <c r="B21" s="1">
        <v>1</v>
      </c>
      <c r="C21" s="1">
        <v>2</v>
      </c>
      <c r="D21" s="1">
        <v>3</v>
      </c>
      <c r="E21" t="s">
        <v>28</v>
      </c>
      <c r="F21" s="24" t="s">
        <v>27</v>
      </c>
      <c r="G21" t="s">
        <v>29</v>
      </c>
      <c r="H21" s="48" t="s">
        <v>51</v>
      </c>
      <c r="I21" s="48" t="s">
        <v>53</v>
      </c>
      <c r="J21" s="48" t="s">
        <v>52</v>
      </c>
      <c r="K21" t="s">
        <v>50</v>
      </c>
    </row>
    <row r="22" spans="1:11" x14ac:dyDescent="0.25">
      <c r="A22" s="24" t="s">
        <v>26</v>
      </c>
      <c r="B22" s="30">
        <v>843.69</v>
      </c>
      <c r="C22" s="30">
        <v>727.29</v>
      </c>
      <c r="D22" s="30">
        <v>610.92999999999995</v>
      </c>
      <c r="E22" s="31">
        <f>HLOOKUP(A11,B21:D22,2)</f>
        <v>727.29</v>
      </c>
      <c r="F22" s="31">
        <f>IF(E18*0.85&gt;E22,E22,E18*0.85)</f>
        <v>592.5113495358728</v>
      </c>
      <c r="G22" s="31">
        <f>E18-F22</f>
        <v>104.56082638868349</v>
      </c>
      <c r="H22" s="31">
        <f>G22*12</f>
        <v>1254.7299166642019</v>
      </c>
      <c r="I22" s="50">
        <v>1150</v>
      </c>
      <c r="J22" s="59">
        <f>IF(H22&lt;I22*2, H22/2, H22-I22)</f>
        <v>627.36495833210097</v>
      </c>
      <c r="K22" s="31">
        <f>(J22/12)/(Présentation!E17*4.33)</f>
        <v>0.52495645340236718</v>
      </c>
    </row>
    <row r="23" spans="1:11" x14ac:dyDescent="0.25">
      <c r="B23" s="1"/>
      <c r="C23" s="1"/>
      <c r="D23" s="1"/>
    </row>
    <row r="24" spans="1:11" x14ac:dyDescent="0.25">
      <c r="A24" s="1"/>
      <c r="B24" s="1"/>
      <c r="C24" s="1"/>
      <c r="D24" s="1"/>
    </row>
    <row r="25" spans="1:11" x14ac:dyDescent="0.25">
      <c r="A25" s="1"/>
      <c r="B25" s="1"/>
      <c r="C25" s="1"/>
      <c r="D25" s="1"/>
    </row>
    <row r="26" spans="1:11" x14ac:dyDescent="0.25">
      <c r="A26" s="1"/>
      <c r="B26" s="1"/>
      <c r="C26" s="1"/>
      <c r="D26" s="1"/>
    </row>
    <row r="27" spans="1:11" x14ac:dyDescent="0.25">
      <c r="A27" s="1"/>
      <c r="B27" s="1"/>
      <c r="C27" s="1"/>
      <c r="D27" s="1"/>
    </row>
    <row r="28" spans="1:11" x14ac:dyDescent="0.25">
      <c r="A28" s="1"/>
      <c r="B28" s="1"/>
      <c r="C28" s="1"/>
      <c r="D28" s="1"/>
    </row>
    <row r="29" spans="1:11" x14ac:dyDescent="0.25">
      <c r="A29" s="1"/>
      <c r="B29" s="1"/>
      <c r="C29" s="1"/>
      <c r="D29" s="1"/>
    </row>
    <row r="30" spans="1:11" x14ac:dyDescent="0.25">
      <c r="A30" s="1"/>
      <c r="B30" s="1"/>
      <c r="C30" s="1"/>
      <c r="D30" s="1"/>
    </row>
  </sheetData>
  <mergeCells count="2">
    <mergeCell ref="B5:D5"/>
    <mergeCell ref="A2:D2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5" sqref="D15"/>
    </sheetView>
  </sheetViews>
  <sheetFormatPr baseColWidth="10" defaultRowHeight="15.75" x14ac:dyDescent="0.25"/>
  <cols>
    <col min="1" max="1" width="23.5" bestFit="1" customWidth="1"/>
    <col min="2" max="2" width="14.875" bestFit="1" customWidth="1"/>
    <col min="3" max="3" width="15.375" bestFit="1" customWidth="1"/>
    <col min="4" max="4" width="14.875" bestFit="1" customWidth="1"/>
  </cols>
  <sheetData>
    <row r="1" spans="1:4" x14ac:dyDescent="0.25">
      <c r="A1" s="1"/>
      <c r="B1" s="16" t="s">
        <v>2</v>
      </c>
      <c r="C1" s="17" t="s">
        <v>3</v>
      </c>
      <c r="D1" s="18" t="s">
        <v>4</v>
      </c>
    </row>
    <row r="2" spans="1:4" ht="16.5" thickBot="1" x14ac:dyDescent="0.3">
      <c r="A2" s="1"/>
      <c r="B2" s="19">
        <v>0.3</v>
      </c>
      <c r="C2" s="2">
        <v>0.5</v>
      </c>
      <c r="D2" s="20">
        <v>0.2</v>
      </c>
    </row>
    <row r="3" spans="1:4" ht="16.5" thickBot="1" x14ac:dyDescent="0.3">
      <c r="A3" s="15" t="s">
        <v>0</v>
      </c>
      <c r="B3" s="21" t="s">
        <v>1</v>
      </c>
      <c r="C3" s="22" t="s">
        <v>1</v>
      </c>
      <c r="D3" s="23" t="s">
        <v>1</v>
      </c>
    </row>
    <row r="4" spans="1:4" x14ac:dyDescent="0.25">
      <c r="A4" s="4">
        <v>1</v>
      </c>
      <c r="B4" s="7">
        <v>9.5</v>
      </c>
      <c r="C4" s="8">
        <v>9.75</v>
      </c>
      <c r="D4" s="9">
        <v>10</v>
      </c>
    </row>
    <row r="5" spans="1:4" x14ac:dyDescent="0.25">
      <c r="A5" s="5">
        <v>2</v>
      </c>
      <c r="B5" s="10">
        <v>9</v>
      </c>
      <c r="C5" s="3">
        <v>9.25</v>
      </c>
      <c r="D5" s="11">
        <v>9.5</v>
      </c>
    </row>
    <row r="6" spans="1:4" x14ac:dyDescent="0.25">
      <c r="A6" s="5">
        <v>3</v>
      </c>
      <c r="B6" s="10">
        <v>8.5</v>
      </c>
      <c r="C6" s="3">
        <v>8.75</v>
      </c>
      <c r="D6" s="11">
        <v>9</v>
      </c>
    </row>
    <row r="7" spans="1:4" x14ac:dyDescent="0.25">
      <c r="A7" s="5">
        <v>4</v>
      </c>
      <c r="B7" s="10">
        <v>8</v>
      </c>
      <c r="C7" s="3">
        <v>8.25</v>
      </c>
      <c r="D7" s="11">
        <v>8.5</v>
      </c>
    </row>
    <row r="8" spans="1:4" ht="16.5" thickBot="1" x14ac:dyDescent="0.3">
      <c r="A8" s="6">
        <v>5</v>
      </c>
      <c r="B8" s="12">
        <v>7.5</v>
      </c>
      <c r="C8" s="13">
        <v>7.75</v>
      </c>
      <c r="D8" s="14">
        <v>8</v>
      </c>
    </row>
    <row r="9" spans="1:4" ht="16.5" thickBot="1" x14ac:dyDescent="0.3"/>
    <row r="10" spans="1:4" ht="16.5" thickBot="1" x14ac:dyDescent="0.3">
      <c r="A10" s="58" t="s">
        <v>15</v>
      </c>
      <c r="B10" s="57"/>
      <c r="C10" s="57"/>
      <c r="D10" s="57"/>
    </row>
    <row r="11" spans="1:4" ht="16.5" thickBot="1" x14ac:dyDescent="0.3">
      <c r="A11" s="56" t="s">
        <v>5</v>
      </c>
      <c r="B11" s="52" t="s">
        <v>7</v>
      </c>
      <c r="C11" s="53" t="s">
        <v>8</v>
      </c>
      <c r="D11" s="54" t="s">
        <v>9</v>
      </c>
    </row>
    <row r="12" spans="1:4" x14ac:dyDescent="0.25">
      <c r="A12" s="55" t="s">
        <v>16</v>
      </c>
      <c r="B12" s="61">
        <v>17598</v>
      </c>
      <c r="C12" s="62">
        <v>39106</v>
      </c>
      <c r="D12" s="63">
        <v>39106</v>
      </c>
    </row>
    <row r="13" spans="1:4" x14ac:dyDescent="0.25">
      <c r="A13" s="51" t="s">
        <v>17</v>
      </c>
      <c r="B13" s="64">
        <v>2911</v>
      </c>
      <c r="C13" s="65">
        <v>6469</v>
      </c>
      <c r="D13" s="66">
        <v>6469</v>
      </c>
    </row>
  </sheetData>
  <pageMargins left="0.7" right="0.7" top="0.75" bottom="0.75" header="0.3" footer="0.3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4" sqref="C4"/>
    </sheetView>
  </sheetViews>
  <sheetFormatPr baseColWidth="10" defaultRowHeight="15.75" x14ac:dyDescent="0.25"/>
  <cols>
    <col min="1" max="1" width="13.25" bestFit="1" customWidth="1"/>
  </cols>
  <sheetData>
    <row r="1" spans="1:5" x14ac:dyDescent="0.25">
      <c r="A1" s="69" t="s">
        <v>60</v>
      </c>
      <c r="B1" s="69" t="s">
        <v>61</v>
      </c>
      <c r="C1" s="69" t="s">
        <v>62</v>
      </c>
      <c r="D1" s="69" t="s">
        <v>63</v>
      </c>
      <c r="E1" s="69" t="s">
        <v>64</v>
      </c>
    </row>
    <row r="2" spans="1:5" x14ac:dyDescent="0.25">
      <c r="A2" s="70" t="s">
        <v>12</v>
      </c>
      <c r="B2" s="68">
        <f>Calculs!E18</f>
        <v>697.07217592455629</v>
      </c>
      <c r="C2" s="68">
        <f>Calculs!D18</f>
        <v>648.27712360983742</v>
      </c>
      <c r="D2" s="68">
        <f>Calculs!E18</f>
        <v>697.07217592455629</v>
      </c>
      <c r="E2" s="68">
        <f>Calculs!D18</f>
        <v>648.27712360983742</v>
      </c>
    </row>
    <row r="3" spans="1:5" x14ac:dyDescent="0.25">
      <c r="A3" s="70" t="s">
        <v>13</v>
      </c>
      <c r="B3" s="68">
        <f>Calculs!F18</f>
        <v>592.5113495358728</v>
      </c>
      <c r="C3" s="68">
        <f>Calculs!G18</f>
        <v>690.10145416531077</v>
      </c>
      <c r="D3" s="68">
        <f>Calculs!E18</f>
        <v>697.07217592455629</v>
      </c>
      <c r="E3" s="68">
        <f>Calculs!E18</f>
        <v>697.07217592455629</v>
      </c>
    </row>
    <row r="4" spans="1:5" x14ac:dyDescent="0.25">
      <c r="A4" s="70" t="s">
        <v>14</v>
      </c>
      <c r="B4" s="68">
        <f>Calculs!E18</f>
        <v>697.07217592455629</v>
      </c>
      <c r="C4" s="68">
        <f>Calculs!G18</f>
        <v>690.10145416531077</v>
      </c>
      <c r="D4" s="68">
        <f>Calculs!G18</f>
        <v>690.10145416531077</v>
      </c>
      <c r="E4" s="68">
        <f>Calculs!G18</f>
        <v>690.10145416531077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Calculs</vt:lpstr>
      <vt:lpstr>Données</vt:lpstr>
      <vt:lpstr>Matrice</vt:lpstr>
    </vt:vector>
  </TitlesOfParts>
  <Company>Les mangeurs de Poules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 Doggy</dc:creator>
  <cp:lastModifiedBy>Kevin</cp:lastModifiedBy>
  <cp:lastPrinted>2017-02-15T12:15:28Z</cp:lastPrinted>
  <dcterms:created xsi:type="dcterms:W3CDTF">2017-02-12T15:33:04Z</dcterms:created>
  <dcterms:modified xsi:type="dcterms:W3CDTF">2017-11-24T20:25:47Z</dcterms:modified>
</cp:coreProperties>
</file>