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9420" windowHeight="11020" tabRatio="500" activeTab="1"/>
  </bookViews>
  <sheets>
    <sheet name="Carnet général" sheetId="1" r:id="rId1"/>
    <sheet name="Utilisateur" sheetId="3" r:id="rId2"/>
  </sheets>
  <definedNames>
    <definedName name="Clés">OFFSET('Carnet général'!$A$5,,,COUNTA('Carnet général'!$A:$A)-1,)</definedName>
    <definedName name="Cours040614">'Carnet général'!$Y$3</definedName>
    <definedName name="Cours050614">'Carnet général'!$Z$3</definedName>
    <definedName name="Cours070514">'Carnet général'!$W$3</definedName>
    <definedName name="Cours140514">'Carnet général'!$X$3</definedName>
    <definedName name="Cours160414">'Carnet général'!$V$3</definedName>
    <definedName name="Cours250614">'Carnet général'!$AA$3</definedName>
    <definedName name="Nomdelutilisateur">Utilisateur!$D$2</definedName>
    <definedName name="Nomréférent">#REF!</definedName>
    <definedName name="Notesobtenues">Donnéesutilisateurs[[Quest de base]:[P cours 01]]</definedName>
    <definedName name="Parutilisateur">Utilisateur!$B$2:$O$34</definedName>
    <definedName name="Pointspossibles">'Carnet général'!$U$3:$AP$3</definedName>
    <definedName name="PrenomNom">Donnéesutilisateurs[Clé]</definedName>
    <definedName name="Test130314">'Carnet général'!$U$3</definedName>
    <definedName name="Totalpointspossibles">'Carnet général'!$T$3</definedName>
    <definedName name="Valeurutilisateur">INDEX(Notesobtenues,MATCH(Nomdelutilisateur,Donnéesutilisateurs[Clé],0))</definedName>
    <definedName name="Zonedimpression">Utilisateur!$A$4:$U$42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" l="1"/>
  <c r="A7" i="1"/>
  <c r="A5" i="1"/>
  <c r="L7" i="3"/>
  <c r="G7" i="3"/>
  <c r="F7" i="3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I39" i="3"/>
  <c r="I35" i="3"/>
  <c r="I31" i="3"/>
  <c r="I27" i="3"/>
  <c r="I23" i="3"/>
  <c r="I19" i="3"/>
  <c r="I15" i="3"/>
  <c r="I11" i="3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D40" i="3"/>
  <c r="D39" i="3"/>
  <c r="AH78" i="1"/>
  <c r="AG78" i="1"/>
  <c r="AP78" i="1"/>
  <c r="D36" i="3"/>
  <c r="D35" i="3"/>
  <c r="AF78" i="1"/>
  <c r="AE78" i="1"/>
  <c r="H78" i="1"/>
  <c r="AD78" i="1"/>
  <c r="AC78" i="1"/>
  <c r="AB78" i="1"/>
  <c r="AA78" i="1"/>
  <c r="D32" i="3"/>
  <c r="D31" i="3"/>
  <c r="D28" i="3"/>
  <c r="D27" i="3"/>
  <c r="D7" i="3"/>
  <c r="C7" i="3"/>
  <c r="D24" i="3"/>
  <c r="D23" i="3"/>
  <c r="Y78" i="1"/>
  <c r="Z78" i="1"/>
  <c r="X78" i="1"/>
  <c r="O11" i="3"/>
  <c r="W78" i="1"/>
  <c r="D20" i="3"/>
  <c r="D19" i="3"/>
  <c r="V78" i="1"/>
  <c r="U78" i="1"/>
  <c r="D78" i="1"/>
  <c r="L11" i="3"/>
  <c r="T3" i="1"/>
  <c r="J7" i="3"/>
  <c r="I7" i="3"/>
  <c r="D16" i="3"/>
  <c r="D15" i="3"/>
  <c r="D11" i="3"/>
  <c r="D12" i="3"/>
</calcChain>
</file>

<file path=xl/sharedStrings.xml><?xml version="1.0" encoding="utf-8"?>
<sst xmlns="http://schemas.openxmlformats.org/spreadsheetml/2006/main" count="1458" uniqueCount="388">
  <si>
    <t>CCHE</t>
  </si>
  <si>
    <t>ArchiCad</t>
  </si>
  <si>
    <t>Clé</t>
  </si>
  <si>
    <t>Nom</t>
  </si>
  <si>
    <t>Prénom</t>
  </si>
  <si>
    <t>Fonction</t>
  </si>
  <si>
    <t>Référent</t>
  </si>
  <si>
    <t>Total points acquis</t>
  </si>
  <si>
    <t>Aebischer</t>
  </si>
  <si>
    <t>Nathalie</t>
  </si>
  <si>
    <t>AU</t>
  </si>
  <si>
    <t>Coralie</t>
  </si>
  <si>
    <t>Armand</t>
  </si>
  <si>
    <t>Mélissa</t>
  </si>
  <si>
    <t>A</t>
  </si>
  <si>
    <t>Jonathan</t>
  </si>
  <si>
    <t>Date</t>
  </si>
  <si>
    <t>Total points possibles</t>
  </si>
  <si>
    <t>Azevedo</t>
  </si>
  <si>
    <t>Carolina</t>
  </si>
  <si>
    <t>Fabrice</t>
  </si>
  <si>
    <t>AP</t>
  </si>
  <si>
    <t>Benoît</t>
  </si>
  <si>
    <t>Bechyne</t>
  </si>
  <si>
    <t>Ondrej</t>
  </si>
  <si>
    <t>Miguel</t>
  </si>
  <si>
    <t>CP</t>
  </si>
  <si>
    <t>Gilles</t>
  </si>
  <si>
    <t>Bondon</t>
  </si>
  <si>
    <t>Christophe</t>
  </si>
  <si>
    <t>Bernard</t>
  </si>
  <si>
    <t>13.03.14 : 39</t>
  </si>
  <si>
    <t>Borloz</t>
  </si>
  <si>
    <t>Sandrine</t>
  </si>
  <si>
    <t>Budry</t>
  </si>
  <si>
    <t>Laura</t>
  </si>
  <si>
    <t>DB</t>
  </si>
  <si>
    <t>13.03.14 : 77</t>
  </si>
  <si>
    <t>Campana</t>
  </si>
  <si>
    <t>Lydia</t>
  </si>
  <si>
    <t>Patrick</t>
  </si>
  <si>
    <t>13.03.14 : 80</t>
  </si>
  <si>
    <t>AI</t>
  </si>
  <si>
    <t>Cherix</t>
  </si>
  <si>
    <t>Corbelli</t>
  </si>
  <si>
    <t>Florie</t>
  </si>
  <si>
    <t>Cuendet</t>
  </si>
  <si>
    <t>Curchod</t>
  </si>
  <si>
    <t>Daniels</t>
  </si>
  <si>
    <t>Bart</t>
  </si>
  <si>
    <t>De Feo</t>
  </si>
  <si>
    <t>Barbara</t>
  </si>
  <si>
    <t>André</t>
  </si>
  <si>
    <t>Chiara</t>
  </si>
  <si>
    <t>Diacon</t>
  </si>
  <si>
    <t>Marc</t>
  </si>
  <si>
    <t>Anita</t>
  </si>
  <si>
    <t>13.03.14 : 58</t>
  </si>
  <si>
    <t>Droz</t>
  </si>
  <si>
    <t>Jean-Christophe</t>
  </si>
  <si>
    <t>13.03.14 : 63</t>
  </si>
  <si>
    <t>Dupont</t>
  </si>
  <si>
    <t>Maxime</t>
  </si>
  <si>
    <t>13.03.14 : 79</t>
  </si>
  <si>
    <t>Eicher</t>
  </si>
  <si>
    <t>Ferrero</t>
  </si>
  <si>
    <t>Isabelle</t>
  </si>
  <si>
    <t>Fiori</t>
  </si>
  <si>
    <t>Freire</t>
  </si>
  <si>
    <t>David</t>
  </si>
  <si>
    <t>Frey</t>
  </si>
  <si>
    <t>Songhua</t>
  </si>
  <si>
    <t>Genoux</t>
  </si>
  <si>
    <t>Gomes Perdigao</t>
  </si>
  <si>
    <t>Goumaz</t>
  </si>
  <si>
    <t>Haldimann</t>
  </si>
  <si>
    <t>Marie-Joëlle</t>
  </si>
  <si>
    <t>13.03.14 : 50</t>
  </si>
  <si>
    <t>Hay</t>
  </si>
  <si>
    <t>Sarah</t>
  </si>
  <si>
    <t>13.03.14 : 55</t>
  </si>
  <si>
    <t>Lila</t>
  </si>
  <si>
    <t>Herrera</t>
  </si>
  <si>
    <t>Hector</t>
  </si>
  <si>
    <t>13.03.14 : 48</t>
  </si>
  <si>
    <t>Attila</t>
  </si>
  <si>
    <t>Huang</t>
  </si>
  <si>
    <t>Lucas</t>
  </si>
  <si>
    <t>Inserra</t>
  </si>
  <si>
    <t>Claudio</t>
  </si>
  <si>
    <t>Thomas</t>
  </si>
  <si>
    <t>Kossi Odi</t>
  </si>
  <si>
    <t>Elvira</t>
  </si>
  <si>
    <t>Mareine</t>
  </si>
  <si>
    <t>Benjamin</t>
  </si>
  <si>
    <t>Martinez</t>
  </si>
  <si>
    <t>Teresa</t>
  </si>
  <si>
    <t>13.03.14 : 82</t>
  </si>
  <si>
    <t>Mury</t>
  </si>
  <si>
    <t>Silvia</t>
  </si>
  <si>
    <t>Nespolo</t>
  </si>
  <si>
    <t>Neukomm</t>
  </si>
  <si>
    <t>Parrella</t>
  </si>
  <si>
    <t>Paternain Martinez</t>
  </si>
  <si>
    <t>Marta</t>
  </si>
  <si>
    <t>Perez Fiz</t>
  </si>
  <si>
    <t>Pernet</t>
  </si>
  <si>
    <t>Pidoux</t>
  </si>
  <si>
    <t>Pintucan</t>
  </si>
  <si>
    <t>Mark</t>
  </si>
  <si>
    <t>13.03.14 : 22</t>
  </si>
  <si>
    <t>Plaschy Roten</t>
  </si>
  <si>
    <t>Catherine</t>
  </si>
  <si>
    <t>Schmid-Hennard</t>
  </si>
  <si>
    <t>Chloé</t>
  </si>
  <si>
    <t>Sebastiani</t>
  </si>
  <si>
    <t>Alicia</t>
  </si>
  <si>
    <t>Seletto</t>
  </si>
  <si>
    <t>Shala</t>
  </si>
  <si>
    <t>Brahim</t>
  </si>
  <si>
    <t>13.03.14 : 71</t>
  </si>
  <si>
    <t>Stettler</t>
  </si>
  <si>
    <t>Serge</t>
  </si>
  <si>
    <t>Stoddart Berthod</t>
  </si>
  <si>
    <t>Victoria</t>
  </si>
  <si>
    <t>13.03.14 : 54</t>
  </si>
  <si>
    <t>Superchi</t>
  </si>
  <si>
    <t>Sophie</t>
  </si>
  <si>
    <t>Svitok</t>
  </si>
  <si>
    <t>Cindy</t>
  </si>
  <si>
    <t>Torriani</t>
  </si>
  <si>
    <t>Philippe</t>
  </si>
  <si>
    <t>13.03.14 : 44</t>
  </si>
  <si>
    <t>Tran</t>
  </si>
  <si>
    <t>Bao</t>
  </si>
  <si>
    <t>Vetsch</t>
  </si>
  <si>
    <t>13.03.14 : 78</t>
  </si>
  <si>
    <t>Vieira De Almeida</t>
  </si>
  <si>
    <t>Pedro</t>
  </si>
  <si>
    <t>Von Büren</t>
  </si>
  <si>
    <t>Werder</t>
  </si>
  <si>
    <t>Logan</t>
  </si>
  <si>
    <t>13.03.14 : 51</t>
  </si>
  <si>
    <t>Informations</t>
  </si>
  <si>
    <t>N</t>
  </si>
  <si>
    <t>O</t>
  </si>
  <si>
    <t>Csilla</t>
  </si>
  <si>
    <t>13.03.14 : 05</t>
  </si>
  <si>
    <t>Cours 01</t>
  </si>
  <si>
    <t>Outils de cotation et d'annotations</t>
  </si>
  <si>
    <t>I cours 01</t>
  </si>
  <si>
    <t>P cours 01</t>
  </si>
  <si>
    <t>De Salvo</t>
  </si>
  <si>
    <t>Held</t>
  </si>
  <si>
    <t>Hollo</t>
  </si>
  <si>
    <t>Jaime</t>
  </si>
  <si>
    <t>Marcela</t>
  </si>
  <si>
    <t>Sonia</t>
  </si>
  <si>
    <t>Quest de base</t>
  </si>
  <si>
    <t>Total</t>
  </si>
  <si>
    <t>Possibles</t>
  </si>
  <si>
    <t>Obtenus</t>
  </si>
  <si>
    <t>Q/R de base</t>
  </si>
  <si>
    <t>Sujets des cours</t>
  </si>
  <si>
    <t>01</t>
  </si>
  <si>
    <t>04</t>
  </si>
  <si>
    <t>05</t>
  </si>
  <si>
    <t>06</t>
  </si>
  <si>
    <t>08</t>
  </si>
  <si>
    <t>09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</si>
  <si>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</si>
  <si>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</si>
  <si>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</si>
  <si>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</si>
  <si>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</si>
  <si>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</si>
  <si>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</si>
  <si>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</si>
  <si>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</si>
  <si>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</si>
  <si>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</si>
  <si>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</si>
  <si>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</si>
  <si>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26</t>
  </si>
  <si>
    <t>27</t>
  </si>
  <si>
    <t>29</t>
  </si>
  <si>
    <t>30</t>
  </si>
  <si>
    <t>32</t>
  </si>
  <si>
    <t>33</t>
  </si>
  <si>
    <t>34</t>
  </si>
  <si>
    <t>35</t>
  </si>
  <si>
    <t>36</t>
  </si>
  <si>
    <t>37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</si>
  <si>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</si>
  <si>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</si>
  <si>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</si>
  <si>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</si>
  <si>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</si>
  <si>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</si>
  <si>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</si>
  <si>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</si>
  <si>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</si>
  <si>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</si>
  <si>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</si>
  <si>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</si>
  <si>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</si>
  <si>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</si>
  <si>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</si>
  <si>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</si>
  <si>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</si>
  <si>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</si>
  <si>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</si>
  <si>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</si>
  <si>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</si>
  <si>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</si>
  <si>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</si>
  <si>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</si>
  <si>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Code</t>
  </si>
  <si>
    <t>66</t>
  </si>
  <si>
    <t>67</t>
  </si>
  <si>
    <t>68</t>
  </si>
  <si>
    <t>69</t>
  </si>
  <si>
    <t>71</t>
  </si>
  <si>
    <t>ST</t>
  </si>
  <si>
    <t>Charlotte</t>
  </si>
  <si>
    <t>Valentin</t>
  </si>
  <si>
    <t>Bergunthal</t>
  </si>
  <si>
    <t>Absent</t>
  </si>
  <si>
    <t>Formation ArchiCad</t>
  </si>
  <si>
    <t>Formation AC</t>
  </si>
  <si>
    <t>I cours 02</t>
  </si>
  <si>
    <t>P cours 02</t>
  </si>
  <si>
    <t>M</t>
  </si>
  <si>
    <t>P</t>
  </si>
  <si>
    <t>Q</t>
  </si>
  <si>
    <t>R</t>
  </si>
  <si>
    <t>S</t>
  </si>
  <si>
    <t>Cours 02</t>
  </si>
  <si>
    <t>Jeu de calque, jeu de vue et mise en page</t>
  </si>
  <si>
    <t>Coaching</t>
  </si>
  <si>
    <t>Etage</t>
  </si>
  <si>
    <t>22.05.14 : 0.5</t>
  </si>
  <si>
    <t>04.06.14 : 0.5</t>
  </si>
  <si>
    <t>04.06.14 : 0.25</t>
  </si>
  <si>
    <t>I cours 03</t>
  </si>
  <si>
    <t>P cours 03</t>
  </si>
  <si>
    <t>Malade</t>
  </si>
  <si>
    <t>Cours 03</t>
  </si>
  <si>
    <t>Lignes et hachures : création et utilisation</t>
  </si>
  <si>
    <t>25.06.14 : 0.75</t>
  </si>
  <si>
    <t>25.06.14 : 0.5</t>
  </si>
  <si>
    <t>Inscrit</t>
  </si>
  <si>
    <t>Présent</t>
  </si>
  <si>
    <t>I cours 04</t>
  </si>
  <si>
    <t>P cours 04</t>
  </si>
  <si>
    <t>I cours 05</t>
  </si>
  <si>
    <t>P cours 05</t>
  </si>
  <si>
    <t>Cours 04</t>
  </si>
  <si>
    <t>Cours 05</t>
  </si>
  <si>
    <t>Lignes guides, grille d'axe, vue orientée</t>
  </si>
  <si>
    <t>Marie-Pauline</t>
  </si>
  <si>
    <t>Diana</t>
  </si>
  <si>
    <t>13.03.14 : 74</t>
  </si>
  <si>
    <t>Non</t>
  </si>
  <si>
    <t>Cryonnet</t>
  </si>
  <si>
    <t>De Vogel</t>
  </si>
  <si>
    <t>23.07.14 : 0.75</t>
  </si>
  <si>
    <t>Coque, tubage et révolution, forme</t>
  </si>
  <si>
    <t>20.08.14 : 0.5</t>
  </si>
  <si>
    <t>Oui</t>
  </si>
  <si>
    <t>Pequignot</t>
  </si>
  <si>
    <t>Laure</t>
  </si>
  <si>
    <t>Revel</t>
  </si>
  <si>
    <t>P cours 06</t>
  </si>
  <si>
    <t>I cours 06</t>
  </si>
  <si>
    <t>Bajnok</t>
  </si>
  <si>
    <t>72</t>
  </si>
  <si>
    <t>Cours 06</t>
  </si>
  <si>
    <t>Maillage</t>
  </si>
  <si>
    <t>Reymond</t>
  </si>
  <si>
    <t>Joane</t>
  </si>
  <si>
    <t>De Oliveira</t>
  </si>
  <si>
    <t>Roulin</t>
  </si>
  <si>
    <t>?</t>
  </si>
  <si>
    <t>31.07.14 : 0.5  20.08.14 : 0.5  11.09.14 : 1.0</t>
  </si>
  <si>
    <t>11.09.14 : 0.5</t>
  </si>
  <si>
    <t>Grégory</t>
  </si>
  <si>
    <t>Pous</t>
  </si>
  <si>
    <t>Matthieu</t>
  </si>
  <si>
    <t>Martinez-Barranca</t>
  </si>
  <si>
    <t>Ruben</t>
  </si>
  <si>
    <t>Stauffacher</t>
  </si>
  <si>
    <t>Matteo</t>
  </si>
  <si>
    <t>AR</t>
  </si>
  <si>
    <t>09.10.14 : 0.5</t>
  </si>
  <si>
    <t>20.08.14 : 0.5  09.10.14 : 0.5</t>
  </si>
  <si>
    <t>Quest cours initiation22</t>
  </si>
  <si>
    <t>P cours 07</t>
  </si>
  <si>
    <t>I cours 07</t>
  </si>
  <si>
    <t>Cours 07</t>
  </si>
  <si>
    <t>Annotation, feuille de travail, détail</t>
  </si>
  <si>
    <t xml:space="preserve">13.03.14 : 81                                              </t>
  </si>
  <si>
    <t xml:space="preserve">13.03.14 : 52                                        </t>
  </si>
  <si>
    <t xml:space="preserve">13.03.14 : 07                                              </t>
  </si>
  <si>
    <t xml:space="preserve">13.03.14 : 64                           </t>
  </si>
  <si>
    <t xml:space="preserve">13.03.14 : 20                           </t>
  </si>
  <si>
    <t xml:space="preserve">13.03.14 : 31                                              29.08.14 : Audit Malley - Utilisateur </t>
  </si>
  <si>
    <t xml:space="preserve">13.03.14 : 21                                     29.08.14 : Audit Malley              </t>
  </si>
  <si>
    <t>13.03.14 : 27</t>
  </si>
  <si>
    <t>13.03.14 : 01</t>
  </si>
  <si>
    <t>13.03.14 : 23</t>
  </si>
  <si>
    <t>13.03.14 : 56</t>
  </si>
  <si>
    <t>13.03.14 : 40</t>
  </si>
  <si>
    <t>13.03.14 : 18</t>
  </si>
  <si>
    <t>13.03.14 : 61</t>
  </si>
  <si>
    <t>13.03.14 : 12</t>
  </si>
  <si>
    <t>13.03.14 : 30</t>
  </si>
  <si>
    <t>13.03.14 : 14</t>
  </si>
  <si>
    <t>13.03.14 : 37</t>
  </si>
  <si>
    <t>13.03.14 : 24</t>
  </si>
  <si>
    <t>13.03.14 : 29</t>
  </si>
  <si>
    <t>13.03.14 : 17</t>
  </si>
  <si>
    <t xml:space="preserve">13.03.14 : 06                                              29.08.14 : Audit Malley - Utilisateur             </t>
  </si>
  <si>
    <t>13.03.14 : 25</t>
  </si>
  <si>
    <t>13.03.14 : 68</t>
  </si>
  <si>
    <t>13.03.14 : 32</t>
  </si>
  <si>
    <t>13.03.14 : 11</t>
  </si>
  <si>
    <t>13.03.14 : 09</t>
  </si>
  <si>
    <t>13.03.14 : 47</t>
  </si>
  <si>
    <t>13.03.14 : 67                                        29.08.14 : Audit Malley - Utilisateur</t>
  </si>
  <si>
    <t>13.03.14 : 57</t>
  </si>
  <si>
    <t>13.03.14 : 03</t>
  </si>
  <si>
    <t>13.03.14 : 13</t>
  </si>
  <si>
    <t>13.03.14 : 73</t>
  </si>
  <si>
    <t>13.03.14 : 84</t>
  </si>
  <si>
    <t>13.03.14 : 02</t>
  </si>
  <si>
    <t>13.03.14 : 15</t>
  </si>
  <si>
    <t>13.03.14 : 36</t>
  </si>
  <si>
    <t>13.03.14 : 19</t>
  </si>
  <si>
    <t>13.03.14 : 38</t>
  </si>
  <si>
    <t>13.03.14 : 34</t>
  </si>
  <si>
    <t>C-01 : Outils de cotations et d'annotations                                       C-02 : Jeu de calque, jeu de vue, mise en page                                   C-03 : Lignes et hachures              C-04 : Ligne guide, grille d'axe, vue orientée                                          C-05 : Coque, tubage et révolution, forme                                               C-06 : Maillage                                 C-07 : Annotation / Feuille de travai etl outil détail</t>
  </si>
  <si>
    <t>Remarques ArchiCad</t>
  </si>
  <si>
    <t>Jamais vu</t>
  </si>
  <si>
    <t>X</t>
  </si>
  <si>
    <t>Quelques questions depuis le milieu de l'année</t>
  </si>
  <si>
    <t>Quelques questions de dessin</t>
  </si>
  <si>
    <t>Quelques questions d'organisation de fichier</t>
  </si>
  <si>
    <t>Question pour alléger et mettre de l'ordre dans un fichier récupéré</t>
  </si>
  <si>
    <t>Quelques questions de dessin et d'organisation</t>
  </si>
  <si>
    <t>Quelques questions mais bonne base</t>
  </si>
  <si>
    <t>Début nouvelle affaire en AC17</t>
  </si>
  <si>
    <t>Questions lors de l'audit de Malley</t>
  </si>
  <si>
    <t>Questions diverses</t>
  </si>
  <si>
    <t>Question pour le démarrage d'une affaire</t>
  </si>
  <si>
    <t>Utilisation grossièrement éronnée du programme malgré la participation au cours</t>
  </si>
  <si>
    <t>Quelques questions dessin</t>
  </si>
  <si>
    <t>Quelques questions de dessin et progrès quant à l'utilisation du programme</t>
  </si>
  <si>
    <t>Apprentissage rapide et bons résultats</t>
  </si>
  <si>
    <t>Question de copier/coller</t>
  </si>
  <si>
    <t>Début nouvelles affaires en 17 et questions diverses</t>
  </si>
  <si>
    <t>Gros progrès concernant la 3D</t>
  </si>
  <si>
    <t>Questions diverses et variées</t>
  </si>
  <si>
    <t>-</t>
  </si>
  <si>
    <t>BenoÎt</t>
  </si>
  <si>
    <t>N/A</t>
  </si>
  <si>
    <t>Difficile à évaluer / Peu de question / Pas sur de connaître et suivre le protocole</t>
  </si>
  <si>
    <t>Difficile à évaluer / Peu de question / Les seules sont liées aux problèmes de fichier (liens, BIM, etc)</t>
  </si>
  <si>
    <t>Problème avec le protocole / Doit améliorer l'organisation fichier / Dessine en 2D / Tour Bel-Air</t>
  </si>
  <si>
    <t>Volonté d'en apprendre plus / A l'aise avec le proramme</t>
  </si>
  <si>
    <t>Volonté d'en apprendre plus / Ne dessine pas en 3D / Travaille sur la Tour Bel-Air</t>
  </si>
  <si>
    <t>Difficile à évaluer / Peu de questions</t>
  </si>
  <si>
    <t>Volonté d'en apprendre plus / A l'aise avec le proramme et 3D</t>
  </si>
  <si>
    <t>Ne connaît pas ArchiCad (seulement VectoWorks) / Apprends vite</t>
  </si>
  <si>
    <t>Difficile à évaluer / Peu de question / Pas sur de connaître et suivre le protocole / Dessine peu en 3D</t>
  </si>
  <si>
    <t>Volonté d'en apprendre plus / Pose des questions</t>
  </si>
  <si>
    <t>A l'aise avec le programme mais ne connaît peu être pas les "plus" pour un gain de temps / Peu de question / Pas sur de connaître et suivre le protocole</t>
  </si>
  <si>
    <t>A l'aise avec ArchiCad mais besoin d'un suivi pour les astuces</t>
  </si>
  <si>
    <t>Volonté d'en apprendre plus / A l'aise avec le programme / Pose des questions / Dessine plus en 2D qu'en 3D</t>
  </si>
  <si>
    <t>Jamais vu / Doit améliorer l'organisation du fichier</t>
  </si>
  <si>
    <t>Volonté d'en apprendre plus / Devrait être encadré par un dessinateur</t>
  </si>
  <si>
    <t>Ne dessine pas en 3D / Volonté d'apprendre / Problème de fichier / Peu de question</t>
  </si>
  <si>
    <t>Pas sur de suivre le protocole / Pas souvent de questions les seules sont liées à des problèmes de liens, fichier, etc</t>
  </si>
  <si>
    <t>Ne dessine pas sur ArchiCad</t>
  </si>
  <si>
    <t>Quelques questions de bases. Suit les cours ArchiCad, mais n'applique pas ce qui est appris</t>
  </si>
  <si>
    <t>Difficile à évaluer / Peu de question / Doit amélioréer l'organisation de fichier</t>
  </si>
  <si>
    <t>Excusé</t>
  </si>
  <si>
    <t>Attila Hollo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</si>
</sst>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</font>
    <font>
      <sz val="8"/>
      <color rgb="FF000000"/>
      <name val="Arial"/>
    </font>
    <font>
      <sz val="6"/>
      <color theme="1"/>
      <name val="Arial"/>
    </font>
    <font>
      <sz val="7"/>
      <color theme="1"/>
      <name val="Arial"/>
    </font>
    <font>
      <sz val="6"/>
      <name val="Arial"/>
    </font>
    <font>
      <sz val="5"/>
      <color theme="1"/>
      <name val="Arial"/>
    </font>
    <font>
      <sz val="5"/>
      <name val="Arial Narrow"/>
    </font>
    <font>
      <sz val="5"/>
      <color theme="1"/>
      <name val="Arial Narrow"/>
    </font>
    <font>
      <sz val="5"/>
      <color rgb="FF000000"/>
      <name val="Arial Narrow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2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11"/>
      </left>
      <right/>
      <top style="medium">
        <color indexed="11"/>
      </top>
      <bottom style="medium">
        <color indexed="11"/>
      </bottom>
      <diagonal/>
    </border>
    <border>
      <left/>
      <right/>
      <top style="medium">
        <color indexed="11"/>
      </top>
      <bottom style="medium">
        <color indexed="11"/>
      </bottom>
      <diagonal/>
    </border>
    <border>
      <left/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20"/>
      </right>
      <top/>
      <bottom/>
      <diagonal/>
    </border>
  </borders>
  <cellStyleXfs count="9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4" fillId="0" borderId="0" xfId="0" applyFont="1" applyBorder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4" fillId="0" borderId="4" xfId="0" applyFont="1" applyBorder="1"/>
    <xf numFmtId="0" fontId="4" fillId="0" borderId="10" xfId="0" applyFont="1" applyBorder="1"/>
    <xf numFmtId="0" fontId="4" fillId="0" borderId="6" xfId="0" applyFont="1" applyBorder="1"/>
    <xf numFmtId="0" fontId="4" fillId="0" borderId="1" xfId="0" applyFont="1" applyBorder="1"/>
    <xf numFmtId="0" fontId="4" fillId="0" borderId="7" xfId="0" applyFont="1" applyBorder="1"/>
    <xf numFmtId="0" fontId="4" fillId="0" borderId="0" xfId="0" applyFont="1" applyBorder="1"/>
    <xf numFmtId="0" fontId="4" fillId="0" borderId="8" xfId="0" applyFont="1" applyBorder="1"/>
    <xf numFmtId="0" fontId="4" fillId="0" borderId="12" xfId="0" applyFont="1" applyBorder="1" applyAlignment="1">
      <alignment horizontal="right"/>
    </xf>
    <xf numFmtId="0" fontId="4" fillId="0" borderId="0" xfId="0" applyFont="1" applyBorder="1" applyAlignment="1"/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4" fillId="0" borderId="3" xfId="0" applyFont="1" applyBorder="1"/>
    <xf numFmtId="0" fontId="4" fillId="0" borderId="12" xfId="0" applyFont="1" applyBorder="1" applyAlignment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49" fontId="6" fillId="0" borderId="0" xfId="0" applyNumberFormat="1" applyFont="1"/>
    <xf numFmtId="49" fontId="6" fillId="0" borderId="0" xfId="0" applyNumberFormat="1" applyFont="1" applyBorder="1" applyAlignment="1">
      <alignment horizontal="left" vertical="top" wrapText="1"/>
    </xf>
    <xf numFmtId="0" fontId="5" fillId="0" borderId="0" xfId="0" applyFont="1"/>
    <xf numFmtId="0" fontId="5" fillId="0" borderId="10" xfId="0" applyFont="1" applyBorder="1"/>
    <xf numFmtId="0" fontId="5" fillId="0" borderId="5" xfId="0" applyFont="1" applyBorder="1"/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9" xfId="0" applyFont="1" applyBorder="1"/>
    <xf numFmtId="0" fontId="7" fillId="0" borderId="6" xfId="0" applyFont="1" applyBorder="1" applyAlignment="1">
      <alignment vertical="top" wrapText="1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6" fillId="0" borderId="0" xfId="0" applyFont="1" applyBorder="1"/>
    <xf numFmtId="0" fontId="8" fillId="0" borderId="0" xfId="0" applyFont="1"/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6" fillId="0" borderId="0" xfId="0" applyFont="1" applyAlignment="1">
      <alignment textRotation="90" wrapText="1"/>
    </xf>
    <xf numFmtId="0" fontId="9" fillId="0" borderId="0" xfId="0" applyFont="1" applyBorder="1" applyAlignment="1">
      <alignment horizontal="left" vertical="top" textRotation="90"/>
    </xf>
    <xf numFmtId="49" fontId="9" fillId="0" borderId="0" xfId="0" applyNumberFormat="1" applyFont="1" applyBorder="1" applyAlignment="1">
      <alignment horizontal="left" vertical="top" textRotation="90"/>
    </xf>
    <xf numFmtId="0" fontId="9" fillId="0" borderId="0" xfId="0" applyFont="1" applyBorder="1" applyAlignment="1">
      <alignment horizontal="left" vertical="top" textRotation="90" wrapText="1"/>
    </xf>
    <xf numFmtId="0" fontId="9" fillId="0" borderId="2" xfId="0" applyFont="1" applyBorder="1" applyAlignment="1">
      <alignment horizontal="left" vertical="top" textRotation="90"/>
    </xf>
    <xf numFmtId="0" fontId="9" fillId="0" borderId="17" xfId="0" applyFont="1" applyBorder="1" applyAlignment="1">
      <alignment horizontal="left" vertical="top" textRotation="90"/>
    </xf>
    <xf numFmtId="0" fontId="10" fillId="0" borderId="0" xfId="0" applyNumberFormat="1" applyFont="1" applyBorder="1" applyAlignment="1">
      <alignment horizontal="left" vertical="top"/>
    </xf>
    <xf numFmtId="49" fontId="10" fillId="0" borderId="0" xfId="0" applyNumberFormat="1" applyFont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0" fillId="0" borderId="2" xfId="0" applyNumberFormat="1" applyFont="1" applyBorder="1" applyAlignment="1">
      <alignment horizontal="left" vertical="top"/>
    </xf>
    <xf numFmtId="0" fontId="10" fillId="0" borderId="17" xfId="0" applyNumberFormat="1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/>
    </xf>
    <xf numFmtId="0" fontId="10" fillId="0" borderId="17" xfId="0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9" fillId="0" borderId="0" xfId="0" applyNumberFormat="1" applyFont="1" applyBorder="1" applyAlignment="1">
      <alignment horizontal="left" vertical="top"/>
    </xf>
    <xf numFmtId="49" fontId="9" fillId="0" borderId="0" xfId="0" applyNumberFormat="1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11" fillId="0" borderId="0" xfId="0" applyFont="1"/>
    <xf numFmtId="49" fontId="11" fillId="0" borderId="0" xfId="0" applyNumberFormat="1" applyFont="1"/>
    <xf numFmtId="0" fontId="11" fillId="0" borderId="0" xfId="0" applyFont="1" applyAlignment="1">
      <alignment wrapText="1"/>
    </xf>
    <xf numFmtId="14" fontId="11" fillId="0" borderId="0" xfId="0" applyNumberFormat="1" applyFont="1"/>
    <xf numFmtId="0" fontId="12" fillId="0" borderId="0" xfId="0" applyFont="1" applyAlignment="1">
      <alignment horizontal="right"/>
    </xf>
    <xf numFmtId="14" fontId="11" fillId="0" borderId="0" xfId="0" applyNumberFormat="1" applyFont="1" applyAlignment="1">
      <alignment textRotation="90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</cellXfs>
  <cellStyles count="9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Normal" xfId="0" builtinId="0"/>
  </cellStyles>
  <dxfs count="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color auto="1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medium">
          <color indexed="20"/>
        </right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/>
        <right style="medium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 style="medium">
          <color indexed="20"/>
        </left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 readingOrder="0"/>
      <border diagonalUp="0" diagonalDown="0">
        <left style="medium">
          <color indexed="2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numFmt numFmtId="30" formatCode="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numFmt numFmtId="0" formatCode="General"/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Arial"/>
        <scheme val="none"/>
      </font>
      <numFmt numFmtId="0" formatCode="General"/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numFmt numFmtId="0" formatCode="General"/>
      <alignment horizontal="left" vertical="top" textRotation="0" wrapText="0" indent="0" justifyLastLine="0" shrinkToFit="0"/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0" wrapText="0" indent="0" justifyLastLine="0" shrinkToFit="0"/>
    </dxf>
    <dxf>
      <font>
        <strike val="0"/>
        <outline val="0"/>
        <shadow val="0"/>
        <u val="none"/>
        <vertAlign val="baseline"/>
        <sz val="5"/>
        <name val="Arial"/>
        <scheme val="none"/>
      </font>
      <alignment horizontal="left" vertical="top" textRotation="90" wrapText="0" indent="0" justifyLastLine="0" shrinkToFit="0"/>
    </dxf>
  </dxfs>
  <tableStyles count="0" defaultTableStyle="TableStyleMedium9" defaultPivotStyle="PivotStyleMedium4"/>
  <colors>
    <mruColors>
      <color rgb="FFFF0000"/>
      <color rgb="FF800000"/>
      <color rgb="FFFFFF00"/>
      <color rgb="FF808000"/>
      <color rgb="FF999999"/>
      <color rgb="FFFF6FCF"/>
      <color rgb="FFCC66FF"/>
      <color rgb="FF66CCFF"/>
      <color rgb="FF66FF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224367</xdr:colOff>
      <xdr:row>1</xdr:row>
      <xdr:rowOff>0</xdr:rowOff>
    </xdr:from>
    <xdr:to>
      <xdr:col>14</xdr:col>
      <xdr:colOff>660399</xdr:colOff>
      <xdr:row>1</xdr:row>
      <xdr:rowOff>330200</xdr:rowOff>
    </xdr:to>
    <xdr:sp macro="[0]!Imprimer" textlink="">
      <xdr:nvSpPr>
        <xdr:cNvPr id="4" name="Rectangle à coins arrondis 3"/>
        <xdr:cNvSpPr/>
      </xdr:nvSpPr>
      <xdr:spPr>
        <a:xfrm>
          <a:off x="6591300" y="127000"/>
          <a:ext cx="1418166" cy="330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9</xdr:col>
      <xdr:colOff>0</xdr:colOff>
      <xdr:row>1</xdr:row>
      <xdr:rowOff>0</xdr:rowOff>
    </xdr:from>
    <xdr:to>
      <xdr:col>11</xdr:col>
      <xdr:colOff>436033</xdr:colOff>
      <xdr:row>1</xdr:row>
      <xdr:rowOff>330200</xdr:rowOff>
    </xdr:to>
    <xdr:sp macro="[0]!ImprimerPDF" textlink="">
      <xdr:nvSpPr>
        <xdr:cNvPr id="3" name="Rectangle à coins arrondis 2"/>
        <xdr:cNvSpPr/>
      </xdr:nvSpPr>
      <xdr:spPr>
        <a:xfrm>
          <a:off x="4640792" y="127000"/>
          <a:ext cx="1414991" cy="3302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Sauve PDF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Donnéesutilisateurs" displayName="Donnéesutilisateurs" ref="A4:AP78" totalsRowCount="1" headerRowDxfId="87" dataDxfId="86" totalsRowDxfId="84" tableBorderDxfId="85">
  <autoFilter ref="A4:AP77"/>
  <sortState ref="A5:AJ91">
    <sortCondition ref="A4:A91"/>
  </sortState>
  <tableColumns count="42">
    <tableColumn id="1" name="Clé" totalsRowLabel="Total" dataDxfId="83" totalsRowDxfId="82">
      <calculatedColumnFormula>Donnéesutilisateurs[[#This Row],[Prénom]]&amp;" "&amp;Donnéesutilisateurs[[#This Row],[Nom]]</calculatedColumnFormula>
    </tableColumn>
    <tableColumn id="38" name="Etage" dataDxfId="81" totalsRowDxfId="80"/>
    <tableColumn id="8" name="Code" dataDxfId="79" totalsRowDxfId="78"/>
    <tableColumn id="2" name="Nom" totalsRowFunction="count" dataDxfId="77" totalsRowDxfId="76"/>
    <tableColumn id="3" name="Prénom" dataDxfId="75" totalsRowDxfId="74"/>
    <tableColumn id="5" name="Fonction" dataDxfId="73" totalsRowDxfId="72"/>
    <tableColumn id="6" name="Référent" dataDxfId="71" totalsRowDxfId="70"/>
    <tableColumn id="15" name="Formation ArchiCad" totalsRowFunction="count" dataDxfId="69" totalsRowDxfId="68"/>
    <tableColumn id="37" name="Coaching" dataDxfId="67" totalsRowDxfId="66"/>
    <tableColumn id="45" name="Anita" dataDxfId="65" totalsRowDxfId="64"/>
    <tableColumn id="44" name="Benoît" dataDxfId="63" totalsRowDxfId="62"/>
    <tableColumn id="43" name="Bernard" dataDxfId="61" totalsRowDxfId="60"/>
    <tableColumn id="42" name="Coralie" dataDxfId="59" totalsRowDxfId="58"/>
    <tableColumn id="41" name="Jonathan" dataDxfId="57" totalsRowDxfId="56"/>
    <tableColumn id="40" name="Miguel" dataDxfId="55" totalsRowDxfId="54"/>
    <tableColumn id="27" name="Patrick" dataDxfId="53" totalsRowDxfId="52"/>
    <tableColumn id="26" name="Philippe" dataDxfId="51" totalsRowDxfId="50"/>
    <tableColumn id="7" name="Informations" dataDxfId="49" totalsRowDxfId="48"/>
    <tableColumn id="11" name="Total points acquis" dataDxfId="47" totalsRowDxfId="46">
      <calculatedColumnFormula>IFERROR(SUM(Donnéesutilisateurs[[#This Row],[Quest de base]]:OFFSET(S5,,COUNTA(Donnéesutilisateurs[[#This Row],[Quest de base]:[P cours 01]]))),"")</calculatedColumnFormula>
    </tableColumn>
    <tableColumn id="12" name="Quest de base" dataDxfId="45" totalsRowDxfId="44"/>
    <tableColumn id="13" name="I cours 01" totalsRowFunction="custom" dataDxfId="43" totalsRowDxfId="42">
      <totalsRowFormula>SUM(Donnéesutilisateurs[I cours 01])</totalsRowFormula>
    </tableColumn>
    <tableColumn id="14" name="P cours 01" totalsRowFunction="custom" dataDxfId="41" totalsRowDxfId="40">
      <totalsRowFormula>SUM(Donnéesutilisateurs[P cours 01])</totalsRowFormula>
    </tableColumn>
    <tableColumn id="10" name="I cours 02" totalsRowFunction="custom" dataDxfId="39" totalsRowDxfId="38">
      <totalsRowFormula>SUM(Donnéesutilisateurs[I cours 02])</totalsRowFormula>
    </tableColumn>
    <tableColumn id="16" name="P cours 02" totalsRowFunction="custom" dataDxfId="37" totalsRowDxfId="36">
      <totalsRowFormula>SUM(Donnéesutilisateurs[P cours 02])</totalsRowFormula>
    </tableColumn>
    <tableColumn id="17" name="I cours 03" totalsRowFunction="custom" dataDxfId="35" totalsRowDxfId="34">
      <totalsRowFormula>SUM(Donnéesutilisateurs[I cours 03])</totalsRowFormula>
    </tableColumn>
    <tableColumn id="18" name="P cours 03" totalsRowFunction="custom" dataDxfId="33" totalsRowDxfId="32">
      <totalsRowFormula>SUM(Donnéesutilisateurs[P cours 03])</totalsRowFormula>
    </tableColumn>
    <tableColumn id="19" name="I cours 04" totalsRowFunction="custom" dataDxfId="31" totalsRowDxfId="30">
      <totalsRowFormula>SUM(Donnéesutilisateurs[I cours 04])</totalsRowFormula>
    </tableColumn>
    <tableColumn id="20" name="P cours 04" totalsRowFunction="custom" dataDxfId="29" totalsRowDxfId="28">
      <totalsRowFormula>SUM(Donnéesutilisateurs[P cours 04])</totalsRowFormula>
    </tableColumn>
    <tableColumn id="21" name="I cours 05" totalsRowFunction="custom" dataDxfId="27" totalsRowDxfId="26">
      <totalsRowFormula>SUM(Donnéesutilisateurs[I cours 05])</totalsRowFormula>
    </tableColumn>
    <tableColumn id="22" name="P cours 05" totalsRowFunction="custom" dataDxfId="25" totalsRowDxfId="24">
      <totalsRowFormula>SUM(Donnéesutilisateurs[P cours 05])</totalsRowFormula>
    </tableColumn>
    <tableColumn id="23" name="I cours 06" totalsRowFunction="custom" dataDxfId="23" totalsRowDxfId="22">
      <totalsRowFormula>SUM(Donnéesutilisateurs[I cours 06])</totalsRowFormula>
    </tableColumn>
    <tableColumn id="24" name="P cours 06" totalsRowFunction="custom" dataDxfId="21" totalsRowDxfId="20">
      <totalsRowFormula>SUM(Donnéesutilisateurs[P cours 06])</totalsRowFormula>
    </tableColumn>
    <tableColumn id="25" name="I cours 07" totalsRowFunction="custom" dataDxfId="19" totalsRowDxfId="18">
      <totalsRowFormula>SUM(Donnéesutilisateurs[I cours 07])</totalsRowFormula>
    </tableColumn>
    <tableColumn id="28" name="P cours 07" totalsRowFunction="custom" dataDxfId="17" totalsRowDxfId="16">
      <totalsRowFormula>SUM(Donnéesutilisateurs[P cours 07])</totalsRowFormula>
    </tableColumn>
    <tableColumn id="29" name="M" dataDxfId="15" totalsRowDxfId="14"/>
    <tableColumn id="30" name="N" dataDxfId="13" totalsRowDxfId="12"/>
    <tableColumn id="31" name="O" dataDxfId="11" totalsRowDxfId="10"/>
    <tableColumn id="32" name="P" dataDxfId="9" totalsRowDxfId="8"/>
    <tableColumn id="33" name="Q" dataDxfId="7" totalsRowDxfId="6"/>
    <tableColumn id="34" name="R" dataDxfId="5" totalsRowDxfId="4"/>
    <tableColumn id="35" name="S" dataDxfId="3" totalsRowDxfId="2"/>
    <tableColumn id="36" name="Quest cours initiation22" totalsRowFunction="custom" dataDxfId="1" totalsRowDxfId="0">
      <totalsRowFormula>SUBTOTAL(103,Donnéesutilisateurs[I cours 06])</totalsRowFormula>
    </tableColumn>
  </tableColumns>
  <tableStyleInfo name="TableStyleLight1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Q102"/>
  <sheetViews>
    <sheetView showGridLines="0" view="pageLayout" topLeftCell="A63" zoomScale="280" zoomScaleNormal="40" zoomScalePageLayoutView="280" workbookViewId="0">
      <selection activeCell="J5" sqref="J5"/>
    </sheetView>
  </sheetViews>
  <sheetFormatPr baseColWidth="10" defaultColWidth="10.83203125" defaultRowHeight="7" x14ac:dyDescent="0.15"/>
  <cols>
    <col min="1" max="1" width="9.6640625" style="2" customWidth="1"/>
    <col min="2" max="2" width="2.33203125" style="2" customWidth="1"/>
    <col min="3" max="3" width="2.33203125" style="25" customWidth="1"/>
    <col min="4" max="4" width="7" style="2" customWidth="1"/>
    <col min="5" max="5" width="6" style="2" customWidth="1"/>
    <col min="6" max="6" width="2.33203125" style="2" customWidth="1"/>
    <col min="7" max="8" width="4.83203125" style="2" customWidth="1"/>
    <col min="9" max="9" width="5.83203125" style="3" customWidth="1"/>
    <col min="10" max="17" width="6.6640625" style="3" customWidth="1"/>
    <col min="18" max="18" width="11.83203125" style="3" customWidth="1"/>
    <col min="19" max="43" width="2.83203125" style="2" customWidth="1"/>
    <col min="44" max="136" width="5.6640625" style="2" customWidth="1"/>
    <col min="137" max="16384" width="10.83203125" style="2"/>
  </cols>
  <sheetData>
    <row r="1" spans="1:43" s="77" customFormat="1" ht="6.5" x14ac:dyDescent="0.15">
      <c r="C1" s="78"/>
      <c r="D1" s="77" t="s">
        <v>0</v>
      </c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43" s="77" customFormat="1" ht="29.5" x14ac:dyDescent="0.15">
      <c r="C2" s="78"/>
      <c r="D2" s="77" t="s">
        <v>1</v>
      </c>
      <c r="I2" s="79"/>
      <c r="J2" s="79"/>
      <c r="K2" s="79"/>
      <c r="L2" s="79"/>
      <c r="M2" s="79"/>
      <c r="N2" s="79"/>
      <c r="O2" s="79"/>
      <c r="P2" s="79"/>
      <c r="Q2" s="79"/>
      <c r="R2" s="79"/>
      <c r="T2" s="77" t="s">
        <v>16</v>
      </c>
      <c r="U2" s="82">
        <v>41711</v>
      </c>
      <c r="V2" s="82">
        <v>41745</v>
      </c>
      <c r="W2" s="82">
        <v>41766</v>
      </c>
      <c r="X2" s="82">
        <v>41773</v>
      </c>
      <c r="Y2" s="82">
        <v>41794</v>
      </c>
      <c r="Z2" s="82">
        <v>41794</v>
      </c>
      <c r="AA2" s="82">
        <v>41815</v>
      </c>
      <c r="AB2" s="82">
        <v>41827</v>
      </c>
      <c r="AC2" s="82">
        <v>41843</v>
      </c>
      <c r="AD2" s="82">
        <v>41848</v>
      </c>
      <c r="AE2" s="82">
        <v>41871</v>
      </c>
      <c r="AF2" s="82">
        <v>41883</v>
      </c>
      <c r="AG2" s="82">
        <v>41906</v>
      </c>
      <c r="AH2" s="82">
        <v>41927</v>
      </c>
      <c r="AI2" s="82">
        <v>41953</v>
      </c>
      <c r="AJ2" s="82">
        <v>42004</v>
      </c>
      <c r="AK2" s="82">
        <v>42004</v>
      </c>
      <c r="AL2" s="82">
        <v>42004</v>
      </c>
      <c r="AM2" s="82">
        <v>42004</v>
      </c>
      <c r="AN2" s="82">
        <v>42004</v>
      </c>
      <c r="AO2" s="82">
        <v>42004</v>
      </c>
      <c r="AP2" s="82">
        <v>42004</v>
      </c>
      <c r="AQ2" s="80"/>
    </row>
    <row r="3" spans="1:43" s="77" customFormat="1" ht="6.5" x14ac:dyDescent="0.15">
      <c r="C3" s="78"/>
      <c r="I3" s="79"/>
      <c r="J3" s="79"/>
      <c r="K3" s="79"/>
      <c r="L3" s="79"/>
      <c r="M3" s="79"/>
      <c r="N3" s="79"/>
      <c r="O3" s="79"/>
      <c r="P3" s="79"/>
      <c r="Q3" s="79"/>
      <c r="R3" s="79"/>
      <c r="S3" s="81" t="s">
        <v>17</v>
      </c>
      <c r="T3" s="77">
        <f>SUM(Pointspossibles)</f>
        <v>18</v>
      </c>
      <c r="U3" s="77">
        <v>4</v>
      </c>
      <c r="V3" s="77">
        <v>1</v>
      </c>
      <c r="W3" s="77">
        <v>1</v>
      </c>
      <c r="X3" s="77">
        <v>1</v>
      </c>
      <c r="Y3" s="77">
        <v>1</v>
      </c>
      <c r="Z3" s="77">
        <v>1</v>
      </c>
      <c r="AA3" s="77">
        <v>1</v>
      </c>
      <c r="AB3" s="77">
        <v>1</v>
      </c>
      <c r="AC3" s="77">
        <v>1</v>
      </c>
      <c r="AD3" s="77">
        <v>1</v>
      </c>
      <c r="AE3" s="77">
        <v>1</v>
      </c>
      <c r="AF3" s="77">
        <v>1</v>
      </c>
      <c r="AG3" s="77">
        <v>1</v>
      </c>
      <c r="AH3" s="77">
        <v>1</v>
      </c>
      <c r="AI3" s="77">
        <v>1</v>
      </c>
      <c r="AJ3" s="77">
        <v>0</v>
      </c>
      <c r="AK3" s="77">
        <v>0</v>
      </c>
      <c r="AL3" s="77">
        <v>0</v>
      </c>
      <c r="AM3" s="77">
        <v>0</v>
      </c>
      <c r="AN3" s="77">
        <v>0</v>
      </c>
      <c r="AO3" s="77">
        <v>0</v>
      </c>
      <c r="AP3" s="77">
        <v>0</v>
      </c>
    </row>
    <row r="4" spans="1:43" s="46" customFormat="1" ht="57.5" x14ac:dyDescent="0.35">
      <c r="A4" s="47" t="s">
        <v>2</v>
      </c>
      <c r="B4" s="47" t="s">
        <v>240</v>
      </c>
      <c r="C4" s="48" t="s">
        <v>217</v>
      </c>
      <c r="D4" s="47" t="s">
        <v>3</v>
      </c>
      <c r="E4" s="47" t="s">
        <v>4</v>
      </c>
      <c r="F4" s="47" t="s">
        <v>5</v>
      </c>
      <c r="G4" s="47" t="s">
        <v>6</v>
      </c>
      <c r="H4" s="47" t="s">
        <v>228</v>
      </c>
      <c r="I4" s="49" t="s">
        <v>239</v>
      </c>
      <c r="J4" s="49" t="s">
        <v>56</v>
      </c>
      <c r="K4" s="49" t="s">
        <v>22</v>
      </c>
      <c r="L4" s="49" t="s">
        <v>30</v>
      </c>
      <c r="M4" s="49" t="s">
        <v>11</v>
      </c>
      <c r="N4" s="49" t="s">
        <v>15</v>
      </c>
      <c r="O4" s="49" t="s">
        <v>25</v>
      </c>
      <c r="P4" s="49" t="s">
        <v>40</v>
      </c>
      <c r="Q4" s="49" t="s">
        <v>131</v>
      </c>
      <c r="R4" s="49" t="s">
        <v>143</v>
      </c>
      <c r="S4" s="47" t="s">
        <v>7</v>
      </c>
      <c r="T4" s="47" t="s">
        <v>158</v>
      </c>
      <c r="U4" s="50" t="s">
        <v>150</v>
      </c>
      <c r="V4" s="51" t="s">
        <v>151</v>
      </c>
      <c r="W4" s="50" t="s">
        <v>230</v>
      </c>
      <c r="X4" s="51" t="s">
        <v>231</v>
      </c>
      <c r="Y4" s="50" t="s">
        <v>244</v>
      </c>
      <c r="Z4" s="51" t="s">
        <v>245</v>
      </c>
      <c r="AA4" s="50" t="s">
        <v>253</v>
      </c>
      <c r="AB4" s="51" t="s">
        <v>254</v>
      </c>
      <c r="AC4" s="50" t="s">
        <v>255</v>
      </c>
      <c r="AD4" s="51" t="s">
        <v>256</v>
      </c>
      <c r="AE4" s="47" t="s">
        <v>274</v>
      </c>
      <c r="AF4" s="51" t="s">
        <v>273</v>
      </c>
      <c r="AG4" s="47" t="s">
        <v>298</v>
      </c>
      <c r="AH4" s="51" t="s">
        <v>297</v>
      </c>
      <c r="AI4" s="47" t="s">
        <v>232</v>
      </c>
      <c r="AJ4" s="47" t="s">
        <v>144</v>
      </c>
      <c r="AK4" s="47" t="s">
        <v>145</v>
      </c>
      <c r="AL4" s="47" t="s">
        <v>233</v>
      </c>
      <c r="AM4" s="47" t="s">
        <v>234</v>
      </c>
      <c r="AN4" s="47" t="s">
        <v>235</v>
      </c>
      <c r="AO4" s="47" t="s">
        <v>236</v>
      </c>
      <c r="AP4" s="51" t="s">
        <v>296</v>
      </c>
    </row>
    <row r="5" spans="1:43" ht="45.5" x14ac:dyDescent="0.15">
      <c r="A5" s="52" t="str">
        <f>Donnéesutilisateurs[[#This Row],[Prénom]]&amp;" "&amp;Donnéesutilisateurs[[#This Row],[Nom]]</f>
        <v>Alicia Sebastiani</v>
      </c>
      <c r="B5" s="52">
        <v>5</v>
      </c>
      <c r="C5" s="53" t="s">
        <v>164</v>
      </c>
      <c r="D5" s="54" t="s">
        <v>115</v>
      </c>
      <c r="E5" s="54" t="s">
        <v>116</v>
      </c>
      <c r="F5" s="54" t="s">
        <v>14</v>
      </c>
      <c r="G5" s="54" t="s">
        <v>25</v>
      </c>
      <c r="H5" s="54">
        <v>2010</v>
      </c>
      <c r="I5" s="55"/>
      <c r="J5" s="55"/>
      <c r="K5" s="55"/>
      <c r="L5" s="55"/>
      <c r="M5" s="55"/>
      <c r="N5" s="55"/>
      <c r="O5" s="55" t="s">
        <v>366</v>
      </c>
      <c r="P5" s="55"/>
      <c r="Q5" s="55"/>
      <c r="R5" s="55" t="s">
        <v>301</v>
      </c>
      <c r="S5" s="52">
        <f ca="1">IFERROR(SUM(Donnéesutilisateurs[[#This Row],[Quest de base]]:OFFSET(S5,,COUNTA(Donnéesutilisateurs[[#This Row],[Quest de base]:[P cours 07]]))),"")</f>
        <v>5</v>
      </c>
      <c r="T5" s="54">
        <v>1</v>
      </c>
      <c r="U5" s="56">
        <v>1</v>
      </c>
      <c r="V5" s="57">
        <v>1</v>
      </c>
      <c r="W5" s="56" t="s">
        <v>263</v>
      </c>
      <c r="X5" s="57" t="s">
        <v>263</v>
      </c>
      <c r="Y5" s="56" t="s">
        <v>263</v>
      </c>
      <c r="Z5" s="57" t="s">
        <v>263</v>
      </c>
      <c r="AA5" s="56" t="s">
        <v>263</v>
      </c>
      <c r="AB5" s="57" t="s">
        <v>263</v>
      </c>
      <c r="AC5" s="56">
        <v>1</v>
      </c>
      <c r="AD5" s="57">
        <v>1</v>
      </c>
      <c r="AE5" s="56" t="s">
        <v>263</v>
      </c>
      <c r="AF5" s="57" t="s">
        <v>263</v>
      </c>
      <c r="AG5" s="56" t="s">
        <v>263</v>
      </c>
      <c r="AH5" s="57" t="s">
        <v>263</v>
      </c>
      <c r="AI5" s="58"/>
      <c r="AJ5" s="58"/>
      <c r="AK5" s="58"/>
      <c r="AL5" s="58"/>
      <c r="AM5" s="58"/>
      <c r="AN5" s="58"/>
      <c r="AO5" s="58"/>
      <c r="AP5" s="57" t="s">
        <v>269</v>
      </c>
    </row>
    <row r="6" spans="1:43" x14ac:dyDescent="0.15">
      <c r="A6" s="52" t="str">
        <f>Donnéesutilisateurs[[#This Row],[Prénom]]&amp;" "&amp;Donnéesutilisateurs[[#This Row],[Nom]]</f>
        <v>André De Oliveira</v>
      </c>
      <c r="B6" s="52">
        <v>4</v>
      </c>
      <c r="C6" s="53" t="s">
        <v>165</v>
      </c>
      <c r="D6" s="54" t="s">
        <v>281</v>
      </c>
      <c r="E6" s="54" t="s">
        <v>52</v>
      </c>
      <c r="F6" s="54" t="s">
        <v>14</v>
      </c>
      <c r="G6" s="54" t="s">
        <v>30</v>
      </c>
      <c r="H6" s="54" t="s">
        <v>263</v>
      </c>
      <c r="I6" s="55"/>
      <c r="J6" s="55"/>
      <c r="K6" s="55"/>
      <c r="L6" s="55" t="s">
        <v>344</v>
      </c>
      <c r="M6" s="55"/>
      <c r="N6" s="55"/>
      <c r="O6" s="55"/>
      <c r="P6" s="55"/>
      <c r="Q6" s="55"/>
      <c r="R6" s="55" t="s">
        <v>302</v>
      </c>
      <c r="S6" s="52">
        <f ca="1">IFERROR(SUM(Donnéesutilisateurs[[#This Row],[Quest de base]]:OFFSET(S6,,COUNTA(Donnéesutilisateurs[[#This Row],[Quest de base]:[P cours 07]]))),"")</f>
        <v>6</v>
      </c>
      <c r="T6" s="54">
        <v>2</v>
      </c>
      <c r="U6" s="56" t="s">
        <v>263</v>
      </c>
      <c r="V6" s="57" t="s">
        <v>263</v>
      </c>
      <c r="W6" s="56">
        <v>1</v>
      </c>
      <c r="X6" s="57">
        <v>1</v>
      </c>
      <c r="Y6" s="56" t="s">
        <v>263</v>
      </c>
      <c r="Z6" s="57" t="s">
        <v>263</v>
      </c>
      <c r="AA6" s="56" t="s">
        <v>263</v>
      </c>
      <c r="AB6" s="57" t="s">
        <v>263</v>
      </c>
      <c r="AC6" s="56">
        <v>1</v>
      </c>
      <c r="AD6" s="57">
        <v>1</v>
      </c>
      <c r="AE6" s="56" t="s">
        <v>263</v>
      </c>
      <c r="AF6" s="57" t="s">
        <v>263</v>
      </c>
      <c r="AG6" s="56" t="s">
        <v>263</v>
      </c>
      <c r="AH6" s="57" t="s">
        <v>263</v>
      </c>
      <c r="AI6" s="58"/>
      <c r="AJ6" s="58"/>
      <c r="AK6" s="58"/>
      <c r="AL6" s="58"/>
      <c r="AM6" s="58"/>
      <c r="AN6" s="58"/>
      <c r="AO6" s="58"/>
      <c r="AP6" s="57" t="s">
        <v>263</v>
      </c>
    </row>
    <row r="7" spans="1:43" ht="13" x14ac:dyDescent="0.15">
      <c r="A7" s="52" t="str">
        <f>Donnéesutilisateurs[[#This Row],[Prénom]]&amp;" "&amp;Donnéesutilisateurs[[#This Row],[Nom]]</f>
        <v>Anita Eicher</v>
      </c>
      <c r="B7" s="52">
        <v>4</v>
      </c>
      <c r="C7" s="53" t="s">
        <v>166</v>
      </c>
      <c r="D7" s="54" t="s">
        <v>64</v>
      </c>
      <c r="E7" s="54" t="s">
        <v>56</v>
      </c>
      <c r="F7" s="54" t="s">
        <v>36</v>
      </c>
      <c r="G7" s="54" t="s">
        <v>56</v>
      </c>
      <c r="H7" s="54">
        <v>2006</v>
      </c>
      <c r="I7" s="55" t="s">
        <v>295</v>
      </c>
      <c r="J7" s="55" t="s">
        <v>363</v>
      </c>
      <c r="K7" s="55" t="s">
        <v>363</v>
      </c>
      <c r="L7" s="55" t="s">
        <v>363</v>
      </c>
      <c r="M7" s="55" t="s">
        <v>363</v>
      </c>
      <c r="N7" s="55" t="s">
        <v>363</v>
      </c>
      <c r="O7" s="55" t="s">
        <v>363</v>
      </c>
      <c r="P7" s="55" t="s">
        <v>363</v>
      </c>
      <c r="Q7" s="55" t="s">
        <v>363</v>
      </c>
      <c r="R7" s="55" t="s">
        <v>303</v>
      </c>
      <c r="S7" s="52">
        <f ca="1">IFERROR(SUM(Donnéesutilisateurs[[#This Row],[Quest de base]]:OFFSET(S7,,COUNTA(Donnéesutilisateurs[[#This Row],[Quest de base]:[P cours 07]]))),"")</f>
        <v>16</v>
      </c>
      <c r="T7" s="54">
        <v>4</v>
      </c>
      <c r="U7" s="56">
        <v>1</v>
      </c>
      <c r="V7" s="57">
        <v>1</v>
      </c>
      <c r="W7" s="56">
        <v>1</v>
      </c>
      <c r="X7" s="57">
        <v>1</v>
      </c>
      <c r="Y7" s="56">
        <v>1</v>
      </c>
      <c r="Z7" s="57" t="s">
        <v>246</v>
      </c>
      <c r="AA7" s="56">
        <v>1</v>
      </c>
      <c r="AB7" s="57">
        <v>1</v>
      </c>
      <c r="AC7" s="56">
        <v>1</v>
      </c>
      <c r="AD7" s="57">
        <v>1</v>
      </c>
      <c r="AE7" s="56">
        <v>1</v>
      </c>
      <c r="AF7" s="57" t="s">
        <v>246</v>
      </c>
      <c r="AG7" s="56">
        <v>1</v>
      </c>
      <c r="AH7" s="57">
        <v>1</v>
      </c>
      <c r="AI7" s="58"/>
      <c r="AJ7" s="58"/>
      <c r="AK7" s="58"/>
      <c r="AL7" s="58"/>
      <c r="AM7" s="58"/>
      <c r="AN7" s="58"/>
      <c r="AO7" s="58"/>
      <c r="AP7" s="57" t="s">
        <v>269</v>
      </c>
    </row>
    <row r="8" spans="1:43" ht="45.5" x14ac:dyDescent="0.15">
      <c r="A8" s="52" t="str">
        <f>Donnéesutilisateurs[[#This Row],[Prénom]]&amp;" "&amp;Donnéesutilisateurs[[#This Row],[Nom]]</f>
        <v>Attila Hollo</v>
      </c>
      <c r="B8" s="52">
        <v>5</v>
      </c>
      <c r="C8" s="53" t="s">
        <v>167</v>
      </c>
      <c r="D8" s="54" t="s">
        <v>154</v>
      </c>
      <c r="E8" s="54" t="s">
        <v>85</v>
      </c>
      <c r="F8" s="54" t="s">
        <v>14</v>
      </c>
      <c r="G8" s="54" t="s">
        <v>25</v>
      </c>
      <c r="H8" s="54">
        <v>2013</v>
      </c>
      <c r="I8" s="55"/>
      <c r="J8" s="55"/>
      <c r="K8" s="55"/>
      <c r="L8" s="55"/>
      <c r="M8" s="55"/>
      <c r="N8" s="55"/>
      <c r="O8" s="55" t="s">
        <v>366</v>
      </c>
      <c r="P8" s="55"/>
      <c r="Q8" s="55"/>
      <c r="R8" s="55" t="s">
        <v>304</v>
      </c>
      <c r="S8" s="52">
        <f ca="1">IFERROR(SUM(Donnéesutilisateurs[[#This Row],[Quest de base]]:OFFSET(S8,,COUNTA(Donnéesutilisateurs[[#This Row],[Quest de base]:[P cours 07]]))),"")</f>
        <v>2</v>
      </c>
      <c r="T8" s="54">
        <v>2</v>
      </c>
      <c r="U8" s="56" t="s">
        <v>263</v>
      </c>
      <c r="V8" s="57" t="s">
        <v>263</v>
      </c>
      <c r="W8" s="56" t="s">
        <v>263</v>
      </c>
      <c r="X8" s="57" t="s">
        <v>263</v>
      </c>
      <c r="Y8" s="56" t="s">
        <v>263</v>
      </c>
      <c r="Z8" s="57" t="s">
        <v>263</v>
      </c>
      <c r="AA8" s="56" t="s">
        <v>263</v>
      </c>
      <c r="AB8" s="57" t="s">
        <v>263</v>
      </c>
      <c r="AC8" s="56" t="s">
        <v>263</v>
      </c>
      <c r="AD8" s="57" t="s">
        <v>263</v>
      </c>
      <c r="AE8" s="56" t="s">
        <v>263</v>
      </c>
      <c r="AF8" s="57" t="s">
        <v>263</v>
      </c>
      <c r="AG8" s="56" t="s">
        <v>263</v>
      </c>
      <c r="AH8" s="57" t="s">
        <v>263</v>
      </c>
      <c r="AI8" s="58"/>
      <c r="AJ8" s="58"/>
      <c r="AK8" s="58"/>
      <c r="AL8" s="58"/>
      <c r="AM8" s="58"/>
      <c r="AN8" s="58"/>
      <c r="AO8" s="58"/>
      <c r="AP8" s="57" t="s">
        <v>269</v>
      </c>
    </row>
    <row r="9" spans="1:43" ht="26" x14ac:dyDescent="0.15">
      <c r="A9" s="52" t="str">
        <f>Donnéesutilisateurs[[#This Row],[Prénom]]&amp;" "&amp;Donnéesutilisateurs[[#This Row],[Nom]]</f>
        <v>Bao Tran</v>
      </c>
      <c r="B9" s="52">
        <v>4</v>
      </c>
      <c r="C9" s="53" t="s">
        <v>168</v>
      </c>
      <c r="D9" s="54" t="s">
        <v>133</v>
      </c>
      <c r="E9" s="54" t="s">
        <v>134</v>
      </c>
      <c r="F9" s="54" t="s">
        <v>14</v>
      </c>
      <c r="G9" s="54" t="s">
        <v>56</v>
      </c>
      <c r="H9" s="54">
        <v>2010</v>
      </c>
      <c r="I9" s="55"/>
      <c r="J9" s="55" t="s">
        <v>345</v>
      </c>
      <c r="K9" s="55"/>
      <c r="L9" s="55"/>
      <c r="M9" s="55"/>
      <c r="N9" s="55"/>
      <c r="O9" s="55"/>
      <c r="P9" s="55"/>
      <c r="Q9" s="55"/>
      <c r="R9" s="55" t="s">
        <v>305</v>
      </c>
      <c r="S9" s="52">
        <f ca="1">IFERROR(SUM(Donnéesutilisateurs[[#This Row],[Quest de base]]:OFFSET(S9,,COUNTA(Donnéesutilisateurs[[#This Row],[Quest de base]:[P cours 07]]))),"")</f>
        <v>6</v>
      </c>
      <c r="T9" s="54">
        <v>3</v>
      </c>
      <c r="U9" s="56" t="s">
        <v>263</v>
      </c>
      <c r="V9" s="57" t="s">
        <v>263</v>
      </c>
      <c r="W9" s="56" t="s">
        <v>263</v>
      </c>
      <c r="X9" s="57" t="s">
        <v>263</v>
      </c>
      <c r="Y9" s="56" t="s">
        <v>263</v>
      </c>
      <c r="Z9" s="57" t="s">
        <v>263</v>
      </c>
      <c r="AA9" s="56" t="s">
        <v>263</v>
      </c>
      <c r="AB9" s="57" t="s">
        <v>263</v>
      </c>
      <c r="AC9" s="56">
        <v>1</v>
      </c>
      <c r="AD9" s="57">
        <v>1</v>
      </c>
      <c r="AE9" s="56">
        <v>1</v>
      </c>
      <c r="AF9" s="57" t="s">
        <v>263</v>
      </c>
      <c r="AG9" s="56" t="s">
        <v>263</v>
      </c>
      <c r="AH9" s="57" t="s">
        <v>263</v>
      </c>
      <c r="AI9" s="58"/>
      <c r="AJ9" s="58"/>
      <c r="AK9" s="58"/>
      <c r="AL9" s="58"/>
      <c r="AM9" s="58"/>
      <c r="AN9" s="58"/>
      <c r="AO9" s="58"/>
      <c r="AP9" s="57" t="s">
        <v>269</v>
      </c>
    </row>
    <row r="10" spans="1:43" x14ac:dyDescent="0.15">
      <c r="A10" s="52" t="str">
        <f>Donnéesutilisateurs[[#This Row],[Prénom]]&amp;" "&amp;Donnéesutilisateurs[[#This Row],[Nom]]</f>
        <v>Barbara De Feo</v>
      </c>
      <c r="B10" s="52">
        <v>4</v>
      </c>
      <c r="C10" s="53" t="s">
        <v>169</v>
      </c>
      <c r="D10" s="54" t="s">
        <v>50</v>
      </c>
      <c r="E10" s="54" t="s">
        <v>51</v>
      </c>
      <c r="F10" s="54" t="s">
        <v>14</v>
      </c>
      <c r="G10" s="54" t="s">
        <v>30</v>
      </c>
      <c r="H10" s="54">
        <v>2010</v>
      </c>
      <c r="I10" s="55"/>
      <c r="J10" s="55"/>
      <c r="K10" s="55"/>
      <c r="L10" s="55" t="s">
        <v>344</v>
      </c>
      <c r="M10" s="55"/>
      <c r="N10" s="55"/>
      <c r="O10" s="55"/>
      <c r="P10" s="55"/>
      <c r="Q10" s="55"/>
      <c r="R10" s="55" t="s">
        <v>308</v>
      </c>
      <c r="S10" s="52">
        <f ca="1">IFERROR(SUM(Donnéesutilisateurs[[#This Row],[Quest de base]]:OFFSET(S10,,COUNTA(Donnéesutilisateurs[[#This Row],[Quest de base]:[P cours 07]]))),"")</f>
        <v>8</v>
      </c>
      <c r="T10" s="54">
        <v>3</v>
      </c>
      <c r="U10" s="56" t="s">
        <v>263</v>
      </c>
      <c r="V10" s="57" t="s">
        <v>263</v>
      </c>
      <c r="W10" s="56">
        <v>1</v>
      </c>
      <c r="X10" s="57" t="s">
        <v>263</v>
      </c>
      <c r="Y10" s="56">
        <v>1</v>
      </c>
      <c r="Z10" s="57" t="s">
        <v>263</v>
      </c>
      <c r="AA10" s="56" t="s">
        <v>263</v>
      </c>
      <c r="AB10" s="57" t="s">
        <v>263</v>
      </c>
      <c r="AC10" s="56" t="s">
        <v>263</v>
      </c>
      <c r="AD10" s="57" t="s">
        <v>263</v>
      </c>
      <c r="AE10" s="56">
        <v>1</v>
      </c>
      <c r="AF10" s="57">
        <v>1</v>
      </c>
      <c r="AG10" s="56">
        <v>1</v>
      </c>
      <c r="AH10" s="57" t="s">
        <v>263</v>
      </c>
      <c r="AI10" s="58"/>
      <c r="AJ10" s="58"/>
      <c r="AK10" s="58"/>
      <c r="AL10" s="58"/>
      <c r="AM10" s="58"/>
      <c r="AN10" s="58"/>
      <c r="AO10" s="58"/>
      <c r="AP10" s="57" t="s">
        <v>269</v>
      </c>
    </row>
    <row r="11" spans="1:43" x14ac:dyDescent="0.15">
      <c r="A11" s="52" t="str">
        <f>Donnéesutilisateurs[[#This Row],[Prénom]]&amp;" "&amp;Donnéesutilisateurs[[#This Row],[Nom]]</f>
        <v>Bart Daniels</v>
      </c>
      <c r="B11" s="52">
        <v>3</v>
      </c>
      <c r="C11" s="53" t="s">
        <v>170</v>
      </c>
      <c r="D11" s="54" t="s">
        <v>48</v>
      </c>
      <c r="E11" s="54" t="s">
        <v>49</v>
      </c>
      <c r="F11" s="54" t="s">
        <v>10</v>
      </c>
      <c r="G11" s="54" t="s">
        <v>11</v>
      </c>
      <c r="H11" s="54">
        <v>2011</v>
      </c>
      <c r="I11" s="55"/>
      <c r="J11" s="55"/>
      <c r="K11" s="55"/>
      <c r="L11" s="55"/>
      <c r="M11" s="55" t="s">
        <v>344</v>
      </c>
      <c r="N11" s="55"/>
      <c r="O11" s="55"/>
      <c r="P11" s="55"/>
      <c r="Q11" s="55"/>
      <c r="R11" s="55" t="s">
        <v>309</v>
      </c>
      <c r="S11" s="52">
        <f ca="1">IFERROR(SUM(Donnéesutilisateurs[[#This Row],[Quest de base]]:OFFSET(S11,,COUNTA(Donnéesutilisateurs[[#This Row],[Quest de base]:[P cours 07]]))),"")</f>
        <v>15</v>
      </c>
      <c r="T11" s="54">
        <v>4</v>
      </c>
      <c r="U11" s="56">
        <v>1</v>
      </c>
      <c r="V11" s="57">
        <v>1</v>
      </c>
      <c r="W11" s="56">
        <v>1</v>
      </c>
      <c r="X11" s="57" t="s">
        <v>263</v>
      </c>
      <c r="Y11" s="56" t="s">
        <v>263</v>
      </c>
      <c r="Z11" s="57" t="s">
        <v>263</v>
      </c>
      <c r="AA11" s="56">
        <v>1</v>
      </c>
      <c r="AB11" s="57">
        <v>1</v>
      </c>
      <c r="AC11" s="56">
        <v>1</v>
      </c>
      <c r="AD11" s="57">
        <v>1</v>
      </c>
      <c r="AE11" s="56">
        <v>1</v>
      </c>
      <c r="AF11" s="57">
        <v>1</v>
      </c>
      <c r="AG11" s="56">
        <v>1</v>
      </c>
      <c r="AH11" s="57">
        <v>1</v>
      </c>
      <c r="AI11" s="58"/>
      <c r="AJ11" s="58"/>
      <c r="AK11" s="58"/>
      <c r="AL11" s="58"/>
      <c r="AM11" s="58"/>
      <c r="AN11" s="58"/>
      <c r="AO11" s="58"/>
      <c r="AP11" s="57" t="s">
        <v>269</v>
      </c>
    </row>
    <row r="12" spans="1:43" ht="26" x14ac:dyDescent="0.15">
      <c r="A12" s="52" t="str">
        <f>Donnéesutilisateurs[[#This Row],[Prénom]]&amp;" "&amp;Donnéesutilisateurs[[#This Row],[Nom]]</f>
        <v>Benjamin Mareine</v>
      </c>
      <c r="B12" s="52">
        <v>4</v>
      </c>
      <c r="C12" s="53" t="s">
        <v>171</v>
      </c>
      <c r="D12" s="54" t="s">
        <v>93</v>
      </c>
      <c r="E12" s="54" t="s">
        <v>94</v>
      </c>
      <c r="F12" s="54" t="s">
        <v>14</v>
      </c>
      <c r="G12" s="54" t="s">
        <v>56</v>
      </c>
      <c r="H12" s="54"/>
      <c r="I12" s="55"/>
      <c r="J12" s="55" t="s">
        <v>346</v>
      </c>
      <c r="K12" s="55" t="s">
        <v>347</v>
      </c>
      <c r="L12" s="55"/>
      <c r="M12" s="55"/>
      <c r="N12" s="55"/>
      <c r="O12" s="55"/>
      <c r="P12" s="55"/>
      <c r="Q12" s="55"/>
      <c r="R12" s="55" t="s">
        <v>306</v>
      </c>
      <c r="S12" s="52">
        <f ca="1">IFERROR(SUM(Donnéesutilisateurs[[#This Row],[Quest de base]]:OFFSET(S12,,COUNTA(Donnéesutilisateurs[[#This Row],[Quest de base]:[P cours 07]]))),"")</f>
        <v>5</v>
      </c>
      <c r="T12" s="54">
        <v>3</v>
      </c>
      <c r="U12" s="56">
        <v>1</v>
      </c>
      <c r="V12" s="57">
        <v>1</v>
      </c>
      <c r="W12" s="56" t="s">
        <v>263</v>
      </c>
      <c r="X12" s="57" t="s">
        <v>263</v>
      </c>
      <c r="Y12" s="56" t="s">
        <v>263</v>
      </c>
      <c r="Z12" s="57" t="s">
        <v>263</v>
      </c>
      <c r="AA12" s="56" t="s">
        <v>227</v>
      </c>
      <c r="AB12" s="57" t="s">
        <v>227</v>
      </c>
      <c r="AC12" s="56" t="s">
        <v>263</v>
      </c>
      <c r="AD12" s="57" t="s">
        <v>263</v>
      </c>
      <c r="AE12" s="56" t="s">
        <v>263</v>
      </c>
      <c r="AF12" s="57" t="s">
        <v>263</v>
      </c>
      <c r="AG12" s="56" t="s">
        <v>263</v>
      </c>
      <c r="AH12" s="57" t="s">
        <v>263</v>
      </c>
      <c r="AI12" s="58"/>
      <c r="AJ12" s="58"/>
      <c r="AK12" s="58"/>
      <c r="AL12" s="58"/>
      <c r="AM12" s="58"/>
      <c r="AN12" s="58"/>
      <c r="AO12" s="58"/>
      <c r="AP12" s="57"/>
    </row>
    <row r="13" spans="1:43" ht="19.5" x14ac:dyDescent="0.15">
      <c r="A13" s="52" t="str">
        <f>Donnéesutilisateurs[[#This Row],[Prénom]]&amp;" "&amp;Donnéesutilisateurs[[#This Row],[Nom]]</f>
        <v>Benoît Curchod</v>
      </c>
      <c r="B13" s="52">
        <v>3</v>
      </c>
      <c r="C13" s="53" t="s">
        <v>172</v>
      </c>
      <c r="D13" s="54" t="s">
        <v>47</v>
      </c>
      <c r="E13" s="54" t="s">
        <v>22</v>
      </c>
      <c r="F13" s="54" t="s">
        <v>36</v>
      </c>
      <c r="G13" s="54" t="s">
        <v>22</v>
      </c>
      <c r="H13" s="54"/>
      <c r="I13" s="55" t="s">
        <v>284</v>
      </c>
      <c r="J13" s="55" t="s">
        <v>363</v>
      </c>
      <c r="K13" s="55" t="s">
        <v>363</v>
      </c>
      <c r="L13" s="55" t="s">
        <v>363</v>
      </c>
      <c r="M13" s="55" t="s">
        <v>363</v>
      </c>
      <c r="N13" s="55" t="s">
        <v>363</v>
      </c>
      <c r="O13" s="55" t="s">
        <v>363</v>
      </c>
      <c r="P13" s="55" t="s">
        <v>363</v>
      </c>
      <c r="Q13" s="55" t="s">
        <v>363</v>
      </c>
      <c r="R13" s="55" t="s">
        <v>307</v>
      </c>
      <c r="S13" s="52">
        <f ca="1">IFERROR(SUM(Donnéesutilisateurs[[#This Row],[Quest de base]]:OFFSET(S13,,COUNTA(Donnéesutilisateurs[[#This Row],[Quest de base]:[P cours 07]]))),"")</f>
        <v>13</v>
      </c>
      <c r="T13" s="54">
        <v>3</v>
      </c>
      <c r="U13" s="56" t="s">
        <v>263</v>
      </c>
      <c r="V13" s="57" t="s">
        <v>263</v>
      </c>
      <c r="W13" s="56" t="s">
        <v>263</v>
      </c>
      <c r="X13" s="57" t="s">
        <v>263</v>
      </c>
      <c r="Y13" s="56">
        <v>1</v>
      </c>
      <c r="Z13" s="57">
        <v>1</v>
      </c>
      <c r="AA13" s="56">
        <v>1</v>
      </c>
      <c r="AB13" s="57">
        <v>1</v>
      </c>
      <c r="AC13" s="56">
        <v>1</v>
      </c>
      <c r="AD13" s="57">
        <v>1</v>
      </c>
      <c r="AE13" s="56">
        <v>1</v>
      </c>
      <c r="AF13" s="57">
        <v>1</v>
      </c>
      <c r="AG13" s="56">
        <v>1</v>
      </c>
      <c r="AH13" s="57">
        <v>1</v>
      </c>
      <c r="AI13" s="58"/>
      <c r="AJ13" s="58"/>
      <c r="AK13" s="58"/>
      <c r="AL13" s="58"/>
      <c r="AM13" s="58"/>
      <c r="AN13" s="58"/>
      <c r="AO13" s="58"/>
      <c r="AP13" s="57" t="s">
        <v>269</v>
      </c>
    </row>
    <row r="14" spans="1:43" ht="13" x14ac:dyDescent="0.15">
      <c r="A14" s="52" t="str">
        <f>Donnéesutilisateurs[[#This Row],[Prénom]]&amp;" "&amp;Donnéesutilisateurs[[#This Row],[Nom]]</f>
        <v>Bernard Cherix</v>
      </c>
      <c r="B14" s="52">
        <v>4</v>
      </c>
      <c r="C14" s="53" t="s">
        <v>173</v>
      </c>
      <c r="D14" s="54" t="s">
        <v>43</v>
      </c>
      <c r="E14" s="54" t="s">
        <v>30</v>
      </c>
      <c r="F14" s="54" t="s">
        <v>14</v>
      </c>
      <c r="G14" s="54" t="s">
        <v>30</v>
      </c>
      <c r="H14" s="54"/>
      <c r="I14" s="55" t="s">
        <v>266</v>
      </c>
      <c r="J14" s="55" t="s">
        <v>363</v>
      </c>
      <c r="K14" s="55" t="s">
        <v>363</v>
      </c>
      <c r="L14" s="55" t="s">
        <v>363</v>
      </c>
      <c r="M14" s="55" t="s">
        <v>363</v>
      </c>
      <c r="N14" s="55" t="s">
        <v>363</v>
      </c>
      <c r="O14" s="55" t="s">
        <v>363</v>
      </c>
      <c r="P14" s="55" t="s">
        <v>363</v>
      </c>
      <c r="Q14" s="55" t="s">
        <v>363</v>
      </c>
      <c r="R14" s="55" t="s">
        <v>310</v>
      </c>
      <c r="S14" s="52">
        <f ca="1">IFERROR(SUM(Donnéesutilisateurs[[#This Row],[Quest de base]]:OFFSET(S14,,COUNTA(Donnéesutilisateurs[[#This Row],[Quest de base]:[P cours 07]]))),"")</f>
        <v>8</v>
      </c>
      <c r="T14" s="54">
        <v>3</v>
      </c>
      <c r="U14" s="56" t="s">
        <v>263</v>
      </c>
      <c r="V14" s="57" t="s">
        <v>263</v>
      </c>
      <c r="W14" s="56" t="s">
        <v>263</v>
      </c>
      <c r="X14" s="57" t="s">
        <v>263</v>
      </c>
      <c r="Y14" s="56" t="s">
        <v>263</v>
      </c>
      <c r="Z14" s="57" t="s">
        <v>263</v>
      </c>
      <c r="AA14" s="56" t="s">
        <v>263</v>
      </c>
      <c r="AB14" s="57" t="s">
        <v>263</v>
      </c>
      <c r="AC14" s="56">
        <v>1</v>
      </c>
      <c r="AD14" s="57">
        <v>1</v>
      </c>
      <c r="AE14" s="56">
        <v>1</v>
      </c>
      <c r="AF14" s="57">
        <v>1</v>
      </c>
      <c r="AG14" s="56">
        <v>1</v>
      </c>
      <c r="AH14" s="57" t="s">
        <v>246</v>
      </c>
      <c r="AI14" s="58"/>
      <c r="AJ14" s="58"/>
      <c r="AK14" s="58"/>
      <c r="AL14" s="58"/>
      <c r="AM14" s="58"/>
      <c r="AN14" s="58"/>
      <c r="AO14" s="58"/>
      <c r="AP14" s="57" t="s">
        <v>269</v>
      </c>
    </row>
    <row r="15" spans="1:43" x14ac:dyDescent="0.15">
      <c r="A15" s="52" t="str">
        <f>Donnéesutilisateurs[[#This Row],[Prénom]]&amp;" "&amp;Donnéesutilisateurs[[#This Row],[Nom]]</f>
        <v>Brahim Shala</v>
      </c>
      <c r="B15" s="52">
        <v>5</v>
      </c>
      <c r="C15" s="53" t="s">
        <v>174</v>
      </c>
      <c r="D15" s="54" t="s">
        <v>118</v>
      </c>
      <c r="E15" s="54" t="s">
        <v>119</v>
      </c>
      <c r="F15" s="54" t="s">
        <v>36</v>
      </c>
      <c r="G15" s="54" t="s">
        <v>40</v>
      </c>
      <c r="H15" s="54" t="s">
        <v>263</v>
      </c>
      <c r="I15" s="55"/>
      <c r="J15" s="55"/>
      <c r="K15" s="55"/>
      <c r="L15" s="55"/>
      <c r="M15" s="55"/>
      <c r="N15" s="55"/>
      <c r="O15" s="55"/>
      <c r="P15" s="55" t="s">
        <v>344</v>
      </c>
      <c r="Q15" s="55"/>
      <c r="R15" s="55" t="s">
        <v>120</v>
      </c>
      <c r="S15" s="52">
        <f ca="1">IFERROR(SUM(Donnéesutilisateurs[[#This Row],[Quest de base]]:OFFSET(S15,,COUNTA(Donnéesutilisateurs[[#This Row],[Quest de base]:[P cours 07]]))),"")</f>
        <v>2</v>
      </c>
      <c r="T15" s="54">
        <v>2</v>
      </c>
      <c r="U15" s="56" t="s">
        <v>263</v>
      </c>
      <c r="V15" s="57" t="s">
        <v>263</v>
      </c>
      <c r="W15" s="56" t="s">
        <v>263</v>
      </c>
      <c r="X15" s="57" t="s">
        <v>263</v>
      </c>
      <c r="Y15" s="56" t="s">
        <v>263</v>
      </c>
      <c r="Z15" s="57" t="s">
        <v>263</v>
      </c>
      <c r="AA15" s="56" t="s">
        <v>263</v>
      </c>
      <c r="AB15" s="57" t="s">
        <v>263</v>
      </c>
      <c r="AC15" s="56" t="s">
        <v>263</v>
      </c>
      <c r="AD15" s="57" t="s">
        <v>263</v>
      </c>
      <c r="AE15" s="56" t="s">
        <v>263</v>
      </c>
      <c r="AF15" s="57" t="s">
        <v>263</v>
      </c>
      <c r="AG15" s="56" t="s">
        <v>263</v>
      </c>
      <c r="AH15" s="57" t="s">
        <v>263</v>
      </c>
      <c r="AI15" s="58"/>
      <c r="AJ15" s="58"/>
      <c r="AK15" s="58"/>
      <c r="AL15" s="58"/>
      <c r="AM15" s="58"/>
      <c r="AN15" s="58"/>
      <c r="AO15" s="58"/>
      <c r="AP15" s="57" t="s">
        <v>263</v>
      </c>
    </row>
    <row r="16" spans="1:43" x14ac:dyDescent="0.15">
      <c r="A16" s="52" t="str">
        <f>Donnéesutilisateurs[[#This Row],[Prénom]]&amp;" "&amp;Donnéesutilisateurs[[#This Row],[Nom]]</f>
        <v>Carolina Azevedo</v>
      </c>
      <c r="B16" s="52">
        <v>4</v>
      </c>
      <c r="C16" s="53" t="s">
        <v>175</v>
      </c>
      <c r="D16" s="54" t="s">
        <v>18</v>
      </c>
      <c r="E16" s="54" t="s">
        <v>19</v>
      </c>
      <c r="F16" s="54" t="s">
        <v>14</v>
      </c>
      <c r="G16" s="54" t="s">
        <v>15</v>
      </c>
      <c r="H16" s="54">
        <v>2011</v>
      </c>
      <c r="I16" s="55"/>
      <c r="J16" s="55"/>
      <c r="K16" s="55"/>
      <c r="L16" s="55"/>
      <c r="M16" s="55"/>
      <c r="N16" s="55" t="s">
        <v>344</v>
      </c>
      <c r="O16" s="55"/>
      <c r="P16" s="55"/>
      <c r="Q16" s="55"/>
      <c r="R16" s="55" t="s">
        <v>311</v>
      </c>
      <c r="S16" s="52">
        <f ca="1">IFERROR(SUM(Donnéesutilisateurs[[#This Row],[Quest de base]]:OFFSET(S16,,COUNTA(Donnéesutilisateurs[[#This Row],[Quest de base]:[P cours 07]]))),"")</f>
        <v>4</v>
      </c>
      <c r="T16" s="54">
        <v>2</v>
      </c>
      <c r="U16" s="56" t="s">
        <v>263</v>
      </c>
      <c r="V16" s="57" t="s">
        <v>263</v>
      </c>
      <c r="W16" s="56">
        <v>1</v>
      </c>
      <c r="X16" s="57" t="s">
        <v>263</v>
      </c>
      <c r="Y16" s="56">
        <v>1</v>
      </c>
      <c r="Z16" s="57" t="s">
        <v>263</v>
      </c>
      <c r="AA16" s="56" t="s">
        <v>263</v>
      </c>
      <c r="AB16" s="57" t="s">
        <v>263</v>
      </c>
      <c r="AC16" s="56" t="s">
        <v>263</v>
      </c>
      <c r="AD16" s="57" t="s">
        <v>263</v>
      </c>
      <c r="AE16" s="56" t="s">
        <v>263</v>
      </c>
      <c r="AF16" s="57" t="s">
        <v>263</v>
      </c>
      <c r="AG16" s="56" t="s">
        <v>263</v>
      </c>
      <c r="AH16" s="57" t="s">
        <v>263</v>
      </c>
      <c r="AI16" s="58"/>
      <c r="AJ16" s="58"/>
      <c r="AK16" s="58"/>
      <c r="AL16" s="58"/>
      <c r="AM16" s="58"/>
      <c r="AN16" s="58"/>
      <c r="AO16" s="58"/>
      <c r="AP16" s="57" t="s">
        <v>269</v>
      </c>
    </row>
    <row r="17" spans="1:42" ht="52" x14ac:dyDescent="0.15">
      <c r="A17" s="52" t="str">
        <f>Donnéesutilisateurs[[#This Row],[Prénom]]&amp;" "&amp;Donnéesutilisateurs[[#This Row],[Nom]]</f>
        <v>Catherine Plaschy Roten</v>
      </c>
      <c r="B17" s="62">
        <v>5</v>
      </c>
      <c r="C17" s="63" t="s">
        <v>176</v>
      </c>
      <c r="D17" s="64" t="s">
        <v>111</v>
      </c>
      <c r="E17" s="64" t="s">
        <v>112</v>
      </c>
      <c r="F17" s="64" t="s">
        <v>36</v>
      </c>
      <c r="G17" s="64" t="s">
        <v>56</v>
      </c>
      <c r="H17" s="54"/>
      <c r="I17" s="65"/>
      <c r="J17" s="65" t="s">
        <v>349</v>
      </c>
      <c r="K17" s="65" t="s">
        <v>348</v>
      </c>
      <c r="L17" s="55"/>
      <c r="M17" s="55"/>
      <c r="N17" s="55"/>
      <c r="O17" s="55" t="s">
        <v>367</v>
      </c>
      <c r="P17" s="55"/>
      <c r="Q17" s="55"/>
      <c r="R17" s="65" t="s">
        <v>312</v>
      </c>
      <c r="S17" s="52">
        <f ca="1">IFERROR(SUM(Donnéesutilisateurs[[#This Row],[Quest de base]]:OFFSET(S17,,COUNTA(Donnéesutilisateurs[[#This Row],[Quest de base]:[P cours 07]]))),"")</f>
        <v>17</v>
      </c>
      <c r="T17" s="64">
        <v>3</v>
      </c>
      <c r="U17" s="56">
        <v>1</v>
      </c>
      <c r="V17" s="57">
        <v>1</v>
      </c>
      <c r="W17" s="56">
        <v>1</v>
      </c>
      <c r="X17" s="57">
        <v>1</v>
      </c>
      <c r="Y17" s="56">
        <v>1</v>
      </c>
      <c r="Z17" s="57">
        <v>1</v>
      </c>
      <c r="AA17" s="56">
        <v>1</v>
      </c>
      <c r="AB17" s="57">
        <v>1</v>
      </c>
      <c r="AC17" s="56">
        <v>1</v>
      </c>
      <c r="AD17" s="57">
        <v>1</v>
      </c>
      <c r="AE17" s="56">
        <v>1</v>
      </c>
      <c r="AF17" s="57">
        <v>1</v>
      </c>
      <c r="AG17" s="56">
        <v>1</v>
      </c>
      <c r="AH17" s="57">
        <v>1</v>
      </c>
      <c r="AI17" s="58"/>
      <c r="AJ17" s="58"/>
      <c r="AK17" s="58"/>
      <c r="AL17" s="58"/>
      <c r="AM17" s="58"/>
      <c r="AN17" s="58"/>
      <c r="AO17" s="58"/>
      <c r="AP17" s="57" t="s">
        <v>269</v>
      </c>
    </row>
    <row r="18" spans="1:42" x14ac:dyDescent="0.15">
      <c r="A18" s="52" t="str">
        <f>Donnéesutilisateurs[[#This Row],[Prénom]]&amp;" "&amp;Donnéesutilisateurs[[#This Row],[Nom]]</f>
        <v>Charlotte Valentin</v>
      </c>
      <c r="B18" s="62">
        <v>3</v>
      </c>
      <c r="C18" s="63" t="s">
        <v>21</v>
      </c>
      <c r="D18" s="64" t="s">
        <v>225</v>
      </c>
      <c r="E18" s="64" t="s">
        <v>224</v>
      </c>
      <c r="F18" s="64" t="s">
        <v>21</v>
      </c>
      <c r="G18" s="64" t="s">
        <v>22</v>
      </c>
      <c r="H18" s="54"/>
      <c r="I18" s="65"/>
      <c r="J18" s="65"/>
      <c r="K18" s="65" t="s">
        <v>344</v>
      </c>
      <c r="L18" s="55"/>
      <c r="M18" s="55"/>
      <c r="N18" s="55"/>
      <c r="O18" s="55"/>
      <c r="P18" s="55"/>
      <c r="Q18" s="55"/>
      <c r="R18" s="65"/>
      <c r="S18" s="52">
        <f ca="1">IFERROR(SUM(Donnéesutilisateurs[[#This Row],[Quest de base]]:OFFSET(S18,,COUNTA(Donnéesutilisateurs[[#This Row],[Quest de base]:[P cours 07]]))),"")</f>
        <v>0</v>
      </c>
      <c r="T18" s="64" t="s">
        <v>365</v>
      </c>
      <c r="U18" s="66" t="s">
        <v>365</v>
      </c>
      <c r="V18" s="67" t="s">
        <v>365</v>
      </c>
      <c r="W18" s="66" t="s">
        <v>263</v>
      </c>
      <c r="X18" s="67" t="s">
        <v>263</v>
      </c>
      <c r="Y18" s="66" t="s">
        <v>263</v>
      </c>
      <c r="Z18" s="67" t="s">
        <v>263</v>
      </c>
      <c r="AA18" s="66" t="s">
        <v>263</v>
      </c>
      <c r="AB18" s="67" t="s">
        <v>263</v>
      </c>
      <c r="AC18" s="66" t="s">
        <v>263</v>
      </c>
      <c r="AD18" s="67" t="s">
        <v>263</v>
      </c>
      <c r="AE18" s="56" t="s">
        <v>263</v>
      </c>
      <c r="AF18" s="57" t="s">
        <v>263</v>
      </c>
      <c r="AG18" s="56" t="s">
        <v>263</v>
      </c>
      <c r="AH18" s="57" t="s">
        <v>263</v>
      </c>
      <c r="AI18" s="58"/>
      <c r="AJ18" s="58"/>
      <c r="AK18" s="58"/>
      <c r="AL18" s="58"/>
      <c r="AM18" s="58"/>
      <c r="AN18" s="58"/>
      <c r="AO18" s="58"/>
      <c r="AP18" s="57"/>
    </row>
    <row r="19" spans="1:42" x14ac:dyDescent="0.15">
      <c r="A19" s="52" t="str">
        <f>Donnéesutilisateurs[[#This Row],[Prénom]]&amp;" "&amp;Donnéesutilisateurs[[#This Row],[Nom]]</f>
        <v>Chiara De Salvo</v>
      </c>
      <c r="B19" s="62">
        <v>3</v>
      </c>
      <c r="C19" s="63" t="s">
        <v>177</v>
      </c>
      <c r="D19" s="64" t="s">
        <v>152</v>
      </c>
      <c r="E19" s="64" t="s">
        <v>53</v>
      </c>
      <c r="F19" s="64" t="s">
        <v>14</v>
      </c>
      <c r="G19" s="64" t="s">
        <v>11</v>
      </c>
      <c r="H19" s="54">
        <v>2014</v>
      </c>
      <c r="I19" s="65"/>
      <c r="J19" s="65"/>
      <c r="K19" s="65"/>
      <c r="L19" s="55"/>
      <c r="M19" s="55" t="s">
        <v>344</v>
      </c>
      <c r="N19" s="55"/>
      <c r="O19" s="55"/>
      <c r="P19" s="55"/>
      <c r="Q19" s="55"/>
      <c r="R19" s="65"/>
      <c r="S19" s="52">
        <f ca="1">IFERROR(SUM(Donnéesutilisateurs[[#This Row],[Quest de base]]:OFFSET(S19,,COUNTA(Donnéesutilisateurs[[#This Row],[Quest de base]:[P cours 07]]))),"")</f>
        <v>9</v>
      </c>
      <c r="T19" s="64" t="s">
        <v>227</v>
      </c>
      <c r="U19" s="56" t="s">
        <v>263</v>
      </c>
      <c r="V19" s="57" t="s">
        <v>263</v>
      </c>
      <c r="W19" s="56">
        <v>1</v>
      </c>
      <c r="X19" s="57">
        <v>1</v>
      </c>
      <c r="Y19" s="56">
        <v>1</v>
      </c>
      <c r="Z19" s="57">
        <v>1</v>
      </c>
      <c r="AA19" s="56">
        <v>1</v>
      </c>
      <c r="AB19" s="57" t="s">
        <v>263</v>
      </c>
      <c r="AC19" s="56">
        <v>1</v>
      </c>
      <c r="AD19" s="57" t="s">
        <v>263</v>
      </c>
      <c r="AE19" s="56">
        <v>1</v>
      </c>
      <c r="AF19" s="57">
        <v>1</v>
      </c>
      <c r="AG19" s="56">
        <v>1</v>
      </c>
      <c r="AH19" s="57">
        <v>0</v>
      </c>
      <c r="AI19" s="58"/>
      <c r="AJ19" s="58"/>
      <c r="AK19" s="58"/>
      <c r="AL19" s="58"/>
      <c r="AM19" s="58"/>
      <c r="AN19" s="58"/>
      <c r="AO19" s="58"/>
      <c r="AP19" s="57" t="s">
        <v>269</v>
      </c>
    </row>
    <row r="20" spans="1:42" ht="19.5" x14ac:dyDescent="0.15">
      <c r="A20" s="52" t="str">
        <f>Donnéesutilisateurs[[#This Row],[Prénom]]&amp;" "&amp;Donnéesutilisateurs[[#This Row],[Nom]]</f>
        <v>Chloé Schmid-Hennard</v>
      </c>
      <c r="B20" s="62">
        <v>4</v>
      </c>
      <c r="C20" s="63" t="s">
        <v>178</v>
      </c>
      <c r="D20" s="64" t="s">
        <v>113</v>
      </c>
      <c r="E20" s="64" t="s">
        <v>114</v>
      </c>
      <c r="F20" s="64" t="s">
        <v>14</v>
      </c>
      <c r="G20" s="64" t="s">
        <v>22</v>
      </c>
      <c r="H20" s="54"/>
      <c r="I20" s="65" t="s">
        <v>241</v>
      </c>
      <c r="J20" s="65"/>
      <c r="K20" s="65" t="s">
        <v>350</v>
      </c>
      <c r="L20" s="55"/>
      <c r="M20" s="55"/>
      <c r="N20" s="55"/>
      <c r="O20" s="55"/>
      <c r="P20" s="55"/>
      <c r="Q20" s="55"/>
      <c r="R20" s="65" t="s">
        <v>313</v>
      </c>
      <c r="S20" s="52">
        <f ca="1">IFERROR(SUM(Donnéesutilisateurs[[#This Row],[Quest de base]]:OFFSET(S20,,COUNTA(Donnéesutilisateurs[[#This Row],[Quest de base]:[P cours 07]]))),"")</f>
        <v>13</v>
      </c>
      <c r="T20" s="64">
        <v>3</v>
      </c>
      <c r="U20" s="56">
        <v>1</v>
      </c>
      <c r="V20" s="57">
        <v>1</v>
      </c>
      <c r="W20" s="56">
        <v>1</v>
      </c>
      <c r="X20" s="57">
        <v>1</v>
      </c>
      <c r="Y20" s="56">
        <v>1</v>
      </c>
      <c r="Z20" s="57">
        <v>1</v>
      </c>
      <c r="AA20" s="56" t="s">
        <v>227</v>
      </c>
      <c r="AB20" s="57" t="s">
        <v>227</v>
      </c>
      <c r="AC20" s="56">
        <v>1</v>
      </c>
      <c r="AD20" s="57">
        <v>1</v>
      </c>
      <c r="AE20" s="56">
        <v>1</v>
      </c>
      <c r="AF20" s="57">
        <v>1</v>
      </c>
      <c r="AG20" s="56">
        <v>0</v>
      </c>
      <c r="AH20" s="57">
        <v>0</v>
      </c>
      <c r="AI20" s="58"/>
      <c r="AJ20" s="58"/>
      <c r="AK20" s="58"/>
      <c r="AL20" s="58"/>
      <c r="AM20" s="58"/>
      <c r="AN20" s="58"/>
      <c r="AO20" s="58"/>
      <c r="AP20" s="57" t="s">
        <v>269</v>
      </c>
    </row>
    <row r="21" spans="1:42" x14ac:dyDescent="0.15">
      <c r="A21" s="52" t="str">
        <f>Donnéesutilisateurs[[#This Row],[Prénom]]&amp;" "&amp;Donnéesutilisateurs[[#This Row],[Nom]]</f>
        <v>Christophe Bondon</v>
      </c>
      <c r="B21" s="52">
        <v>5</v>
      </c>
      <c r="C21" s="53" t="s">
        <v>179</v>
      </c>
      <c r="D21" s="54" t="s">
        <v>28</v>
      </c>
      <c r="E21" s="54" t="s">
        <v>29</v>
      </c>
      <c r="F21" s="54" t="s">
        <v>26</v>
      </c>
      <c r="G21" s="54" t="s">
        <v>30</v>
      </c>
      <c r="H21" s="54"/>
      <c r="I21" s="55"/>
      <c r="J21" s="55"/>
      <c r="K21" s="55"/>
      <c r="L21" s="55" t="s">
        <v>344</v>
      </c>
      <c r="M21" s="55"/>
      <c r="N21" s="55"/>
      <c r="O21" s="55"/>
      <c r="P21" s="55"/>
      <c r="Q21" s="55"/>
      <c r="R21" s="55" t="s">
        <v>31</v>
      </c>
      <c r="S21" s="52">
        <f ca="1">IFERROR(SUM(Donnéesutilisateurs[[#This Row],[Quest de base]]:OFFSET(S21,,COUNTA(Donnéesutilisateurs[[#This Row],[Quest de base]:[P cours 07]]))),"")</f>
        <v>3</v>
      </c>
      <c r="T21" s="54">
        <v>3</v>
      </c>
      <c r="U21" s="56" t="s">
        <v>263</v>
      </c>
      <c r="V21" s="57" t="s">
        <v>263</v>
      </c>
      <c r="W21" s="56" t="s">
        <v>263</v>
      </c>
      <c r="X21" s="57" t="s">
        <v>263</v>
      </c>
      <c r="Y21" s="56" t="s">
        <v>263</v>
      </c>
      <c r="Z21" s="57" t="s">
        <v>263</v>
      </c>
      <c r="AA21" s="56" t="s">
        <v>227</v>
      </c>
      <c r="AB21" s="57" t="s">
        <v>227</v>
      </c>
      <c r="AC21" s="56" t="s">
        <v>263</v>
      </c>
      <c r="AD21" s="57" t="s">
        <v>263</v>
      </c>
      <c r="AE21" s="56" t="s">
        <v>263</v>
      </c>
      <c r="AF21" s="57" t="s">
        <v>263</v>
      </c>
      <c r="AG21" s="56" t="s">
        <v>263</v>
      </c>
      <c r="AH21" s="57" t="s">
        <v>263</v>
      </c>
      <c r="AI21" s="61"/>
      <c r="AJ21" s="61"/>
      <c r="AK21" s="61"/>
      <c r="AL21" s="61"/>
      <c r="AM21" s="61"/>
      <c r="AN21" s="61"/>
      <c r="AO21" s="61"/>
      <c r="AP21" s="57"/>
    </row>
    <row r="22" spans="1:42" ht="45.5" x14ac:dyDescent="0.15">
      <c r="A22" s="52" t="str">
        <f>Donnéesutilisateurs[[#This Row],[Prénom]]&amp;" "&amp;Donnéesutilisateurs[[#This Row],[Nom]]</f>
        <v>Cindy Svitok</v>
      </c>
      <c r="B22" s="62">
        <v>5</v>
      </c>
      <c r="C22" s="63" t="s">
        <v>180</v>
      </c>
      <c r="D22" s="64" t="s">
        <v>128</v>
      </c>
      <c r="E22" s="64" t="s">
        <v>129</v>
      </c>
      <c r="F22" s="64" t="s">
        <v>42</v>
      </c>
      <c r="G22" s="64" t="s">
        <v>15</v>
      </c>
      <c r="H22" s="54" t="s">
        <v>263</v>
      </c>
      <c r="I22" s="65"/>
      <c r="J22" s="65"/>
      <c r="K22" s="65"/>
      <c r="L22" s="55"/>
      <c r="M22" s="55"/>
      <c r="N22" s="55" t="s">
        <v>344</v>
      </c>
      <c r="O22" s="55" t="s">
        <v>368</v>
      </c>
      <c r="P22" s="55"/>
      <c r="Q22" s="55"/>
      <c r="R22" s="65" t="s">
        <v>314</v>
      </c>
      <c r="S22" s="52">
        <f ca="1">IFERROR(SUM(Donnéesutilisateurs[[#This Row],[Quest de base]]:OFFSET(S22,,COUNTA(Donnéesutilisateurs[[#This Row],[Quest de base]:[P cours 07]]))),"")</f>
        <v>8</v>
      </c>
      <c r="T22" s="64">
        <v>2</v>
      </c>
      <c r="U22" s="56">
        <v>1</v>
      </c>
      <c r="V22" s="57">
        <v>1</v>
      </c>
      <c r="W22" s="56">
        <v>1</v>
      </c>
      <c r="X22" s="57">
        <v>1</v>
      </c>
      <c r="Y22" s="56">
        <v>1</v>
      </c>
      <c r="Z22" s="57" t="s">
        <v>263</v>
      </c>
      <c r="AA22" s="56" t="s">
        <v>263</v>
      </c>
      <c r="AB22" s="57">
        <v>1</v>
      </c>
      <c r="AC22" s="56" t="s">
        <v>263</v>
      </c>
      <c r="AD22" s="57" t="s">
        <v>263</v>
      </c>
      <c r="AE22" s="56" t="s">
        <v>263</v>
      </c>
      <c r="AF22" s="57" t="s">
        <v>263</v>
      </c>
      <c r="AG22" s="56" t="s">
        <v>263</v>
      </c>
      <c r="AH22" s="57" t="s">
        <v>263</v>
      </c>
      <c r="AI22" s="58"/>
      <c r="AJ22" s="58"/>
      <c r="AK22" s="58"/>
      <c r="AL22" s="58"/>
      <c r="AM22" s="58"/>
      <c r="AN22" s="58"/>
      <c r="AO22" s="58"/>
      <c r="AP22" s="57" t="s">
        <v>263</v>
      </c>
    </row>
    <row r="23" spans="1:42" ht="13" x14ac:dyDescent="0.15">
      <c r="A23" s="52" t="str">
        <f>Donnéesutilisateurs[[#This Row],[Prénom]]&amp;" "&amp;Donnéesutilisateurs[[#This Row],[Nom]]</f>
        <v>Claudio Inserra</v>
      </c>
      <c r="B23" s="62">
        <v>4</v>
      </c>
      <c r="C23" s="63" t="s">
        <v>181</v>
      </c>
      <c r="D23" s="64" t="s">
        <v>88</v>
      </c>
      <c r="E23" s="64" t="s">
        <v>89</v>
      </c>
      <c r="F23" s="64" t="s">
        <v>36</v>
      </c>
      <c r="G23" s="64" t="s">
        <v>15</v>
      </c>
      <c r="H23" s="54" t="s">
        <v>263</v>
      </c>
      <c r="I23" s="65"/>
      <c r="J23" s="65"/>
      <c r="K23" s="65" t="s">
        <v>351</v>
      </c>
      <c r="L23" s="55"/>
      <c r="M23" s="55"/>
      <c r="N23" s="55" t="s">
        <v>344</v>
      </c>
      <c r="O23" s="55"/>
      <c r="P23" s="55"/>
      <c r="Q23" s="55"/>
      <c r="R23" s="65" t="s">
        <v>315</v>
      </c>
      <c r="S23" s="52">
        <f ca="1">IFERROR(SUM(Donnéesutilisateurs[[#This Row],[Quest de base]]:OFFSET(S23,,COUNTA(Donnéesutilisateurs[[#This Row],[Quest de base]:[P cours 07]]))),"")</f>
        <v>17</v>
      </c>
      <c r="T23" s="64">
        <v>4</v>
      </c>
      <c r="U23" s="56">
        <v>1</v>
      </c>
      <c r="V23" s="57">
        <v>1</v>
      </c>
      <c r="W23" s="56">
        <v>1</v>
      </c>
      <c r="X23" s="57">
        <v>1</v>
      </c>
      <c r="Y23" s="56">
        <v>1</v>
      </c>
      <c r="Z23" s="57">
        <v>1</v>
      </c>
      <c r="AA23" s="56">
        <v>1</v>
      </c>
      <c r="AB23" s="57">
        <v>1</v>
      </c>
      <c r="AC23" s="56">
        <v>1</v>
      </c>
      <c r="AD23" s="57">
        <v>1</v>
      </c>
      <c r="AE23" s="56">
        <v>1</v>
      </c>
      <c r="AF23" s="57">
        <v>1</v>
      </c>
      <c r="AG23" s="56">
        <v>1</v>
      </c>
      <c r="AH23" s="57" t="s">
        <v>263</v>
      </c>
      <c r="AI23" s="58"/>
      <c r="AJ23" s="58"/>
      <c r="AK23" s="58"/>
      <c r="AL23" s="58"/>
      <c r="AM23" s="58"/>
      <c r="AN23" s="58"/>
      <c r="AO23" s="58"/>
      <c r="AP23" s="57" t="s">
        <v>263</v>
      </c>
    </row>
    <row r="24" spans="1:42" s="43" customFormat="1" x14ac:dyDescent="0.15">
      <c r="A24" s="52" t="str">
        <f>Donnéesutilisateurs[[#This Row],[Prénom]]&amp;" "&amp;Donnéesutilisateurs[[#This Row],[Nom]]</f>
        <v>Coralie Cuendet</v>
      </c>
      <c r="B24" s="62">
        <v>3</v>
      </c>
      <c r="C24" s="63" t="s">
        <v>182</v>
      </c>
      <c r="D24" s="64" t="s">
        <v>46</v>
      </c>
      <c r="E24" s="64" t="s">
        <v>11</v>
      </c>
      <c r="F24" s="64" t="s">
        <v>14</v>
      </c>
      <c r="G24" s="64" t="s">
        <v>11</v>
      </c>
      <c r="H24" s="54">
        <v>2013</v>
      </c>
      <c r="I24" s="65" t="s">
        <v>285</v>
      </c>
      <c r="J24" s="65" t="s">
        <v>363</v>
      </c>
      <c r="K24" s="65" t="s">
        <v>363</v>
      </c>
      <c r="L24" s="55" t="s">
        <v>363</v>
      </c>
      <c r="M24" s="65" t="s">
        <v>363</v>
      </c>
      <c r="N24" s="55" t="s">
        <v>363</v>
      </c>
      <c r="O24" s="55" t="s">
        <v>363</v>
      </c>
      <c r="P24" s="55" t="s">
        <v>363</v>
      </c>
      <c r="Q24" s="55" t="s">
        <v>363</v>
      </c>
      <c r="R24" s="65" t="s">
        <v>316</v>
      </c>
      <c r="S24" s="52">
        <f ca="1">IFERROR(SUM(Donnéesutilisateurs[[#This Row],[Quest de base]]:OFFSET(S24,,COUNTA(Donnéesutilisateurs[[#This Row],[Quest de base]:[P cours 07]]))),"")</f>
        <v>10</v>
      </c>
      <c r="T24" s="64">
        <v>3</v>
      </c>
      <c r="U24" s="56" t="s">
        <v>263</v>
      </c>
      <c r="V24" s="57" t="s">
        <v>263</v>
      </c>
      <c r="W24" s="56">
        <v>1</v>
      </c>
      <c r="X24" s="57" t="s">
        <v>263</v>
      </c>
      <c r="Y24" s="56" t="s">
        <v>263</v>
      </c>
      <c r="Z24" s="57" t="s">
        <v>263</v>
      </c>
      <c r="AA24" s="56">
        <v>1</v>
      </c>
      <c r="AB24" s="57">
        <v>1</v>
      </c>
      <c r="AC24" s="56" t="s">
        <v>263</v>
      </c>
      <c r="AD24" s="57" t="s">
        <v>263</v>
      </c>
      <c r="AE24" s="56">
        <v>1</v>
      </c>
      <c r="AF24" s="57">
        <v>1</v>
      </c>
      <c r="AG24" s="56">
        <v>1</v>
      </c>
      <c r="AH24" s="57">
        <v>1</v>
      </c>
      <c r="AI24" s="58"/>
      <c r="AJ24" s="58"/>
      <c r="AK24" s="58"/>
      <c r="AL24" s="58"/>
      <c r="AM24" s="58"/>
      <c r="AN24" s="58"/>
      <c r="AO24" s="58"/>
      <c r="AP24" s="57" t="s">
        <v>269</v>
      </c>
    </row>
    <row r="25" spans="1:42" x14ac:dyDescent="0.15">
      <c r="A25" s="52" t="str">
        <f>Donnéesutilisateurs[[#This Row],[Prénom]]&amp;" "&amp;Donnéesutilisateurs[[#This Row],[Nom]]</f>
        <v>Csilla Bajnok</v>
      </c>
      <c r="B25" s="62">
        <v>5</v>
      </c>
      <c r="C25" s="63" t="s">
        <v>276</v>
      </c>
      <c r="D25" s="64" t="s">
        <v>275</v>
      </c>
      <c r="E25" s="64" t="s">
        <v>146</v>
      </c>
      <c r="F25" s="64" t="s">
        <v>14</v>
      </c>
      <c r="G25" s="64" t="s">
        <v>15</v>
      </c>
      <c r="H25" s="54" t="s">
        <v>263</v>
      </c>
      <c r="I25" s="65"/>
      <c r="J25" s="65"/>
      <c r="K25" s="65"/>
      <c r="L25" s="55"/>
      <c r="M25" s="55"/>
      <c r="N25" s="55" t="s">
        <v>344</v>
      </c>
      <c r="O25" s="55"/>
      <c r="P25" s="55"/>
      <c r="Q25" s="55"/>
      <c r="R25" s="65"/>
      <c r="S25" s="52">
        <f ca="1">IFERROR(SUM(Donnéesutilisateurs[[#This Row],[Quest de base]]:OFFSET(S25,,COUNTA(Donnéesutilisateurs[[#This Row],[Quest de base]:[P cours 07]]))),"")</f>
        <v>0</v>
      </c>
      <c r="T25" s="68" t="s">
        <v>365</v>
      </c>
      <c r="U25" s="59" t="s">
        <v>365</v>
      </c>
      <c r="V25" s="60" t="s">
        <v>365</v>
      </c>
      <c r="W25" s="59" t="s">
        <v>365</v>
      </c>
      <c r="X25" s="60" t="s">
        <v>365</v>
      </c>
      <c r="Y25" s="59" t="s">
        <v>365</v>
      </c>
      <c r="Z25" s="60" t="s">
        <v>365</v>
      </c>
      <c r="AA25" s="59" t="s">
        <v>365</v>
      </c>
      <c r="AB25" s="60" t="s">
        <v>365</v>
      </c>
      <c r="AC25" s="59" t="s">
        <v>365</v>
      </c>
      <c r="AD25" s="60" t="s">
        <v>365</v>
      </c>
      <c r="AE25" s="56" t="s">
        <v>263</v>
      </c>
      <c r="AF25" s="57" t="s">
        <v>263</v>
      </c>
      <c r="AG25" s="56" t="s">
        <v>263</v>
      </c>
      <c r="AH25" s="57" t="s">
        <v>263</v>
      </c>
      <c r="AI25" s="61"/>
      <c r="AJ25" s="61"/>
      <c r="AK25" s="61"/>
      <c r="AL25" s="61"/>
      <c r="AM25" s="61"/>
      <c r="AN25" s="61"/>
      <c r="AO25" s="61"/>
      <c r="AP25" s="57" t="s">
        <v>263</v>
      </c>
    </row>
    <row r="26" spans="1:42" ht="26" x14ac:dyDescent="0.15">
      <c r="A26" s="52" t="str">
        <f>Donnéesutilisateurs[[#This Row],[Prénom]]&amp;" "&amp;Donnéesutilisateurs[[#This Row],[Nom]]</f>
        <v>David Freire</v>
      </c>
      <c r="B26" s="62">
        <v>5</v>
      </c>
      <c r="C26" s="63" t="s">
        <v>183</v>
      </c>
      <c r="D26" s="64" t="s">
        <v>68</v>
      </c>
      <c r="E26" s="64" t="s">
        <v>69</v>
      </c>
      <c r="F26" s="64" t="s">
        <v>36</v>
      </c>
      <c r="G26" s="64" t="s">
        <v>30</v>
      </c>
      <c r="H26" s="54"/>
      <c r="I26" s="65"/>
      <c r="J26" s="65"/>
      <c r="K26" s="65"/>
      <c r="L26" s="55" t="s">
        <v>344</v>
      </c>
      <c r="M26" s="55"/>
      <c r="N26" s="55"/>
      <c r="O26" s="55" t="s">
        <v>369</v>
      </c>
      <c r="P26" s="55"/>
      <c r="Q26" s="55"/>
      <c r="R26" s="65" t="s">
        <v>317</v>
      </c>
      <c r="S26" s="52">
        <f ca="1">IFERROR(SUM(Donnéesutilisateurs[[#This Row],[Quest de base]]:OFFSET(S26,,COUNTA(Donnéesutilisateurs[[#This Row],[Quest de base]:[P cours 07]]))),"")</f>
        <v>12</v>
      </c>
      <c r="T26" s="64">
        <v>4</v>
      </c>
      <c r="U26" s="56" t="s">
        <v>263</v>
      </c>
      <c r="V26" s="57" t="s">
        <v>263</v>
      </c>
      <c r="W26" s="56" t="s">
        <v>263</v>
      </c>
      <c r="X26" s="57" t="s">
        <v>263</v>
      </c>
      <c r="Y26" s="56">
        <v>1</v>
      </c>
      <c r="Z26" s="57">
        <v>1</v>
      </c>
      <c r="AA26" s="56">
        <v>1</v>
      </c>
      <c r="AB26" s="57">
        <v>1</v>
      </c>
      <c r="AC26" s="56" t="s">
        <v>263</v>
      </c>
      <c r="AD26" s="57" t="s">
        <v>263</v>
      </c>
      <c r="AE26" s="56">
        <v>1</v>
      </c>
      <c r="AF26" s="57">
        <v>1</v>
      </c>
      <c r="AG26" s="56">
        <v>1</v>
      </c>
      <c r="AH26" s="57">
        <v>1</v>
      </c>
      <c r="AI26" s="58"/>
      <c r="AJ26" s="58"/>
      <c r="AK26" s="58"/>
      <c r="AL26" s="58"/>
      <c r="AM26" s="58"/>
      <c r="AN26" s="58"/>
      <c r="AO26" s="58"/>
      <c r="AP26" s="61" t="s">
        <v>269</v>
      </c>
    </row>
    <row r="27" spans="1:42" x14ac:dyDescent="0.15">
      <c r="A27" s="52" t="str">
        <f>Donnéesutilisateurs[[#This Row],[Prénom]]&amp;" "&amp;Donnéesutilisateurs[[#This Row],[Nom]]</f>
        <v>Diana De Vogel</v>
      </c>
      <c r="B27" s="52">
        <v>4</v>
      </c>
      <c r="C27" s="53" t="s">
        <v>223</v>
      </c>
      <c r="D27" s="54" t="s">
        <v>265</v>
      </c>
      <c r="E27" s="54" t="s">
        <v>261</v>
      </c>
      <c r="F27" s="54" t="s">
        <v>223</v>
      </c>
      <c r="G27" s="54" t="s">
        <v>15</v>
      </c>
      <c r="H27" s="54" t="s">
        <v>263</v>
      </c>
      <c r="I27" s="55"/>
      <c r="J27" s="55"/>
      <c r="K27" s="55"/>
      <c r="L27" s="55"/>
      <c r="M27" s="55"/>
      <c r="N27" s="55" t="s">
        <v>344</v>
      </c>
      <c r="O27" s="55"/>
      <c r="P27" s="55"/>
      <c r="Q27" s="55"/>
      <c r="R27" s="55"/>
      <c r="S27" s="52">
        <f ca="1">IFERROR(SUM(Donnéesutilisateurs[[#This Row],[Quest de base]]:OFFSET(S27,,COUNTA(Donnéesutilisateurs[[#This Row],[Quest de base]:[P cours 07]]))),"")</f>
        <v>1</v>
      </c>
      <c r="T27" s="54" t="s">
        <v>365</v>
      </c>
      <c r="U27" s="66" t="s">
        <v>365</v>
      </c>
      <c r="V27" s="67" t="s">
        <v>365</v>
      </c>
      <c r="W27" s="66" t="s">
        <v>365</v>
      </c>
      <c r="X27" s="67" t="s">
        <v>365</v>
      </c>
      <c r="Y27" s="66" t="s">
        <v>365</v>
      </c>
      <c r="Z27" s="67" t="s">
        <v>365</v>
      </c>
      <c r="AA27" s="66" t="s">
        <v>263</v>
      </c>
      <c r="AB27" s="67">
        <v>1</v>
      </c>
      <c r="AC27" s="66" t="s">
        <v>263</v>
      </c>
      <c r="AD27" s="67" t="s">
        <v>263</v>
      </c>
      <c r="AE27" s="56" t="s">
        <v>263</v>
      </c>
      <c r="AF27" s="57" t="s">
        <v>263</v>
      </c>
      <c r="AG27" s="56" t="s">
        <v>263</v>
      </c>
      <c r="AH27" s="57" t="s">
        <v>263</v>
      </c>
      <c r="AI27" s="61"/>
      <c r="AJ27" s="61"/>
      <c r="AK27" s="61"/>
      <c r="AL27" s="61"/>
      <c r="AM27" s="61"/>
      <c r="AN27" s="61"/>
      <c r="AO27" s="61"/>
      <c r="AP27" s="57" t="s">
        <v>263</v>
      </c>
    </row>
    <row r="28" spans="1:42" ht="19.5" x14ac:dyDescent="0.15">
      <c r="A28" s="52" t="str">
        <f>Donnéesutilisateurs[[#This Row],[Prénom]]&amp;" "&amp;Donnéesutilisateurs[[#This Row],[Nom]]</f>
        <v>Elvira Kossi Odi</v>
      </c>
      <c r="B28" s="52">
        <v>4</v>
      </c>
      <c r="C28" s="53" t="s">
        <v>184</v>
      </c>
      <c r="D28" s="54" t="s">
        <v>91</v>
      </c>
      <c r="E28" s="54" t="s">
        <v>92</v>
      </c>
      <c r="F28" s="54" t="s">
        <v>14</v>
      </c>
      <c r="G28" s="54" t="s">
        <v>56</v>
      </c>
      <c r="H28" s="54">
        <v>2012</v>
      </c>
      <c r="I28" s="55" t="s">
        <v>268</v>
      </c>
      <c r="J28" s="55" t="s">
        <v>346</v>
      </c>
      <c r="K28" s="55" t="s">
        <v>352</v>
      </c>
      <c r="L28" s="55"/>
      <c r="M28" s="55"/>
      <c r="N28" s="55"/>
      <c r="O28" s="55"/>
      <c r="P28" s="55"/>
      <c r="Q28" s="55"/>
      <c r="R28" s="55" t="s">
        <v>318</v>
      </c>
      <c r="S28" s="52">
        <f ca="1">IFERROR(SUM(Donnéesutilisateurs[[#This Row],[Quest de base]]:OFFSET(S28,,COUNTA(Donnéesutilisateurs[[#This Row],[Quest de base]:[P cours 07]]))),"")</f>
        <v>9</v>
      </c>
      <c r="T28" s="54">
        <v>3</v>
      </c>
      <c r="U28" s="56" t="s">
        <v>263</v>
      </c>
      <c r="V28" s="57" t="s">
        <v>263</v>
      </c>
      <c r="W28" s="56">
        <v>1</v>
      </c>
      <c r="X28" s="57">
        <v>1</v>
      </c>
      <c r="Y28" s="56" t="s">
        <v>263</v>
      </c>
      <c r="Z28" s="57" t="s">
        <v>263</v>
      </c>
      <c r="AA28" s="56" t="s">
        <v>263</v>
      </c>
      <c r="AB28" s="57" t="s">
        <v>263</v>
      </c>
      <c r="AC28" s="56">
        <v>1</v>
      </c>
      <c r="AD28" s="57">
        <v>1</v>
      </c>
      <c r="AE28" s="56">
        <v>1</v>
      </c>
      <c r="AF28" s="57" t="s">
        <v>263</v>
      </c>
      <c r="AG28" s="56">
        <v>1</v>
      </c>
      <c r="AH28" s="57" t="s">
        <v>263</v>
      </c>
      <c r="AI28" s="58"/>
      <c r="AJ28" s="58"/>
      <c r="AK28" s="58"/>
      <c r="AL28" s="58"/>
      <c r="AM28" s="58"/>
      <c r="AN28" s="58"/>
      <c r="AO28" s="58"/>
      <c r="AP28" s="57" t="s">
        <v>269</v>
      </c>
    </row>
    <row r="29" spans="1:42" ht="13" x14ac:dyDescent="0.15">
      <c r="A29" s="52" t="str">
        <f>Donnéesutilisateurs[[#This Row],[Prénom]]&amp;" "&amp;Donnéesutilisateurs[[#This Row],[Nom]]</f>
        <v>Fabrice Roulin</v>
      </c>
      <c r="B29" s="52">
        <v>5</v>
      </c>
      <c r="C29" s="53"/>
      <c r="D29" s="54" t="s">
        <v>282</v>
      </c>
      <c r="E29" s="54" t="s">
        <v>20</v>
      </c>
      <c r="F29" s="54" t="s">
        <v>36</v>
      </c>
      <c r="G29" s="54" t="s">
        <v>283</v>
      </c>
      <c r="H29" s="54"/>
      <c r="I29" s="55"/>
      <c r="J29" s="55"/>
      <c r="K29" s="55" t="s">
        <v>353</v>
      </c>
      <c r="L29" s="55"/>
      <c r="M29" s="55"/>
      <c r="N29" s="55"/>
      <c r="O29" s="55"/>
      <c r="P29" s="55"/>
      <c r="Q29" s="55"/>
      <c r="R29" s="55"/>
      <c r="S29" s="52">
        <f ca="1">IFERROR(SUM(Donnéesutilisateurs[[#This Row],[Quest de base]]:OFFSET(S29,,COUNTA(Donnéesutilisateurs[[#This Row],[Quest de base]:[P cours 07]]))),"")</f>
        <v>2</v>
      </c>
      <c r="T29" s="52" t="s">
        <v>365</v>
      </c>
      <c r="U29" s="59" t="s">
        <v>365</v>
      </c>
      <c r="V29" s="60" t="s">
        <v>365</v>
      </c>
      <c r="W29" s="59" t="s">
        <v>365</v>
      </c>
      <c r="X29" s="60" t="s">
        <v>365</v>
      </c>
      <c r="Y29" s="59" t="s">
        <v>365</v>
      </c>
      <c r="Z29" s="60" t="s">
        <v>365</v>
      </c>
      <c r="AA29" s="59" t="s">
        <v>365</v>
      </c>
      <c r="AB29" s="60" t="s">
        <v>365</v>
      </c>
      <c r="AC29" s="59" t="s">
        <v>365</v>
      </c>
      <c r="AD29" s="60" t="s">
        <v>365</v>
      </c>
      <c r="AE29" s="59" t="s">
        <v>263</v>
      </c>
      <c r="AF29" s="60" t="s">
        <v>263</v>
      </c>
      <c r="AG29" s="56">
        <v>1</v>
      </c>
      <c r="AH29" s="57">
        <v>1</v>
      </c>
      <c r="AI29" s="61"/>
      <c r="AJ29" s="61"/>
      <c r="AK29" s="61"/>
      <c r="AL29" s="61"/>
      <c r="AM29" s="61"/>
      <c r="AN29" s="61"/>
      <c r="AO29" s="61"/>
      <c r="AP29" s="60"/>
    </row>
    <row r="30" spans="1:42" ht="19.5" x14ac:dyDescent="0.15">
      <c r="A30" s="52" t="str">
        <f>Donnéesutilisateurs[[#This Row],[Prénom]]&amp;" "&amp;Donnéesutilisateurs[[#This Row],[Nom]]</f>
        <v>Florie Corbelli</v>
      </c>
      <c r="B30" s="52">
        <v>4</v>
      </c>
      <c r="C30" s="53" t="s">
        <v>185</v>
      </c>
      <c r="D30" s="54" t="s">
        <v>44</v>
      </c>
      <c r="E30" s="54" t="s">
        <v>45</v>
      </c>
      <c r="F30" s="54" t="s">
        <v>36</v>
      </c>
      <c r="G30" s="54" t="s">
        <v>22</v>
      </c>
      <c r="H30" s="54" t="s">
        <v>263</v>
      </c>
      <c r="I30" s="55"/>
      <c r="J30" s="55"/>
      <c r="K30" s="55" t="s">
        <v>350</v>
      </c>
      <c r="L30" s="55"/>
      <c r="M30" s="55"/>
      <c r="N30" s="55"/>
      <c r="O30" s="55"/>
      <c r="P30" s="55"/>
      <c r="Q30" s="55"/>
      <c r="R30" s="55" t="s">
        <v>319</v>
      </c>
      <c r="S30" s="52">
        <f ca="1">IFERROR(SUM(Donnéesutilisateurs[[#This Row],[Quest de base]]:OFFSET(S30,,COUNTA(Donnéesutilisateurs[[#This Row],[Quest de base]:[P cours 07]]))),"")</f>
        <v>13</v>
      </c>
      <c r="T30" s="54">
        <v>3</v>
      </c>
      <c r="U30" s="56">
        <v>1</v>
      </c>
      <c r="V30" s="57">
        <v>1</v>
      </c>
      <c r="W30" s="56">
        <v>1</v>
      </c>
      <c r="X30" s="57">
        <v>1</v>
      </c>
      <c r="Y30" s="56">
        <v>1</v>
      </c>
      <c r="Z30" s="57">
        <v>1</v>
      </c>
      <c r="AA30" s="56" t="s">
        <v>227</v>
      </c>
      <c r="AB30" s="57" t="s">
        <v>227</v>
      </c>
      <c r="AC30" s="56">
        <v>1</v>
      </c>
      <c r="AD30" s="57">
        <v>1</v>
      </c>
      <c r="AE30" s="56">
        <v>1</v>
      </c>
      <c r="AF30" s="57">
        <v>1</v>
      </c>
      <c r="AG30" s="56" t="s">
        <v>263</v>
      </c>
      <c r="AH30" s="57" t="s">
        <v>263</v>
      </c>
      <c r="AI30" s="58"/>
      <c r="AJ30" s="58"/>
      <c r="AK30" s="58"/>
      <c r="AL30" s="58"/>
      <c r="AM30" s="58"/>
      <c r="AN30" s="58"/>
      <c r="AO30" s="58"/>
      <c r="AP30" s="57" t="s">
        <v>263</v>
      </c>
    </row>
    <row r="31" spans="1:42" ht="19.5" x14ac:dyDescent="0.15">
      <c r="A31" s="52" t="str">
        <f>Donnéesutilisateurs[[#This Row],[Prénom]]&amp;" "&amp;Donnéesutilisateurs[[#This Row],[Nom]]</f>
        <v>Gilles Genoux</v>
      </c>
      <c r="B31" s="52">
        <v>4</v>
      </c>
      <c r="C31" s="53" t="s">
        <v>186</v>
      </c>
      <c r="D31" s="54" t="s">
        <v>72</v>
      </c>
      <c r="E31" s="54" t="s">
        <v>27</v>
      </c>
      <c r="F31" s="54" t="s">
        <v>14</v>
      </c>
      <c r="G31" s="54" t="s">
        <v>30</v>
      </c>
      <c r="H31" s="54" t="s">
        <v>263</v>
      </c>
      <c r="I31" s="55"/>
      <c r="J31" s="55" t="s">
        <v>354</v>
      </c>
      <c r="K31" s="55"/>
      <c r="L31" s="55" t="s">
        <v>344</v>
      </c>
      <c r="M31" s="55"/>
      <c r="N31" s="55"/>
      <c r="O31" s="55"/>
      <c r="P31" s="55"/>
      <c r="Q31" s="55"/>
      <c r="R31" s="55" t="s">
        <v>320</v>
      </c>
      <c r="S31" s="52">
        <f ca="1">IFERROR(SUM(Donnéesutilisateurs[[#This Row],[Quest de base]]:OFFSET(S31,,COUNTA(Donnéesutilisateurs[[#This Row],[Quest de base]:[P cours 07]]))),"")</f>
        <v>9</v>
      </c>
      <c r="T31" s="54">
        <v>3</v>
      </c>
      <c r="U31" s="56">
        <v>1</v>
      </c>
      <c r="V31" s="57">
        <v>1</v>
      </c>
      <c r="W31" s="56" t="s">
        <v>263</v>
      </c>
      <c r="X31" s="57" t="s">
        <v>263</v>
      </c>
      <c r="Y31" s="56">
        <v>1</v>
      </c>
      <c r="Z31" s="57">
        <v>1</v>
      </c>
      <c r="AA31" s="56" t="s">
        <v>227</v>
      </c>
      <c r="AB31" s="57" t="s">
        <v>227</v>
      </c>
      <c r="AC31" s="56" t="s">
        <v>263</v>
      </c>
      <c r="AD31" s="57">
        <v>1</v>
      </c>
      <c r="AE31" s="56">
        <v>1</v>
      </c>
      <c r="AF31" s="57" t="s">
        <v>263</v>
      </c>
      <c r="AG31" s="56" t="s">
        <v>263</v>
      </c>
      <c r="AH31" s="57" t="s">
        <v>263</v>
      </c>
      <c r="AI31" s="58"/>
      <c r="AJ31" s="58"/>
      <c r="AK31" s="58"/>
      <c r="AL31" s="58"/>
      <c r="AM31" s="58"/>
      <c r="AN31" s="58"/>
      <c r="AO31" s="58"/>
      <c r="AP31" s="57" t="s">
        <v>263</v>
      </c>
    </row>
    <row r="32" spans="1:42" ht="39" x14ac:dyDescent="0.15">
      <c r="A32" s="52" t="str">
        <f>Donnéesutilisateurs[[#This Row],[Prénom]]&amp;" "&amp;Donnéesutilisateurs[[#This Row],[Nom]]</f>
        <v>Grégory Goumaz</v>
      </c>
      <c r="B32" s="52">
        <v>5</v>
      </c>
      <c r="C32" s="53" t="s">
        <v>187</v>
      </c>
      <c r="D32" s="54" t="s">
        <v>74</v>
      </c>
      <c r="E32" s="54" t="s">
        <v>286</v>
      </c>
      <c r="F32" s="54" t="s">
        <v>36</v>
      </c>
      <c r="G32" s="54" t="s">
        <v>25</v>
      </c>
      <c r="H32" s="54">
        <v>2014</v>
      </c>
      <c r="I32" s="55" t="s">
        <v>242</v>
      </c>
      <c r="J32" s="55"/>
      <c r="K32" s="55"/>
      <c r="L32" s="55"/>
      <c r="M32" s="55"/>
      <c r="N32" s="55"/>
      <c r="O32" s="55" t="s">
        <v>370</v>
      </c>
      <c r="P32" s="55"/>
      <c r="Q32" s="55"/>
      <c r="R32" s="55" t="s">
        <v>321</v>
      </c>
      <c r="S32" s="52">
        <f ca="1">IFERROR(SUM(Donnéesutilisateurs[[#This Row],[Quest de base]]:OFFSET(S32,,COUNTA(Donnéesutilisateurs[[#This Row],[Quest de base]:[P cours 07]]))),"")</f>
        <v>7</v>
      </c>
      <c r="T32" s="54">
        <v>3</v>
      </c>
      <c r="U32" s="56">
        <v>1</v>
      </c>
      <c r="V32" s="57">
        <v>1</v>
      </c>
      <c r="W32" s="56">
        <v>1</v>
      </c>
      <c r="X32" s="57">
        <v>1</v>
      </c>
      <c r="Y32" s="56" t="s">
        <v>263</v>
      </c>
      <c r="Z32" s="57" t="s">
        <v>263</v>
      </c>
      <c r="AA32" s="56" t="s">
        <v>263</v>
      </c>
      <c r="AB32" s="57" t="s">
        <v>263</v>
      </c>
      <c r="AC32" s="56" t="s">
        <v>263</v>
      </c>
      <c r="AD32" s="57" t="s">
        <v>263</v>
      </c>
      <c r="AE32" s="56" t="s">
        <v>263</v>
      </c>
      <c r="AF32" s="57" t="s">
        <v>263</v>
      </c>
      <c r="AG32" s="56" t="s">
        <v>263</v>
      </c>
      <c r="AH32" s="57" t="s">
        <v>263</v>
      </c>
      <c r="AI32" s="58"/>
      <c r="AJ32" s="58"/>
      <c r="AK32" s="58"/>
      <c r="AL32" s="58"/>
      <c r="AM32" s="58"/>
      <c r="AN32" s="58"/>
      <c r="AO32" s="58"/>
      <c r="AP32" s="57" t="s">
        <v>269</v>
      </c>
    </row>
    <row r="33" spans="1:42" ht="19.5" x14ac:dyDescent="0.15">
      <c r="A33" s="52" t="str">
        <f>Donnéesutilisateurs[[#This Row],[Prénom]]&amp;" "&amp;Donnéesutilisateurs[[#This Row],[Nom]]</f>
        <v>Hector Herrera</v>
      </c>
      <c r="B33" s="52">
        <v>5</v>
      </c>
      <c r="C33" s="53" t="s">
        <v>188</v>
      </c>
      <c r="D33" s="54" t="s">
        <v>82</v>
      </c>
      <c r="E33" s="54" t="s">
        <v>83</v>
      </c>
      <c r="F33" s="54" t="s">
        <v>14</v>
      </c>
      <c r="G33" s="54" t="s">
        <v>22</v>
      </c>
      <c r="H33" s="54" t="s">
        <v>263</v>
      </c>
      <c r="I33" s="55"/>
      <c r="J33" s="55"/>
      <c r="K33" s="55" t="s">
        <v>343</v>
      </c>
      <c r="L33" s="55"/>
      <c r="M33" s="55"/>
      <c r="N33" s="55"/>
      <c r="O33" s="55" t="s">
        <v>371</v>
      </c>
      <c r="P33" s="55"/>
      <c r="Q33" s="55"/>
      <c r="R33" s="55" t="s">
        <v>84</v>
      </c>
      <c r="S33" s="52">
        <f ca="1">IFERROR(SUM(Donnéesutilisateurs[[#This Row],[Quest de base]]:OFFSET(S33,,COUNTA(Donnéesutilisateurs[[#This Row],[Quest de base]:[P cours 07]]))),"")</f>
        <v>2</v>
      </c>
      <c r="T33" s="54">
        <v>2</v>
      </c>
      <c r="U33" s="56" t="s">
        <v>263</v>
      </c>
      <c r="V33" s="57" t="s">
        <v>263</v>
      </c>
      <c r="W33" s="56" t="s">
        <v>263</v>
      </c>
      <c r="X33" s="57" t="s">
        <v>263</v>
      </c>
      <c r="Y33" s="56" t="s">
        <v>263</v>
      </c>
      <c r="Z33" s="57" t="s">
        <v>263</v>
      </c>
      <c r="AA33" s="56" t="s">
        <v>263</v>
      </c>
      <c r="AB33" s="57" t="s">
        <v>263</v>
      </c>
      <c r="AC33" s="56" t="s">
        <v>263</v>
      </c>
      <c r="AD33" s="57" t="s">
        <v>263</v>
      </c>
      <c r="AE33" s="56" t="s">
        <v>263</v>
      </c>
      <c r="AF33" s="57" t="s">
        <v>263</v>
      </c>
      <c r="AG33" s="56" t="s">
        <v>263</v>
      </c>
      <c r="AH33" s="57" t="s">
        <v>263</v>
      </c>
      <c r="AI33" s="58"/>
      <c r="AJ33" s="58"/>
      <c r="AK33" s="58"/>
      <c r="AL33" s="58"/>
      <c r="AM33" s="58"/>
      <c r="AN33" s="58"/>
      <c r="AO33" s="58"/>
      <c r="AP33" s="57" t="s">
        <v>263</v>
      </c>
    </row>
    <row r="34" spans="1:42" ht="52" x14ac:dyDescent="0.15">
      <c r="A34" s="52" t="str">
        <f>Donnéesutilisateurs[[#This Row],[Prénom]]&amp;" "&amp;Donnéesutilisateurs[[#This Row],[Nom]]</f>
        <v>Isabelle Ferrero</v>
      </c>
      <c r="B34" s="52">
        <v>4</v>
      </c>
      <c r="C34" s="53" t="s">
        <v>189</v>
      </c>
      <c r="D34" s="54" t="s">
        <v>65</v>
      </c>
      <c r="E34" s="54" t="s">
        <v>66</v>
      </c>
      <c r="F34" s="54" t="s">
        <v>36</v>
      </c>
      <c r="G34" s="54" t="s">
        <v>56</v>
      </c>
      <c r="H34" s="54">
        <v>2011</v>
      </c>
      <c r="I34" s="55"/>
      <c r="J34" s="55" t="s">
        <v>384</v>
      </c>
      <c r="K34" s="55" t="s">
        <v>352</v>
      </c>
      <c r="L34" s="55" t="s">
        <v>355</v>
      </c>
      <c r="M34" s="55"/>
      <c r="N34" s="55"/>
      <c r="O34" s="55"/>
      <c r="P34" s="55"/>
      <c r="Q34" s="55"/>
      <c r="R34" s="55" t="s">
        <v>322</v>
      </c>
      <c r="S34" s="52">
        <f ca="1">IFERROR(SUM(Donnéesutilisateurs[[#This Row],[Quest de base]]:OFFSET(S34,,COUNTA(Donnéesutilisateurs[[#This Row],[Quest de base]:[P cours 07]]))),"")</f>
        <v>18</v>
      </c>
      <c r="T34" s="54">
        <v>4</v>
      </c>
      <c r="U34" s="56">
        <v>1</v>
      </c>
      <c r="V34" s="57">
        <v>1</v>
      </c>
      <c r="W34" s="56">
        <v>1</v>
      </c>
      <c r="X34" s="57">
        <v>1</v>
      </c>
      <c r="Y34" s="56">
        <v>1</v>
      </c>
      <c r="Z34" s="57">
        <v>1</v>
      </c>
      <c r="AA34" s="56">
        <v>1</v>
      </c>
      <c r="AB34" s="57">
        <v>1</v>
      </c>
      <c r="AC34" s="56">
        <v>1</v>
      </c>
      <c r="AD34" s="57">
        <v>1</v>
      </c>
      <c r="AE34" s="56">
        <v>1</v>
      </c>
      <c r="AF34" s="57">
        <v>1</v>
      </c>
      <c r="AG34" s="56">
        <v>1</v>
      </c>
      <c r="AH34" s="57">
        <v>1</v>
      </c>
      <c r="AI34" s="58"/>
      <c r="AJ34" s="58"/>
      <c r="AK34" s="58"/>
      <c r="AL34" s="58"/>
      <c r="AM34" s="58"/>
      <c r="AN34" s="58"/>
      <c r="AO34" s="58"/>
      <c r="AP34" s="57" t="s">
        <v>269</v>
      </c>
    </row>
    <row r="35" spans="1:42" ht="13" x14ac:dyDescent="0.15">
      <c r="A35" s="52" t="str">
        <f>Donnéesutilisateurs[[#This Row],[Prénom]]&amp;" "&amp;Donnéesutilisateurs[[#This Row],[Nom]]</f>
        <v>Isabelle Neukomm</v>
      </c>
      <c r="B35" s="52">
        <v>3</v>
      </c>
      <c r="C35" s="53" t="s">
        <v>190</v>
      </c>
      <c r="D35" s="54" t="s">
        <v>101</v>
      </c>
      <c r="E35" s="54" t="s">
        <v>66</v>
      </c>
      <c r="F35" s="54" t="s">
        <v>36</v>
      </c>
      <c r="G35" s="54" t="s">
        <v>40</v>
      </c>
      <c r="H35" s="54"/>
      <c r="I35" s="55" t="s">
        <v>243</v>
      </c>
      <c r="J35" s="55"/>
      <c r="K35" s="55"/>
      <c r="L35" s="55"/>
      <c r="M35" s="55"/>
      <c r="N35" s="55"/>
      <c r="O35" s="55"/>
      <c r="P35" s="55" t="s">
        <v>344</v>
      </c>
      <c r="Q35" s="55"/>
      <c r="R35" s="55" t="s">
        <v>323</v>
      </c>
      <c r="S35" s="52">
        <f ca="1">IFERROR(SUM(Donnéesutilisateurs[[#This Row],[Quest de base]]:OFFSET(S35,,COUNTA(Donnéesutilisateurs[[#This Row],[Quest de base]:[P cours 07]]))),"")</f>
        <v>16</v>
      </c>
      <c r="T35" s="54">
        <v>3</v>
      </c>
      <c r="U35" s="56">
        <v>1</v>
      </c>
      <c r="V35" s="57">
        <v>1</v>
      </c>
      <c r="W35" s="56">
        <v>1</v>
      </c>
      <c r="X35" s="57" t="s">
        <v>263</v>
      </c>
      <c r="Y35" s="56">
        <v>1</v>
      </c>
      <c r="Z35" s="57">
        <v>1</v>
      </c>
      <c r="AA35" s="56">
        <v>1</v>
      </c>
      <c r="AB35" s="57">
        <v>1</v>
      </c>
      <c r="AC35" s="56">
        <v>1</v>
      </c>
      <c r="AD35" s="57">
        <v>1</v>
      </c>
      <c r="AE35" s="56">
        <v>1</v>
      </c>
      <c r="AF35" s="57">
        <v>1</v>
      </c>
      <c r="AG35" s="56">
        <v>1</v>
      </c>
      <c r="AH35" s="57">
        <v>1</v>
      </c>
      <c r="AI35" s="58"/>
      <c r="AJ35" s="58"/>
      <c r="AK35" s="58"/>
      <c r="AL35" s="58"/>
      <c r="AM35" s="58"/>
      <c r="AN35" s="58"/>
      <c r="AO35" s="58"/>
      <c r="AP35" s="57" t="s">
        <v>269</v>
      </c>
    </row>
    <row r="36" spans="1:42" ht="26" x14ac:dyDescent="0.15">
      <c r="A36" s="52" t="str">
        <f>Donnéesutilisateurs[[#This Row],[Prénom]]&amp;" "&amp;Donnéesutilisateurs[[#This Row],[Nom]]</f>
        <v>Jaime Perez Fiz</v>
      </c>
      <c r="B36" s="52">
        <v>5</v>
      </c>
      <c r="C36" s="53" t="s">
        <v>191</v>
      </c>
      <c r="D36" s="54" t="s">
        <v>105</v>
      </c>
      <c r="E36" s="54" t="s">
        <v>155</v>
      </c>
      <c r="F36" s="54" t="s">
        <v>14</v>
      </c>
      <c r="G36" s="54" t="s">
        <v>25</v>
      </c>
      <c r="H36" s="54" t="s">
        <v>263</v>
      </c>
      <c r="I36" s="55"/>
      <c r="J36" s="55"/>
      <c r="K36" s="55"/>
      <c r="L36" s="55"/>
      <c r="M36" s="55"/>
      <c r="N36" s="55"/>
      <c r="O36" s="55" t="s">
        <v>372</v>
      </c>
      <c r="P36" s="55"/>
      <c r="Q36" s="55"/>
      <c r="R36" s="55" t="s">
        <v>324</v>
      </c>
      <c r="S36" s="52">
        <f ca="1">IFERROR(SUM(Donnéesutilisateurs[[#This Row],[Quest de base]]:OFFSET(S36,,COUNTA(Donnéesutilisateurs[[#This Row],[Quest de base]:[P cours 07]]))),"")</f>
        <v>10</v>
      </c>
      <c r="T36" s="54">
        <v>2</v>
      </c>
      <c r="U36" s="56">
        <v>1</v>
      </c>
      <c r="V36" s="57" t="s">
        <v>263</v>
      </c>
      <c r="W36" s="56" t="s">
        <v>263</v>
      </c>
      <c r="X36" s="57" t="s">
        <v>263</v>
      </c>
      <c r="Y36" s="56" t="s">
        <v>263</v>
      </c>
      <c r="Z36" s="57" t="s">
        <v>263</v>
      </c>
      <c r="AA36" s="56">
        <v>1</v>
      </c>
      <c r="AB36" s="57">
        <v>1</v>
      </c>
      <c r="AC36" s="56">
        <v>1</v>
      </c>
      <c r="AD36" s="57">
        <v>1</v>
      </c>
      <c r="AE36" s="56">
        <v>1</v>
      </c>
      <c r="AF36" s="57" t="s">
        <v>263</v>
      </c>
      <c r="AG36" s="56">
        <v>1</v>
      </c>
      <c r="AH36" s="57">
        <v>1</v>
      </c>
      <c r="AI36" s="58"/>
      <c r="AJ36" s="58"/>
      <c r="AK36" s="58"/>
      <c r="AL36" s="58"/>
      <c r="AM36" s="58"/>
      <c r="AN36" s="58"/>
      <c r="AO36" s="58"/>
      <c r="AP36" s="61" t="s">
        <v>263</v>
      </c>
    </row>
    <row r="37" spans="1:42" ht="39" x14ac:dyDescent="0.15">
      <c r="A37" s="52" t="str">
        <f>Donnéesutilisateurs[[#This Row],[Prénom]]&amp;" "&amp;Donnéesutilisateurs[[#This Row],[Nom]]</f>
        <v>Jean-Christophe Droz</v>
      </c>
      <c r="B37" s="52">
        <v>5</v>
      </c>
      <c r="C37" s="53" t="s">
        <v>192</v>
      </c>
      <c r="D37" s="54" t="s">
        <v>58</v>
      </c>
      <c r="E37" s="54" t="s">
        <v>59</v>
      </c>
      <c r="F37" s="54" t="s">
        <v>42</v>
      </c>
      <c r="G37" s="54" t="s">
        <v>25</v>
      </c>
      <c r="H37" s="54">
        <v>2013</v>
      </c>
      <c r="I37" s="55"/>
      <c r="J37" s="55"/>
      <c r="K37" s="55"/>
      <c r="L37" s="55"/>
      <c r="M37" s="55"/>
      <c r="N37" s="55"/>
      <c r="O37" s="55" t="s">
        <v>385</v>
      </c>
      <c r="P37" s="55"/>
      <c r="Q37" s="55"/>
      <c r="R37" s="55" t="s">
        <v>60</v>
      </c>
      <c r="S37" s="52">
        <f ca="1">IFERROR(SUM(Donnéesutilisateurs[[#This Row],[Quest de base]]:OFFSET(S37,,COUNTA(Donnéesutilisateurs[[#This Row],[Quest de base]:[P cours 07]]))),"")</f>
        <v>2</v>
      </c>
      <c r="T37" s="54">
        <v>2</v>
      </c>
      <c r="U37" s="56" t="s">
        <v>263</v>
      </c>
      <c r="V37" s="57" t="s">
        <v>263</v>
      </c>
      <c r="W37" s="56" t="s">
        <v>263</v>
      </c>
      <c r="X37" s="57" t="s">
        <v>263</v>
      </c>
      <c r="Y37" s="56" t="s">
        <v>263</v>
      </c>
      <c r="Z37" s="57" t="s">
        <v>263</v>
      </c>
      <c r="AA37" s="56" t="s">
        <v>263</v>
      </c>
      <c r="AB37" s="57" t="s">
        <v>263</v>
      </c>
      <c r="AC37" s="56" t="s">
        <v>263</v>
      </c>
      <c r="AD37" s="57" t="s">
        <v>263</v>
      </c>
      <c r="AE37" s="56" t="s">
        <v>263</v>
      </c>
      <c r="AF37" s="57" t="s">
        <v>263</v>
      </c>
      <c r="AG37" s="56" t="s">
        <v>263</v>
      </c>
      <c r="AH37" s="57" t="s">
        <v>263</v>
      </c>
      <c r="AI37" s="58"/>
      <c r="AJ37" s="58"/>
      <c r="AK37" s="58"/>
      <c r="AL37" s="58"/>
      <c r="AM37" s="58"/>
      <c r="AN37" s="58"/>
      <c r="AO37" s="58"/>
      <c r="AP37" s="57"/>
    </row>
    <row r="38" spans="1:42" ht="32.5" x14ac:dyDescent="0.15">
      <c r="A38" s="52" t="str">
        <f>Donnéesutilisateurs[[#This Row],[Prénom]]&amp;" "&amp;Donnéesutilisateurs[[#This Row],[Nom]]</f>
        <v>Joane Reymond</v>
      </c>
      <c r="B38" s="62">
        <v>5</v>
      </c>
      <c r="C38" s="63" t="s">
        <v>223</v>
      </c>
      <c r="D38" s="64" t="s">
        <v>279</v>
      </c>
      <c r="E38" s="64" t="s">
        <v>280</v>
      </c>
      <c r="F38" s="64" t="s">
        <v>223</v>
      </c>
      <c r="G38" s="64" t="s">
        <v>22</v>
      </c>
      <c r="H38" s="54"/>
      <c r="I38" s="65"/>
      <c r="J38" s="65"/>
      <c r="K38" s="65" t="s">
        <v>344</v>
      </c>
      <c r="L38" s="55"/>
      <c r="M38" s="55"/>
      <c r="N38" s="55"/>
      <c r="O38" s="55" t="s">
        <v>373</v>
      </c>
      <c r="P38" s="55"/>
      <c r="Q38" s="55"/>
      <c r="R38" s="65"/>
      <c r="S38" s="52">
        <f ca="1">IFERROR(SUM(Donnéesutilisateurs[[#This Row],[Quest de base]]:OFFSET(S38,,COUNTA(Donnéesutilisateurs[[#This Row],[Quest de base]:[P cours 07]]))),"")</f>
        <v>1</v>
      </c>
      <c r="T38" s="54" t="s">
        <v>365</v>
      </c>
      <c r="U38" s="56" t="s">
        <v>365</v>
      </c>
      <c r="V38" s="57" t="s">
        <v>365</v>
      </c>
      <c r="W38" s="56" t="s">
        <v>365</v>
      </c>
      <c r="X38" s="57" t="s">
        <v>365</v>
      </c>
      <c r="Y38" s="56" t="s">
        <v>365</v>
      </c>
      <c r="Z38" s="57" t="s">
        <v>365</v>
      </c>
      <c r="AA38" s="56" t="s">
        <v>365</v>
      </c>
      <c r="AB38" s="57" t="s">
        <v>365</v>
      </c>
      <c r="AC38" s="56" t="s">
        <v>365</v>
      </c>
      <c r="AD38" s="57" t="s">
        <v>365</v>
      </c>
      <c r="AE38" s="56">
        <v>1</v>
      </c>
      <c r="AF38" s="57" t="s">
        <v>263</v>
      </c>
      <c r="AG38" s="56" t="s">
        <v>263</v>
      </c>
      <c r="AH38" s="57" t="s">
        <v>263</v>
      </c>
      <c r="AI38" s="58"/>
      <c r="AJ38" s="61"/>
      <c r="AK38" s="61"/>
      <c r="AL38" s="61"/>
      <c r="AM38" s="61"/>
      <c r="AN38" s="61"/>
      <c r="AO38" s="61"/>
      <c r="AP38" s="61"/>
    </row>
    <row r="39" spans="1:42" x14ac:dyDescent="0.15">
      <c r="A39" s="52" t="str">
        <f>Donnéesutilisateurs[[#This Row],[Prénom]]&amp;" "&amp;Donnéesutilisateurs[[#This Row],[Nom]]</f>
        <v>Jonathan Pernet</v>
      </c>
      <c r="B39" s="52">
        <v>4</v>
      </c>
      <c r="C39" s="53" t="s">
        <v>193</v>
      </c>
      <c r="D39" s="54" t="s">
        <v>106</v>
      </c>
      <c r="E39" s="54" t="s">
        <v>15</v>
      </c>
      <c r="F39" s="54" t="s">
        <v>36</v>
      </c>
      <c r="G39" s="54" t="s">
        <v>15</v>
      </c>
      <c r="H39" s="54">
        <v>2009</v>
      </c>
      <c r="I39" s="55" t="s">
        <v>250</v>
      </c>
      <c r="J39" s="55" t="s">
        <v>363</v>
      </c>
      <c r="K39" s="55" t="s">
        <v>363</v>
      </c>
      <c r="L39" s="55" t="s">
        <v>363</v>
      </c>
      <c r="M39" s="55" t="s">
        <v>363</v>
      </c>
      <c r="N39" s="55" t="s">
        <v>363</v>
      </c>
      <c r="O39" s="55" t="s">
        <v>363</v>
      </c>
      <c r="P39" s="55" t="s">
        <v>363</v>
      </c>
      <c r="Q39" s="55" t="s">
        <v>363</v>
      </c>
      <c r="R39" s="55"/>
      <c r="S39" s="52">
        <f ca="1">IFERROR(SUM(Donnéesutilisateurs[[#This Row],[Quest de base]]:OFFSET(S39,,COUNTA(Donnéesutilisateurs[[#This Row],[Quest de base]:[P cours 07]]))),"")</f>
        <v>2</v>
      </c>
      <c r="T39" s="54" t="s">
        <v>227</v>
      </c>
      <c r="U39" s="56">
        <v>1</v>
      </c>
      <c r="V39" s="57">
        <v>1</v>
      </c>
      <c r="W39" s="56" t="s">
        <v>263</v>
      </c>
      <c r="X39" s="57" t="s">
        <v>263</v>
      </c>
      <c r="Y39" s="56" t="s">
        <v>263</v>
      </c>
      <c r="Z39" s="57" t="s">
        <v>263</v>
      </c>
      <c r="AA39" s="56" t="s">
        <v>263</v>
      </c>
      <c r="AB39" s="57" t="s">
        <v>263</v>
      </c>
      <c r="AC39" s="56" t="s">
        <v>263</v>
      </c>
      <c r="AD39" s="57" t="s">
        <v>263</v>
      </c>
      <c r="AE39" s="56" t="s">
        <v>263</v>
      </c>
      <c r="AF39" s="57" t="s">
        <v>263</v>
      </c>
      <c r="AG39" s="56" t="s">
        <v>263</v>
      </c>
      <c r="AH39" s="57" t="s">
        <v>263</v>
      </c>
      <c r="AI39" s="58"/>
      <c r="AJ39" s="58"/>
      <c r="AK39" s="58"/>
      <c r="AL39" s="58"/>
      <c r="AM39" s="58"/>
      <c r="AN39" s="58"/>
      <c r="AO39" s="58"/>
      <c r="AP39" s="61" t="s">
        <v>269</v>
      </c>
    </row>
    <row r="40" spans="1:42" ht="19.5" x14ac:dyDescent="0.15">
      <c r="A40" s="52" t="str">
        <f>Donnéesutilisateurs[[#This Row],[Prénom]]&amp;" "&amp;Donnéesutilisateurs[[#This Row],[Nom]]</f>
        <v>Laura Budry</v>
      </c>
      <c r="B40" s="52">
        <v>4</v>
      </c>
      <c r="C40" s="53" t="s">
        <v>194</v>
      </c>
      <c r="D40" s="54" t="s">
        <v>34</v>
      </c>
      <c r="E40" s="54" t="s">
        <v>35</v>
      </c>
      <c r="F40" s="54" t="s">
        <v>36</v>
      </c>
      <c r="G40" s="54" t="s">
        <v>15</v>
      </c>
      <c r="H40" s="54"/>
      <c r="I40" s="55"/>
      <c r="J40" s="55"/>
      <c r="K40" s="55" t="s">
        <v>356</v>
      </c>
      <c r="L40" s="55"/>
      <c r="M40" s="55"/>
      <c r="N40" s="55" t="s">
        <v>344</v>
      </c>
      <c r="O40" s="55" t="s">
        <v>371</v>
      </c>
      <c r="P40" s="55"/>
      <c r="Q40" s="55"/>
      <c r="R40" s="55" t="s">
        <v>37</v>
      </c>
      <c r="S40" s="52">
        <f ca="1">IFERROR(SUM(Donnéesutilisateurs[[#This Row],[Quest de base]]:OFFSET(S40,,COUNTA(Donnéesutilisateurs[[#This Row],[Quest de base]:[P cours 07]]))),"")</f>
        <v>2</v>
      </c>
      <c r="T40" s="54">
        <v>2</v>
      </c>
      <c r="U40" s="56" t="s">
        <v>263</v>
      </c>
      <c r="V40" s="57" t="s">
        <v>263</v>
      </c>
      <c r="W40" s="56" t="s">
        <v>263</v>
      </c>
      <c r="X40" s="57" t="s">
        <v>263</v>
      </c>
      <c r="Y40" s="56" t="s">
        <v>263</v>
      </c>
      <c r="Z40" s="57" t="s">
        <v>263</v>
      </c>
      <c r="AA40" s="56" t="s">
        <v>263</v>
      </c>
      <c r="AB40" s="57" t="s">
        <v>263</v>
      </c>
      <c r="AC40" s="56" t="s">
        <v>263</v>
      </c>
      <c r="AD40" s="57" t="s">
        <v>263</v>
      </c>
      <c r="AE40" s="56" t="s">
        <v>263</v>
      </c>
      <c r="AF40" s="57" t="s">
        <v>263</v>
      </c>
      <c r="AG40" s="56" t="s">
        <v>263</v>
      </c>
      <c r="AH40" s="57" t="s">
        <v>263</v>
      </c>
      <c r="AI40" s="58"/>
      <c r="AJ40" s="58"/>
      <c r="AK40" s="58"/>
      <c r="AL40" s="58"/>
      <c r="AM40" s="58"/>
      <c r="AN40" s="58"/>
      <c r="AO40" s="58"/>
      <c r="AP40" s="61"/>
    </row>
    <row r="41" spans="1:42" x14ac:dyDescent="0.15">
      <c r="A41" s="52" t="str">
        <f>Donnéesutilisateurs[[#This Row],[Prénom]]&amp;" "&amp;Donnéesutilisateurs[[#This Row],[Nom]]</f>
        <v>Laure Pequignot</v>
      </c>
      <c r="B41" s="52">
        <v>3</v>
      </c>
      <c r="C41" s="53" t="s">
        <v>223</v>
      </c>
      <c r="D41" s="54" t="s">
        <v>270</v>
      </c>
      <c r="E41" s="54" t="s">
        <v>271</v>
      </c>
      <c r="F41" s="54" t="s">
        <v>223</v>
      </c>
      <c r="G41" s="54" t="s">
        <v>11</v>
      </c>
      <c r="H41" s="54" t="s">
        <v>263</v>
      </c>
      <c r="I41" s="55"/>
      <c r="J41" s="55"/>
      <c r="K41" s="55"/>
      <c r="L41" s="55"/>
      <c r="M41" s="55" t="s">
        <v>344</v>
      </c>
      <c r="N41" s="55"/>
      <c r="O41" s="55"/>
      <c r="P41" s="55"/>
      <c r="Q41" s="55"/>
      <c r="R41" s="55"/>
      <c r="S41" s="52">
        <f ca="1">IFERROR(SUM(Donnéesutilisateurs[[#This Row],[Quest de base]]:OFFSET(S41,,COUNTA(Donnéesutilisateurs[[#This Row],[Quest de base]:[P cours 07]]))),"")</f>
        <v>4</v>
      </c>
      <c r="T41" s="54" t="s">
        <v>365</v>
      </c>
      <c r="U41" s="56" t="s">
        <v>365</v>
      </c>
      <c r="V41" s="57" t="s">
        <v>365</v>
      </c>
      <c r="W41" s="56" t="s">
        <v>365</v>
      </c>
      <c r="X41" s="57" t="s">
        <v>365</v>
      </c>
      <c r="Y41" s="56" t="s">
        <v>365</v>
      </c>
      <c r="Z41" s="57" t="s">
        <v>365</v>
      </c>
      <c r="AA41" s="56" t="s">
        <v>365</v>
      </c>
      <c r="AB41" s="57" t="s">
        <v>365</v>
      </c>
      <c r="AC41" s="56" t="s">
        <v>365</v>
      </c>
      <c r="AD41" s="57" t="s">
        <v>365</v>
      </c>
      <c r="AE41" s="56">
        <v>1</v>
      </c>
      <c r="AF41" s="57">
        <v>1</v>
      </c>
      <c r="AG41" s="56">
        <v>1</v>
      </c>
      <c r="AH41" s="57">
        <v>1</v>
      </c>
      <c r="AI41" s="58"/>
      <c r="AJ41" s="61"/>
      <c r="AK41" s="61"/>
      <c r="AL41" s="61"/>
      <c r="AM41" s="61"/>
      <c r="AN41" s="61"/>
      <c r="AO41" s="61"/>
      <c r="AP41" s="57" t="s">
        <v>263</v>
      </c>
    </row>
    <row r="42" spans="1:42" ht="58.5" x14ac:dyDescent="0.15">
      <c r="A42" s="52" t="str">
        <f>Donnéesutilisateurs[[#This Row],[Prénom]]&amp;" "&amp;Donnéesutilisateurs[[#This Row],[Nom]]</f>
        <v>Lila Held</v>
      </c>
      <c r="B42" s="52">
        <v>5</v>
      </c>
      <c r="C42" s="53" t="s">
        <v>195</v>
      </c>
      <c r="D42" s="54" t="s">
        <v>153</v>
      </c>
      <c r="E42" s="54" t="s">
        <v>81</v>
      </c>
      <c r="F42" s="54" t="s">
        <v>14</v>
      </c>
      <c r="G42" s="54" t="s">
        <v>15</v>
      </c>
      <c r="H42" s="54">
        <v>2014</v>
      </c>
      <c r="I42" s="55"/>
      <c r="J42" s="55"/>
      <c r="K42" s="55"/>
      <c r="L42" s="55"/>
      <c r="M42" s="55"/>
      <c r="N42" s="55" t="s">
        <v>344</v>
      </c>
      <c r="O42" s="55" t="s">
        <v>374</v>
      </c>
      <c r="P42" s="55"/>
      <c r="Q42" s="55"/>
      <c r="R42" s="55" t="s">
        <v>325</v>
      </c>
      <c r="S42" s="52">
        <f ca="1">IFERROR(SUM(Donnéesutilisateurs[[#This Row],[Quest de base]]:OFFSET(S42,,COUNTA(Donnéesutilisateurs[[#This Row],[Quest de base]:[P cours 07]]))),"")</f>
        <v>11</v>
      </c>
      <c r="T42" s="54">
        <v>3</v>
      </c>
      <c r="U42" s="56">
        <v>1</v>
      </c>
      <c r="V42" s="57" t="s">
        <v>263</v>
      </c>
      <c r="W42" s="56">
        <v>1</v>
      </c>
      <c r="X42" s="57">
        <v>1</v>
      </c>
      <c r="Y42" s="56">
        <v>1</v>
      </c>
      <c r="Z42" s="57">
        <v>1</v>
      </c>
      <c r="AA42" s="56">
        <v>1</v>
      </c>
      <c r="AB42" s="57">
        <v>1</v>
      </c>
      <c r="AC42" s="56" t="s">
        <v>263</v>
      </c>
      <c r="AD42" s="57" t="s">
        <v>263</v>
      </c>
      <c r="AE42" s="56" t="s">
        <v>263</v>
      </c>
      <c r="AF42" s="57" t="s">
        <v>263</v>
      </c>
      <c r="AG42" s="56">
        <v>1</v>
      </c>
      <c r="AH42" s="57" t="s">
        <v>263</v>
      </c>
      <c r="AI42" s="58"/>
      <c r="AJ42" s="58"/>
      <c r="AK42" s="58"/>
      <c r="AL42" s="58"/>
      <c r="AM42" s="58"/>
      <c r="AN42" s="58"/>
      <c r="AO42" s="58"/>
      <c r="AP42" s="57" t="s">
        <v>269</v>
      </c>
    </row>
    <row r="43" spans="1:42" x14ac:dyDescent="0.15">
      <c r="A43" s="52" t="str">
        <f>Donnéesutilisateurs[[#This Row],[Prénom]]&amp;" "&amp;Donnéesutilisateurs[[#This Row],[Nom]]</f>
        <v>Logan Werder</v>
      </c>
      <c r="B43" s="52">
        <v>4</v>
      </c>
      <c r="C43" s="53" t="s">
        <v>196</v>
      </c>
      <c r="D43" s="54" t="s">
        <v>140</v>
      </c>
      <c r="E43" s="54" t="s">
        <v>141</v>
      </c>
      <c r="F43" s="54" t="s">
        <v>14</v>
      </c>
      <c r="G43" s="54" t="s">
        <v>30</v>
      </c>
      <c r="H43" s="54"/>
      <c r="I43" s="55"/>
      <c r="J43" s="55"/>
      <c r="K43" s="55"/>
      <c r="L43" s="55" t="s">
        <v>344</v>
      </c>
      <c r="M43" s="55"/>
      <c r="N43" s="55"/>
      <c r="O43" s="55"/>
      <c r="P43" s="55"/>
      <c r="Q43" s="55"/>
      <c r="R43" s="55" t="s">
        <v>142</v>
      </c>
      <c r="S43" s="52">
        <f ca="1">IFERROR(SUM(Donnéesutilisateurs[[#This Row],[Quest de base]]:OFFSET(S43,,COUNTA(Donnéesutilisateurs[[#This Row],[Quest de base]:[P cours 07]]))),"")</f>
        <v>2</v>
      </c>
      <c r="T43" s="54">
        <v>2</v>
      </c>
      <c r="U43" s="56" t="s">
        <v>263</v>
      </c>
      <c r="V43" s="57" t="s">
        <v>263</v>
      </c>
      <c r="W43" s="56" t="s">
        <v>263</v>
      </c>
      <c r="X43" s="57" t="s">
        <v>263</v>
      </c>
      <c r="Y43" s="56" t="s">
        <v>263</v>
      </c>
      <c r="Z43" s="57" t="s">
        <v>263</v>
      </c>
      <c r="AA43" s="56" t="s">
        <v>263</v>
      </c>
      <c r="AB43" s="57" t="s">
        <v>263</v>
      </c>
      <c r="AC43" s="56" t="s">
        <v>263</v>
      </c>
      <c r="AD43" s="57" t="s">
        <v>263</v>
      </c>
      <c r="AE43" s="56" t="s">
        <v>263</v>
      </c>
      <c r="AF43" s="57" t="s">
        <v>263</v>
      </c>
      <c r="AG43" s="56" t="s">
        <v>263</v>
      </c>
      <c r="AH43" s="57" t="s">
        <v>263</v>
      </c>
      <c r="AI43" s="58"/>
      <c r="AJ43" s="58"/>
      <c r="AK43" s="58"/>
      <c r="AL43" s="58"/>
      <c r="AM43" s="58"/>
      <c r="AN43" s="58"/>
      <c r="AO43" s="58"/>
      <c r="AP43" s="57"/>
    </row>
    <row r="44" spans="1:42" ht="39" x14ac:dyDescent="0.15">
      <c r="A44" s="52" t="str">
        <f>Donnéesutilisateurs[[#This Row],[Prénom]]&amp;" "&amp;Donnéesutilisateurs[[#This Row],[Nom]]</f>
        <v>Lucas Huang</v>
      </c>
      <c r="B44" s="52">
        <v>5</v>
      </c>
      <c r="C44" s="53" t="s">
        <v>197</v>
      </c>
      <c r="D44" s="54" t="s">
        <v>86</v>
      </c>
      <c r="E44" s="54" t="s">
        <v>87</v>
      </c>
      <c r="F44" s="54" t="s">
        <v>14</v>
      </c>
      <c r="G44" s="54" t="s">
        <v>15</v>
      </c>
      <c r="H44" s="54">
        <v>2012</v>
      </c>
      <c r="I44" s="55"/>
      <c r="J44" s="55" t="s">
        <v>357</v>
      </c>
      <c r="K44" s="55"/>
      <c r="L44" s="55"/>
      <c r="M44" s="55"/>
      <c r="N44" s="55" t="s">
        <v>344</v>
      </c>
      <c r="O44" s="55"/>
      <c r="P44" s="55"/>
      <c r="Q44" s="55"/>
      <c r="R44" s="55"/>
      <c r="S44" s="52">
        <f ca="1">IFERROR(SUM(Donnéesutilisateurs[[#This Row],[Quest de base]]:OFFSET(S44,,COUNTA(Donnéesutilisateurs[[#This Row],[Quest de base]:[P cours 07]]))),"")</f>
        <v>6</v>
      </c>
      <c r="T44" s="54" t="s">
        <v>227</v>
      </c>
      <c r="U44" s="56" t="s">
        <v>263</v>
      </c>
      <c r="V44" s="57">
        <v>1</v>
      </c>
      <c r="W44" s="56">
        <v>1</v>
      </c>
      <c r="X44" s="57" t="s">
        <v>263</v>
      </c>
      <c r="Y44" s="56" t="s">
        <v>263</v>
      </c>
      <c r="Z44" s="57" t="s">
        <v>263</v>
      </c>
      <c r="AA44" s="56">
        <v>1</v>
      </c>
      <c r="AB44" s="57">
        <v>1</v>
      </c>
      <c r="AC44" s="56">
        <v>1</v>
      </c>
      <c r="AD44" s="57">
        <v>1</v>
      </c>
      <c r="AE44" s="56" t="s">
        <v>263</v>
      </c>
      <c r="AF44" s="57" t="s">
        <v>263</v>
      </c>
      <c r="AG44" s="56" t="s">
        <v>263</v>
      </c>
      <c r="AH44" s="57" t="s">
        <v>263</v>
      </c>
      <c r="AI44" s="58"/>
      <c r="AJ44" s="58"/>
      <c r="AK44" s="58"/>
      <c r="AL44" s="58"/>
      <c r="AM44" s="58"/>
      <c r="AN44" s="58"/>
      <c r="AO44" s="58"/>
      <c r="AP44" s="57"/>
    </row>
    <row r="45" spans="1:42" ht="26" x14ac:dyDescent="0.15">
      <c r="A45" s="52" t="str">
        <f>Donnéesutilisateurs[[#This Row],[Prénom]]&amp;" "&amp;Donnéesutilisateurs[[#This Row],[Nom]]</f>
        <v>Lucas Nespolo</v>
      </c>
      <c r="B45" s="52">
        <v>5</v>
      </c>
      <c r="C45" s="53" t="s">
        <v>198</v>
      </c>
      <c r="D45" s="54" t="s">
        <v>100</v>
      </c>
      <c r="E45" s="54" t="s">
        <v>87</v>
      </c>
      <c r="F45" s="54" t="s">
        <v>36</v>
      </c>
      <c r="G45" s="54" t="s">
        <v>40</v>
      </c>
      <c r="H45" s="54">
        <v>2013</v>
      </c>
      <c r="I45" s="55" t="s">
        <v>249</v>
      </c>
      <c r="J45" s="55"/>
      <c r="K45" s="55"/>
      <c r="L45" s="55"/>
      <c r="M45" s="55"/>
      <c r="N45" s="55"/>
      <c r="O45" s="55" t="s">
        <v>375</v>
      </c>
      <c r="P45" s="55" t="s">
        <v>344</v>
      </c>
      <c r="Q45" s="55"/>
      <c r="R45" s="55" t="s">
        <v>326</v>
      </c>
      <c r="S45" s="52">
        <f ca="1">IFERROR(SUM(Donnéesutilisateurs[[#This Row],[Quest de base]]:OFFSET(S45,,COUNTA(Donnéesutilisateurs[[#This Row],[Quest de base]:[P cours 07]]))),"")</f>
        <v>12</v>
      </c>
      <c r="T45" s="54">
        <v>4</v>
      </c>
      <c r="U45" s="56">
        <v>1</v>
      </c>
      <c r="V45" s="57">
        <v>1</v>
      </c>
      <c r="W45" s="56">
        <v>1</v>
      </c>
      <c r="X45" s="57">
        <v>1</v>
      </c>
      <c r="Y45" s="56">
        <v>1</v>
      </c>
      <c r="Z45" s="57">
        <v>1</v>
      </c>
      <c r="AA45" s="56" t="s">
        <v>263</v>
      </c>
      <c r="AB45" s="57" t="s">
        <v>263</v>
      </c>
      <c r="AC45" s="56">
        <v>1</v>
      </c>
      <c r="AD45" s="57">
        <v>1</v>
      </c>
      <c r="AE45" s="56" t="s">
        <v>263</v>
      </c>
      <c r="AF45" s="57" t="s">
        <v>263</v>
      </c>
      <c r="AG45" s="56" t="s">
        <v>263</v>
      </c>
      <c r="AH45" s="57" t="s">
        <v>263</v>
      </c>
      <c r="AI45" s="58"/>
      <c r="AJ45" s="58"/>
      <c r="AK45" s="58"/>
      <c r="AL45" s="58"/>
      <c r="AM45" s="58"/>
      <c r="AN45" s="58"/>
      <c r="AO45" s="58"/>
      <c r="AP45" s="57" t="s">
        <v>269</v>
      </c>
    </row>
    <row r="46" spans="1:42" x14ac:dyDescent="0.15">
      <c r="A46" s="52" t="str">
        <f>Donnéesutilisateurs[[#This Row],[Prénom]]&amp;" "&amp;Donnéesutilisateurs[[#This Row],[Nom]]</f>
        <v>Lydia Campana</v>
      </c>
      <c r="B46" s="52">
        <v>4</v>
      </c>
      <c r="C46" s="53" t="s">
        <v>21</v>
      </c>
      <c r="D46" s="54" t="s">
        <v>38</v>
      </c>
      <c r="E46" s="54" t="s">
        <v>39</v>
      </c>
      <c r="F46" s="54" t="s">
        <v>21</v>
      </c>
      <c r="G46" s="54" t="s">
        <v>40</v>
      </c>
      <c r="H46" s="54"/>
      <c r="I46" s="55"/>
      <c r="J46" s="55"/>
      <c r="K46" s="55"/>
      <c r="L46" s="55"/>
      <c r="M46" s="55"/>
      <c r="N46" s="55"/>
      <c r="O46" s="55"/>
      <c r="P46" s="55" t="s">
        <v>344</v>
      </c>
      <c r="Q46" s="55"/>
      <c r="R46" s="69" t="s">
        <v>41</v>
      </c>
      <c r="S46" s="52">
        <f ca="1">IFERROR(SUM(Donnéesutilisateurs[[#This Row],[Quest de base]]:OFFSET(S46,,COUNTA(Donnéesutilisateurs[[#This Row],[Quest de base]:[P cours 07]]))),"")</f>
        <v>1</v>
      </c>
      <c r="T46" s="54">
        <v>1</v>
      </c>
      <c r="U46" s="56" t="s">
        <v>263</v>
      </c>
      <c r="V46" s="57" t="s">
        <v>263</v>
      </c>
      <c r="W46" s="56" t="s">
        <v>263</v>
      </c>
      <c r="X46" s="57" t="s">
        <v>263</v>
      </c>
      <c r="Y46" s="56" t="s">
        <v>263</v>
      </c>
      <c r="Z46" s="57" t="s">
        <v>263</v>
      </c>
      <c r="AA46" s="56" t="s">
        <v>263</v>
      </c>
      <c r="AB46" s="57" t="s">
        <v>263</v>
      </c>
      <c r="AC46" s="56" t="s">
        <v>263</v>
      </c>
      <c r="AD46" s="57" t="s">
        <v>263</v>
      </c>
      <c r="AE46" s="56" t="s">
        <v>263</v>
      </c>
      <c r="AF46" s="57" t="s">
        <v>263</v>
      </c>
      <c r="AG46" s="56" t="s">
        <v>263</v>
      </c>
      <c r="AH46" s="57" t="s">
        <v>263</v>
      </c>
      <c r="AI46" s="58"/>
      <c r="AJ46" s="58"/>
      <c r="AK46" s="58"/>
      <c r="AL46" s="58"/>
      <c r="AM46" s="58"/>
      <c r="AN46" s="58"/>
      <c r="AO46" s="58"/>
      <c r="AP46" s="57"/>
    </row>
    <row r="47" spans="1:42" x14ac:dyDescent="0.15">
      <c r="A47" s="52" t="str">
        <f>Donnéesutilisateurs[[#This Row],[Prénom]]&amp;" "&amp;Donnéesutilisateurs[[#This Row],[Nom]]</f>
        <v>Marc Bergunthal</v>
      </c>
      <c r="B47" s="52">
        <v>3</v>
      </c>
      <c r="C47" s="53" t="s">
        <v>21</v>
      </c>
      <c r="D47" s="54" t="s">
        <v>226</v>
      </c>
      <c r="E47" s="54" t="s">
        <v>55</v>
      </c>
      <c r="F47" s="54" t="s">
        <v>21</v>
      </c>
      <c r="G47" s="54" t="s">
        <v>40</v>
      </c>
      <c r="H47" s="54"/>
      <c r="I47" s="55"/>
      <c r="J47" s="55"/>
      <c r="K47" s="55"/>
      <c r="L47" s="55"/>
      <c r="M47" s="55"/>
      <c r="N47" s="55"/>
      <c r="O47" s="55"/>
      <c r="P47" s="55" t="s">
        <v>344</v>
      </c>
      <c r="Q47" s="55"/>
      <c r="R47" s="55"/>
      <c r="S47" s="52">
        <f ca="1">IFERROR(SUM(Donnéesutilisateurs[[#This Row],[Quest de base]]:OFFSET(S47,,COUNTA(Donnéesutilisateurs[[#This Row],[Quest de base]:[P cours 07]]))),"")</f>
        <v>0</v>
      </c>
      <c r="T47" s="52" t="s">
        <v>365</v>
      </c>
      <c r="U47" s="59" t="s">
        <v>365</v>
      </c>
      <c r="V47" s="60" t="s">
        <v>365</v>
      </c>
      <c r="W47" s="59" t="s">
        <v>365</v>
      </c>
      <c r="X47" s="60" t="s">
        <v>365</v>
      </c>
      <c r="Y47" s="59" t="s">
        <v>365</v>
      </c>
      <c r="Z47" s="60" t="s">
        <v>365</v>
      </c>
      <c r="AA47" s="59" t="s">
        <v>365</v>
      </c>
      <c r="AB47" s="60" t="s">
        <v>365</v>
      </c>
      <c r="AC47" s="59" t="s">
        <v>263</v>
      </c>
      <c r="AD47" s="60" t="s">
        <v>263</v>
      </c>
      <c r="AE47" s="56" t="s">
        <v>263</v>
      </c>
      <c r="AF47" s="57" t="s">
        <v>263</v>
      </c>
      <c r="AG47" s="56" t="s">
        <v>263</v>
      </c>
      <c r="AH47" s="57" t="s">
        <v>263</v>
      </c>
      <c r="AI47" s="58"/>
      <c r="AJ47" s="58"/>
      <c r="AK47" s="58"/>
      <c r="AL47" s="58"/>
      <c r="AM47" s="58"/>
      <c r="AN47" s="58"/>
      <c r="AO47" s="58"/>
      <c r="AP47" s="57"/>
    </row>
    <row r="48" spans="1:42" ht="78" x14ac:dyDescent="0.15">
      <c r="A48" s="52" t="str">
        <f>Donnéesutilisateurs[[#This Row],[Prénom]]&amp;" "&amp;Donnéesutilisateurs[[#This Row],[Nom]]</f>
        <v>Marc Diacon</v>
      </c>
      <c r="B48" s="52">
        <v>5</v>
      </c>
      <c r="C48" s="53" t="s">
        <v>199</v>
      </c>
      <c r="D48" s="54" t="s">
        <v>54</v>
      </c>
      <c r="E48" s="54" t="s">
        <v>55</v>
      </c>
      <c r="F48" s="54" t="s">
        <v>42</v>
      </c>
      <c r="G48" s="54" t="s">
        <v>56</v>
      </c>
      <c r="H48" s="54">
        <v>2011</v>
      </c>
      <c r="I48" s="55"/>
      <c r="J48" s="55" t="s">
        <v>377</v>
      </c>
      <c r="K48" s="55"/>
      <c r="L48" s="55"/>
      <c r="M48" s="55"/>
      <c r="N48" s="55"/>
      <c r="O48" s="55" t="s">
        <v>376</v>
      </c>
      <c r="P48" s="55"/>
      <c r="Q48" s="55"/>
      <c r="R48" s="55" t="s">
        <v>57</v>
      </c>
      <c r="S48" s="52">
        <f ca="1">IFERROR(SUM(Donnéesutilisateurs[[#This Row],[Quest de base]]:OFFSET(S48,,COUNTA(Donnéesutilisateurs[[#This Row],[Quest de base]:[P cours 07]]))),"")</f>
        <v>2</v>
      </c>
      <c r="T48" s="54">
        <v>2</v>
      </c>
      <c r="U48" s="56" t="s">
        <v>263</v>
      </c>
      <c r="V48" s="57" t="s">
        <v>263</v>
      </c>
      <c r="W48" s="56" t="s">
        <v>263</v>
      </c>
      <c r="X48" s="57" t="s">
        <v>263</v>
      </c>
      <c r="Y48" s="56" t="s">
        <v>263</v>
      </c>
      <c r="Z48" s="57" t="s">
        <v>263</v>
      </c>
      <c r="AA48" s="56" t="s">
        <v>263</v>
      </c>
      <c r="AB48" s="57" t="s">
        <v>263</v>
      </c>
      <c r="AC48" s="56" t="s">
        <v>263</v>
      </c>
      <c r="AD48" s="57" t="s">
        <v>263</v>
      </c>
      <c r="AE48" s="56" t="s">
        <v>263</v>
      </c>
      <c r="AF48" s="57" t="s">
        <v>263</v>
      </c>
      <c r="AG48" s="56" t="s">
        <v>263</v>
      </c>
      <c r="AH48" s="57" t="s">
        <v>263</v>
      </c>
      <c r="AI48" s="58"/>
      <c r="AJ48" s="58"/>
      <c r="AK48" s="58"/>
      <c r="AL48" s="58"/>
      <c r="AM48" s="58"/>
      <c r="AN48" s="58"/>
      <c r="AO48" s="58"/>
      <c r="AP48" s="57" t="s">
        <v>269</v>
      </c>
    </row>
    <row r="49" spans="1:42" x14ac:dyDescent="0.15">
      <c r="A49" s="52" t="str">
        <f>Donnéesutilisateurs[[#This Row],[Prénom]]&amp;" "&amp;Donnéesutilisateurs[[#This Row],[Nom]]</f>
        <v>Marcela Fiori</v>
      </c>
      <c r="B49" s="52">
        <v>3</v>
      </c>
      <c r="C49" s="53" t="s">
        <v>200</v>
      </c>
      <c r="D49" s="54" t="s">
        <v>67</v>
      </c>
      <c r="E49" s="54" t="s">
        <v>156</v>
      </c>
      <c r="F49" s="54" t="s">
        <v>14</v>
      </c>
      <c r="G49" s="54" t="s">
        <v>40</v>
      </c>
      <c r="H49" s="54">
        <v>2012</v>
      </c>
      <c r="I49" s="55"/>
      <c r="J49" s="55"/>
      <c r="K49" s="55"/>
      <c r="L49" s="55"/>
      <c r="M49" s="55"/>
      <c r="N49" s="55"/>
      <c r="O49" s="55"/>
      <c r="P49" s="55" t="s">
        <v>344</v>
      </c>
      <c r="Q49" s="55"/>
      <c r="R49" s="55" t="s">
        <v>327</v>
      </c>
      <c r="S49" s="52">
        <f ca="1">IFERROR(SUM(Donnéesutilisateurs[[#This Row],[Quest de base]]:OFFSET(S49,,COUNTA(Donnéesutilisateurs[[#This Row],[Quest de base]:[P cours 07]]))),"")</f>
        <v>16</v>
      </c>
      <c r="T49" s="54">
        <v>4</v>
      </c>
      <c r="U49" s="56">
        <v>1</v>
      </c>
      <c r="V49" s="57">
        <v>1</v>
      </c>
      <c r="W49" s="56">
        <v>1</v>
      </c>
      <c r="X49" s="57">
        <v>1</v>
      </c>
      <c r="Y49" s="56">
        <v>1</v>
      </c>
      <c r="Z49" s="57">
        <v>1</v>
      </c>
      <c r="AA49" s="56">
        <v>1</v>
      </c>
      <c r="AB49" s="57">
        <v>1</v>
      </c>
      <c r="AC49" s="56">
        <v>1</v>
      </c>
      <c r="AD49" s="57">
        <v>1</v>
      </c>
      <c r="AE49" s="56">
        <v>1</v>
      </c>
      <c r="AF49" s="57">
        <v>1</v>
      </c>
      <c r="AG49" s="56" t="s">
        <v>263</v>
      </c>
      <c r="AH49" s="57" t="s">
        <v>263</v>
      </c>
      <c r="AI49" s="58"/>
      <c r="AJ49" s="58"/>
      <c r="AK49" s="58"/>
      <c r="AL49" s="58"/>
      <c r="AM49" s="58"/>
      <c r="AN49" s="58"/>
      <c r="AO49" s="58"/>
      <c r="AP49" s="57" t="s">
        <v>269</v>
      </c>
    </row>
    <row r="50" spans="1:42" x14ac:dyDescent="0.15">
      <c r="A50" s="52" t="str">
        <f>Donnéesutilisateurs[[#This Row],[Prénom]]&amp;" "&amp;Donnéesutilisateurs[[#This Row],[Nom]]</f>
        <v>Marie-Joëlle Haldimann</v>
      </c>
      <c r="B50" s="52">
        <v>5</v>
      </c>
      <c r="C50" s="53" t="s">
        <v>201</v>
      </c>
      <c r="D50" s="54" t="s">
        <v>75</v>
      </c>
      <c r="E50" s="54" t="s">
        <v>76</v>
      </c>
      <c r="F50" s="54" t="s">
        <v>14</v>
      </c>
      <c r="G50" s="54" t="s">
        <v>56</v>
      </c>
      <c r="H50" s="54"/>
      <c r="I50" s="55"/>
      <c r="J50" s="55" t="s">
        <v>343</v>
      </c>
      <c r="K50" s="55"/>
      <c r="L50" s="55"/>
      <c r="M50" s="55"/>
      <c r="N50" s="55"/>
      <c r="O50" s="55"/>
      <c r="P50" s="55"/>
      <c r="Q50" s="55"/>
      <c r="R50" s="55" t="s">
        <v>77</v>
      </c>
      <c r="S50" s="52">
        <f ca="1">IFERROR(SUM(Donnéesutilisateurs[[#This Row],[Quest de base]]:OFFSET(S50,,COUNTA(Donnéesutilisateurs[[#This Row],[Quest de base]:[P cours 07]]))),"")</f>
        <v>2</v>
      </c>
      <c r="T50" s="54">
        <v>2</v>
      </c>
      <c r="U50" s="56" t="s">
        <v>263</v>
      </c>
      <c r="V50" s="57" t="s">
        <v>263</v>
      </c>
      <c r="W50" s="56" t="s">
        <v>263</v>
      </c>
      <c r="X50" s="57" t="s">
        <v>263</v>
      </c>
      <c r="Y50" s="56" t="s">
        <v>263</v>
      </c>
      <c r="Z50" s="57" t="s">
        <v>263</v>
      </c>
      <c r="AA50" s="56" t="s">
        <v>263</v>
      </c>
      <c r="AB50" s="57" t="s">
        <v>263</v>
      </c>
      <c r="AC50" s="56" t="s">
        <v>263</v>
      </c>
      <c r="AD50" s="57" t="s">
        <v>263</v>
      </c>
      <c r="AE50" s="56" t="s">
        <v>263</v>
      </c>
      <c r="AF50" s="57" t="s">
        <v>263</v>
      </c>
      <c r="AG50" s="56" t="s">
        <v>263</v>
      </c>
      <c r="AH50" s="57" t="s">
        <v>263</v>
      </c>
      <c r="AI50" s="58"/>
      <c r="AJ50" s="58"/>
      <c r="AK50" s="58"/>
      <c r="AL50" s="58"/>
      <c r="AM50" s="58"/>
      <c r="AN50" s="58"/>
      <c r="AO50" s="58"/>
      <c r="AP50" s="61" t="s">
        <v>269</v>
      </c>
    </row>
    <row r="51" spans="1:42" ht="19.5" x14ac:dyDescent="0.15">
      <c r="A51" s="52" t="str">
        <f>Donnéesutilisateurs[[#This Row],[Prénom]]&amp;" "&amp;Donnéesutilisateurs[[#This Row],[Nom]]</f>
        <v>Marie-Pauline Cryonnet</v>
      </c>
      <c r="B51" s="52">
        <v>4</v>
      </c>
      <c r="C51" s="53" t="s">
        <v>223</v>
      </c>
      <c r="D51" s="54" t="s">
        <v>264</v>
      </c>
      <c r="E51" s="54" t="s">
        <v>260</v>
      </c>
      <c r="F51" s="54" t="s">
        <v>223</v>
      </c>
      <c r="G51" s="54" t="s">
        <v>30</v>
      </c>
      <c r="H51" s="54" t="s">
        <v>263</v>
      </c>
      <c r="I51" s="55" t="s">
        <v>266</v>
      </c>
      <c r="J51" s="55"/>
      <c r="K51" s="55"/>
      <c r="L51" s="55" t="s">
        <v>358</v>
      </c>
      <c r="M51" s="55"/>
      <c r="N51" s="55"/>
      <c r="O51" s="55"/>
      <c r="P51" s="55"/>
      <c r="Q51" s="55"/>
      <c r="R51" s="55"/>
      <c r="S51" s="52">
        <f ca="1">IFERROR(SUM(Donnéesutilisateurs[[#This Row],[Quest de base]]:OFFSET(S51,,COUNTA(Donnéesutilisateurs[[#This Row],[Quest de base]:[P cours 07]]))),"")</f>
        <v>6</v>
      </c>
      <c r="T51" s="54" t="s">
        <v>365</v>
      </c>
      <c r="U51" s="66" t="s">
        <v>365</v>
      </c>
      <c r="V51" s="67" t="s">
        <v>365</v>
      </c>
      <c r="W51" s="66" t="s">
        <v>365</v>
      </c>
      <c r="X51" s="67" t="s">
        <v>365</v>
      </c>
      <c r="Y51" s="66" t="s">
        <v>365</v>
      </c>
      <c r="Z51" s="67" t="s">
        <v>365</v>
      </c>
      <c r="AA51" s="66">
        <v>1</v>
      </c>
      <c r="AB51" s="67">
        <v>1</v>
      </c>
      <c r="AC51" s="66">
        <v>1</v>
      </c>
      <c r="AD51" s="67">
        <v>1</v>
      </c>
      <c r="AE51" s="56" t="s">
        <v>263</v>
      </c>
      <c r="AF51" s="57" t="s">
        <v>263</v>
      </c>
      <c r="AG51" s="56">
        <v>1</v>
      </c>
      <c r="AH51" s="57">
        <v>1</v>
      </c>
      <c r="AI51" s="61"/>
      <c r="AJ51" s="61"/>
      <c r="AK51" s="61"/>
      <c r="AL51" s="61"/>
      <c r="AM51" s="61"/>
      <c r="AN51" s="61"/>
      <c r="AO51" s="61"/>
      <c r="AP51" s="57" t="s">
        <v>263</v>
      </c>
    </row>
    <row r="52" spans="1:42" ht="52" x14ac:dyDescent="0.15">
      <c r="A52" s="52" t="str">
        <f>Donnéesutilisateurs[[#This Row],[Prénom]]&amp;" "&amp;Donnéesutilisateurs[[#This Row],[Nom]]</f>
        <v>Mark Pintucan</v>
      </c>
      <c r="B52" s="52">
        <v>5</v>
      </c>
      <c r="C52" s="53" t="s">
        <v>202</v>
      </c>
      <c r="D52" s="54" t="s">
        <v>108</v>
      </c>
      <c r="E52" s="54" t="s">
        <v>109</v>
      </c>
      <c r="F52" s="54" t="s">
        <v>42</v>
      </c>
      <c r="G52" s="54" t="s">
        <v>25</v>
      </c>
      <c r="H52" s="54"/>
      <c r="I52" s="55"/>
      <c r="J52" s="55"/>
      <c r="K52" s="55"/>
      <c r="L52" s="55"/>
      <c r="M52" s="55"/>
      <c r="N52" s="55"/>
      <c r="O52" s="55" t="s">
        <v>378</v>
      </c>
      <c r="P52" s="55"/>
      <c r="Q52" s="55"/>
      <c r="R52" s="55" t="s">
        <v>110</v>
      </c>
      <c r="S52" s="52">
        <f ca="1">IFERROR(SUM(Donnéesutilisateurs[[#This Row],[Quest de base]]:OFFSET(S52,,COUNTA(Donnéesutilisateurs[[#This Row],[Quest de base]:[P cours 07]]))),"")</f>
        <v>3</v>
      </c>
      <c r="T52" s="54">
        <v>3</v>
      </c>
      <c r="U52" s="56" t="s">
        <v>263</v>
      </c>
      <c r="V52" s="57" t="s">
        <v>263</v>
      </c>
      <c r="W52" s="56" t="s">
        <v>263</v>
      </c>
      <c r="X52" s="57" t="s">
        <v>263</v>
      </c>
      <c r="Y52" s="56" t="s">
        <v>263</v>
      </c>
      <c r="Z52" s="57" t="s">
        <v>263</v>
      </c>
      <c r="AA52" s="56" t="s">
        <v>263</v>
      </c>
      <c r="AB52" s="57" t="s">
        <v>263</v>
      </c>
      <c r="AC52" s="56" t="s">
        <v>263</v>
      </c>
      <c r="AD52" s="57" t="s">
        <v>263</v>
      </c>
      <c r="AE52" s="56" t="s">
        <v>263</v>
      </c>
      <c r="AF52" s="57" t="s">
        <v>263</v>
      </c>
      <c r="AG52" s="56" t="s">
        <v>263</v>
      </c>
      <c r="AH52" s="57" t="s">
        <v>263</v>
      </c>
      <c r="AI52" s="58"/>
      <c r="AJ52" s="58"/>
      <c r="AK52" s="58"/>
      <c r="AL52" s="58"/>
      <c r="AM52" s="58"/>
      <c r="AN52" s="58"/>
      <c r="AO52" s="58"/>
      <c r="AP52" s="57"/>
    </row>
    <row r="53" spans="1:42" x14ac:dyDescent="0.15">
      <c r="A53" s="52" t="str">
        <f>Donnéesutilisateurs[[#This Row],[Prénom]]&amp;" "&amp;Donnéesutilisateurs[[#This Row],[Nom]]</f>
        <v>Marta Paternain Martinez</v>
      </c>
      <c r="B53" s="52">
        <v>5</v>
      </c>
      <c r="C53" s="53" t="s">
        <v>203</v>
      </c>
      <c r="D53" s="54" t="s">
        <v>103</v>
      </c>
      <c r="E53" s="54" t="s">
        <v>104</v>
      </c>
      <c r="F53" s="54" t="s">
        <v>14</v>
      </c>
      <c r="G53" s="54" t="s">
        <v>56</v>
      </c>
      <c r="H53" s="54">
        <v>2010</v>
      </c>
      <c r="I53" s="55"/>
      <c r="J53" s="55" t="s">
        <v>343</v>
      </c>
      <c r="K53" s="55"/>
      <c r="L53" s="55"/>
      <c r="M53" s="55"/>
      <c r="N53" s="55"/>
      <c r="O53" s="55"/>
      <c r="P53" s="55"/>
      <c r="Q53" s="55"/>
      <c r="R53" s="55" t="s">
        <v>328</v>
      </c>
      <c r="S53" s="52">
        <f ca="1">IFERROR(SUM(Donnéesutilisateurs[[#This Row],[Quest de base]]:OFFSET(S53,,COUNTA(Donnéesutilisateurs[[#This Row],[Quest de base]:[P cours 07]]))),"")</f>
        <v>4</v>
      </c>
      <c r="T53" s="54">
        <v>2</v>
      </c>
      <c r="U53" s="56">
        <v>1</v>
      </c>
      <c r="V53" s="57">
        <v>1</v>
      </c>
      <c r="W53" s="56" t="s">
        <v>263</v>
      </c>
      <c r="X53" s="57" t="s">
        <v>263</v>
      </c>
      <c r="Y53" s="56" t="s">
        <v>263</v>
      </c>
      <c r="Z53" s="57" t="s">
        <v>263</v>
      </c>
      <c r="AA53" s="56" t="s">
        <v>263</v>
      </c>
      <c r="AB53" s="57" t="s">
        <v>263</v>
      </c>
      <c r="AC53" s="56" t="s">
        <v>263</v>
      </c>
      <c r="AD53" s="57" t="s">
        <v>263</v>
      </c>
      <c r="AE53" s="56" t="s">
        <v>263</v>
      </c>
      <c r="AF53" s="57" t="s">
        <v>263</v>
      </c>
      <c r="AG53" s="56" t="s">
        <v>263</v>
      </c>
      <c r="AH53" s="57" t="s">
        <v>263</v>
      </c>
      <c r="AI53" s="58"/>
      <c r="AJ53" s="58"/>
      <c r="AK53" s="58"/>
      <c r="AL53" s="58"/>
      <c r="AM53" s="58"/>
      <c r="AN53" s="58"/>
      <c r="AO53" s="58"/>
      <c r="AP53" s="57" t="s">
        <v>269</v>
      </c>
    </row>
    <row r="54" spans="1:42" ht="13" x14ac:dyDescent="0.15">
      <c r="A54" s="52" t="str">
        <f>Donnéesutilisateurs[[#This Row],[Prénom]]&amp;" "&amp;Donnéesutilisateurs[[#This Row],[Nom]]</f>
        <v>Matteo Stauffacher</v>
      </c>
      <c r="B54" s="52"/>
      <c r="C54" s="53"/>
      <c r="D54" s="54" t="s">
        <v>291</v>
      </c>
      <c r="E54" s="54" t="s">
        <v>292</v>
      </c>
      <c r="F54" s="54" t="s">
        <v>293</v>
      </c>
      <c r="G54" s="54" t="s">
        <v>25</v>
      </c>
      <c r="H54" s="54"/>
      <c r="I54" s="55"/>
      <c r="J54" s="55" t="s">
        <v>359</v>
      </c>
      <c r="K54" s="55"/>
      <c r="L54" s="55"/>
      <c r="M54" s="55"/>
      <c r="N54" s="55"/>
      <c r="O54" s="55" t="s">
        <v>343</v>
      </c>
      <c r="P54" s="55"/>
      <c r="Q54" s="55"/>
      <c r="R54" s="55"/>
      <c r="S54" s="52">
        <f ca="1">IFERROR(SUM(Donnéesutilisateurs[[#This Row],[Quest de base]]:OFFSET(S54,,COUNTA(Donnéesutilisateurs[[#This Row],[Quest de base]:[P cours 07]]))),"")</f>
        <v>0</v>
      </c>
      <c r="T54" s="52" t="s">
        <v>365</v>
      </c>
      <c r="U54" s="59" t="s">
        <v>365</v>
      </c>
      <c r="V54" s="60" t="s">
        <v>365</v>
      </c>
      <c r="W54" s="59" t="s">
        <v>365</v>
      </c>
      <c r="X54" s="60" t="s">
        <v>365</v>
      </c>
      <c r="Y54" s="59" t="s">
        <v>365</v>
      </c>
      <c r="Z54" s="60" t="s">
        <v>365</v>
      </c>
      <c r="AA54" s="59" t="s">
        <v>365</v>
      </c>
      <c r="AB54" s="60" t="s">
        <v>365</v>
      </c>
      <c r="AC54" s="59" t="s">
        <v>365</v>
      </c>
      <c r="AD54" s="60" t="s">
        <v>365</v>
      </c>
      <c r="AE54" s="56" t="s">
        <v>263</v>
      </c>
      <c r="AF54" s="57" t="s">
        <v>263</v>
      </c>
      <c r="AG54" s="56" t="s">
        <v>263</v>
      </c>
      <c r="AH54" s="57" t="s">
        <v>263</v>
      </c>
      <c r="AI54" s="61"/>
      <c r="AJ54" s="61"/>
      <c r="AK54" s="61"/>
      <c r="AL54" s="61"/>
      <c r="AM54" s="61"/>
      <c r="AN54" s="61"/>
      <c r="AO54" s="61"/>
      <c r="AP54" s="57" t="s">
        <v>263</v>
      </c>
    </row>
    <row r="55" spans="1:42" ht="32.5" x14ac:dyDescent="0.15">
      <c r="A55" s="52" t="str">
        <f>Donnéesutilisateurs[[#This Row],[Prénom]]&amp;" "&amp;Donnéesutilisateurs[[#This Row],[Nom]]</f>
        <v>Matthieu Pous</v>
      </c>
      <c r="B55" s="52"/>
      <c r="C55" s="53"/>
      <c r="D55" s="54" t="s">
        <v>287</v>
      </c>
      <c r="E55" s="54" t="s">
        <v>288</v>
      </c>
      <c r="F55" s="54" t="s">
        <v>36</v>
      </c>
      <c r="G55" s="54" t="s">
        <v>364</v>
      </c>
      <c r="H55" s="54"/>
      <c r="I55" s="55"/>
      <c r="J55" s="55" t="s">
        <v>362</v>
      </c>
      <c r="K55" s="55" t="s">
        <v>360</v>
      </c>
      <c r="L55" s="55"/>
      <c r="M55" s="55"/>
      <c r="N55" s="55"/>
      <c r="O55" s="55"/>
      <c r="P55" s="55"/>
      <c r="Q55" s="55"/>
      <c r="R55" s="55"/>
      <c r="S55" s="52">
        <f ca="1">IFERROR(SUM(Donnéesutilisateurs[[#This Row],[Quest de base]]:OFFSET(S55,,COUNTA(Donnéesutilisateurs[[#This Row],[Quest de base]:[P cours 07]]))),"")</f>
        <v>3</v>
      </c>
      <c r="T55" s="52" t="s">
        <v>365</v>
      </c>
      <c r="U55" s="59" t="s">
        <v>365</v>
      </c>
      <c r="V55" s="60" t="s">
        <v>365</v>
      </c>
      <c r="W55" s="59" t="s">
        <v>365</v>
      </c>
      <c r="X55" s="60" t="s">
        <v>365</v>
      </c>
      <c r="Y55" s="59" t="s">
        <v>365</v>
      </c>
      <c r="Z55" s="60" t="s">
        <v>365</v>
      </c>
      <c r="AA55" s="59" t="s">
        <v>365</v>
      </c>
      <c r="AB55" s="60" t="s">
        <v>365</v>
      </c>
      <c r="AC55" s="59" t="s">
        <v>365</v>
      </c>
      <c r="AD55" s="60" t="s">
        <v>365</v>
      </c>
      <c r="AE55" s="56">
        <v>1</v>
      </c>
      <c r="AF55" s="57" t="s">
        <v>263</v>
      </c>
      <c r="AG55" s="56">
        <v>1</v>
      </c>
      <c r="AH55" s="57">
        <v>1</v>
      </c>
      <c r="AI55" s="61"/>
      <c r="AJ55" s="61"/>
      <c r="AK55" s="61"/>
      <c r="AL55" s="61"/>
      <c r="AM55" s="61"/>
      <c r="AN55" s="61"/>
      <c r="AO55" s="61"/>
      <c r="AP55" s="57" t="s">
        <v>263</v>
      </c>
    </row>
    <row r="56" spans="1:42" x14ac:dyDescent="0.15">
      <c r="A56" s="52" t="str">
        <f>Donnéesutilisateurs[[#This Row],[Prénom]]&amp;" "&amp;Donnéesutilisateurs[[#This Row],[Nom]]</f>
        <v>Maxime Dupont</v>
      </c>
      <c r="B56" s="52">
        <v>3</v>
      </c>
      <c r="C56" s="53" t="s">
        <v>21</v>
      </c>
      <c r="D56" s="54" t="s">
        <v>61</v>
      </c>
      <c r="E56" s="54" t="s">
        <v>62</v>
      </c>
      <c r="F56" s="54" t="s">
        <v>21</v>
      </c>
      <c r="G56" s="54" t="s">
        <v>40</v>
      </c>
      <c r="H56" s="54" t="s">
        <v>263</v>
      </c>
      <c r="I56" s="55"/>
      <c r="J56" s="55"/>
      <c r="K56" s="55"/>
      <c r="L56" s="55"/>
      <c r="M56" s="55"/>
      <c r="N56" s="55"/>
      <c r="O56" s="55"/>
      <c r="P56" s="55" t="s">
        <v>344</v>
      </c>
      <c r="Q56" s="55"/>
      <c r="R56" s="69" t="s">
        <v>63</v>
      </c>
      <c r="S56" s="52">
        <f ca="1">IFERROR(SUM(Donnéesutilisateurs[[#This Row],[Quest de base]]:OFFSET(S56,,COUNTA(Donnéesutilisateurs[[#This Row],[Quest de base]:[P cours 07]]))),"")</f>
        <v>1</v>
      </c>
      <c r="T56" s="54">
        <v>1</v>
      </c>
      <c r="U56" s="56" t="s">
        <v>263</v>
      </c>
      <c r="V56" s="57" t="s">
        <v>263</v>
      </c>
      <c r="W56" s="56" t="s">
        <v>263</v>
      </c>
      <c r="X56" s="57" t="s">
        <v>263</v>
      </c>
      <c r="Y56" s="56" t="s">
        <v>263</v>
      </c>
      <c r="Z56" s="57" t="s">
        <v>263</v>
      </c>
      <c r="AA56" s="56" t="s">
        <v>263</v>
      </c>
      <c r="AB56" s="57" t="s">
        <v>263</v>
      </c>
      <c r="AC56" s="56" t="s">
        <v>263</v>
      </c>
      <c r="AD56" s="57" t="s">
        <v>263</v>
      </c>
      <c r="AE56" s="56" t="s">
        <v>263</v>
      </c>
      <c r="AF56" s="57" t="s">
        <v>263</v>
      </c>
      <c r="AG56" s="56" t="s">
        <v>263</v>
      </c>
      <c r="AH56" s="57" t="s">
        <v>263</v>
      </c>
      <c r="AI56" s="58"/>
      <c r="AJ56" s="58"/>
      <c r="AK56" s="58"/>
      <c r="AL56" s="58"/>
      <c r="AM56" s="58"/>
      <c r="AN56" s="58"/>
      <c r="AO56" s="58"/>
      <c r="AP56" s="57" t="s">
        <v>263</v>
      </c>
    </row>
    <row r="57" spans="1:42" ht="19.5" x14ac:dyDescent="0.15">
      <c r="A57" s="61" t="str">
        <f>Donnéesutilisateurs[[#This Row],[Prénom]]&amp;" "&amp;Donnéesutilisateurs[[#This Row],[Nom]]</f>
        <v>Mélissa Armand</v>
      </c>
      <c r="B57" s="61">
        <v>4</v>
      </c>
      <c r="C57" s="53" t="s">
        <v>204</v>
      </c>
      <c r="D57" s="54" t="s">
        <v>12</v>
      </c>
      <c r="E57" s="54" t="s">
        <v>13</v>
      </c>
      <c r="F57" s="54" t="s">
        <v>14</v>
      </c>
      <c r="G57" s="54" t="s">
        <v>15</v>
      </c>
      <c r="H57" s="54" t="s">
        <v>263</v>
      </c>
      <c r="I57" s="55"/>
      <c r="J57" s="55" t="s">
        <v>346</v>
      </c>
      <c r="K57" s="55"/>
      <c r="L57" s="55"/>
      <c r="M57" s="55"/>
      <c r="N57" s="55" t="s">
        <v>344</v>
      </c>
      <c r="O57" s="55"/>
      <c r="P57" s="55"/>
      <c r="Q57" s="55"/>
      <c r="R57" s="55" t="s">
        <v>329</v>
      </c>
      <c r="S57" s="52">
        <f ca="1">IFERROR(SUM(Donnéesutilisateurs[[#This Row],[Quest de base]]:OFFSET(S57,,COUNTA(Donnéesutilisateurs[[#This Row],[Quest de base]:[P cours 07]]))),"")</f>
        <v>8</v>
      </c>
      <c r="T57" s="54">
        <v>2</v>
      </c>
      <c r="U57" s="56" t="s">
        <v>263</v>
      </c>
      <c r="V57" s="57" t="s">
        <v>263</v>
      </c>
      <c r="W57" s="56">
        <v>1</v>
      </c>
      <c r="X57" s="57" t="s">
        <v>263</v>
      </c>
      <c r="Y57" s="56">
        <v>1</v>
      </c>
      <c r="Z57" s="57">
        <v>1</v>
      </c>
      <c r="AA57" s="56">
        <v>1</v>
      </c>
      <c r="AB57" s="57" t="s">
        <v>263</v>
      </c>
      <c r="AC57" s="56" t="s">
        <v>263</v>
      </c>
      <c r="AD57" s="57" t="s">
        <v>263</v>
      </c>
      <c r="AE57" s="56" t="s">
        <v>263</v>
      </c>
      <c r="AF57" s="57" t="s">
        <v>263</v>
      </c>
      <c r="AG57" s="56">
        <v>1</v>
      </c>
      <c r="AH57" s="57">
        <v>1</v>
      </c>
      <c r="AI57" s="58"/>
      <c r="AJ57" s="58"/>
      <c r="AK57" s="58"/>
      <c r="AL57" s="58"/>
      <c r="AM57" s="58"/>
      <c r="AN57" s="58"/>
      <c r="AO57" s="58"/>
      <c r="AP57" s="57" t="s">
        <v>263</v>
      </c>
    </row>
    <row r="58" spans="1:42" x14ac:dyDescent="0.15">
      <c r="A58" s="52" t="str">
        <f>Donnéesutilisateurs[[#This Row],[Prénom]]&amp;" "&amp;Donnéesutilisateurs[[#This Row],[Nom]]</f>
        <v>Miguel Gomes Perdigao</v>
      </c>
      <c r="B58" s="52">
        <v>5</v>
      </c>
      <c r="C58" s="53" t="s">
        <v>205</v>
      </c>
      <c r="D58" s="54" t="s">
        <v>73</v>
      </c>
      <c r="E58" s="54" t="s">
        <v>25</v>
      </c>
      <c r="F58" s="54" t="s">
        <v>36</v>
      </c>
      <c r="G58" s="54" t="s">
        <v>25</v>
      </c>
      <c r="H58" s="54" t="s">
        <v>263</v>
      </c>
      <c r="I58" s="55" t="s">
        <v>242</v>
      </c>
      <c r="J58" s="55" t="s">
        <v>363</v>
      </c>
      <c r="K58" s="55" t="s">
        <v>363</v>
      </c>
      <c r="L58" s="55" t="s">
        <v>363</v>
      </c>
      <c r="M58" s="55" t="s">
        <v>363</v>
      </c>
      <c r="N58" s="55" t="s">
        <v>363</v>
      </c>
      <c r="O58" s="55" t="s">
        <v>363</v>
      </c>
      <c r="P58" s="55" t="s">
        <v>363</v>
      </c>
      <c r="Q58" s="55" t="s">
        <v>363</v>
      </c>
      <c r="R58" s="55" t="s">
        <v>330</v>
      </c>
      <c r="S58" s="52">
        <f ca="1">IFERROR(SUM(Donnéesutilisateurs[[#This Row],[Quest de base]]:OFFSET(S58,,COUNTA(Donnéesutilisateurs[[#This Row],[Quest de base]:[P cours 07]]))),"")</f>
        <v>12</v>
      </c>
      <c r="T58" s="54">
        <v>2</v>
      </c>
      <c r="U58" s="56" t="s">
        <v>263</v>
      </c>
      <c r="V58" s="57" t="s">
        <v>263</v>
      </c>
      <c r="W58" s="56" t="s">
        <v>263</v>
      </c>
      <c r="X58" s="57" t="s">
        <v>263</v>
      </c>
      <c r="Y58" s="56">
        <v>1</v>
      </c>
      <c r="Z58" s="57">
        <v>1</v>
      </c>
      <c r="AA58" s="56">
        <v>1</v>
      </c>
      <c r="AB58" s="57">
        <v>1</v>
      </c>
      <c r="AC58" s="56">
        <v>1</v>
      </c>
      <c r="AD58" s="57">
        <v>1</v>
      </c>
      <c r="AE58" s="56">
        <v>1</v>
      </c>
      <c r="AF58" s="57">
        <v>1</v>
      </c>
      <c r="AG58" s="56">
        <v>1</v>
      </c>
      <c r="AH58" s="57">
        <v>1</v>
      </c>
      <c r="AI58" s="58"/>
      <c r="AJ58" s="58"/>
      <c r="AK58" s="58"/>
      <c r="AL58" s="58"/>
      <c r="AM58" s="58"/>
      <c r="AN58" s="58"/>
      <c r="AO58" s="58"/>
      <c r="AP58" s="57" t="s">
        <v>263</v>
      </c>
    </row>
    <row r="59" spans="1:42" x14ac:dyDescent="0.15">
      <c r="A59" s="61" t="str">
        <f>Donnéesutilisateurs[[#This Row],[Prénom]]&amp;" "&amp;Donnéesutilisateurs[[#This Row],[Nom]]</f>
        <v>Nathalie Aebischer</v>
      </c>
      <c r="B59" s="61">
        <v>3</v>
      </c>
      <c r="C59" s="53" t="s">
        <v>206</v>
      </c>
      <c r="D59" s="54" t="s">
        <v>8</v>
      </c>
      <c r="E59" s="54" t="s">
        <v>9</v>
      </c>
      <c r="F59" s="54" t="s">
        <v>10</v>
      </c>
      <c r="G59" s="54" t="s">
        <v>11</v>
      </c>
      <c r="H59" s="54">
        <v>2013</v>
      </c>
      <c r="I59" s="55"/>
      <c r="J59" s="55"/>
      <c r="K59" s="55"/>
      <c r="L59" s="55"/>
      <c r="M59" s="55" t="s">
        <v>344</v>
      </c>
      <c r="N59" s="55"/>
      <c r="O59" s="55"/>
      <c r="P59" s="55"/>
      <c r="Q59" s="55"/>
      <c r="R59" s="55" t="s">
        <v>331</v>
      </c>
      <c r="S59" s="52">
        <f ca="1">IFERROR(SUM(Donnéesutilisateurs[[#This Row],[Quest de base]]:OFFSET(S59,,COUNTA(Donnéesutilisateurs[[#This Row],[Quest de base]:[P cours 07]]))),"")</f>
        <v>6</v>
      </c>
      <c r="T59" s="54">
        <v>4</v>
      </c>
      <c r="U59" s="56" t="s">
        <v>263</v>
      </c>
      <c r="V59" s="57" t="s">
        <v>263</v>
      </c>
      <c r="W59" s="56" t="s">
        <v>263</v>
      </c>
      <c r="X59" s="57" t="s">
        <v>263</v>
      </c>
      <c r="Y59" s="56">
        <v>1</v>
      </c>
      <c r="Z59" s="57" t="s">
        <v>263</v>
      </c>
      <c r="AA59" s="56" t="s">
        <v>263</v>
      </c>
      <c r="AB59" s="57" t="s">
        <v>263</v>
      </c>
      <c r="AC59" s="56" t="s">
        <v>263</v>
      </c>
      <c r="AD59" s="57" t="s">
        <v>263</v>
      </c>
      <c r="AE59" s="56">
        <v>1</v>
      </c>
      <c r="AF59" s="57" t="s">
        <v>263</v>
      </c>
      <c r="AG59" s="56" t="s">
        <v>263</v>
      </c>
      <c r="AH59" s="57" t="s">
        <v>263</v>
      </c>
      <c r="AI59" s="58"/>
      <c r="AJ59" s="58"/>
      <c r="AK59" s="58"/>
      <c r="AL59" s="58"/>
      <c r="AM59" s="58"/>
      <c r="AN59" s="58"/>
      <c r="AO59" s="58"/>
      <c r="AP59" s="57"/>
    </row>
    <row r="60" spans="1:42" ht="45.5" x14ac:dyDescent="0.15">
      <c r="A60" s="52" t="str">
        <f>Donnéesutilisateurs[[#This Row],[Prénom]]&amp;" "&amp;Donnéesutilisateurs[[#This Row],[Nom]]</f>
        <v>Ondrej Bechyne</v>
      </c>
      <c r="B60" s="52">
        <v>5</v>
      </c>
      <c r="C60" s="53" t="s">
        <v>207</v>
      </c>
      <c r="D60" s="54" t="s">
        <v>23</v>
      </c>
      <c r="E60" s="54" t="s">
        <v>24</v>
      </c>
      <c r="F60" s="54" t="s">
        <v>14</v>
      </c>
      <c r="G60" s="54" t="s">
        <v>25</v>
      </c>
      <c r="H60" s="54">
        <v>2013</v>
      </c>
      <c r="I60" s="55"/>
      <c r="J60" s="55"/>
      <c r="K60" s="55" t="s">
        <v>356</v>
      </c>
      <c r="L60" s="55"/>
      <c r="M60" s="55"/>
      <c r="N60" s="55"/>
      <c r="O60" s="55" t="s">
        <v>366</v>
      </c>
      <c r="P60" s="55"/>
      <c r="Q60" s="55"/>
      <c r="R60" s="55" t="s">
        <v>332</v>
      </c>
      <c r="S60" s="52">
        <f ca="1">IFERROR(SUM(Donnéesutilisateurs[[#This Row],[Quest de base]]:OFFSET(S60,,COUNTA(Donnéesutilisateurs[[#This Row],[Quest de base]:[P cours 07]]))),"")</f>
        <v>11</v>
      </c>
      <c r="T60" s="54">
        <v>4</v>
      </c>
      <c r="U60" s="56">
        <v>1</v>
      </c>
      <c r="V60" s="57">
        <v>1</v>
      </c>
      <c r="W60" s="56">
        <v>1</v>
      </c>
      <c r="X60" s="57" t="s">
        <v>263</v>
      </c>
      <c r="Y60" s="56" t="s">
        <v>263</v>
      </c>
      <c r="Z60" s="57" t="s">
        <v>263</v>
      </c>
      <c r="AA60" s="56" t="s">
        <v>263</v>
      </c>
      <c r="AB60" s="57" t="s">
        <v>263</v>
      </c>
      <c r="AC60" s="56">
        <v>1</v>
      </c>
      <c r="AD60" s="57">
        <v>1</v>
      </c>
      <c r="AE60" s="56" t="s">
        <v>263</v>
      </c>
      <c r="AF60" s="57" t="s">
        <v>263</v>
      </c>
      <c r="AG60" s="56">
        <v>1</v>
      </c>
      <c r="AH60" s="57">
        <v>1</v>
      </c>
      <c r="AI60" s="58"/>
      <c r="AJ60" s="58"/>
      <c r="AK60" s="58"/>
      <c r="AL60" s="58"/>
      <c r="AM60" s="58"/>
      <c r="AN60" s="58"/>
      <c r="AO60" s="58"/>
      <c r="AP60" s="57" t="s">
        <v>269</v>
      </c>
    </row>
    <row r="61" spans="1:42" x14ac:dyDescent="0.15">
      <c r="A61" s="52" t="str">
        <f>Donnéesutilisateurs[[#This Row],[Prénom]]&amp;" "&amp;Donnéesutilisateurs[[#This Row],[Nom]]</f>
        <v>Patrick Pidoux</v>
      </c>
      <c r="B61" s="52">
        <v>3</v>
      </c>
      <c r="C61" s="53" t="s">
        <v>208</v>
      </c>
      <c r="D61" s="54" t="s">
        <v>107</v>
      </c>
      <c r="E61" s="54" t="s">
        <v>40</v>
      </c>
      <c r="F61" s="54" t="s">
        <v>36</v>
      </c>
      <c r="G61" s="54" t="s">
        <v>40</v>
      </c>
      <c r="H61" s="54"/>
      <c r="I61" s="55"/>
      <c r="J61" s="55" t="s">
        <v>363</v>
      </c>
      <c r="K61" s="55" t="s">
        <v>363</v>
      </c>
      <c r="L61" s="55" t="s">
        <v>363</v>
      </c>
      <c r="M61" s="55" t="s">
        <v>363</v>
      </c>
      <c r="N61" s="55" t="s">
        <v>363</v>
      </c>
      <c r="O61" s="55" t="s">
        <v>363</v>
      </c>
      <c r="P61" s="55" t="s">
        <v>363</v>
      </c>
      <c r="Q61" s="55" t="s">
        <v>363</v>
      </c>
      <c r="R61" s="55" t="s">
        <v>333</v>
      </c>
      <c r="S61" s="52">
        <f ca="1">IFERROR(SUM(Donnéesutilisateurs[[#This Row],[Quest de base]]:OFFSET(S61,,COUNTA(Donnéesutilisateurs[[#This Row],[Quest de base]:[P cours 07]]))),"")</f>
        <v>10</v>
      </c>
      <c r="T61" s="54">
        <v>2</v>
      </c>
      <c r="U61" s="56" t="s">
        <v>263</v>
      </c>
      <c r="V61" s="57" t="s">
        <v>263</v>
      </c>
      <c r="W61" s="56" t="s">
        <v>263</v>
      </c>
      <c r="X61" s="57" t="s">
        <v>263</v>
      </c>
      <c r="Y61" s="56" t="s">
        <v>263</v>
      </c>
      <c r="Z61" s="57" t="s">
        <v>263</v>
      </c>
      <c r="AA61" s="56">
        <v>1</v>
      </c>
      <c r="AB61" s="57">
        <v>1</v>
      </c>
      <c r="AC61" s="56">
        <v>1</v>
      </c>
      <c r="AD61" s="57">
        <v>1</v>
      </c>
      <c r="AE61" s="56">
        <v>1</v>
      </c>
      <c r="AF61" s="57">
        <v>1</v>
      </c>
      <c r="AG61" s="56">
        <v>1</v>
      </c>
      <c r="AH61" s="57">
        <v>1</v>
      </c>
      <c r="AI61" s="58"/>
      <c r="AJ61" s="58"/>
      <c r="AK61" s="58"/>
      <c r="AL61" s="58"/>
      <c r="AM61" s="58"/>
      <c r="AN61" s="58"/>
      <c r="AO61" s="58"/>
      <c r="AP61" s="57" t="s">
        <v>269</v>
      </c>
    </row>
    <row r="62" spans="1:42" x14ac:dyDescent="0.15">
      <c r="A62" s="52" t="str">
        <f>Donnéesutilisateurs[[#This Row],[Prénom]]&amp;" "&amp;Donnéesutilisateurs[[#This Row],[Nom]]</f>
        <v>Patrick Seletto</v>
      </c>
      <c r="B62" s="52">
        <v>3</v>
      </c>
      <c r="C62" s="53" t="s">
        <v>209</v>
      </c>
      <c r="D62" s="54" t="s">
        <v>117</v>
      </c>
      <c r="E62" s="54" t="s">
        <v>40</v>
      </c>
      <c r="F62" s="54" t="s">
        <v>14</v>
      </c>
      <c r="G62" s="54" t="s">
        <v>40</v>
      </c>
      <c r="H62" s="54"/>
      <c r="I62" s="55"/>
      <c r="J62" s="55"/>
      <c r="K62" s="55"/>
      <c r="L62" s="55"/>
      <c r="M62" s="55"/>
      <c r="N62" s="55"/>
      <c r="O62" s="55"/>
      <c r="P62" s="55" t="s">
        <v>344</v>
      </c>
      <c r="Q62" s="55"/>
      <c r="R62" s="55" t="s">
        <v>262</v>
      </c>
      <c r="S62" s="52">
        <f ca="1">IFERROR(SUM(Donnéesutilisateurs[[#This Row],[Quest de base]]:OFFSET(S62,,COUNTA(Donnéesutilisateurs[[#This Row],[Quest de base]:[P cours 07]]))),"")</f>
        <v>2</v>
      </c>
      <c r="T62" s="54">
        <v>2</v>
      </c>
      <c r="U62" s="56" t="s">
        <v>227</v>
      </c>
      <c r="V62" s="57" t="s">
        <v>227</v>
      </c>
      <c r="W62" s="56" t="s">
        <v>227</v>
      </c>
      <c r="X62" s="57" t="s">
        <v>227</v>
      </c>
      <c r="Y62" s="56" t="s">
        <v>227</v>
      </c>
      <c r="Z62" s="57" t="s">
        <v>227</v>
      </c>
      <c r="AA62" s="56" t="s">
        <v>263</v>
      </c>
      <c r="AB62" s="57" t="s">
        <v>263</v>
      </c>
      <c r="AC62" s="56" t="s">
        <v>263</v>
      </c>
      <c r="AD62" s="57" t="s">
        <v>263</v>
      </c>
      <c r="AE62" s="56" t="s">
        <v>263</v>
      </c>
      <c r="AF62" s="57" t="s">
        <v>263</v>
      </c>
      <c r="AG62" s="56" t="s">
        <v>263</v>
      </c>
      <c r="AH62" s="57" t="s">
        <v>263</v>
      </c>
      <c r="AI62" s="58"/>
      <c r="AJ62" s="58"/>
      <c r="AK62" s="58"/>
      <c r="AL62" s="58"/>
      <c r="AM62" s="58"/>
      <c r="AN62" s="58"/>
      <c r="AO62" s="58"/>
      <c r="AP62" s="57"/>
    </row>
    <row r="63" spans="1:42" ht="39" x14ac:dyDescent="0.15">
      <c r="A63" s="52" t="str">
        <f>Donnéesutilisateurs[[#This Row],[Prénom]]&amp;" "&amp;Donnéesutilisateurs[[#This Row],[Nom]]</f>
        <v>Pedro Vieira De Almeida</v>
      </c>
      <c r="B63" s="52">
        <v>4</v>
      </c>
      <c r="C63" s="53" t="s">
        <v>210</v>
      </c>
      <c r="D63" s="54" t="s">
        <v>137</v>
      </c>
      <c r="E63" s="54" t="s">
        <v>138</v>
      </c>
      <c r="F63" s="54" t="s">
        <v>14</v>
      </c>
      <c r="G63" s="54" t="s">
        <v>56</v>
      </c>
      <c r="H63" s="54">
        <v>2012</v>
      </c>
      <c r="I63" s="55"/>
      <c r="J63" s="55" t="s">
        <v>357</v>
      </c>
      <c r="K63" s="55"/>
      <c r="L63" s="55"/>
      <c r="M63" s="55"/>
      <c r="N63" s="55"/>
      <c r="O63" s="55"/>
      <c r="P63" s="55"/>
      <c r="Q63" s="55"/>
      <c r="R63" s="55" t="s">
        <v>334</v>
      </c>
      <c r="S63" s="52">
        <f ca="1">IFERROR(SUM(Donnéesutilisateurs[[#This Row],[Quest de base]]:OFFSET(S63,,COUNTA(Donnéesutilisateurs[[#This Row],[Quest de base]:[P cours 07]]))),"")</f>
        <v>15</v>
      </c>
      <c r="T63" s="54">
        <v>2</v>
      </c>
      <c r="U63" s="56">
        <v>1</v>
      </c>
      <c r="V63" s="57">
        <v>1</v>
      </c>
      <c r="W63" s="56">
        <v>1</v>
      </c>
      <c r="X63" s="57">
        <v>1</v>
      </c>
      <c r="Y63" s="56">
        <v>1</v>
      </c>
      <c r="Z63" s="57">
        <v>1</v>
      </c>
      <c r="AA63" s="56">
        <v>1</v>
      </c>
      <c r="AB63" s="57">
        <v>1</v>
      </c>
      <c r="AC63" s="56">
        <v>1</v>
      </c>
      <c r="AD63" s="57">
        <v>1</v>
      </c>
      <c r="AE63" s="56">
        <v>1</v>
      </c>
      <c r="AF63" s="57">
        <v>1</v>
      </c>
      <c r="AG63" s="56">
        <v>1</v>
      </c>
      <c r="AH63" s="57" t="s">
        <v>386</v>
      </c>
      <c r="AI63" s="58"/>
      <c r="AJ63" s="58"/>
      <c r="AK63" s="58"/>
      <c r="AL63" s="58"/>
      <c r="AM63" s="58"/>
      <c r="AN63" s="58"/>
      <c r="AO63" s="58"/>
      <c r="AP63" s="61" t="s">
        <v>269</v>
      </c>
    </row>
    <row r="64" spans="1:42" x14ac:dyDescent="0.15">
      <c r="A64" s="52" t="str">
        <f>Donnéesutilisateurs[[#This Row],[Prénom]]&amp;" "&amp;Donnéesutilisateurs[[#This Row],[Nom]]</f>
        <v>Philippe Torriani</v>
      </c>
      <c r="B64" s="52">
        <v>5</v>
      </c>
      <c r="C64" s="53" t="s">
        <v>211</v>
      </c>
      <c r="D64" s="54" t="s">
        <v>130</v>
      </c>
      <c r="E64" s="54" t="s">
        <v>131</v>
      </c>
      <c r="F64" s="54" t="s">
        <v>14</v>
      </c>
      <c r="G64" s="54" t="s">
        <v>22</v>
      </c>
      <c r="H64" s="54" t="s">
        <v>263</v>
      </c>
      <c r="I64" s="55"/>
      <c r="J64" s="55"/>
      <c r="K64" s="55" t="s">
        <v>343</v>
      </c>
      <c r="L64" s="55"/>
      <c r="M64" s="55"/>
      <c r="N64" s="55"/>
      <c r="O64" s="55"/>
      <c r="P64" s="55"/>
      <c r="Q64" s="55"/>
      <c r="R64" s="55" t="s">
        <v>132</v>
      </c>
      <c r="S64" s="52">
        <f ca="1">IFERROR(SUM(Donnéesutilisateurs[[#This Row],[Quest de base]]:OFFSET(S64,,COUNTA(Donnéesutilisateurs[[#This Row],[Quest de base]:[P cours 07]]))),"")</f>
        <v>3</v>
      </c>
      <c r="T64" s="54">
        <v>3</v>
      </c>
      <c r="U64" s="56" t="s">
        <v>263</v>
      </c>
      <c r="V64" s="57" t="s">
        <v>263</v>
      </c>
      <c r="W64" s="56" t="s">
        <v>263</v>
      </c>
      <c r="X64" s="57" t="s">
        <v>263</v>
      </c>
      <c r="Y64" s="56" t="s">
        <v>263</v>
      </c>
      <c r="Z64" s="57" t="s">
        <v>263</v>
      </c>
      <c r="AA64" s="56" t="s">
        <v>263</v>
      </c>
      <c r="AB64" s="57" t="s">
        <v>263</v>
      </c>
      <c r="AC64" s="56" t="s">
        <v>263</v>
      </c>
      <c r="AD64" s="57" t="s">
        <v>263</v>
      </c>
      <c r="AE64" s="56" t="s">
        <v>263</v>
      </c>
      <c r="AF64" s="57" t="s">
        <v>263</v>
      </c>
      <c r="AG64" s="56" t="s">
        <v>263</v>
      </c>
      <c r="AH64" s="57" t="s">
        <v>263</v>
      </c>
      <c r="AI64" s="58"/>
      <c r="AJ64" s="58"/>
      <c r="AK64" s="58"/>
      <c r="AL64" s="58"/>
      <c r="AM64" s="58"/>
      <c r="AN64" s="58"/>
      <c r="AO64" s="58"/>
      <c r="AP64" s="57" t="s">
        <v>263</v>
      </c>
    </row>
    <row r="65" spans="1:42" x14ac:dyDescent="0.15">
      <c r="A65" s="52" t="str">
        <f>Donnéesutilisateurs[[#This Row],[Prénom]]&amp;" "&amp;Donnéesutilisateurs[[#This Row],[Nom]]</f>
        <v>Ruben Martinez-Barranca</v>
      </c>
      <c r="B65" s="52"/>
      <c r="C65" s="53"/>
      <c r="D65" s="54" t="s">
        <v>289</v>
      </c>
      <c r="E65" s="54" t="s">
        <v>290</v>
      </c>
      <c r="F65" s="54" t="s">
        <v>223</v>
      </c>
      <c r="G65" s="54"/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2">
        <f ca="1">IFERROR(SUM(Donnéesutilisateurs[[#This Row],[Quest de base]]:OFFSET(S65,,COUNTA(Donnéesutilisateurs[[#This Row],[Quest de base]:[P cours 07]]))),"")</f>
        <v>0</v>
      </c>
      <c r="T65" s="52" t="s">
        <v>365</v>
      </c>
      <c r="U65" s="59" t="s">
        <v>365</v>
      </c>
      <c r="V65" s="60" t="s">
        <v>365</v>
      </c>
      <c r="W65" s="59" t="s">
        <v>365</v>
      </c>
      <c r="X65" s="60" t="s">
        <v>365</v>
      </c>
      <c r="Y65" s="59" t="s">
        <v>365</v>
      </c>
      <c r="Z65" s="60" t="s">
        <v>365</v>
      </c>
      <c r="AA65" s="59" t="s">
        <v>365</v>
      </c>
      <c r="AB65" s="60" t="s">
        <v>365</v>
      </c>
      <c r="AC65" s="59" t="s">
        <v>365</v>
      </c>
      <c r="AD65" s="60" t="s">
        <v>365</v>
      </c>
      <c r="AE65" s="56" t="s">
        <v>263</v>
      </c>
      <c r="AF65" s="57" t="s">
        <v>263</v>
      </c>
      <c r="AG65" s="56" t="s">
        <v>263</v>
      </c>
      <c r="AH65" s="57" t="s">
        <v>263</v>
      </c>
      <c r="AI65" s="61"/>
      <c r="AJ65" s="61"/>
      <c r="AK65" s="61"/>
      <c r="AL65" s="61"/>
      <c r="AM65" s="61"/>
      <c r="AN65" s="61"/>
      <c r="AO65" s="61"/>
      <c r="AP65" s="57" t="s">
        <v>263</v>
      </c>
    </row>
    <row r="66" spans="1:42" s="43" customFormat="1" ht="26" x14ac:dyDescent="0.15">
      <c r="A66" s="52" t="str">
        <f>Donnéesutilisateurs[[#This Row],[Prénom]]&amp;" "&amp;Donnéesutilisateurs[[#This Row],[Nom]]</f>
        <v>Sandrine Borloz</v>
      </c>
      <c r="B66" s="52">
        <v>5</v>
      </c>
      <c r="C66" s="53" t="s">
        <v>212</v>
      </c>
      <c r="D66" s="54" t="s">
        <v>32</v>
      </c>
      <c r="E66" s="54" t="s">
        <v>33</v>
      </c>
      <c r="F66" s="54" t="s">
        <v>14</v>
      </c>
      <c r="G66" s="54" t="s">
        <v>30</v>
      </c>
      <c r="H66" s="54">
        <v>2011</v>
      </c>
      <c r="I66" s="55"/>
      <c r="J66" s="55"/>
      <c r="K66" s="55"/>
      <c r="L66" s="55" t="s">
        <v>344</v>
      </c>
      <c r="M66" s="55"/>
      <c r="N66" s="55"/>
      <c r="O66" s="55" t="s">
        <v>379</v>
      </c>
      <c r="P66" s="55"/>
      <c r="Q66" s="55"/>
      <c r="R66" s="55" t="s">
        <v>335</v>
      </c>
      <c r="S66" s="52">
        <f ca="1">IFERROR(SUM(Donnéesutilisateurs[[#This Row],[Quest de base]]:OFFSET(S66,,COUNTA(Donnéesutilisateurs[[#This Row],[Quest de base]:[P cours 07]]))),"")</f>
        <v>8</v>
      </c>
      <c r="T66" s="54">
        <v>4</v>
      </c>
      <c r="U66" s="56">
        <v>1</v>
      </c>
      <c r="V66" s="57">
        <v>1</v>
      </c>
      <c r="W66" s="56">
        <v>1</v>
      </c>
      <c r="X66" s="57">
        <v>1</v>
      </c>
      <c r="Y66" s="56" t="s">
        <v>263</v>
      </c>
      <c r="Z66" s="57" t="s">
        <v>263</v>
      </c>
      <c r="AA66" s="56" t="s">
        <v>263</v>
      </c>
      <c r="AB66" s="57" t="s">
        <v>263</v>
      </c>
      <c r="AC66" s="56" t="s">
        <v>263</v>
      </c>
      <c r="AD66" s="57" t="s">
        <v>263</v>
      </c>
      <c r="AE66" s="56" t="s">
        <v>263</v>
      </c>
      <c r="AF66" s="57" t="s">
        <v>263</v>
      </c>
      <c r="AG66" s="56" t="s">
        <v>263</v>
      </c>
      <c r="AH66" s="57" t="s">
        <v>263</v>
      </c>
      <c r="AI66" s="58"/>
      <c r="AJ66" s="58"/>
      <c r="AK66" s="58"/>
      <c r="AL66" s="58"/>
      <c r="AM66" s="58"/>
      <c r="AN66" s="58"/>
      <c r="AO66" s="58"/>
      <c r="AP66" s="57" t="s">
        <v>269</v>
      </c>
    </row>
    <row r="67" spans="1:42" x14ac:dyDescent="0.15">
      <c r="A67" s="52" t="str">
        <f>Donnéesutilisateurs[[#This Row],[Prénom]]&amp;" "&amp;Donnéesutilisateurs[[#This Row],[Nom]]</f>
        <v>Sarah Hay</v>
      </c>
      <c r="B67" s="52">
        <v>5</v>
      </c>
      <c r="C67" s="53" t="s">
        <v>213</v>
      </c>
      <c r="D67" s="54" t="s">
        <v>78</v>
      </c>
      <c r="E67" s="54" t="s">
        <v>79</v>
      </c>
      <c r="F67" s="54" t="s">
        <v>26</v>
      </c>
      <c r="G67" s="54" t="s">
        <v>40</v>
      </c>
      <c r="H67" s="54">
        <v>2009</v>
      </c>
      <c r="I67" s="55"/>
      <c r="J67" s="55"/>
      <c r="K67" s="55"/>
      <c r="L67" s="55"/>
      <c r="M67" s="55"/>
      <c r="N67" s="55"/>
      <c r="O67" s="55" t="s">
        <v>343</v>
      </c>
      <c r="P67" s="55" t="s">
        <v>344</v>
      </c>
      <c r="Q67" s="55"/>
      <c r="R67" s="55" t="s">
        <v>80</v>
      </c>
      <c r="S67" s="52">
        <f ca="1">IFERROR(SUM(Donnéesutilisateurs[[#This Row],[Quest de base]]:OFFSET(S67,,COUNTA(Donnéesutilisateurs[[#This Row],[Quest de base]:[P cours 07]]))),"")</f>
        <v>2</v>
      </c>
      <c r="T67" s="54">
        <v>2</v>
      </c>
      <c r="U67" s="56" t="s">
        <v>263</v>
      </c>
      <c r="V67" s="57" t="s">
        <v>263</v>
      </c>
      <c r="W67" s="56" t="s">
        <v>263</v>
      </c>
      <c r="X67" s="57" t="s">
        <v>263</v>
      </c>
      <c r="Y67" s="56" t="s">
        <v>263</v>
      </c>
      <c r="Z67" s="57" t="s">
        <v>263</v>
      </c>
      <c r="AA67" s="56" t="s">
        <v>263</v>
      </c>
      <c r="AB67" s="57" t="s">
        <v>263</v>
      </c>
      <c r="AC67" s="56" t="s">
        <v>263</v>
      </c>
      <c r="AD67" s="57" t="s">
        <v>263</v>
      </c>
      <c r="AE67" s="56" t="s">
        <v>263</v>
      </c>
      <c r="AF67" s="57" t="s">
        <v>263</v>
      </c>
      <c r="AG67" s="56" t="s">
        <v>263</v>
      </c>
      <c r="AH67" s="57" t="s">
        <v>263</v>
      </c>
      <c r="AI67" s="61"/>
      <c r="AJ67" s="61"/>
      <c r="AK67" s="61"/>
      <c r="AL67" s="61"/>
      <c r="AM67" s="61"/>
      <c r="AN67" s="61"/>
      <c r="AO67" s="61"/>
      <c r="AP67" s="57"/>
    </row>
    <row r="68" spans="1:42" ht="32.5" x14ac:dyDescent="0.15">
      <c r="A68" s="52" t="str">
        <f>Donnéesutilisateurs[[#This Row],[Prénom]]&amp;" "&amp;Donnéesutilisateurs[[#This Row],[Nom]]</f>
        <v>Serge Stettler</v>
      </c>
      <c r="B68" s="52">
        <v>5</v>
      </c>
      <c r="C68" s="53" t="s">
        <v>214</v>
      </c>
      <c r="D68" s="54" t="s">
        <v>121</v>
      </c>
      <c r="E68" s="54" t="s">
        <v>122</v>
      </c>
      <c r="F68" s="54" t="s">
        <v>14</v>
      </c>
      <c r="G68" s="54" t="s">
        <v>56</v>
      </c>
      <c r="H68" s="54">
        <v>2013</v>
      </c>
      <c r="I68" s="55"/>
      <c r="J68" s="55" t="s">
        <v>343</v>
      </c>
      <c r="K68" s="55"/>
      <c r="L68" s="55"/>
      <c r="M68" s="55"/>
      <c r="N68" s="55"/>
      <c r="O68" s="55" t="s">
        <v>380</v>
      </c>
      <c r="P68" s="55"/>
      <c r="Q68" s="55"/>
      <c r="R68" s="55" t="s">
        <v>336</v>
      </c>
      <c r="S68" s="52">
        <f ca="1">IFERROR(SUM(Donnéesutilisateurs[[#This Row],[Quest de base]]:OFFSET(S68,,COUNTA(Donnéesutilisateurs[[#This Row],[Quest de base]:[P cours 07]]))),"")</f>
        <v>9</v>
      </c>
      <c r="T68" s="54">
        <v>4</v>
      </c>
      <c r="U68" s="56" t="s">
        <v>263</v>
      </c>
      <c r="V68" s="57" t="s">
        <v>263</v>
      </c>
      <c r="W68" s="56">
        <v>1</v>
      </c>
      <c r="X68" s="57" t="s">
        <v>246</v>
      </c>
      <c r="Y68" s="56">
        <v>1</v>
      </c>
      <c r="Z68" s="57">
        <v>1</v>
      </c>
      <c r="AA68" s="56" t="s">
        <v>263</v>
      </c>
      <c r="AB68" s="57" t="s">
        <v>263</v>
      </c>
      <c r="AC68" s="56">
        <v>1</v>
      </c>
      <c r="AD68" s="57">
        <v>1</v>
      </c>
      <c r="AE68" s="56" t="s">
        <v>263</v>
      </c>
      <c r="AF68" s="57" t="s">
        <v>263</v>
      </c>
      <c r="AG68" s="56" t="s">
        <v>263</v>
      </c>
      <c r="AH68" s="57" t="s">
        <v>263</v>
      </c>
      <c r="AI68" s="58"/>
      <c r="AJ68" s="58"/>
      <c r="AK68" s="58"/>
      <c r="AL68" s="58"/>
      <c r="AM68" s="58"/>
      <c r="AN68" s="58"/>
      <c r="AO68" s="58"/>
      <c r="AP68" s="57" t="s">
        <v>269</v>
      </c>
    </row>
    <row r="69" spans="1:42" x14ac:dyDescent="0.15">
      <c r="A69" s="52" t="str">
        <f>Donnéesutilisateurs[[#This Row],[Prénom]]&amp;" "&amp;Donnéesutilisateurs[[#This Row],[Nom]]</f>
        <v>Silvia Mury</v>
      </c>
      <c r="B69" s="52">
        <v>4</v>
      </c>
      <c r="C69" s="53" t="s">
        <v>215</v>
      </c>
      <c r="D69" s="54" t="s">
        <v>98</v>
      </c>
      <c r="E69" s="54" t="s">
        <v>99</v>
      </c>
      <c r="F69" s="54" t="s">
        <v>36</v>
      </c>
      <c r="G69" s="54" t="s">
        <v>30</v>
      </c>
      <c r="H69" s="54"/>
      <c r="I69" s="55"/>
      <c r="J69" s="55"/>
      <c r="K69" s="55"/>
      <c r="L69" s="55" t="s">
        <v>344</v>
      </c>
      <c r="M69" s="55"/>
      <c r="N69" s="55"/>
      <c r="O69" s="55"/>
      <c r="P69" s="55"/>
      <c r="Q69" s="55"/>
      <c r="R69" s="55" t="s">
        <v>337</v>
      </c>
      <c r="S69" s="52">
        <f ca="1">IFERROR(SUM(Donnéesutilisateurs[[#This Row],[Quest de base]]:OFFSET(S69,,COUNTA(Donnéesutilisateurs[[#This Row],[Quest de base]:[P cours 07]]))),"")</f>
        <v>11</v>
      </c>
      <c r="T69" s="54">
        <v>3</v>
      </c>
      <c r="U69" s="56">
        <v>1</v>
      </c>
      <c r="V69" s="57">
        <v>1</v>
      </c>
      <c r="W69" s="56" t="s">
        <v>263</v>
      </c>
      <c r="X69" s="57" t="s">
        <v>263</v>
      </c>
      <c r="Y69" s="56" t="s">
        <v>263</v>
      </c>
      <c r="Z69" s="57" t="s">
        <v>263</v>
      </c>
      <c r="AA69" s="56" t="s">
        <v>263</v>
      </c>
      <c r="AB69" s="57" t="s">
        <v>263</v>
      </c>
      <c r="AC69" s="56">
        <v>1</v>
      </c>
      <c r="AD69" s="57">
        <v>1</v>
      </c>
      <c r="AE69" s="61">
        <v>1</v>
      </c>
      <c r="AF69" s="57">
        <v>1</v>
      </c>
      <c r="AG69" s="56">
        <v>1</v>
      </c>
      <c r="AH69" s="57">
        <v>1</v>
      </c>
      <c r="AI69" s="58"/>
      <c r="AJ69" s="58"/>
      <c r="AK69" s="58"/>
      <c r="AL69" s="58"/>
      <c r="AM69" s="58"/>
      <c r="AN69" s="58"/>
      <c r="AO69" s="58"/>
      <c r="AP69" s="57" t="s">
        <v>269</v>
      </c>
    </row>
    <row r="70" spans="1:42" ht="13" x14ac:dyDescent="0.15">
      <c r="A70" s="52" t="str">
        <f>Donnéesutilisateurs[[#This Row],[Prénom]]&amp;" "&amp;Donnéesutilisateurs[[#This Row],[Nom]]</f>
        <v>Songhua Frey</v>
      </c>
      <c r="B70" s="52">
        <v>4</v>
      </c>
      <c r="C70" s="53" t="s">
        <v>216</v>
      </c>
      <c r="D70" s="54" t="s">
        <v>70</v>
      </c>
      <c r="E70" s="54" t="s">
        <v>71</v>
      </c>
      <c r="F70" s="54" t="s">
        <v>14</v>
      </c>
      <c r="G70" s="54" t="s">
        <v>22</v>
      </c>
      <c r="H70" s="54" t="s">
        <v>263</v>
      </c>
      <c r="I70" s="55" t="s">
        <v>243</v>
      </c>
      <c r="J70" s="55"/>
      <c r="K70" s="55" t="s">
        <v>343</v>
      </c>
      <c r="L70" s="55"/>
      <c r="M70" s="55"/>
      <c r="N70" s="55"/>
      <c r="O70" s="55"/>
      <c r="P70" s="55"/>
      <c r="Q70" s="55"/>
      <c r="R70" s="55" t="s">
        <v>338</v>
      </c>
      <c r="S70" s="52">
        <f ca="1">IFERROR(SUM(Donnéesutilisateurs[[#This Row],[Quest de base]]:OFFSET(S70,,COUNTA(Donnéesutilisateurs[[#This Row],[Quest de base]:[P cours 07]]))),"")</f>
        <v>17</v>
      </c>
      <c r="T70" s="54">
        <v>3</v>
      </c>
      <c r="U70" s="56">
        <v>1</v>
      </c>
      <c r="V70" s="57">
        <v>1</v>
      </c>
      <c r="W70" s="56">
        <v>1</v>
      </c>
      <c r="X70" s="57">
        <v>1</v>
      </c>
      <c r="Y70" s="56">
        <v>1</v>
      </c>
      <c r="Z70" s="57">
        <v>1</v>
      </c>
      <c r="AA70" s="56">
        <v>1</v>
      </c>
      <c r="AB70" s="57">
        <v>1</v>
      </c>
      <c r="AC70" s="56">
        <v>1</v>
      </c>
      <c r="AD70" s="57">
        <v>1</v>
      </c>
      <c r="AE70" s="56">
        <v>1</v>
      </c>
      <c r="AF70" s="57">
        <v>1</v>
      </c>
      <c r="AG70" s="56">
        <v>1</v>
      </c>
      <c r="AH70" s="57">
        <v>1</v>
      </c>
      <c r="AI70" s="58"/>
      <c r="AJ70" s="58"/>
      <c r="AK70" s="58"/>
      <c r="AL70" s="58"/>
      <c r="AM70" s="58"/>
      <c r="AN70" s="58"/>
      <c r="AO70" s="58"/>
      <c r="AP70" s="57" t="s">
        <v>263</v>
      </c>
    </row>
    <row r="71" spans="1:42" x14ac:dyDescent="0.15">
      <c r="A71" s="52" t="str">
        <f>Donnéesutilisateurs[[#This Row],[Prénom]]&amp;" "&amp;Donnéesutilisateurs[[#This Row],[Nom]]</f>
        <v>Sonia Vetsch</v>
      </c>
      <c r="B71" s="52">
        <v>3</v>
      </c>
      <c r="C71" s="53" t="s">
        <v>21</v>
      </c>
      <c r="D71" s="54" t="s">
        <v>135</v>
      </c>
      <c r="E71" s="54" t="s">
        <v>157</v>
      </c>
      <c r="F71" s="54" t="s">
        <v>21</v>
      </c>
      <c r="G71" s="54" t="s">
        <v>40</v>
      </c>
      <c r="H71" s="54"/>
      <c r="I71" s="55"/>
      <c r="J71" s="55"/>
      <c r="K71" s="55"/>
      <c r="L71" s="55"/>
      <c r="M71" s="55"/>
      <c r="N71" s="55"/>
      <c r="O71" s="55"/>
      <c r="P71" s="55" t="s">
        <v>344</v>
      </c>
      <c r="Q71" s="55"/>
      <c r="R71" s="69" t="s">
        <v>136</v>
      </c>
      <c r="S71" s="52">
        <f ca="1">IFERROR(SUM(Donnéesutilisateurs[[#This Row],[Quest de base]]:OFFSET(S71,,COUNTA(Donnéesutilisateurs[[#This Row],[Quest de base]:[P cours 07]]))),"")</f>
        <v>1</v>
      </c>
      <c r="T71" s="54">
        <v>1</v>
      </c>
      <c r="U71" s="56" t="s">
        <v>263</v>
      </c>
      <c r="V71" s="57" t="s">
        <v>263</v>
      </c>
      <c r="W71" s="56" t="s">
        <v>263</v>
      </c>
      <c r="X71" s="57" t="s">
        <v>263</v>
      </c>
      <c r="Y71" s="56" t="s">
        <v>263</v>
      </c>
      <c r="Z71" s="57" t="s">
        <v>263</v>
      </c>
      <c r="AA71" s="56" t="s">
        <v>263</v>
      </c>
      <c r="AB71" s="57" t="s">
        <v>263</v>
      </c>
      <c r="AC71" s="56" t="s">
        <v>263</v>
      </c>
      <c r="AD71" s="57" t="s">
        <v>263</v>
      </c>
      <c r="AE71" s="56" t="s">
        <v>263</v>
      </c>
      <c r="AF71" s="57" t="s">
        <v>263</v>
      </c>
      <c r="AG71" s="56" t="s">
        <v>263</v>
      </c>
      <c r="AH71" s="57" t="s">
        <v>263</v>
      </c>
      <c r="AI71" s="58"/>
      <c r="AJ71" s="58"/>
      <c r="AK71" s="58"/>
      <c r="AL71" s="58"/>
      <c r="AM71" s="58"/>
      <c r="AN71" s="58"/>
      <c r="AO71" s="58"/>
      <c r="AP71" s="57"/>
    </row>
    <row r="72" spans="1:42" ht="39" x14ac:dyDescent="0.15">
      <c r="A72" s="52" t="str">
        <f>Donnéesutilisateurs[[#This Row],[Prénom]]&amp;" "&amp;Donnéesutilisateurs[[#This Row],[Nom]]</f>
        <v>Sophie Superchi</v>
      </c>
      <c r="B72" s="52">
        <v>5</v>
      </c>
      <c r="C72" s="53" t="s">
        <v>218</v>
      </c>
      <c r="D72" s="54" t="s">
        <v>126</v>
      </c>
      <c r="E72" s="54" t="s">
        <v>127</v>
      </c>
      <c r="F72" s="54" t="s">
        <v>36</v>
      </c>
      <c r="G72" s="54" t="s">
        <v>25</v>
      </c>
      <c r="H72" s="54">
        <v>2014</v>
      </c>
      <c r="I72" s="55"/>
      <c r="J72" s="55"/>
      <c r="K72" s="55"/>
      <c r="L72" s="55"/>
      <c r="M72" s="55"/>
      <c r="N72" s="55"/>
      <c r="O72" s="55" t="s">
        <v>381</v>
      </c>
      <c r="P72" s="55"/>
      <c r="Q72" s="55"/>
      <c r="R72" s="55" t="s">
        <v>339</v>
      </c>
      <c r="S72" s="52">
        <f ca="1">IFERROR(SUM(Donnéesutilisateurs[[#This Row],[Quest de base]]:OFFSET(S72,,COUNTA(Donnéesutilisateurs[[#This Row],[Quest de base]:[P cours 07]]))),"")</f>
        <v>8</v>
      </c>
      <c r="T72" s="54">
        <v>3</v>
      </c>
      <c r="U72" s="56" t="s">
        <v>263</v>
      </c>
      <c r="V72" s="57" t="s">
        <v>263</v>
      </c>
      <c r="W72" s="56">
        <v>1</v>
      </c>
      <c r="X72" s="57" t="s">
        <v>263</v>
      </c>
      <c r="Y72" s="56">
        <v>1</v>
      </c>
      <c r="Z72" s="57">
        <v>1</v>
      </c>
      <c r="AA72" s="56">
        <v>1</v>
      </c>
      <c r="AB72" s="57">
        <v>1</v>
      </c>
      <c r="AC72" s="56" t="s">
        <v>263</v>
      </c>
      <c r="AD72" s="57" t="s">
        <v>263</v>
      </c>
      <c r="AE72" s="56" t="s">
        <v>263</v>
      </c>
      <c r="AF72" s="57" t="s">
        <v>263</v>
      </c>
      <c r="AG72" s="56" t="s">
        <v>263</v>
      </c>
      <c r="AH72" s="57" t="s">
        <v>263</v>
      </c>
      <c r="AI72" s="58"/>
      <c r="AJ72" s="58"/>
      <c r="AK72" s="58"/>
      <c r="AL72" s="58"/>
      <c r="AM72" s="58"/>
      <c r="AN72" s="58"/>
      <c r="AO72" s="58"/>
      <c r="AP72" s="57" t="s">
        <v>269</v>
      </c>
    </row>
    <row r="73" spans="1:42" x14ac:dyDescent="0.15">
      <c r="A73" s="52" t="str">
        <f>Donnéesutilisateurs[[#This Row],[Prénom]]&amp;" "&amp;Donnéesutilisateurs[[#This Row],[Nom]]</f>
        <v>Sophie Von Büren</v>
      </c>
      <c r="B73" s="52">
        <v>5</v>
      </c>
      <c r="C73" s="53" t="s">
        <v>219</v>
      </c>
      <c r="D73" s="54" t="s">
        <v>139</v>
      </c>
      <c r="E73" s="54" t="s">
        <v>127</v>
      </c>
      <c r="F73" s="54" t="s">
        <v>14</v>
      </c>
      <c r="G73" s="54" t="s">
        <v>15</v>
      </c>
      <c r="H73" s="54"/>
      <c r="I73" s="55"/>
      <c r="J73" s="55"/>
      <c r="K73" s="55"/>
      <c r="L73" s="55"/>
      <c r="M73" s="55"/>
      <c r="N73" s="55" t="s">
        <v>344</v>
      </c>
      <c r="O73" s="55"/>
      <c r="P73" s="55"/>
      <c r="Q73" s="55"/>
      <c r="R73" s="55" t="s">
        <v>147</v>
      </c>
      <c r="S73" s="52">
        <f ca="1">IFERROR(SUM(Donnéesutilisateurs[[#This Row],[Quest de base]]:OFFSET(S73,,COUNTA(Donnéesutilisateurs[[#This Row],[Quest de base]:[P cours 07]]))),"")</f>
        <v>4</v>
      </c>
      <c r="T73" s="54">
        <v>4</v>
      </c>
      <c r="U73" s="56" t="s">
        <v>263</v>
      </c>
      <c r="V73" s="57" t="s">
        <v>263</v>
      </c>
      <c r="W73" s="56" t="s">
        <v>263</v>
      </c>
      <c r="X73" s="57" t="s">
        <v>263</v>
      </c>
      <c r="Y73" s="56" t="s">
        <v>263</v>
      </c>
      <c r="Z73" s="57" t="s">
        <v>263</v>
      </c>
      <c r="AA73" s="56" t="s">
        <v>263</v>
      </c>
      <c r="AB73" s="57" t="s">
        <v>263</v>
      </c>
      <c r="AC73" s="56" t="s">
        <v>263</v>
      </c>
      <c r="AD73" s="57" t="s">
        <v>263</v>
      </c>
      <c r="AE73" s="56" t="s">
        <v>263</v>
      </c>
      <c r="AF73" s="57" t="s">
        <v>263</v>
      </c>
      <c r="AG73" s="56" t="s">
        <v>263</v>
      </c>
      <c r="AH73" s="57" t="s">
        <v>263</v>
      </c>
      <c r="AI73" s="58"/>
      <c r="AJ73" s="58"/>
      <c r="AK73" s="58"/>
      <c r="AL73" s="58"/>
      <c r="AM73" s="58"/>
      <c r="AN73" s="58"/>
      <c r="AO73" s="58"/>
      <c r="AP73" s="57" t="s">
        <v>269</v>
      </c>
    </row>
    <row r="74" spans="1:42" s="43" customFormat="1" ht="65" x14ac:dyDescent="0.15">
      <c r="A74" s="52" t="str">
        <f>Donnéesutilisateurs[[#This Row],[Prénom]]&amp;" "&amp;Donnéesutilisateurs[[#This Row],[Nom]]</f>
        <v>Teresa Martinez</v>
      </c>
      <c r="B74" s="52">
        <v>5</v>
      </c>
      <c r="C74" s="53" t="s">
        <v>220</v>
      </c>
      <c r="D74" s="54" t="s">
        <v>95</v>
      </c>
      <c r="E74" s="54" t="s">
        <v>96</v>
      </c>
      <c r="F74" s="54" t="s">
        <v>14</v>
      </c>
      <c r="G74" s="54" t="s">
        <v>22</v>
      </c>
      <c r="H74" s="54"/>
      <c r="I74" s="55"/>
      <c r="J74" s="55"/>
      <c r="K74" s="55" t="s">
        <v>343</v>
      </c>
      <c r="L74" s="55"/>
      <c r="M74" s="55"/>
      <c r="N74" s="55"/>
      <c r="O74" s="55" t="s">
        <v>382</v>
      </c>
      <c r="P74" s="55"/>
      <c r="Q74" s="55"/>
      <c r="R74" s="55" t="s">
        <v>97</v>
      </c>
      <c r="S74" s="52">
        <f ca="1">IFERROR(SUM(Donnéesutilisateurs[[#This Row],[Quest de base]]:OFFSET(S74,,COUNTA(Donnéesutilisateurs[[#This Row],[Quest de base]:[P cours 07]]))),"")</f>
        <v>2</v>
      </c>
      <c r="T74" s="54">
        <v>1</v>
      </c>
      <c r="U74" s="56" t="s">
        <v>263</v>
      </c>
      <c r="V74" s="57" t="s">
        <v>263</v>
      </c>
      <c r="W74" s="56" t="s">
        <v>263</v>
      </c>
      <c r="X74" s="57" t="s">
        <v>263</v>
      </c>
      <c r="Y74" s="56" t="s">
        <v>263</v>
      </c>
      <c r="Z74" s="57" t="s">
        <v>263</v>
      </c>
      <c r="AA74" s="56" t="s">
        <v>263</v>
      </c>
      <c r="AB74" s="57" t="s">
        <v>263</v>
      </c>
      <c r="AC74" s="56" t="s">
        <v>263</v>
      </c>
      <c r="AD74" s="57" t="s">
        <v>263</v>
      </c>
      <c r="AE74" s="56">
        <v>1</v>
      </c>
      <c r="AF74" s="57" t="s">
        <v>263</v>
      </c>
      <c r="AG74" s="56" t="s">
        <v>263</v>
      </c>
      <c r="AH74" s="57" t="s">
        <v>263</v>
      </c>
      <c r="AI74" s="58"/>
      <c r="AJ74" s="58"/>
      <c r="AK74" s="58"/>
      <c r="AL74" s="58"/>
      <c r="AM74" s="58"/>
      <c r="AN74" s="58"/>
      <c r="AO74" s="58"/>
      <c r="AP74" s="57" t="s">
        <v>269</v>
      </c>
    </row>
    <row r="75" spans="1:42" s="43" customFormat="1" ht="19.5" x14ac:dyDescent="0.15">
      <c r="A75" s="52" t="str">
        <f>Donnéesutilisateurs[[#This Row],[Prénom]]&amp;" "&amp;Donnéesutilisateurs[[#This Row],[Nom]]</f>
        <v>Teresa Parrella</v>
      </c>
      <c r="B75" s="52">
        <v>4</v>
      </c>
      <c r="C75" s="53" t="s">
        <v>221</v>
      </c>
      <c r="D75" s="54" t="s">
        <v>102</v>
      </c>
      <c r="E75" s="54" t="s">
        <v>96</v>
      </c>
      <c r="F75" s="54" t="s">
        <v>36</v>
      </c>
      <c r="G75" s="54" t="s">
        <v>30</v>
      </c>
      <c r="H75" s="54">
        <v>2009</v>
      </c>
      <c r="I75" s="55" t="s">
        <v>294</v>
      </c>
      <c r="J75" s="55"/>
      <c r="K75" s="55"/>
      <c r="L75" s="55" t="s">
        <v>361</v>
      </c>
      <c r="M75" s="55"/>
      <c r="N75" s="55"/>
      <c r="O75" s="55"/>
      <c r="P75" s="55"/>
      <c r="Q75" s="55"/>
      <c r="R75" s="55" t="s">
        <v>340</v>
      </c>
      <c r="S75" s="52">
        <f ca="1">IFERROR(SUM(Donnéesutilisateurs[[#This Row],[Quest de base]]:OFFSET(S75,,COUNTA(Donnéesutilisateurs[[#This Row],[Quest de base]:[P cours 07]]))),"")</f>
        <v>8</v>
      </c>
      <c r="T75" s="54">
        <v>3</v>
      </c>
      <c r="U75" s="56">
        <v>1</v>
      </c>
      <c r="V75" s="57">
        <v>1</v>
      </c>
      <c r="W75" s="56" t="s">
        <v>263</v>
      </c>
      <c r="X75" s="57" t="s">
        <v>263</v>
      </c>
      <c r="Y75" s="56" t="s">
        <v>263</v>
      </c>
      <c r="Z75" s="57" t="s">
        <v>263</v>
      </c>
      <c r="AA75" s="56" t="s">
        <v>263</v>
      </c>
      <c r="AB75" s="57" t="s">
        <v>263</v>
      </c>
      <c r="AC75" s="56" t="s">
        <v>263</v>
      </c>
      <c r="AD75" s="57" t="s">
        <v>263</v>
      </c>
      <c r="AE75" s="56">
        <v>1</v>
      </c>
      <c r="AF75" s="57">
        <v>1</v>
      </c>
      <c r="AG75" s="56" t="s">
        <v>263</v>
      </c>
      <c r="AH75" s="57">
        <v>1</v>
      </c>
      <c r="AI75" s="58"/>
      <c r="AJ75" s="58"/>
      <c r="AK75" s="58"/>
      <c r="AL75" s="58"/>
      <c r="AM75" s="58"/>
      <c r="AN75" s="58"/>
      <c r="AO75" s="58"/>
      <c r="AP75" s="57" t="s">
        <v>269</v>
      </c>
    </row>
    <row r="76" spans="1:42" s="43" customFormat="1" x14ac:dyDescent="0.15">
      <c r="A76" s="52" t="str">
        <f>Donnéesutilisateurs[[#This Row],[Prénom]]&amp;" "&amp;Donnéesutilisateurs[[#This Row],[Nom]]</f>
        <v>Thomas Revel</v>
      </c>
      <c r="B76" s="52">
        <v>5</v>
      </c>
      <c r="C76" s="53" t="s">
        <v>223</v>
      </c>
      <c r="D76" s="54" t="s">
        <v>272</v>
      </c>
      <c r="E76" s="54" t="s">
        <v>90</v>
      </c>
      <c r="F76" s="54" t="s">
        <v>223</v>
      </c>
      <c r="G76" s="54" t="s">
        <v>25</v>
      </c>
      <c r="H76" s="54" t="s">
        <v>263</v>
      </c>
      <c r="I76" s="55"/>
      <c r="J76" s="55"/>
      <c r="K76" s="55"/>
      <c r="L76" s="55"/>
      <c r="M76" s="55"/>
      <c r="N76" s="55"/>
      <c r="O76" s="55" t="s">
        <v>344</v>
      </c>
      <c r="P76" s="55"/>
      <c r="Q76" s="55"/>
      <c r="R76" s="55"/>
      <c r="S76" s="52">
        <f ca="1">IFERROR(SUM(Donnéesutilisateurs[[#This Row],[Quest de base]]:OFFSET(S76,,COUNTA(Donnéesutilisateurs[[#This Row],[Quest de base]:[P cours 07]]))),"")</f>
        <v>0</v>
      </c>
      <c r="T76" s="54" t="s">
        <v>365</v>
      </c>
      <c r="U76" s="56" t="s">
        <v>365</v>
      </c>
      <c r="V76" s="57" t="s">
        <v>365</v>
      </c>
      <c r="W76" s="56" t="s">
        <v>365</v>
      </c>
      <c r="X76" s="57" t="s">
        <v>365</v>
      </c>
      <c r="Y76" s="56" t="s">
        <v>365</v>
      </c>
      <c r="Z76" s="57" t="s">
        <v>365</v>
      </c>
      <c r="AA76" s="56" t="s">
        <v>365</v>
      </c>
      <c r="AB76" s="57" t="s">
        <v>365</v>
      </c>
      <c r="AC76" s="56" t="s">
        <v>365</v>
      </c>
      <c r="AD76" s="57" t="s">
        <v>365</v>
      </c>
      <c r="AE76" s="56" t="s">
        <v>263</v>
      </c>
      <c r="AF76" s="57" t="s">
        <v>263</v>
      </c>
      <c r="AG76" s="56" t="s">
        <v>263</v>
      </c>
      <c r="AH76" s="57" t="s">
        <v>263</v>
      </c>
      <c r="AI76" s="61"/>
      <c r="AJ76" s="61"/>
      <c r="AK76" s="61"/>
      <c r="AL76" s="61"/>
      <c r="AM76" s="61"/>
      <c r="AN76" s="61"/>
      <c r="AO76" s="61"/>
      <c r="AP76" s="57" t="s">
        <v>263</v>
      </c>
    </row>
    <row r="77" spans="1:42" s="43" customFormat="1" ht="13" x14ac:dyDescent="0.15">
      <c r="A77" s="52" t="str">
        <f>Donnéesutilisateurs[[#This Row],[Prénom]]&amp;" "&amp;Donnéesutilisateurs[[#This Row],[Nom]]</f>
        <v>Victoria Stoddart Berthod</v>
      </c>
      <c r="B77" s="52">
        <v>5</v>
      </c>
      <c r="C77" s="53" t="s">
        <v>222</v>
      </c>
      <c r="D77" s="54" t="s">
        <v>123</v>
      </c>
      <c r="E77" s="54" t="s">
        <v>124</v>
      </c>
      <c r="F77" s="54" t="s">
        <v>26</v>
      </c>
      <c r="G77" s="54" t="s">
        <v>25</v>
      </c>
      <c r="H77" s="54"/>
      <c r="I77" s="55"/>
      <c r="J77" s="55"/>
      <c r="K77" s="55"/>
      <c r="L77" s="55"/>
      <c r="M77" s="55"/>
      <c r="N77" s="55"/>
      <c r="O77" s="55" t="s">
        <v>383</v>
      </c>
      <c r="P77" s="55"/>
      <c r="Q77" s="55"/>
      <c r="R77" s="55" t="s">
        <v>125</v>
      </c>
      <c r="S77" s="52">
        <f ca="1">IFERROR(SUM(Donnéesutilisateurs[[#This Row],[Quest de base]]:OFFSET(S77,,COUNTA(Donnéesutilisateurs[[#This Row],[Quest de base]:[P cours 07]]))),"")</f>
        <v>2</v>
      </c>
      <c r="T77" s="52">
        <v>2</v>
      </c>
      <c r="U77" s="59" t="s">
        <v>263</v>
      </c>
      <c r="V77" s="60" t="s">
        <v>263</v>
      </c>
      <c r="W77" s="59" t="s">
        <v>263</v>
      </c>
      <c r="X77" s="60" t="s">
        <v>263</v>
      </c>
      <c r="Y77" s="59" t="s">
        <v>263</v>
      </c>
      <c r="Z77" s="60" t="s">
        <v>263</v>
      </c>
      <c r="AA77" s="59" t="s">
        <v>263</v>
      </c>
      <c r="AB77" s="60" t="s">
        <v>263</v>
      </c>
      <c r="AC77" s="59" t="s">
        <v>263</v>
      </c>
      <c r="AD77" s="60" t="s">
        <v>263</v>
      </c>
      <c r="AE77" s="56" t="s">
        <v>263</v>
      </c>
      <c r="AF77" s="57" t="s">
        <v>263</v>
      </c>
      <c r="AG77" s="56" t="s">
        <v>263</v>
      </c>
      <c r="AH77" s="57" t="s">
        <v>263</v>
      </c>
      <c r="AI77" s="61"/>
      <c r="AJ77" s="61"/>
      <c r="AK77" s="61"/>
      <c r="AL77" s="61"/>
      <c r="AM77" s="61"/>
      <c r="AN77" s="61"/>
      <c r="AO77" s="61"/>
      <c r="AP77" s="57" t="s">
        <v>269</v>
      </c>
    </row>
    <row r="78" spans="1:42" x14ac:dyDescent="0.15">
      <c r="A78" s="70" t="s">
        <v>159</v>
      </c>
      <c r="B78" s="70"/>
      <c r="C78" s="71"/>
      <c r="D78" s="72">
        <f>SUBTOTAL(103,Donnéesutilisateurs[Nom])</f>
        <v>73</v>
      </c>
      <c r="E78" s="73"/>
      <c r="F78" s="73"/>
      <c r="G78" s="73"/>
      <c r="H78" s="72">
        <f>SUBTOTAL(103,Donnéesutilisateurs[Formation ArchiCad])</f>
        <v>46</v>
      </c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2"/>
      <c r="T78" s="72"/>
      <c r="U78" s="75">
        <f>SUM(Donnéesutilisateurs[I cours 01])</f>
        <v>25</v>
      </c>
      <c r="V78" s="76">
        <f>SUM(Donnéesutilisateurs[P cours 01])</f>
        <v>24</v>
      </c>
      <c r="W78" s="75">
        <f>SUM(Donnéesutilisateurs[I cours 02])</f>
        <v>27</v>
      </c>
      <c r="X78" s="76">
        <f>SUM(Donnéesutilisateurs[P cours 02])</f>
        <v>17</v>
      </c>
      <c r="Y78" s="75">
        <f>SUM(Donnéesutilisateurs[I cours 03])</f>
        <v>24</v>
      </c>
      <c r="Z78" s="76">
        <f>SUM(Donnéesutilisateurs[P cours 03])</f>
        <v>19</v>
      </c>
      <c r="AA78" s="75">
        <f>SUM(Donnéesutilisateurs[I cours 04])</f>
        <v>21</v>
      </c>
      <c r="AB78" s="76">
        <f>SUM(Donnéesutilisateurs[P cours 04])</f>
        <v>21</v>
      </c>
      <c r="AC78" s="75">
        <f>SUM(Donnéesutilisateurs[I cours 05])</f>
        <v>27</v>
      </c>
      <c r="AD78" s="76">
        <f>SUM(Donnéesutilisateurs[P cours 05])</f>
        <v>27</v>
      </c>
      <c r="AE78" s="75">
        <f>SUM(Donnéesutilisateurs[I cours 06])</f>
        <v>30</v>
      </c>
      <c r="AF78" s="76">
        <f>SUM(Donnéesutilisateurs[P cours 06])</f>
        <v>21</v>
      </c>
      <c r="AG78" s="75">
        <f>SUM(Donnéesutilisateurs[I cours 07])</f>
        <v>26</v>
      </c>
      <c r="AH78" s="76">
        <f>SUM(Donnéesutilisateurs[P cours 07])</f>
        <v>20</v>
      </c>
      <c r="AI78" s="72"/>
      <c r="AJ78" s="72"/>
      <c r="AK78" s="72"/>
      <c r="AL78" s="72"/>
      <c r="AM78" s="72"/>
      <c r="AN78" s="72"/>
      <c r="AO78" s="72"/>
      <c r="AP78" s="76">
        <f>SUBTOTAL(103,Donnéesutilisateurs[I cours 06])</f>
        <v>73</v>
      </c>
    </row>
    <row r="79" spans="1:42" x14ac:dyDescent="0.15">
      <c r="A79" s="5"/>
      <c r="B79" s="5"/>
      <c r="C79" s="26"/>
      <c r="D79" s="6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5"/>
      <c r="U79" s="4"/>
      <c r="V79" s="6"/>
      <c r="W79" s="6"/>
      <c r="Y79" s="6"/>
    </row>
    <row r="81" spans="1:4" x14ac:dyDescent="0.15">
      <c r="A81" s="2" t="s">
        <v>148</v>
      </c>
      <c r="D81" s="2" t="s">
        <v>149</v>
      </c>
    </row>
    <row r="82" spans="1:4" x14ac:dyDescent="0.15">
      <c r="A82" s="2" t="s">
        <v>237</v>
      </c>
      <c r="D82" s="2" t="s">
        <v>238</v>
      </c>
    </row>
    <row r="83" spans="1:4" x14ac:dyDescent="0.15">
      <c r="A83" s="2" t="s">
        <v>247</v>
      </c>
      <c r="D83" s="2" t="s">
        <v>248</v>
      </c>
    </row>
    <row r="84" spans="1:4" x14ac:dyDescent="0.15">
      <c r="A84" s="2" t="s">
        <v>257</v>
      </c>
      <c r="D84" s="2" t="s">
        <v>259</v>
      </c>
    </row>
    <row r="85" spans="1:4" x14ac:dyDescent="0.15">
      <c r="A85" s="2" t="s">
        <v>258</v>
      </c>
      <c r="D85" s="2" t="s">
        <v>267</v>
      </c>
    </row>
    <row r="86" spans="1:4" x14ac:dyDescent="0.15">
      <c r="A86" s="2" t="s">
        <v>277</v>
      </c>
      <c r="D86" s="2" t="s">
        <v>278</v>
      </c>
    </row>
    <row r="87" spans="1:4" x14ac:dyDescent="0.15">
      <c r="A87" s="2" t="s">
        <v>299</v>
      </c>
      <c r="D87" s="2" t="s">
        <v>300</v>
      </c>
    </row>
    <row r="94" spans="1:4" x14ac:dyDescent="0.15">
      <c r="A94" s="42"/>
    </row>
    <row r="95" spans="1:4" x14ac:dyDescent="0.15">
      <c r="A95" s="42"/>
    </row>
    <row r="96" spans="1:4" x14ac:dyDescent="0.15">
      <c r="A96" s="42"/>
    </row>
    <row r="97" spans="1:1" x14ac:dyDescent="0.15">
      <c r="A97" s="42"/>
    </row>
    <row r="98" spans="1:1" x14ac:dyDescent="0.15">
      <c r="A98" s="42"/>
    </row>
    <row r="99" spans="1:1" x14ac:dyDescent="0.15">
      <c r="A99" s="42"/>
    </row>
    <row r="100" spans="1:1" x14ac:dyDescent="0.15">
      <c r="A100" s="42"/>
    </row>
    <row r="101" spans="1:1" x14ac:dyDescent="0.15">
      <c r="A101" s="42"/>
    </row>
    <row r="102" spans="1:1" x14ac:dyDescent="0.15">
      <c r="A102" s="42"/>
    </row>
  </sheetData>
  <phoneticPr fontId="3" type="noConversion"/>
  <pageMargins left="0.75000000000000011" right="0.75000000000000011" top="1" bottom="1" header="0.5" footer="0.5"/>
  <pageSetup paperSize="8" orientation="landscape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1:R41"/>
  <sheetViews>
    <sheetView showGridLines="0" tabSelected="1" view="pageLayout" zoomScale="120" zoomScalePageLayoutView="120" workbookViewId="0">
      <selection activeCell="D2" sqref="D2"/>
    </sheetView>
  </sheetViews>
  <sheetFormatPr baseColWidth="10" defaultColWidth="10.83203125" defaultRowHeight="11" customHeight="1" x14ac:dyDescent="0.2"/>
  <cols>
    <col min="1" max="2" width="3.33203125" style="12" customWidth="1"/>
    <col min="3" max="4" width="9.5" style="12" customWidth="1"/>
    <col min="5" max="5" width="3.33203125" style="12" customWidth="1"/>
    <col min="6" max="7" width="9.5" style="12" customWidth="1"/>
    <col min="8" max="8" width="3.33203125" style="12" customWidth="1"/>
    <col min="9" max="10" width="9.5" style="12" customWidth="1"/>
    <col min="11" max="11" width="3.33203125" style="12" customWidth="1"/>
    <col min="12" max="13" width="9.5" style="12" customWidth="1"/>
    <col min="14" max="14" width="3.33203125" style="12" customWidth="1"/>
    <col min="15" max="16" width="9.5" style="12" customWidth="1"/>
    <col min="17" max="18" width="3.33203125" style="12" customWidth="1"/>
    <col min="19" max="19" width="9.5" style="12" customWidth="1"/>
    <col min="20" max="21" width="1.5" style="12" customWidth="1"/>
    <col min="22" max="16384" width="10.83203125" style="12"/>
  </cols>
  <sheetData>
    <row r="1" spans="2:18" ht="10" customHeight="1" thickBot="1" x14ac:dyDescent="0.25"/>
    <row r="2" spans="2:18" ht="28" customHeight="1" thickBot="1" x14ac:dyDescent="0.25">
      <c r="B2" s="22"/>
      <c r="C2" s="23" t="s">
        <v>2</v>
      </c>
      <c r="D2" s="23" t="s">
        <v>387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</row>
    <row r="3" spans="2:18" ht="10" customHeight="1" x14ac:dyDescent="0.2"/>
    <row r="4" spans="2:18" ht="10" customHeight="1" x14ac:dyDescent="0.2"/>
    <row r="5" spans="2:18" ht="10" customHeight="1" x14ac:dyDescent="0.2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28"/>
      <c r="P5" s="28"/>
      <c r="Q5" s="29"/>
      <c r="R5" s="27"/>
    </row>
    <row r="6" spans="2:18" ht="10" customHeight="1" x14ac:dyDescent="0.2">
      <c r="B6" s="9"/>
      <c r="C6" s="40" t="s">
        <v>4</v>
      </c>
      <c r="D6" s="41" t="s">
        <v>3</v>
      </c>
      <c r="E6" s="21"/>
      <c r="F6" s="30" t="s">
        <v>5</v>
      </c>
      <c r="G6" s="21" t="s">
        <v>229</v>
      </c>
      <c r="H6" s="21"/>
      <c r="I6" s="21" t="s">
        <v>161</v>
      </c>
      <c r="J6" s="21" t="s">
        <v>160</v>
      </c>
      <c r="K6" s="21"/>
      <c r="L6" s="21" t="s">
        <v>6</v>
      </c>
      <c r="M6" s="30"/>
      <c r="N6" s="21"/>
      <c r="O6" s="21"/>
      <c r="P6" s="30"/>
      <c r="Q6" s="31"/>
      <c r="R6" s="27"/>
    </row>
    <row r="7" spans="2:18" s="20" customFormat="1" ht="10" customHeight="1" x14ac:dyDescent="0.2">
      <c r="B7" s="38"/>
      <c r="C7" s="39" t="str">
        <f>INDEX(Donnéesutilisateurs[Prénom],MATCH(Nomdelutilisateur,Donnéesutilisateurs[Clé],0))</f>
        <v>Attila</v>
      </c>
      <c r="D7" s="37" t="str">
        <f>INDEX(Donnéesutilisateurs[Nom],MATCH(Nomdelutilisateur,Donnéesutilisateurs[Clé],0))</f>
        <v>Hollo</v>
      </c>
      <c r="F7" s="36" t="str">
        <f>INDEX(Donnéesutilisateurs[Fonction],MATCH(Nomdelutilisateur,Donnéesutilisateurs[Clé],0))</f>
        <v>A</v>
      </c>
      <c r="G7" s="20">
        <f>INDEX(Donnéesutilisateurs[Formation ArchiCad],MATCH(Nomdelutilisateur,Donnéesutilisateurs[Clé],0))</f>
        <v>2013</v>
      </c>
      <c r="I7" s="20">
        <f ca="1">INDEX(Donnéesutilisateurs[Total points acquis],MATCH(Nomdelutilisateur,Donnéesutilisateurs[Clé],0))</f>
        <v>2</v>
      </c>
      <c r="J7" s="20">
        <f>Totalpointspossibles</f>
        <v>18</v>
      </c>
      <c r="L7" s="20" t="str">
        <f>INDEX(Donnéesutilisateurs[Référent],MATCH(Nomdelutilisateur,Donnéesutilisateurs[Clé],0))</f>
        <v>Miguel</v>
      </c>
      <c r="M7" s="36"/>
      <c r="P7" s="36"/>
      <c r="Q7" s="31"/>
      <c r="R7" s="32"/>
    </row>
    <row r="8" spans="2:18" ht="10" customHeight="1" x14ac:dyDescent="0.2">
      <c r="B8" s="1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33"/>
      <c r="P8" s="33"/>
      <c r="Q8" s="34"/>
      <c r="R8" s="27"/>
    </row>
    <row r="9" spans="2:18" ht="10" customHeight="1" x14ac:dyDescent="0.2">
      <c r="C9" s="10"/>
      <c r="D9" s="10"/>
    </row>
    <row r="10" spans="2:18" ht="10" customHeight="1" x14ac:dyDescent="0.2">
      <c r="B10" s="11"/>
      <c r="C10" s="18"/>
      <c r="D10" s="18" t="s">
        <v>162</v>
      </c>
      <c r="F10" s="18"/>
      <c r="G10" s="18"/>
      <c r="I10" s="12" t="s">
        <v>342</v>
      </c>
      <c r="L10" s="12" t="s">
        <v>143</v>
      </c>
      <c r="O10" s="12" t="s">
        <v>239</v>
      </c>
    </row>
    <row r="11" spans="2:18" ht="10" customHeight="1" x14ac:dyDescent="0.2">
      <c r="B11" s="11"/>
      <c r="C11" s="14" t="s">
        <v>160</v>
      </c>
      <c r="D11" s="19">
        <f>Test130314</f>
        <v>4</v>
      </c>
      <c r="E11" s="15"/>
      <c r="F11" s="14"/>
      <c r="G11" s="19"/>
      <c r="I11" s="96">
        <f>INDEX(Donnéesutilisateurs[Anita],MATCH(Nomdelutilisateur,Donnéesutilisateurs[Clé],0))</f>
        <v>0</v>
      </c>
      <c r="J11" s="97"/>
      <c r="L11" s="83" t="str">
        <f>INDEX(Donnéesutilisateurs[Informations],MATCH(Nomdelutilisateur,Donnéesutilisateurs[Clé],0))</f>
        <v xml:space="preserve">13.03.14 : 64                           </v>
      </c>
      <c r="M11" s="84"/>
      <c r="O11" s="89">
        <f>INDEX(Donnéesutilisateurs[Coaching],MATCH(Nomdelutilisateur,Donnéesutilisateurs[Clé],0))</f>
        <v>0</v>
      </c>
      <c r="P11" s="35"/>
    </row>
    <row r="12" spans="2:18" ht="10" customHeight="1" x14ac:dyDescent="0.2">
      <c r="B12" s="11"/>
      <c r="C12" s="14" t="s">
        <v>161</v>
      </c>
      <c r="D12" s="19">
        <f>INDEX(Donnéesutilisateurs[Quest de base],MATCH(Nomdelutilisateur,Donnéesutilisateurs[Clé],0))</f>
        <v>2</v>
      </c>
      <c r="E12" s="15"/>
      <c r="F12" s="14"/>
      <c r="G12" s="19"/>
      <c r="I12" s="92"/>
      <c r="J12" s="93"/>
      <c r="L12" s="85"/>
      <c r="M12" s="86"/>
      <c r="O12" s="90"/>
      <c r="P12" s="35"/>
    </row>
    <row r="13" spans="2:18" ht="10" customHeight="1" x14ac:dyDescent="0.2">
      <c r="I13" s="92"/>
      <c r="J13" s="93"/>
      <c r="L13" s="85"/>
      <c r="M13" s="86"/>
      <c r="O13" s="90"/>
      <c r="P13" s="35"/>
    </row>
    <row r="14" spans="2:18" ht="10" customHeight="1" x14ac:dyDescent="0.2">
      <c r="C14" s="18"/>
      <c r="D14" s="18" t="s">
        <v>148</v>
      </c>
      <c r="F14" s="18"/>
      <c r="G14" s="18"/>
      <c r="I14" s="44"/>
      <c r="J14" s="45"/>
      <c r="L14" s="85"/>
      <c r="M14" s="86"/>
      <c r="O14" s="90"/>
      <c r="P14" s="35"/>
    </row>
    <row r="15" spans="2:18" ht="10" customHeight="1" x14ac:dyDescent="0.2">
      <c r="C15" s="14" t="s">
        <v>251</v>
      </c>
      <c r="D15" s="19" t="str">
        <f>INDEX(Donnéesutilisateurs[I cours 01],MATCH(Nomdelutilisateur,Donnéesutilisateurs[Clé],0))</f>
        <v>Non</v>
      </c>
      <c r="E15" s="15"/>
      <c r="F15" s="14"/>
      <c r="G15" s="19"/>
      <c r="I15" s="92">
        <f>INDEX(Donnéesutilisateurs[Benoît],MATCH(Nomdelutilisateur,Donnéesutilisateurs[Clé],0))</f>
        <v>0</v>
      </c>
      <c r="J15" s="93"/>
      <c r="L15" s="85"/>
      <c r="M15" s="86"/>
      <c r="O15" s="90"/>
      <c r="P15" s="35"/>
    </row>
    <row r="16" spans="2:18" ht="10" customHeight="1" x14ac:dyDescent="0.2">
      <c r="C16" s="14" t="s">
        <v>252</v>
      </c>
      <c r="D16" s="19" t="str">
        <f>INDEX(Donnéesutilisateurs[P cours 01],MATCH(Nomdelutilisateur,Donnéesutilisateurs[Clé],0))</f>
        <v>Non</v>
      </c>
      <c r="E16" s="15"/>
      <c r="F16" s="14"/>
      <c r="G16" s="19"/>
      <c r="H16" s="1"/>
      <c r="I16" s="92"/>
      <c r="J16" s="93"/>
      <c r="L16" s="85"/>
      <c r="M16" s="86"/>
      <c r="O16" s="90"/>
      <c r="P16" s="35"/>
    </row>
    <row r="17" spans="3:16" ht="10" customHeight="1" x14ac:dyDescent="0.2">
      <c r="H17" s="1"/>
      <c r="I17" s="92"/>
      <c r="J17" s="93"/>
      <c r="L17" s="85"/>
      <c r="M17" s="86"/>
      <c r="O17" s="90"/>
      <c r="P17" s="35"/>
    </row>
    <row r="18" spans="3:16" ht="10" customHeight="1" x14ac:dyDescent="0.2">
      <c r="C18" s="18"/>
      <c r="D18" s="18" t="s">
        <v>237</v>
      </c>
      <c r="F18" s="18"/>
      <c r="G18" s="18"/>
      <c r="H18" s="1"/>
      <c r="I18" s="44"/>
      <c r="J18" s="45"/>
      <c r="L18" s="85"/>
      <c r="M18" s="86"/>
      <c r="O18" s="90"/>
      <c r="P18" s="35"/>
    </row>
    <row r="19" spans="3:16" ht="10" customHeight="1" x14ac:dyDescent="0.2">
      <c r="C19" s="14" t="s">
        <v>251</v>
      </c>
      <c r="D19" s="19" t="str">
        <f>INDEX(Donnéesutilisateurs[I cours 02],MATCH(Nomdelutilisateur,Donnéesutilisateurs[Clé],0))</f>
        <v>Non</v>
      </c>
      <c r="E19" s="15"/>
      <c r="F19" s="14"/>
      <c r="G19" s="19"/>
      <c r="H19" s="1"/>
      <c r="I19" s="92">
        <f>INDEX(Donnéesutilisateurs[Bernard],MATCH(Nomdelutilisateur,Donnéesutilisateurs[Clé],0))</f>
        <v>0</v>
      </c>
      <c r="J19" s="93"/>
      <c r="L19" s="85"/>
      <c r="M19" s="86"/>
      <c r="O19" s="90"/>
      <c r="P19" s="35"/>
    </row>
    <row r="20" spans="3:16" ht="10" customHeight="1" x14ac:dyDescent="0.2">
      <c r="C20" s="14" t="s">
        <v>252</v>
      </c>
      <c r="D20" s="19" t="str">
        <f>INDEX(Donnéesutilisateurs[P cours 02],MATCH(Nomdelutilisateur,Donnéesutilisateurs[Clé],0))</f>
        <v>Non</v>
      </c>
      <c r="E20" s="15"/>
      <c r="F20" s="14"/>
      <c r="G20" s="19"/>
      <c r="H20" s="1"/>
      <c r="I20" s="92"/>
      <c r="J20" s="93"/>
      <c r="L20" s="85"/>
      <c r="M20" s="86"/>
      <c r="O20" s="90"/>
      <c r="P20" s="35"/>
    </row>
    <row r="21" spans="3:16" ht="10" customHeight="1" x14ac:dyDescent="0.2">
      <c r="C21" s="17"/>
      <c r="F21" s="17"/>
      <c r="H21" s="1"/>
      <c r="I21" s="92"/>
      <c r="J21" s="93"/>
      <c r="L21" s="85"/>
      <c r="M21" s="86"/>
      <c r="O21" s="90"/>
      <c r="P21" s="35"/>
    </row>
    <row r="22" spans="3:16" ht="10" customHeight="1" x14ac:dyDescent="0.2">
      <c r="C22" s="18"/>
      <c r="D22" s="18" t="s">
        <v>247</v>
      </c>
      <c r="F22" s="18"/>
      <c r="G22" s="18"/>
      <c r="H22" s="1"/>
      <c r="I22" s="44"/>
      <c r="J22" s="45"/>
      <c r="L22" s="85"/>
      <c r="M22" s="86"/>
      <c r="O22" s="90"/>
      <c r="P22" s="35"/>
    </row>
    <row r="23" spans="3:16" ht="10" customHeight="1" x14ac:dyDescent="0.2">
      <c r="C23" s="14" t="s">
        <v>251</v>
      </c>
      <c r="D23" s="19" t="str">
        <f>INDEX(Donnéesutilisateurs[I cours 03],MATCH(Nomdelutilisateur,Donnéesutilisateurs[Clé],0))</f>
        <v>Non</v>
      </c>
      <c r="E23" s="15"/>
      <c r="F23" s="14"/>
      <c r="G23" s="19"/>
      <c r="H23" s="1"/>
      <c r="I23" s="92">
        <f>INDEX(Donnéesutilisateurs[Coralie],MATCH(Nomdelutilisateur,Donnéesutilisateurs[Clé],0))</f>
        <v>0</v>
      </c>
      <c r="J23" s="93"/>
      <c r="L23" s="85"/>
      <c r="M23" s="86"/>
      <c r="O23" s="90"/>
      <c r="P23" s="35"/>
    </row>
    <row r="24" spans="3:16" ht="10" customHeight="1" x14ac:dyDescent="0.2">
      <c r="C24" s="14" t="s">
        <v>252</v>
      </c>
      <c r="D24" s="19" t="str">
        <f>INDEX(Donnéesutilisateurs[P cours 03],MATCH(Nomdelutilisateur,Donnéesutilisateurs[Clé],0))</f>
        <v>Non</v>
      </c>
      <c r="E24" s="15"/>
      <c r="F24" s="14"/>
      <c r="G24" s="19"/>
      <c r="H24" s="1"/>
      <c r="I24" s="92"/>
      <c r="J24" s="93"/>
      <c r="L24" s="87"/>
      <c r="M24" s="88"/>
      <c r="O24" s="91"/>
      <c r="P24" s="35"/>
    </row>
    <row r="25" spans="3:16" ht="10" customHeight="1" x14ac:dyDescent="0.2">
      <c r="H25" s="1"/>
      <c r="I25" s="92"/>
      <c r="J25" s="93"/>
    </row>
    <row r="26" spans="3:16" ht="10" customHeight="1" x14ac:dyDescent="0.2">
      <c r="C26" s="18"/>
      <c r="D26" s="18" t="s">
        <v>257</v>
      </c>
      <c r="F26" s="18"/>
      <c r="G26" s="18"/>
      <c r="H26" s="1"/>
      <c r="I26" s="44"/>
      <c r="J26" s="45"/>
      <c r="K26" s="16"/>
      <c r="L26" s="17" t="s">
        <v>163</v>
      </c>
      <c r="M26" s="16"/>
    </row>
    <row r="27" spans="3:16" ht="10" customHeight="1" x14ac:dyDescent="0.2">
      <c r="C27" s="14" t="s">
        <v>251</v>
      </c>
      <c r="D27" s="19" t="str">
        <f>INDEX(Donnéesutilisateurs[I cours 04],MATCH(Nomdelutilisateur,Donnéesutilisateurs[Clé],0))</f>
        <v>Non</v>
      </c>
      <c r="E27" s="15"/>
      <c r="F27" s="14"/>
      <c r="G27" s="19"/>
      <c r="H27" s="1"/>
      <c r="I27" s="92">
        <f>INDEX(Donnéesutilisateurs[Jonathan],MATCH(Nomdelutilisateur,Donnéesutilisateurs[Clé],0))</f>
        <v>0</v>
      </c>
      <c r="J27" s="93"/>
      <c r="K27" s="16"/>
      <c r="L27" s="83" t="s">
        <v>341</v>
      </c>
      <c r="M27" s="84"/>
    </row>
    <row r="28" spans="3:16" ht="10" customHeight="1" x14ac:dyDescent="0.2">
      <c r="C28" s="14" t="s">
        <v>252</v>
      </c>
      <c r="D28" s="19" t="str">
        <f>INDEX(Donnéesutilisateurs[P cours 04],MATCH(Nomdelutilisateur,Donnéesutilisateurs[Clé],0))</f>
        <v>Non</v>
      </c>
      <c r="E28" s="15"/>
      <c r="F28" s="14"/>
      <c r="G28" s="19"/>
      <c r="H28" s="1"/>
      <c r="I28" s="92"/>
      <c r="J28" s="93"/>
      <c r="K28" s="16"/>
      <c r="L28" s="85"/>
      <c r="M28" s="86"/>
    </row>
    <row r="29" spans="3:16" ht="10" customHeight="1" x14ac:dyDescent="0.2">
      <c r="H29" s="1"/>
      <c r="I29" s="92"/>
      <c r="J29" s="93"/>
      <c r="K29" s="16"/>
      <c r="L29" s="85"/>
      <c r="M29" s="86"/>
    </row>
    <row r="30" spans="3:16" ht="10" customHeight="1" x14ac:dyDescent="0.2">
      <c r="C30" s="18"/>
      <c r="D30" s="18" t="s">
        <v>258</v>
      </c>
      <c r="F30" s="18"/>
      <c r="G30" s="18"/>
      <c r="H30" s="1"/>
      <c r="I30" s="44"/>
      <c r="J30" s="45"/>
      <c r="K30" s="16"/>
      <c r="L30" s="85"/>
      <c r="M30" s="86"/>
    </row>
    <row r="31" spans="3:16" ht="10" customHeight="1" x14ac:dyDescent="0.2">
      <c r="C31" s="14" t="s">
        <v>251</v>
      </c>
      <c r="D31" s="19" t="str">
        <f>INDEX(Donnéesutilisateurs[I cours 05],MATCH(Nomdelutilisateur,Donnéesutilisateurs[Clé],0))</f>
        <v>Non</v>
      </c>
      <c r="E31" s="15"/>
      <c r="F31" s="14"/>
      <c r="G31" s="19"/>
      <c r="H31" s="1"/>
      <c r="I31" s="92" t="str">
        <f>INDEX(Donnéesutilisateurs[Miguel],MATCH(Nomdelutilisateur,Donnéesutilisateurs[Clé],0))</f>
        <v>Difficile à évaluer / Peu de question / Pas sur de connaître et suivre le protocole</v>
      </c>
      <c r="J31" s="93"/>
      <c r="K31" s="16"/>
      <c r="L31" s="85"/>
      <c r="M31" s="86"/>
    </row>
    <row r="32" spans="3:16" ht="10" customHeight="1" x14ac:dyDescent="0.2">
      <c r="C32" s="14" t="s">
        <v>252</v>
      </c>
      <c r="D32" s="19" t="str">
        <f>INDEX(Donnéesutilisateurs[P cours 05],MATCH(Nomdelutilisateur,Donnéesutilisateurs[Clé],0))</f>
        <v>Non</v>
      </c>
      <c r="E32" s="15"/>
      <c r="F32" s="14"/>
      <c r="G32" s="19"/>
      <c r="H32" s="1"/>
      <c r="I32" s="92"/>
      <c r="J32" s="93"/>
      <c r="K32" s="16"/>
      <c r="L32" s="85"/>
      <c r="M32" s="86"/>
    </row>
    <row r="33" spans="3:13" ht="10" customHeight="1" x14ac:dyDescent="0.2">
      <c r="H33" s="1"/>
      <c r="I33" s="92"/>
      <c r="J33" s="93"/>
      <c r="K33" s="16"/>
      <c r="L33" s="85"/>
      <c r="M33" s="86"/>
    </row>
    <row r="34" spans="3:13" ht="10" customHeight="1" x14ac:dyDescent="0.2">
      <c r="C34" s="18"/>
      <c r="D34" s="18" t="s">
        <v>277</v>
      </c>
      <c r="F34" s="18"/>
      <c r="G34" s="18"/>
      <c r="H34" s="1"/>
      <c r="I34" s="44"/>
      <c r="J34" s="45"/>
      <c r="K34" s="16"/>
      <c r="L34" s="85"/>
      <c r="M34" s="86"/>
    </row>
    <row r="35" spans="3:13" ht="10" customHeight="1" x14ac:dyDescent="0.2">
      <c r="C35" s="14" t="s">
        <v>251</v>
      </c>
      <c r="D35" s="19" t="str">
        <f>INDEX(Donnéesutilisateurs[I cours 06],MATCH(Nomdelutilisateur,Donnéesutilisateurs[Clé],0))</f>
        <v>Non</v>
      </c>
      <c r="E35" s="15"/>
      <c r="F35" s="14"/>
      <c r="G35" s="19"/>
      <c r="H35" s="1"/>
      <c r="I35" s="92">
        <f>INDEX(Donnéesutilisateurs[Patrick],MATCH(Nomdelutilisateur,Donnéesutilisateurs[Clé],0))</f>
        <v>0</v>
      </c>
      <c r="J35" s="93"/>
      <c r="K35" s="16"/>
      <c r="L35" s="85"/>
      <c r="M35" s="86"/>
    </row>
    <row r="36" spans="3:13" ht="10" customHeight="1" x14ac:dyDescent="0.2">
      <c r="C36" s="14" t="s">
        <v>252</v>
      </c>
      <c r="D36" s="19" t="str">
        <f>INDEX(Donnéesutilisateurs[P cours 06],MATCH(Nomdelutilisateur,Donnéesutilisateurs[Clé],0))</f>
        <v>Non</v>
      </c>
      <c r="E36" s="15"/>
      <c r="F36" s="14"/>
      <c r="G36" s="19"/>
      <c r="H36" s="1"/>
      <c r="I36" s="92"/>
      <c r="J36" s="93"/>
      <c r="K36" s="16"/>
      <c r="L36" s="85"/>
      <c r="M36" s="86"/>
    </row>
    <row r="37" spans="3:13" ht="10" customHeight="1" x14ac:dyDescent="0.2">
      <c r="H37" s="1"/>
      <c r="I37" s="92"/>
      <c r="J37" s="93"/>
      <c r="K37" s="16"/>
      <c r="L37" s="85"/>
      <c r="M37" s="86"/>
    </row>
    <row r="38" spans="3:13" ht="10" customHeight="1" x14ac:dyDescent="0.2">
      <c r="C38" s="18"/>
      <c r="D38" s="18" t="s">
        <v>299</v>
      </c>
      <c r="F38" s="18"/>
      <c r="G38" s="18"/>
      <c r="H38" s="1"/>
      <c r="I38" s="44"/>
      <c r="J38" s="45"/>
      <c r="K38" s="16"/>
      <c r="L38" s="85"/>
      <c r="M38" s="86"/>
    </row>
    <row r="39" spans="3:13" ht="10" customHeight="1" x14ac:dyDescent="0.2">
      <c r="C39" s="14" t="s">
        <v>251</v>
      </c>
      <c r="D39" s="19" t="str">
        <f>INDEX(Donnéesutilisateurs[I cours 07],MATCH(Nomdelutilisateur,Donnéesutilisateurs[Clé],0))</f>
        <v>Non</v>
      </c>
      <c r="E39" s="15"/>
      <c r="F39" s="14"/>
      <c r="G39" s="19"/>
      <c r="I39" s="92">
        <f>INDEX(Donnéesutilisateurs[Philippe],MATCH(Nomdelutilisateur,Donnéesutilisateurs[Clé],0))</f>
        <v>0</v>
      </c>
      <c r="J39" s="93"/>
      <c r="L39" s="85"/>
      <c r="M39" s="86"/>
    </row>
    <row r="40" spans="3:13" ht="10" customHeight="1" x14ac:dyDescent="0.2">
      <c r="C40" s="14" t="s">
        <v>252</v>
      </c>
      <c r="D40" s="19" t="str">
        <f>INDEX(Donnéesutilisateurs[P cours 07],MATCH(Nomdelutilisateur,Donnéesutilisateurs[Clé],0))</f>
        <v>Non</v>
      </c>
      <c r="E40" s="15"/>
      <c r="F40" s="14"/>
      <c r="G40" s="19"/>
      <c r="I40" s="92"/>
      <c r="J40" s="93"/>
      <c r="L40" s="85"/>
      <c r="M40" s="86"/>
    </row>
    <row r="41" spans="3:13" ht="11" customHeight="1" x14ac:dyDescent="0.2">
      <c r="I41" s="94"/>
      <c r="J41" s="95"/>
      <c r="L41" s="87"/>
      <c r="M41" s="88"/>
    </row>
  </sheetData>
  <mergeCells count="11">
    <mergeCell ref="L11:M24"/>
    <mergeCell ref="O11:O24"/>
    <mergeCell ref="I39:J41"/>
    <mergeCell ref="I35:J37"/>
    <mergeCell ref="I31:J33"/>
    <mergeCell ref="I27:J29"/>
    <mergeCell ref="I23:J25"/>
    <mergeCell ref="I19:J21"/>
    <mergeCell ref="I15:J17"/>
    <mergeCell ref="I11:J13"/>
    <mergeCell ref="L27:M41"/>
  </mergeCells>
  <phoneticPr fontId="3" type="noConversion"/>
  <conditionalFormatting sqref="D13">
    <cfRule type="dataBar" priority="70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{58DB1909-76C3-BD46-AD80-1694C3134550}</x14:id>
        </ext>
      </extLst>
    </cfRule>
  </conditionalFormatting>
  <conditionalFormatting sqref="D15">
    <cfRule type="dataBar" priority="62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{CFDBD236-41B9-6748-9DE8-5054F405BB2E}</x14:id>
        </ext>
      </extLst>
    </cfRule>
  </conditionalFormatting>
  <conditionalFormatting sqref="D16">
    <cfRule type="dataBar" priority="61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{96FA9CDE-1C8E-874A-B5BA-ECEFB9877391}</x14:id>
        </ext>
      </extLst>
    </cfRule>
  </conditionalFormatting>
  <conditionalFormatting sqref="D19">
    <cfRule type="dataBar" priority="39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{F6263F76-32D3-E54A-B7C6-C12F0A60AD02}</x14:id>
        </ext>
      </extLst>
    </cfRule>
  </conditionalFormatting>
  <conditionalFormatting sqref="D20">
    <cfRule type="dataBar" priority="38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{18C59F1F-3978-4D4D-8BC4-9EBEC2010849}</x14:id>
        </ext>
      </extLst>
    </cfRule>
  </conditionalFormatting>
  <conditionalFormatting sqref="D23">
    <cfRule type="dataBar" priority="37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{A8E4CA7F-F7E2-6449-82AE-D5F0E12A6796}</x14:id>
        </ext>
      </extLst>
    </cfRule>
  </conditionalFormatting>
  <conditionalFormatting sqref="D24">
    <cfRule type="dataBar" priority="36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{C6686330-AB46-264B-A3FA-E6D22931BD71}</x14:id>
        </ext>
      </extLst>
    </cfRule>
  </conditionalFormatting>
  <conditionalFormatting sqref="D27">
    <cfRule type="dataBar" priority="28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{9D64F14D-59BE-5B4A-8A61-D560BA30869F}</x14:id>
        </ext>
      </extLst>
    </cfRule>
  </conditionalFormatting>
  <conditionalFormatting sqref="D28">
    <cfRule type="dataBar" priority="27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{E194FAFE-D36D-7148-A21F-8EC6FB8B47B6}</x14:id>
        </ext>
      </extLst>
    </cfRule>
  </conditionalFormatting>
  <conditionalFormatting sqref="D31">
    <cfRule type="dataBar" priority="26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{F3CD2C08-8EAE-924F-AE71-74B740236186}</x14:id>
        </ext>
      </extLst>
    </cfRule>
  </conditionalFormatting>
  <conditionalFormatting sqref="D32">
    <cfRule type="dataBar" priority="25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{44C63B6B-C56A-6244-B55D-C7693C9D93FC}</x14:id>
        </ext>
      </extLst>
    </cfRule>
  </conditionalFormatting>
  <conditionalFormatting sqref="D35">
    <cfRule type="dataBar" priority="24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{349E5E28-7411-914C-BDF2-4C2AE759E8EC}</x14:id>
        </ext>
      </extLst>
    </cfRule>
  </conditionalFormatting>
  <conditionalFormatting sqref="D36">
    <cfRule type="dataBar" priority="23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{EA6655D7-867A-0549-A980-4550B4F4577C}</x14:id>
        </ext>
      </extLst>
    </cfRule>
  </conditionalFormatting>
  <conditionalFormatting sqref="D39">
    <cfRule type="dataBar" priority="22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{DEC23570-A577-3E4E-AD0D-5E4577117D1F}</x14:id>
        </ext>
      </extLst>
    </cfRule>
  </conditionalFormatting>
  <conditionalFormatting sqref="D40">
    <cfRule type="dataBar" priority="21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{EAABF1A3-4CC4-D640-B6C2-3DE65DED06DC}</x14:id>
        </ext>
      </extLst>
    </cfRule>
  </conditionalFormatting>
  <conditionalFormatting sqref="G13">
    <cfRule type="dataBar" priority="19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{25FFD614-2A0F-5D47-A1C6-4F5231A98355}</x14:id>
        </ext>
      </extLst>
    </cfRule>
  </conditionalFormatting>
  <conditionalFormatting sqref="G15">
    <cfRule type="dataBar" priority="18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{84657297-7056-F344-9089-E032C447F82A}</x14:id>
        </ext>
      </extLst>
    </cfRule>
  </conditionalFormatting>
  <conditionalFormatting sqref="G16">
    <cfRule type="dataBar" priority="17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{615DD963-2F01-9F46-A7A8-415BCE5E1427}</x14:id>
        </ext>
      </extLst>
    </cfRule>
  </conditionalFormatting>
  <conditionalFormatting sqref="G19">
    <cfRule type="dataBar" priority="16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{085C5A75-3323-D34F-BC41-515CC1B8429E}</x14:id>
        </ext>
      </extLst>
    </cfRule>
  </conditionalFormatting>
  <conditionalFormatting sqref="G20">
    <cfRule type="dataBar" priority="15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{6399E8E4-263B-6743-9616-3DBCB679C42D}</x14:id>
        </ext>
      </extLst>
    </cfRule>
  </conditionalFormatting>
  <conditionalFormatting sqref="G23">
    <cfRule type="dataBar" priority="14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{127FEF2B-2A06-FF41-9B02-2DDD4703D495}</x14:id>
        </ext>
      </extLst>
    </cfRule>
  </conditionalFormatting>
  <conditionalFormatting sqref="G24">
    <cfRule type="dataBar" priority="13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{03516473-D170-F24D-A96C-D5E0A3F4561E}</x14:id>
        </ext>
      </extLst>
    </cfRule>
  </conditionalFormatting>
  <conditionalFormatting sqref="G27">
    <cfRule type="dataBar" priority="12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{98727D33-5314-1146-967E-3AB7FE6C819C}</x14:id>
        </ext>
      </extLst>
    </cfRule>
  </conditionalFormatting>
  <conditionalFormatting sqref="G28">
    <cfRule type="dataBar" priority="11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{F2F50A2D-2F20-044F-9931-F3987FC0CEEF}</x14:id>
        </ext>
      </extLst>
    </cfRule>
  </conditionalFormatting>
  <conditionalFormatting sqref="G31">
    <cfRule type="dataBar" priority="10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{FB001B80-3DA2-B44B-958C-77BAA23FDE80}</x14:id>
        </ext>
      </extLst>
    </cfRule>
  </conditionalFormatting>
  <conditionalFormatting sqref="G32">
    <cfRule type="dataBar" priority="9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{48C5E4FA-40AB-3347-8384-18C3BB323C06}</x14:id>
        </ext>
      </extLst>
    </cfRule>
  </conditionalFormatting>
  <conditionalFormatting sqref="G35">
    <cfRule type="dataBar" priority="8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{4F6A25F6-FE7C-FF43-864F-F1034601E077}</x14:id>
        </ext>
      </extLst>
    </cfRule>
  </conditionalFormatting>
  <conditionalFormatting sqref="G36">
    <cfRule type="dataBar" priority="7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{2D77F4FD-58D9-8A49-A996-CB0C31D05CAC}</x14:id>
        </ext>
      </extLst>
    </cfRule>
  </conditionalFormatting>
  <conditionalFormatting sqref="G39">
    <cfRule type="dataBar" priority="6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{F2436CBE-92D6-D045-9B02-DF59088662C6}</x14:id>
        </ext>
      </extLst>
    </cfRule>
  </conditionalFormatting>
  <conditionalFormatting sqref="G40">
    <cfRule type="dataBar" priority="5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{9E8C4434-68B9-2F48-BEE5-7D81BA56ED3D}</x14:id>
        </ext>
      </extLst>
    </cfRule>
  </conditionalFormatting>
  <conditionalFormatting sqref="D11">
    <cfRule type="dataBar" priority="4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{D9C1413F-0462-0044-B493-86B0CB108361}</x14:id>
        </ext>
      </extLst>
    </cfRule>
  </conditionalFormatting>
  <conditionalFormatting sqref="D12">
    <cfRule type="dataBar" priority="3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{E0A2A93A-A76D-934A-9E50-9AC47B2DC682}</x14:id>
        </ext>
      </extLst>
    </cfRule>
  </conditionalFormatting>
  <conditionalFormatting sqref="G11">
    <cfRule type="dataBar" priority="2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{796F2C37-D6B0-5F4D-ACEB-2D74D12D6825}</x14:id>
        </ext>
      </extLst>
    </cfRule>
  </conditionalFormatting>
  <conditionalFormatting sqref="G12">
    <cfRule type="dataBar" priority="1">
      <dataBar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{4DCCB948-C753-B941-8F86-67722DE48C92}</x14:id>
        </ext>
      </extLst>
    </cfRule>
  </conditionalFormatting>
  <pageMargins left="0.75" right="0.75" top="1" bottom="1" header="0.5" footer="0.5"/>
  <pageSetup paperSize="9" orientation="landscape" horizontalDpi="4294967292" verticalDpi="4294967292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DB1909-76C3-BD46-AD80-1694C313455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D13</xm:sqref>
        </x14:conditionalFormatting>
        <x14:conditionalFormatting xmlns:xm="http://schemas.microsoft.com/office/excel/2006/main">
          <x14:cfRule type="dataBar" id="{CFDBD236-41B9-6748-9DE8-5054F405BB2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D15</xm:sqref>
        </x14:conditionalFormatting>
        <x14:conditionalFormatting xmlns:xm="http://schemas.microsoft.com/office/excel/2006/main">
          <x14:cfRule type="dataBar" id="{96FA9CDE-1C8E-874A-B5BA-ECEFB987739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D16</xm:sqref>
        </x14:conditionalFormatting>
        <x14:conditionalFormatting xmlns:xm="http://schemas.microsoft.com/office/excel/2006/main">
          <x14:cfRule type="dataBar" id="{F6263F76-32D3-E54A-B7C6-C12F0A60AD0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D19</xm:sqref>
        </x14:conditionalFormatting>
        <x14:conditionalFormatting xmlns:xm="http://schemas.microsoft.com/office/excel/2006/main">
          <x14:cfRule type="dataBar" id="{18C59F1F-3978-4D4D-8BC4-9EBEC201084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D20</xm:sqref>
        </x14:conditionalFormatting>
        <x14:conditionalFormatting xmlns:xm="http://schemas.microsoft.com/office/excel/2006/main">
          <x14:cfRule type="dataBar" id="{A8E4CA7F-F7E2-6449-82AE-D5F0E12A679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D23</xm:sqref>
        </x14:conditionalFormatting>
        <x14:conditionalFormatting xmlns:xm="http://schemas.microsoft.com/office/excel/2006/main">
          <x14:cfRule type="dataBar" id="{C6686330-AB46-264B-A3FA-E6D22931BD7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D24</xm:sqref>
        </x14:conditionalFormatting>
        <x14:conditionalFormatting xmlns:xm="http://schemas.microsoft.com/office/excel/2006/main">
          <x14:cfRule type="dataBar" id="{9D64F14D-59BE-5B4A-8A61-D560BA30869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D27</xm:sqref>
        </x14:conditionalFormatting>
        <x14:conditionalFormatting xmlns:xm="http://schemas.microsoft.com/office/excel/2006/main">
          <x14:cfRule type="dataBar" id="{E194FAFE-D36D-7148-A21F-8EC6FB8B47B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D28</xm:sqref>
        </x14:conditionalFormatting>
        <x14:conditionalFormatting xmlns:xm="http://schemas.microsoft.com/office/excel/2006/main">
          <x14:cfRule type="dataBar" id="{F3CD2C08-8EAE-924F-AE71-74B74023618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D31</xm:sqref>
        </x14:conditionalFormatting>
        <x14:conditionalFormatting xmlns:xm="http://schemas.microsoft.com/office/excel/2006/main">
          <x14:cfRule type="dataBar" id="{44C63B6B-C56A-6244-B55D-C7693C9D93F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D32</xm:sqref>
        </x14:conditionalFormatting>
        <x14:conditionalFormatting xmlns:xm="http://schemas.microsoft.com/office/excel/2006/main">
          <x14:cfRule type="dataBar" id="{349E5E28-7411-914C-BDF2-4C2AE759E8E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D35</xm:sqref>
        </x14:conditionalFormatting>
        <x14:conditionalFormatting xmlns:xm="http://schemas.microsoft.com/office/excel/2006/main">
          <x14:cfRule type="dataBar" id="{EA6655D7-867A-0549-A980-4550B4F4577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D36</xm:sqref>
        </x14:conditionalFormatting>
        <x14:conditionalFormatting xmlns:xm="http://schemas.microsoft.com/office/excel/2006/main">
          <x14:cfRule type="dataBar" id="{DEC23570-A577-3E4E-AD0D-5E4577117D1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D39</xm:sqref>
        </x14:conditionalFormatting>
        <x14:conditionalFormatting xmlns:xm="http://schemas.microsoft.com/office/excel/2006/main">
          <x14:cfRule type="dataBar" id="{EAABF1A3-4CC4-D640-B6C2-3DE65DED06D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D40</xm:sqref>
        </x14:conditionalFormatting>
        <x14:conditionalFormatting xmlns:xm="http://schemas.microsoft.com/office/excel/2006/main">
          <x14:cfRule type="dataBar" id="{25FFD614-2A0F-5D47-A1C6-4F5231A9835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G13</xm:sqref>
        </x14:conditionalFormatting>
        <x14:conditionalFormatting xmlns:xm="http://schemas.microsoft.com/office/excel/2006/main">
          <x14:cfRule type="dataBar" id="{84657297-7056-F344-9089-E032C447F82A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G15</xm:sqref>
        </x14:conditionalFormatting>
        <x14:conditionalFormatting xmlns:xm="http://schemas.microsoft.com/office/excel/2006/main">
          <x14:cfRule type="dataBar" id="{615DD963-2F01-9F46-A7A8-415BCE5E142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G16</xm:sqref>
        </x14:conditionalFormatting>
        <x14:conditionalFormatting xmlns:xm="http://schemas.microsoft.com/office/excel/2006/main">
          <x14:cfRule type="dataBar" id="{085C5A75-3323-D34F-BC41-515CC1B8429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G19</xm:sqref>
        </x14:conditionalFormatting>
        <x14:conditionalFormatting xmlns:xm="http://schemas.microsoft.com/office/excel/2006/main">
          <x14:cfRule type="dataBar" id="{6399E8E4-263B-6743-9616-3DBCB679C42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G20</xm:sqref>
        </x14:conditionalFormatting>
        <x14:conditionalFormatting xmlns:xm="http://schemas.microsoft.com/office/excel/2006/main">
          <x14:cfRule type="dataBar" id="{127FEF2B-2A06-FF41-9B02-2DDD4703D49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G23</xm:sqref>
        </x14:conditionalFormatting>
        <x14:conditionalFormatting xmlns:xm="http://schemas.microsoft.com/office/excel/2006/main">
          <x14:cfRule type="dataBar" id="{03516473-D170-F24D-A96C-D5E0A3F4561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G24</xm:sqref>
        </x14:conditionalFormatting>
        <x14:conditionalFormatting xmlns:xm="http://schemas.microsoft.com/office/excel/2006/main">
          <x14:cfRule type="dataBar" id="{98727D33-5314-1146-967E-3AB7FE6C819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G27</xm:sqref>
        </x14:conditionalFormatting>
        <x14:conditionalFormatting xmlns:xm="http://schemas.microsoft.com/office/excel/2006/main">
          <x14:cfRule type="dataBar" id="{F2F50A2D-2F20-044F-9931-F3987FC0CEE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G28</xm:sqref>
        </x14:conditionalFormatting>
        <x14:conditionalFormatting xmlns:xm="http://schemas.microsoft.com/office/excel/2006/main">
          <x14:cfRule type="dataBar" id="{FB001B80-3DA2-B44B-958C-77BAA23FDE8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G31</xm:sqref>
        </x14:conditionalFormatting>
        <x14:conditionalFormatting xmlns:xm="http://schemas.microsoft.com/office/excel/2006/main">
          <x14:cfRule type="dataBar" id="{48C5E4FA-40AB-3347-8384-18C3BB323C0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G32</xm:sqref>
        </x14:conditionalFormatting>
        <x14:conditionalFormatting xmlns:xm="http://schemas.microsoft.com/office/excel/2006/main">
          <x14:cfRule type="dataBar" id="{4F6A25F6-FE7C-FF43-864F-F1034601E07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G35</xm:sqref>
        </x14:conditionalFormatting>
        <x14:conditionalFormatting xmlns:xm="http://schemas.microsoft.com/office/excel/2006/main">
          <x14:cfRule type="dataBar" id="{2D77F4FD-58D9-8A49-A996-CB0C31D05CA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G36</xm:sqref>
        </x14:conditionalFormatting>
        <x14:conditionalFormatting xmlns:xm="http://schemas.microsoft.com/office/excel/2006/main">
          <x14:cfRule type="dataBar" id="{F2436CBE-92D6-D045-9B02-DF59088662C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G39</xm:sqref>
        </x14:conditionalFormatting>
        <x14:conditionalFormatting xmlns:xm="http://schemas.microsoft.com/office/excel/2006/main">
          <x14:cfRule type="dataBar" id="{9E8C4434-68B9-2F48-BEE5-7D81BA56ED3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G40</xm:sqref>
        </x14:conditionalFormatting>
        <x14:conditionalFormatting xmlns:xm="http://schemas.microsoft.com/office/excel/2006/main">
          <x14:cfRule type="dataBar" id="{D9C1413F-0462-0044-B493-86B0CB10836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D11</xm:sqref>
        </x14:conditionalFormatting>
        <x14:conditionalFormatting xmlns:xm="http://schemas.microsoft.com/office/excel/2006/main">
          <x14:cfRule type="dataBar" id="{E0A2A93A-A76D-934A-9E50-9AC47B2DC68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D12</xm:sqref>
        </x14:conditionalFormatting>
        <x14:conditionalFormatting xmlns:xm="http://schemas.microsoft.com/office/excel/2006/main">
          <x14:cfRule type="dataBar" id="{796F2C37-D6B0-5F4D-ACEB-2D74D12D682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G11</xm:sqref>
        </x14:conditionalFormatting>
        <x14:conditionalFormatting xmlns:xm="http://schemas.microsoft.com/office/excel/2006/main">
          <x14:cfRule type="dataBar" id="{4DCCB948-C753-B941-8F86-67722DE48C9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'Carnet général'!$A$5:$A$64</xm:f>
          </x14:formula1>
          <xm:sqref>D3:D5</xm:sqref>
        </x14:dataValidation>
        <x14:dataValidation type="list" allowBlank="1" showInputMessage="1" showErrorMessage="1">
          <x14:formula1>
            <xm:f>'Carnet général'!$A$5:$A$77</xm:f>
          </x14:formula1>
          <xm:sqref>D2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Carnet général</vt:lpstr>
      <vt:lpstr>Utilisateur</vt:lpstr>
      <vt:lpstr>Cours040614</vt:lpstr>
      <vt:lpstr>Cours050614</vt:lpstr>
      <vt:lpstr>Cours070514</vt:lpstr>
      <vt:lpstr>Cours140514</vt:lpstr>
      <vt:lpstr>Cours160414</vt:lpstr>
      <vt:lpstr>Cours250614</vt:lpstr>
      <vt:lpstr>Nomdelutilisateur</vt:lpstr>
      <vt:lpstr>Notesobtenues</vt:lpstr>
      <vt:lpstr>Parutilisateur</vt:lpstr>
      <vt:lpstr>Pointspossibles</vt:lpstr>
      <vt:lpstr>PrenomNom</vt:lpstr>
      <vt:lpstr>Test130314</vt:lpstr>
      <vt:lpstr>Totalpointspossibles</vt:lpstr>
      <vt:lpstr>Zonedimpression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CCHE</dc:creator>
  <cp:lastModifiedBy>AFEH</cp:lastModifiedBy>
  <cp:lastPrinted>2014-11-13T10:13:18Z</cp:lastPrinted>
  <dcterms:created xsi:type="dcterms:W3CDTF">2014-04-01T08:51:47Z</dcterms:created>
  <dcterms:modified xsi:type="dcterms:W3CDTF">2014-11-13T10:14:11Z</dcterms:modified>
</cp:coreProperties>
</file>