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0" yWindow="0" windowWidth="23256" windowHeight="12360"/>
  </bookViews>
  <sheets>
    <sheet name="DashBord" sheetId="2" r:id="rId1"/>
    <sheet name="JOURNAL" sheetId="3" r:id="rId2"/>
    <sheet name="MVTS" sheetId="1" r:id="rId3"/>
  </sheets>
  <definedNames>
    <definedName name="Entreprises">DashBord!$B$7:$B$14</definedName>
    <definedName name="_xlnm.Print_Titles" localSheetId="0">DashBord!$7:$7</definedName>
    <definedName name="_xlnm.Print_Titles" localSheetId="2">MVTS!$5:$5</definedName>
    <definedName name="_xlnm.Print_Area" localSheetId="0">DashBord!$A$2:$H$15</definedName>
    <definedName name="_xlnm.Print_Area" localSheetId="2">MVTS!$A$2:$H$30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8" i="3" l="1"/>
  <c r="S8" i="3"/>
  <c r="R8" i="3"/>
  <c r="Q8" i="3"/>
  <c r="P8" i="3"/>
  <c r="O8" i="3"/>
  <c r="N8" i="3"/>
  <c r="M8" i="3"/>
  <c r="L8" i="3"/>
  <c r="K8" i="3"/>
  <c r="J8" i="3"/>
  <c r="I8" i="3"/>
  <c r="H8" i="3"/>
  <c r="G8" i="3"/>
  <c r="E8" i="3"/>
  <c r="D8" i="3"/>
  <c r="B1" i="3"/>
  <c r="F8" i="2" l="1"/>
  <c r="F9" i="2"/>
  <c r="F10" i="2"/>
  <c r="F11" i="2"/>
  <c r="F12" i="2"/>
  <c r="F13" i="2"/>
  <c r="F14" i="2"/>
  <c r="F7" i="2" l="1"/>
  <c r="H6" i="1"/>
  <c r="E8" i="2"/>
  <c r="E9" i="2"/>
  <c r="E10" i="2"/>
  <c r="E11" i="2"/>
  <c r="E12" i="2"/>
  <c r="E13" i="2"/>
  <c r="E14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E7" i="2"/>
  <c r="D8" i="2"/>
  <c r="D9" i="2"/>
  <c r="D10" i="2"/>
  <c r="D11" i="2"/>
  <c r="D12" i="2"/>
  <c r="D13" i="2"/>
  <c r="D14" i="2"/>
  <c r="D7" i="2"/>
  <c r="W6" i="1" l="1"/>
  <c r="B1" i="2" l="1"/>
  <c r="F7" i="1"/>
  <c r="I7" i="1"/>
  <c r="T15" i="2" l="1"/>
  <c r="Q15" i="2"/>
  <c r="M15" i="2"/>
  <c r="I15" i="2"/>
  <c r="S15" i="2"/>
  <c r="O15" i="2"/>
  <c r="K15" i="2"/>
  <c r="G15" i="2"/>
  <c r="H15" i="2"/>
  <c r="J15" i="2"/>
  <c r="L15" i="2"/>
  <c r="N15" i="2"/>
  <c r="P15" i="2"/>
  <c r="R15" i="2"/>
  <c r="E7" i="1" l="1"/>
  <c r="E15" i="2" l="1"/>
  <c r="D15" i="2"/>
  <c r="V7" i="1"/>
  <c r="P7" i="1"/>
  <c r="O7" i="1"/>
  <c r="M7" i="1"/>
  <c r="R7" i="1"/>
  <c r="U7" i="1"/>
  <c r="Q7" i="1"/>
  <c r="S7" i="1"/>
  <c r="T7" i="1"/>
  <c r="N7" i="1"/>
  <c r="J7" i="1"/>
  <c r="K7" i="1"/>
  <c r="L7" i="1"/>
  <c r="C3" i="1"/>
  <c r="W7" i="1" l="1"/>
  <c r="H7" i="1"/>
  <c r="G7" i="1"/>
  <c r="F15" i="2" s="1"/>
</calcChain>
</file>

<file path=xl/sharedStrings.xml><?xml version="1.0" encoding="utf-8"?>
<sst xmlns="http://schemas.openxmlformats.org/spreadsheetml/2006/main" count="85" uniqueCount="64">
  <si>
    <t>Date</t>
  </si>
  <si>
    <t>Total</t>
  </si>
  <si>
    <t>Solde</t>
  </si>
  <si>
    <t>Date :</t>
  </si>
  <si>
    <t>Libellé de l'opération</t>
  </si>
  <si>
    <t>Encaissement</t>
  </si>
  <si>
    <t>N° pièce</t>
  </si>
  <si>
    <t>Zone de ventilation</t>
  </si>
  <si>
    <t>Taxi/peage/PAD</t>
  </si>
  <si>
    <t>Carburant</t>
  </si>
  <si>
    <t>Entretien</t>
  </si>
  <si>
    <t>AG</t>
  </si>
  <si>
    <t>Banque</t>
  </si>
  <si>
    <t>Mat., mob.</t>
  </si>
  <si>
    <t>Nom et Signature du responsable</t>
  </si>
  <si>
    <t>Impot/Cnps</t>
  </si>
  <si>
    <t>Salaire</t>
  </si>
  <si>
    <t>Loyer</t>
  </si>
  <si>
    <t>Télécom</t>
  </si>
  <si>
    <t>Electricité</t>
  </si>
  <si>
    <t>Eau</t>
  </si>
  <si>
    <t>Autres</t>
  </si>
  <si>
    <t>Missions/MinCce</t>
  </si>
  <si>
    <t>GICCOPACAM</t>
  </si>
  <si>
    <t>JET INDUSTRY</t>
  </si>
  <si>
    <t>JET INVESTMENT</t>
  </si>
  <si>
    <t>SCI-JET</t>
  </si>
  <si>
    <t>TABLEAU RECAPITULATIF DES CAISSES</t>
  </si>
  <si>
    <t>CARBURANT+MISSION+TAXI</t>
  </si>
  <si>
    <t>Entreprise</t>
  </si>
  <si>
    <t>TOTAL CAISSE</t>
  </si>
  <si>
    <t>CAPI</t>
  </si>
  <si>
    <t>KENZO &amp; CO</t>
  </si>
  <si>
    <t>CFPM</t>
  </si>
  <si>
    <t>EVORA-T IMMO</t>
  </si>
  <si>
    <t>∑ Encaissements</t>
  </si>
  <si>
    <t>∑ Solde Initial</t>
  </si>
  <si>
    <t>∑ Décaissements</t>
  </si>
  <si>
    <t>∑ solde</t>
  </si>
  <si>
    <t>∑ AG</t>
  </si>
  <si>
    <t>∑ Carburant</t>
  </si>
  <si>
    <t>∑ Missions/MinCce</t>
  </si>
  <si>
    <t>∑ Taxi/peage/PAD</t>
  </si>
  <si>
    <t>∑ Télécom</t>
  </si>
  <si>
    <t>∑ Entretien</t>
  </si>
  <si>
    <t>∑ Électricité</t>
  </si>
  <si>
    <t>∑ Eau</t>
  </si>
  <si>
    <t>∑ Impot/Cnps</t>
  </si>
  <si>
    <t>∑ Loyer</t>
  </si>
  <si>
    <t>∑ Banque</t>
  </si>
  <si>
    <t>∑ Mat., mob.</t>
  </si>
  <si>
    <t>∑ Salaire</t>
  </si>
  <si>
    <t>∑ Autres</t>
  </si>
  <si>
    <t>Décaissement</t>
  </si>
  <si>
    <t>#Entreprises</t>
  </si>
  <si>
    <r>
      <t xml:space="preserve">Nom et Signature du </t>
    </r>
    <r>
      <rPr>
        <b/>
        <u/>
        <sz val="10"/>
        <rFont val="Aissier"/>
      </rPr>
      <t>caissier</t>
    </r>
  </si>
  <si>
    <t>Journal de caisse</t>
  </si>
  <si>
    <t>N°</t>
  </si>
  <si>
    <t>N° Opération</t>
  </si>
  <si>
    <t>Libellé</t>
  </si>
  <si>
    <t>Encaissements</t>
  </si>
  <si>
    <t>Décaissements</t>
  </si>
  <si>
    <t>La Caissière</t>
  </si>
  <si>
    <t>Le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</si>
</sst>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</numFmts>
  <fonts count="53">
    <font>
      <sz val="10"/>
      <name val="Arial"/>
      <family val="2"/>
    </font>
    <font>
      <sz val="11"/>
      <color theme="1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sz val="8"/>
      <name val="Arial"/>
      <family val="2"/>
    </font>
    <font>
      <sz val="10"/>
      <name val="Franklin Gothic Book"/>
      <family val="2"/>
      <scheme val="minor"/>
    </font>
    <font>
      <b/>
      <sz val="12"/>
      <name val="Franklin Gothic Book"/>
      <family val="2"/>
      <scheme val="minor"/>
    </font>
    <font>
      <b/>
      <sz val="10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name val="Franklin Gothic Book"/>
      <family val="2"/>
      <scheme val="minor"/>
    </font>
    <font>
      <b/>
      <sz val="12"/>
      <color theme="5" tint="-0.249977111117893"/>
      <name val="Franklin Gothic Book"/>
      <family val="2"/>
      <scheme val="minor"/>
    </font>
    <font>
      <sz val="18"/>
      <color theme="3"/>
      <name val="Constantia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sz val="10"/>
      <name val="Arial"/>
      <family val="2"/>
    </font>
    <font>
      <sz val="11"/>
      <name val="Franklin Gothic Book"/>
      <family val="2"/>
      <scheme val="minor"/>
    </font>
    <font>
      <b/>
      <sz val="11"/>
      <name val="Franklin Gothic Book"/>
      <family val="2"/>
      <scheme val="minor"/>
    </font>
    <font>
      <b/>
      <sz val="36"/>
      <name val="Franklin Gothic Book"/>
      <family val="2"/>
      <scheme val="minor"/>
    </font>
    <font>
      <sz val="12"/>
      <color theme="1"/>
      <name val="Arial Narrow"/>
      <family val="2"/>
    </font>
    <font>
      <b/>
      <u/>
      <sz val="10"/>
      <name val="Franklin Gothic Book"/>
      <family val="2"/>
      <scheme val="minor"/>
    </font>
    <font>
      <b/>
      <sz val="18"/>
      <name val="Arial Black"/>
      <family val="2"/>
    </font>
    <font>
      <sz val="12"/>
      <name val="Arial"/>
      <family val="2"/>
    </font>
    <font>
      <b/>
      <sz val="11"/>
      <color theme="1" tint="4.9989318521683403E-2"/>
      <name val="Calibri"/>
      <family val="2"/>
    </font>
    <font>
      <b/>
      <sz val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1"/>
      <name val="Arial Black"/>
      <family val="2"/>
    </font>
    <font>
      <sz val="12"/>
      <name val="Arial"/>
    </font>
    <font>
      <b/>
      <sz val="12"/>
      <name val="Franklin Gothic Book"/>
      <scheme val="minor"/>
    </font>
    <font>
      <b/>
      <sz val="18"/>
      <color theme="0"/>
      <name val="Arial Black"/>
      <family val="2"/>
    </font>
    <font>
      <sz val="12"/>
      <color theme="3"/>
      <name val="Franklin Gothic Book"/>
      <scheme val="minor"/>
    </font>
    <font>
      <b/>
      <sz val="12"/>
      <color theme="3"/>
      <name val="Franklin Gothic Book"/>
      <scheme val="minor"/>
    </font>
    <font>
      <b/>
      <u/>
      <sz val="10"/>
      <name val="Aissier"/>
    </font>
    <font>
      <sz val="12"/>
      <color theme="0" tint="-0.14999847407452621"/>
      <name val="Franklin Gothic Book"/>
      <family val="2"/>
      <scheme val="minor"/>
    </font>
    <font>
      <sz val="10"/>
      <color theme="0" tint="-0.14999847407452621"/>
      <name val="Franklin Gothic Book"/>
      <family val="2"/>
      <scheme val="minor"/>
    </font>
    <font>
      <sz val="10"/>
      <name val="Arial"/>
    </font>
    <font>
      <b/>
      <sz val="14"/>
      <name val="Arial Black"/>
      <family val="2"/>
    </font>
    <font>
      <b/>
      <sz val="18"/>
      <name val="Rockwell Condensed"/>
      <family val="1"/>
    </font>
    <font>
      <b/>
      <u/>
      <sz val="10"/>
      <name val="Arial"/>
      <family val="2"/>
    </font>
    <font>
      <b/>
      <sz val="10"/>
      <name val="Arial"/>
      <family val="2"/>
    </font>
    <font>
      <sz val="11"/>
      <color theme="1" tint="4.9989318521683403E-2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BBAB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BD5E1"/>
      </left>
      <right style="thin">
        <color rgb="FFCBD5E1"/>
      </right>
      <top style="thin">
        <color rgb="FFCBD5E1"/>
      </top>
      <bottom style="thin">
        <color rgb="FFCBD5E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rgb="FFCBD5E1"/>
      </left>
      <right style="thin">
        <color rgb="FFCBD5E1"/>
      </right>
      <top/>
      <bottom style="thin">
        <color rgb="FFCBD5E1"/>
      </bottom>
      <diagonal/>
    </border>
  </borders>
  <cellStyleXfs count="47">
    <xf numFmtId="0" fontId="0" fillId="0" borderId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44" fontId="26" fillId="0" borderId="0" applyFont="0" applyFill="0" applyBorder="0" applyAlignment="0" applyProtection="0"/>
    <xf numFmtId="42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4" borderId="0" applyNumberFormat="0" applyBorder="0" applyAlignment="0" applyProtection="0"/>
    <xf numFmtId="0" fontId="15" fillId="5" borderId="0" applyNumberFormat="0" applyBorder="0" applyAlignment="0" applyProtection="0"/>
    <xf numFmtId="0" fontId="16" fillId="6" borderId="0" applyNumberFormat="0" applyBorder="0" applyAlignment="0" applyProtection="0"/>
    <xf numFmtId="0" fontId="17" fillId="7" borderId="5" applyNumberFormat="0" applyAlignment="0" applyProtection="0"/>
    <xf numFmtId="0" fontId="18" fillId="8" borderId="6" applyNumberFormat="0" applyAlignment="0" applyProtection="0"/>
    <xf numFmtId="0" fontId="19" fillId="8" borderId="5" applyNumberFormat="0" applyAlignment="0" applyProtection="0"/>
    <xf numFmtId="0" fontId="20" fillId="0" borderId="7" applyNumberFormat="0" applyFill="0" applyAlignment="0" applyProtection="0"/>
    <xf numFmtId="0" fontId="21" fillId="9" borderId="8" applyNumberFormat="0" applyAlignment="0" applyProtection="0"/>
    <xf numFmtId="0" fontId="22" fillId="0" borderId="0" applyNumberFormat="0" applyFill="0" applyBorder="0" applyAlignment="0" applyProtection="0"/>
    <xf numFmtId="0" fontId="26" fillId="10" borderId="9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5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5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5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5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5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86">
    <xf numFmtId="0" fontId="0" fillId="0" borderId="0" xfId="0"/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horizontal="left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0" borderId="11" xfId="0" applyFont="1" applyBorder="1"/>
    <xf numFmtId="0" fontId="4" fillId="0" borderId="11" xfId="0" applyFont="1" applyBorder="1" applyAlignment="1">
      <alignment horizontal="left"/>
    </xf>
    <xf numFmtId="0" fontId="29" fillId="0" borderId="11" xfId="0" applyFont="1" applyBorder="1" applyAlignment="1">
      <alignment vertical="center"/>
    </xf>
    <xf numFmtId="0" fontId="27" fillId="0" borderId="0" xfId="0" applyFont="1"/>
    <xf numFmtId="14" fontId="28" fillId="0" borderId="0" xfId="0" applyNumberFormat="1" applyFont="1" applyAlignment="1">
      <alignment horizontal="left"/>
    </xf>
    <xf numFmtId="0" fontId="27" fillId="0" borderId="0" xfId="0" applyFont="1" applyAlignment="1">
      <alignment horizontal="left"/>
    </xf>
    <xf numFmtId="3" fontId="2" fillId="0" borderId="0" xfId="0" applyNumberFormat="1" applyFont="1" applyAlignment="1">
      <alignment vertical="center" wrapText="1"/>
    </xf>
    <xf numFmtId="0" fontId="30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/>
    </xf>
    <xf numFmtId="0" fontId="31" fillId="0" borderId="0" xfId="0" applyFont="1" applyAlignment="1">
      <alignment horizontal="left"/>
    </xf>
    <xf numFmtId="3" fontId="2" fillId="0" borderId="0" xfId="0" applyNumberFormat="1" applyFont="1" applyAlignment="1">
      <alignment horizontal="right" vertical="center" wrapText="1"/>
    </xf>
    <xf numFmtId="3" fontId="0" fillId="0" borderId="0" xfId="0" applyNumberFormat="1" applyAlignment="1">
      <alignment horizontal="right" vertical="top" wrapText="1"/>
    </xf>
    <xf numFmtId="3" fontId="7" fillId="0" borderId="0" xfId="0" applyNumberFormat="1" applyFont="1" applyAlignment="1">
      <alignment vertical="center" wrapText="1"/>
    </xf>
    <xf numFmtId="14" fontId="33" fillId="0" borderId="0" xfId="0" applyNumberFormat="1" applyFont="1" applyAlignment="1">
      <alignment horizontal="right" vertical="top" wrapText="1"/>
    </xf>
    <xf numFmtId="0" fontId="32" fillId="3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34" fillId="2" borderId="18" xfId="0" applyFont="1" applyFill="1" applyBorder="1" applyAlignment="1">
      <alignment horizontal="center" vertical="center" wrapText="1"/>
    </xf>
    <xf numFmtId="0" fontId="35" fillId="0" borderId="18" xfId="0" applyFont="1" applyFill="1" applyBorder="1" applyAlignment="1">
      <alignment horizontal="right" vertical="center" wrapText="1"/>
    </xf>
    <xf numFmtId="3" fontId="36" fillId="0" borderId="18" xfId="0" applyNumberFormat="1" applyFont="1" applyFill="1" applyBorder="1" applyAlignment="1">
      <alignment horizontal="right" vertical="center"/>
    </xf>
    <xf numFmtId="3" fontId="35" fillId="35" borderId="18" xfId="0" applyNumberFormat="1" applyFont="1" applyFill="1" applyBorder="1" applyAlignment="1">
      <alignment horizontal="right" vertical="center" wrapText="1"/>
    </xf>
    <xf numFmtId="3" fontId="37" fillId="35" borderId="18" xfId="0" applyNumberFormat="1" applyFont="1" applyFill="1" applyBorder="1" applyAlignment="1">
      <alignment horizontal="right" vertical="center"/>
    </xf>
    <xf numFmtId="0" fontId="38" fillId="3" borderId="0" xfId="0" applyFont="1" applyFill="1" applyBorder="1" applyAlignment="1">
      <alignment horizontal="center"/>
    </xf>
    <xf numFmtId="0" fontId="36" fillId="0" borderId="0" xfId="0" applyFont="1"/>
    <xf numFmtId="0" fontId="34" fillId="2" borderId="18" xfId="0" applyFont="1" applyFill="1" applyBorder="1" applyAlignment="1">
      <alignment horizontal="center" vertical="center"/>
    </xf>
    <xf numFmtId="14" fontId="4" fillId="0" borderId="0" xfId="0" applyNumberFormat="1" applyFont="1"/>
    <xf numFmtId="3" fontId="35" fillId="0" borderId="18" xfId="0" applyNumberFormat="1" applyFont="1" applyFill="1" applyBorder="1" applyAlignment="1">
      <alignment horizontal="right" vertical="center" wrapText="1"/>
    </xf>
    <xf numFmtId="14" fontId="28" fillId="36" borderId="0" xfId="0" applyNumberFormat="1" applyFont="1" applyFill="1" applyAlignment="1">
      <alignment horizontal="center"/>
    </xf>
    <xf numFmtId="14" fontId="4" fillId="37" borderId="0" xfId="0" applyNumberFormat="1" applyFont="1" applyFill="1"/>
    <xf numFmtId="3" fontId="0" fillId="0" borderId="0" xfId="0" applyNumberFormat="1" applyFont="1" applyAlignment="1">
      <alignment horizontal="right" vertical="top" wrapText="1"/>
    </xf>
    <xf numFmtId="0" fontId="2" fillId="0" borderId="0" xfId="0" applyFont="1" applyAlignment="1">
      <alignment horizontal="center" vertical="center" wrapText="1"/>
    </xf>
    <xf numFmtId="0" fontId="40" fillId="0" borderId="0" xfId="0" applyFont="1" applyFill="1" applyAlignment="1">
      <alignment horizontal="center" vertical="center"/>
    </xf>
    <xf numFmtId="14" fontId="39" fillId="0" borderId="0" xfId="0" applyNumberFormat="1" applyFont="1" applyFill="1" applyAlignment="1">
      <alignment horizontal="right" vertical="top" wrapText="1"/>
    </xf>
    <xf numFmtId="3" fontId="4" fillId="0" borderId="0" xfId="0" applyNumberFormat="1" applyFont="1"/>
    <xf numFmtId="0" fontId="41" fillId="3" borderId="0" xfId="0" applyFont="1" applyFill="1" applyBorder="1" applyAlignment="1">
      <alignment horizontal="center" vertical="center"/>
    </xf>
    <xf numFmtId="0" fontId="42" fillId="0" borderId="0" xfId="0" applyFont="1" applyBorder="1" applyAlignment="1">
      <alignment horizontal="right" vertical="center" wrapText="1"/>
    </xf>
    <xf numFmtId="0" fontId="43" fillId="0" borderId="0" xfId="0" applyFont="1" applyBorder="1" applyAlignment="1">
      <alignment vertical="center" wrapText="1"/>
    </xf>
    <xf numFmtId="0" fontId="42" fillId="0" borderId="0" xfId="0" applyFont="1" applyBorder="1" applyAlignment="1">
      <alignment horizontal="center" vertical="center" wrapText="1"/>
    </xf>
    <xf numFmtId="3" fontId="42" fillId="0" borderId="0" xfId="0" applyNumberFormat="1" applyFont="1" applyBorder="1" applyAlignment="1">
      <alignment horizontal="right" vertical="center" wrapText="1"/>
    </xf>
    <xf numFmtId="3" fontId="43" fillId="0" borderId="0" xfId="0" applyNumberFormat="1" applyFont="1" applyBorder="1" applyAlignment="1">
      <alignment vertical="center" wrapText="1"/>
    </xf>
    <xf numFmtId="3" fontId="43" fillId="0" borderId="0" xfId="0" applyNumberFormat="1" applyFont="1" applyBorder="1" applyAlignment="1">
      <alignment horizontal="right" vertical="center" wrapText="1"/>
    </xf>
    <xf numFmtId="0" fontId="9" fillId="36" borderId="14" xfId="0" applyFont="1" applyFill="1" applyBorder="1" applyAlignment="1">
      <alignment vertical="center"/>
    </xf>
    <xf numFmtId="0" fontId="8" fillId="36" borderId="0" xfId="0" applyFont="1" applyFill="1" applyAlignment="1">
      <alignment vertical="center"/>
    </xf>
    <xf numFmtId="0" fontId="45" fillId="0" borderId="0" xfId="0" applyFont="1" applyAlignment="1">
      <alignment vertical="center"/>
    </xf>
    <xf numFmtId="0" fontId="46" fillId="0" borderId="0" xfId="0" applyFont="1"/>
    <xf numFmtId="0" fontId="42" fillId="0" borderId="1" xfId="0" applyFont="1" applyBorder="1" applyAlignment="1">
      <alignment horizontal="right" vertical="center" wrapText="1"/>
    </xf>
    <xf numFmtId="0" fontId="43" fillId="0" borderId="1" xfId="0" applyFont="1" applyBorder="1" applyAlignment="1">
      <alignment vertical="center" wrapText="1"/>
    </xf>
    <xf numFmtId="0" fontId="42" fillId="0" borderId="1" xfId="0" applyFont="1" applyBorder="1" applyAlignment="1">
      <alignment horizontal="center" vertical="center" wrapText="1"/>
    </xf>
    <xf numFmtId="3" fontId="42" fillId="0" borderId="1" xfId="0" applyNumberFormat="1" applyFont="1" applyBorder="1" applyAlignment="1">
      <alignment horizontal="right" vertical="center" wrapText="1"/>
    </xf>
    <xf numFmtId="3" fontId="43" fillId="0" borderId="1" xfId="0" applyNumberFormat="1" applyFont="1" applyBorder="1" applyAlignment="1">
      <alignment vertical="center" wrapText="1"/>
    </xf>
    <xf numFmtId="3" fontId="43" fillId="0" borderId="1" xfId="0" applyNumberFormat="1" applyFont="1" applyBorder="1" applyAlignment="1">
      <alignment horizontal="right" vertical="center" wrapText="1"/>
    </xf>
    <xf numFmtId="0" fontId="32" fillId="3" borderId="16" xfId="0" applyFont="1" applyFill="1" applyBorder="1" applyAlignment="1">
      <alignment horizontal="right" vertical="center"/>
    </xf>
    <xf numFmtId="0" fontId="48" fillId="3" borderId="0" xfId="0" applyFont="1" applyFill="1" applyBorder="1" applyAlignment="1">
      <alignment horizontal="left" vertical="center"/>
    </xf>
    <xf numFmtId="0" fontId="34" fillId="2" borderId="23" xfId="0" applyFont="1" applyFill="1" applyBorder="1" applyAlignment="1">
      <alignment horizontal="center" vertical="center"/>
    </xf>
    <xf numFmtId="0" fontId="34" fillId="2" borderId="23" xfId="0" applyFont="1" applyFill="1" applyBorder="1" applyAlignment="1">
      <alignment horizontal="left" vertical="center" wrapText="1"/>
    </xf>
    <xf numFmtId="0" fontId="34" fillId="2" borderId="23" xfId="0" applyFont="1" applyFill="1" applyBorder="1" applyAlignment="1">
      <alignment horizontal="center" vertical="center" wrapText="1"/>
    </xf>
    <xf numFmtId="0" fontId="50" fillId="0" borderId="0" xfId="0" applyFont="1"/>
    <xf numFmtId="0" fontId="51" fillId="0" borderId="0" xfId="0" applyFont="1"/>
    <xf numFmtId="0" fontId="52" fillId="2" borderId="0" xfId="0" applyFont="1" applyFill="1" applyBorder="1" applyAlignment="1">
      <alignment horizontal="left" vertical="center" wrapText="1"/>
    </xf>
    <xf numFmtId="0" fontId="52" fillId="2" borderId="0" xfId="0" applyFont="1" applyFill="1" applyBorder="1" applyAlignment="1">
      <alignment horizontal="center" vertical="center" wrapText="1"/>
    </xf>
    <xf numFmtId="0" fontId="52" fillId="2" borderId="0" xfId="0" applyNumberFormat="1" applyFont="1" applyFill="1" applyBorder="1" applyAlignment="1">
      <alignment horizontal="center"/>
    </xf>
    <xf numFmtId="0" fontId="32" fillId="3" borderId="15" xfId="0" applyFont="1" applyFill="1" applyBorder="1" applyAlignment="1">
      <alignment horizontal="center" vertical="center"/>
    </xf>
    <xf numFmtId="0" fontId="32" fillId="3" borderId="19" xfId="0" applyFont="1" applyFill="1" applyBorder="1" applyAlignment="1">
      <alignment horizontal="center" vertical="center"/>
    </xf>
    <xf numFmtId="0" fontId="32" fillId="3" borderId="16" xfId="0" applyFont="1" applyFill="1" applyBorder="1" applyAlignment="1">
      <alignment horizontal="center" vertical="center"/>
    </xf>
    <xf numFmtId="0" fontId="32" fillId="3" borderId="17" xfId="0" applyFont="1" applyFill="1" applyBorder="1" applyAlignment="1">
      <alignment horizontal="center" vertical="center"/>
    </xf>
    <xf numFmtId="0" fontId="32" fillId="3" borderId="12" xfId="0" applyFont="1" applyFill="1" applyBorder="1" applyAlignment="1">
      <alignment horizontal="left" vertical="center"/>
    </xf>
    <xf numFmtId="0" fontId="32" fillId="3" borderId="20" xfId="0" applyFont="1" applyFill="1" applyBorder="1" applyAlignment="1">
      <alignment horizontal="left" vertical="center"/>
    </xf>
    <xf numFmtId="0" fontId="32" fillId="3" borderId="19" xfId="0" applyFont="1" applyFill="1" applyBorder="1" applyAlignment="1">
      <alignment horizontal="left" vertical="center"/>
    </xf>
    <xf numFmtId="0" fontId="32" fillId="38" borderId="21" xfId="0" applyFont="1" applyFill="1" applyBorder="1" applyAlignment="1">
      <alignment horizontal="center" vertical="center"/>
    </xf>
    <xf numFmtId="0" fontId="32" fillId="38" borderId="13" xfId="0" applyFont="1" applyFill="1" applyBorder="1" applyAlignment="1">
      <alignment horizontal="center" vertical="center"/>
    </xf>
    <xf numFmtId="0" fontId="49" fillId="36" borderId="22" xfId="0" applyFont="1" applyFill="1" applyBorder="1" applyAlignment="1">
      <alignment horizontal="center" vertical="center"/>
    </xf>
    <xf numFmtId="0" fontId="32" fillId="3" borderId="12" xfId="0" applyFont="1" applyFill="1" applyBorder="1" applyAlignment="1">
      <alignment horizontal="center" vertical="center"/>
    </xf>
    <xf numFmtId="0" fontId="32" fillId="3" borderId="13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7" fillId="0" borderId="0" xfId="0" applyNumberFormat="1" applyFont="1" applyAlignment="1">
      <alignment horizontal="center"/>
    </xf>
    <xf numFmtId="0" fontId="47" fillId="0" borderId="0" xfId="0" applyFont="1"/>
    <xf numFmtId="0" fontId="47" fillId="0" borderId="0" xfId="0" applyFont="1" applyAlignment="1">
      <alignment horizontal="center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8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rgb="FFCBD5E1"/>
        </top>
        <bottom style="thin">
          <color indexed="64"/>
        </bottom>
      </border>
    </dxf>
    <dxf>
      <font>
        <b val="0"/>
      </font>
    </dxf>
    <dxf>
      <border outline="0">
        <bottom style="thin">
          <color rgb="FFCBD5E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CBD5E1"/>
        </left>
        <right style="thin">
          <color rgb="FFCBD5E1"/>
        </right>
        <top/>
        <bottom/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EAEAEA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990000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175260</xdr:colOff>
      <xdr:row>2</xdr:row>
      <xdr:rowOff>350520</xdr:rowOff>
    </xdr:from>
    <xdr:to>
      <xdr:col>1</xdr:col>
      <xdr:colOff>1222248</xdr:colOff>
      <xdr:row>4</xdr:row>
      <xdr:rowOff>134112</xdr:rowOff>
    </xdr:to>
    <xdr:sp macro="[0]!Feuil1.JourPrecedent" textlink="">
      <xdr:nvSpPr>
        <xdr:cNvPr id="3" name="Flèche gauche 2"/>
        <xdr:cNvSpPr/>
      </xdr:nvSpPr>
      <xdr:spPr>
        <a:xfrm>
          <a:off x="175260" y="1051560"/>
          <a:ext cx="1389888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Précédent</a:t>
          </a:r>
        </a:p>
      </xdr:txBody>
    </xdr:sp>
    <xdr:clientData/>
  </xdr:twoCellAnchor>
  <xdr:twoCellAnchor>
    <xdr:from>
      <xdr:col>3</xdr:col>
      <xdr:colOff>68580</xdr:colOff>
      <xdr:row>2</xdr:row>
      <xdr:rowOff>381000</xdr:rowOff>
    </xdr:from>
    <xdr:to>
      <xdr:col>4</xdr:col>
      <xdr:colOff>304800</xdr:colOff>
      <xdr:row>4</xdr:row>
      <xdr:rowOff>164592</xdr:rowOff>
    </xdr:to>
    <xdr:sp macro="[0]!Feuil1.JourSuivant" textlink="">
      <xdr:nvSpPr>
        <xdr:cNvPr id="4" name="Flèche droite 3"/>
        <xdr:cNvSpPr/>
      </xdr:nvSpPr>
      <xdr:spPr>
        <a:xfrm>
          <a:off x="2667000" y="1082040"/>
          <a:ext cx="1303020" cy="484632"/>
        </a:xfrm>
        <a:prstGeom prst="righ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Suivant</a:t>
          </a:r>
        </a:p>
      </xdr:txBody>
    </xdr:sp>
    <xdr:clientData/>
  </xdr:twoCellAnchor>
  <xdr:twoCellAnchor>
    <xdr:from>
      <xdr:col>7</xdr:col>
      <xdr:colOff>144781</xdr:colOff>
      <xdr:row>1</xdr:row>
      <xdr:rowOff>91440</xdr:rowOff>
    </xdr:from>
    <xdr:to>
      <xdr:col>10</xdr:col>
      <xdr:colOff>350520</xdr:colOff>
      <xdr:row>3</xdr:row>
      <xdr:rowOff>175260</xdr:rowOff>
    </xdr:to>
    <xdr:sp macro="[0]!Appel_Form" textlink="">
      <xdr:nvSpPr>
        <xdr:cNvPr id="2" name="Organigramme : Alternative 1"/>
        <xdr:cNvSpPr/>
      </xdr:nvSpPr>
      <xdr:spPr>
        <a:xfrm>
          <a:off x="5996941" y="281940"/>
          <a:ext cx="3398519" cy="1104900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2400">
              <a:solidFill>
                <a:srgbClr val="FF0000"/>
              </a:solidFill>
            </a:rPr>
            <a:t>de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2</xdr:row>
      <xdr:rowOff>335280</xdr:rowOff>
    </xdr:from>
    <xdr:to>
      <xdr:col>2</xdr:col>
      <xdr:colOff>56388</xdr:colOff>
      <xdr:row>4</xdr:row>
      <xdr:rowOff>118872</xdr:rowOff>
    </xdr:to>
    <xdr:sp macro="[0]!Feuil3.JourPrecedent" textlink="">
      <xdr:nvSpPr>
        <xdr:cNvPr id="2" name="Flèche gauche 1"/>
        <xdr:cNvSpPr/>
      </xdr:nvSpPr>
      <xdr:spPr>
        <a:xfrm>
          <a:off x="152400" y="1150620"/>
          <a:ext cx="1191768" cy="47701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Précédent</a:t>
          </a:r>
        </a:p>
      </xdr:txBody>
    </xdr:sp>
    <xdr:clientData/>
  </xdr:twoCellAnchor>
  <xdr:twoCellAnchor>
    <xdr:from>
      <xdr:col>3</xdr:col>
      <xdr:colOff>30480</xdr:colOff>
      <xdr:row>2</xdr:row>
      <xdr:rowOff>327660</xdr:rowOff>
    </xdr:from>
    <xdr:to>
      <xdr:col>4</xdr:col>
      <xdr:colOff>175260</xdr:colOff>
      <xdr:row>4</xdr:row>
      <xdr:rowOff>126492</xdr:rowOff>
    </xdr:to>
    <xdr:sp macro="[0]!Feuil3.JourSuivant" textlink="">
      <xdr:nvSpPr>
        <xdr:cNvPr id="3" name="Flèche droite 2"/>
        <xdr:cNvSpPr/>
      </xdr:nvSpPr>
      <xdr:spPr>
        <a:xfrm>
          <a:off x="2377440" y="1143000"/>
          <a:ext cx="1173480" cy="492252"/>
        </a:xfrm>
        <a:prstGeom prst="righ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Suivant</a:t>
          </a:r>
        </a:p>
      </xdr:txBody>
    </xdr:sp>
    <xdr:clientData/>
  </xdr:twoCellAnchor>
  <xdr:twoCellAnchor>
    <xdr:from>
      <xdr:col>3</xdr:col>
      <xdr:colOff>998220</xdr:colOff>
      <xdr:row>0</xdr:row>
      <xdr:rowOff>7620</xdr:rowOff>
    </xdr:from>
    <xdr:to>
      <xdr:col>5</xdr:col>
      <xdr:colOff>563880</xdr:colOff>
      <xdr:row>0</xdr:row>
      <xdr:rowOff>495300</xdr:rowOff>
    </xdr:to>
    <xdr:sp macro="[0]!Feuil3.Extraction" textlink="">
      <xdr:nvSpPr>
        <xdr:cNvPr id="4" name="Organigramme : Alternative 3"/>
        <xdr:cNvSpPr/>
      </xdr:nvSpPr>
      <xdr:spPr>
        <a:xfrm>
          <a:off x="4137660" y="7620"/>
          <a:ext cx="1722120" cy="487680"/>
        </a:xfrm>
        <a:prstGeom prst="flowChartAlternateProcess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EDITER LE JOURNAL</a:t>
          </a:r>
        </a:p>
      </xdr:txBody>
    </xdr:sp>
    <xdr:clientData/>
  </xdr:twoCellAnchor>
  <xdr:twoCellAnchor>
    <xdr:from>
      <xdr:col>9</xdr:col>
      <xdr:colOff>708660</xdr:colOff>
      <xdr:row>0</xdr:row>
      <xdr:rowOff>15240</xdr:rowOff>
    </xdr:from>
    <xdr:to>
      <xdr:col>15</xdr:col>
      <xdr:colOff>182880</xdr:colOff>
      <xdr:row>0</xdr:row>
      <xdr:rowOff>518160</xdr:rowOff>
    </xdr:to>
    <xdr:sp macro="[0]!Appel_Form" textlink="">
      <xdr:nvSpPr>
        <xdr:cNvPr id="5" name="Organigramme : Alternative 4"/>
        <xdr:cNvSpPr/>
      </xdr:nvSpPr>
      <xdr:spPr>
        <a:xfrm>
          <a:off x="9555480" y="15240"/>
          <a:ext cx="4930140" cy="502920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APPEL FORMULAIRE de 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76200</xdr:colOff>
      <xdr:row>0</xdr:row>
      <xdr:rowOff>161925</xdr:rowOff>
    </xdr:from>
    <xdr:to>
      <xdr:col>4</xdr:col>
      <xdr:colOff>2331720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3078480" y="161925"/>
          <a:ext cx="471678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4</xdr:col>
      <xdr:colOff>2400300</xdr:colOff>
      <xdr:row>0</xdr:row>
      <xdr:rowOff>167640</xdr:rowOff>
    </xdr:from>
    <xdr:to>
      <xdr:col>5</xdr:col>
      <xdr:colOff>1432560</xdr:colOff>
      <xdr:row>1</xdr:row>
      <xdr:rowOff>480060</xdr:rowOff>
    </xdr:to>
    <xdr:sp macro="[0]!Appel_Form2" textlink="">
      <xdr:nvSpPr>
        <xdr:cNvPr id="3" name="Organigramme : Alternative 2"/>
        <xdr:cNvSpPr/>
      </xdr:nvSpPr>
      <xdr:spPr>
        <a:xfrm>
          <a:off x="7863840" y="167640"/>
          <a:ext cx="1508760" cy="502920"/>
        </a:xfrm>
        <a:prstGeom prst="flowChartAlternateProcess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FILTRAGE</a:t>
          </a:r>
        </a:p>
      </xdr:txBody>
    </xdr:sp>
    <xdr:clientData/>
  </xdr:twoCellAnchor>
  <xdr:twoCellAnchor>
    <xdr:from>
      <xdr:col>9</xdr:col>
      <xdr:colOff>617220</xdr:colOff>
      <xdr:row>0</xdr:row>
      <xdr:rowOff>129540</xdr:rowOff>
    </xdr:from>
    <xdr:to>
      <xdr:col>10</xdr:col>
      <xdr:colOff>944880</xdr:colOff>
      <xdr:row>1</xdr:row>
      <xdr:rowOff>472440</xdr:rowOff>
    </xdr:to>
    <xdr:sp macro="[0]!RAZ_Journal" textlink="">
      <xdr:nvSpPr>
        <xdr:cNvPr id="4" name="Organigramme : Alternative 3"/>
        <xdr:cNvSpPr/>
      </xdr:nvSpPr>
      <xdr:spPr>
        <a:xfrm>
          <a:off x="13708380" y="129540"/>
          <a:ext cx="1516380" cy="533400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RAZ MVTS</a:t>
          </a:r>
        </a:p>
      </xdr:txBody>
    </xdr:sp>
    <xdr:clientData/>
  </xdr:twoCellAnchor>
  <xdr:twoCellAnchor>
    <xdr:from>
      <xdr:col>2</xdr:col>
      <xdr:colOff>1371600</xdr:colOff>
      <xdr:row>10</xdr:row>
      <xdr:rowOff>45720</xdr:rowOff>
    </xdr:from>
    <xdr:to>
      <xdr:col>4</xdr:col>
      <xdr:colOff>213360</xdr:colOff>
      <xdr:row>14</xdr:row>
      <xdr:rowOff>76200</xdr:rowOff>
    </xdr:to>
    <xdr:sp macro="" textlink="">
      <xdr:nvSpPr>
        <xdr:cNvPr id="7" name="ZoneTexte 6"/>
        <xdr:cNvSpPr txBox="1"/>
      </xdr:nvSpPr>
      <xdr:spPr>
        <a:xfrm>
          <a:off x="2941320" y="3893820"/>
          <a:ext cx="2735580" cy="73152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</xdr:col>
      <xdr:colOff>0</xdr:colOff>
      <xdr:row>10</xdr:row>
      <xdr:rowOff>53340</xdr:rowOff>
    </xdr:from>
    <xdr:to>
      <xdr:col>2</xdr:col>
      <xdr:colOff>1257300</xdr:colOff>
      <xdr:row>14</xdr:row>
      <xdr:rowOff>83820</xdr:rowOff>
    </xdr:to>
    <xdr:sp macro="" textlink="">
      <xdr:nvSpPr>
        <xdr:cNvPr id="9" name="ZoneTexte 8"/>
        <xdr:cNvSpPr txBox="1"/>
      </xdr:nvSpPr>
      <xdr:spPr>
        <a:xfrm>
          <a:off x="342900" y="4312920"/>
          <a:ext cx="2484120" cy="731520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5</xdr:col>
      <xdr:colOff>1485900</xdr:colOff>
      <xdr:row>0</xdr:row>
      <xdr:rowOff>121920</xdr:rowOff>
    </xdr:from>
    <xdr:to>
      <xdr:col>9</xdr:col>
      <xdr:colOff>548640</xdr:colOff>
      <xdr:row>1</xdr:row>
      <xdr:rowOff>495300</xdr:rowOff>
    </xdr:to>
    <xdr:sp macro="[0]!Appel_Form" textlink="">
      <xdr:nvSpPr>
        <xdr:cNvPr id="10" name="Organigramme : Alternative 9"/>
        <xdr:cNvSpPr/>
      </xdr:nvSpPr>
      <xdr:spPr>
        <a:xfrm>
          <a:off x="9425940" y="121920"/>
          <a:ext cx="4213860" cy="563880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APPEL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_Journal" displayName="T_Journal" ref="B6:T8" insertRow="1" totalsRowCount="1" headerRowDxfId="88" dataDxfId="86" headerRowBorderDxfId="87" tableBorderDxfId="85">
  <autoFilter ref="B6:T7"/>
  <tableColumns count="19">
    <tableColumn id="1" name="N° Opération" totalsRowLabel="Total" dataDxfId="84" totalsRowDxfId="18"/>
    <tableColumn id="2" name="Libellé" dataDxfId="83" totalsRowDxfId="17"/>
    <tableColumn id="3" name="Encaissements" totalsRowFunction="sum" dataDxfId="82" totalsRowDxfId="16"/>
    <tableColumn id="4" name="Décaissements" totalsRowFunction="sum" dataDxfId="81" totalsRowDxfId="15"/>
    <tableColumn id="5" name="∑ solde" dataDxfId="80" totalsRowDxfId="14"/>
    <tableColumn id="6" name="∑ AG" totalsRowFunction="sum" dataDxfId="79" totalsRowDxfId="13"/>
    <tableColumn id="7" name="∑ Carburant" totalsRowFunction="sum" dataDxfId="78" totalsRowDxfId="12"/>
    <tableColumn id="8" name="∑ Missions/MinCce" totalsRowFunction="sum" dataDxfId="77" totalsRowDxfId="11"/>
    <tableColumn id="9" name="∑ Taxi/peage/PAD" totalsRowFunction="sum" dataDxfId="76" totalsRowDxfId="10"/>
    <tableColumn id="10" name="∑ Télécom" totalsRowFunction="sum" dataDxfId="75" totalsRowDxfId="9"/>
    <tableColumn id="11" name="∑ Entretien" totalsRowFunction="sum" dataDxfId="74" totalsRowDxfId="8"/>
    <tableColumn id="12" name="∑ Électricité" totalsRowFunction="sum" dataDxfId="73" totalsRowDxfId="7"/>
    <tableColumn id="13" name="∑ Eau" totalsRowFunction="sum" dataDxfId="72" totalsRowDxfId="6"/>
    <tableColumn id="14" name="∑ Impot/Cnps" totalsRowFunction="sum" dataDxfId="71" totalsRowDxfId="5"/>
    <tableColumn id="15" name="∑ Loyer" totalsRowFunction="sum" dataDxfId="70" totalsRowDxfId="4"/>
    <tableColumn id="16" name="∑ Banque" totalsRowFunction="sum" dataDxfId="69" totalsRowDxfId="3"/>
    <tableColumn id="17" name="∑ Mat., mob." totalsRowFunction="sum" dataDxfId="68" totalsRowDxfId="2"/>
    <tableColumn id="18" name="∑ Salaire" totalsRowFunction="sum" dataDxfId="67" totalsRowDxfId="1"/>
    <tableColumn id="19" name="∑ Autres" totalsRowFunction="sum" dataDxfId="66" totalsRow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Mvts" displayName="T_Mvts" ref="B5:W7" totalsRowCount="1" headerRowDxfId="65" dataDxfId="64" totalsRowDxfId="63">
  <autoFilter ref="B5:W6"/>
  <tableColumns count="22">
    <tableColumn id="22" name="Date" dataDxfId="62" totalsRowDxfId="40"/>
    <tableColumn id="21" name="Entreprise" dataDxfId="61" totalsRowDxfId="39"/>
    <tableColumn id="1" name="N° pièce" totalsRowLabel="Total" dataDxfId="60" totalsRowDxfId="38"/>
    <tableColumn id="2" name="Libellé de l'opération" totalsRowFunction="count" dataDxfId="59" totalsRowDxfId="37"/>
    <tableColumn id="3" name="Encaissement" totalsRowFunction="sum" dataDxfId="58" totalsRowDxfId="36"/>
    <tableColumn id="4" name="Décaissement" totalsRowFunction="sum" dataDxfId="57" totalsRowDxfId="35"/>
    <tableColumn id="5" name="Solde" totalsRowFunction="sum" dataDxfId="56" totalsRowDxfId="34"/>
    <tableColumn id="11" name="AG" totalsRowFunction="sum" dataDxfId="55" totalsRowDxfId="33"/>
    <tableColumn id="8" name="Carburant" totalsRowFunction="sum" dataDxfId="54" totalsRowDxfId="32"/>
    <tableColumn id="7" name="Missions/MinCce" totalsRowFunction="sum" dataDxfId="53" totalsRowDxfId="31"/>
    <tableColumn id="6" name="Taxi/peage/PAD" totalsRowFunction="sum" dataDxfId="52" totalsRowDxfId="30"/>
    <tableColumn id="16" name="Télécom" totalsRowFunction="sum" dataDxfId="51" totalsRowDxfId="29"/>
    <tableColumn id="9" name="Entretien" totalsRowFunction="sum" dataDxfId="50" totalsRowDxfId="28"/>
    <tableColumn id="17" name="Electricité" totalsRowFunction="sum" dataDxfId="49" totalsRowDxfId="27"/>
    <tableColumn id="18" name="Eau" totalsRowFunction="sum" dataDxfId="48" totalsRowDxfId="26"/>
    <tableColumn id="13" name="Impot/Cnps" totalsRowFunction="sum" dataDxfId="47" totalsRowDxfId="25"/>
    <tableColumn id="15" name="Loyer" totalsRowFunction="sum" dataDxfId="46" totalsRowDxfId="24"/>
    <tableColumn id="12" name="Banque" totalsRowFunction="sum" dataDxfId="45" totalsRowDxfId="23"/>
    <tableColumn id="10" name="Mat., mob." totalsRowFunction="sum" dataDxfId="44" totalsRowDxfId="22"/>
    <tableColumn id="14" name="Salaire" totalsRowFunction="sum" dataDxfId="43" totalsRowDxfId="21"/>
    <tableColumn id="19" name="Autres" totalsRowFunction="sum" dataDxfId="42" totalsRowDxfId="20"/>
    <tableColumn id="20" name="Total" totalsRowFunction="sum" dataDxfId="41" totalsRowDxfId="19">
      <calculatedColumnFormula>SUM(T_Mvts[[#This Row],[AG]:[Autres]])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eme1">
  <a:themeElements>
    <a:clrScheme name="BUS_Activity Based Cost Track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578B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externalLinkPath" Target="file:///X:\AA_DOSSIERS%20EN%20COURS%20GROUPE%20JET\CAPI\JET_JOURNAL%20DE%20CAISSE%20V02%20MINIMALISTE.xlsx" TargetMode="External"/><Relationship Id="rId7" Type="http://schemas.openxmlformats.org/officeDocument/2006/relationships/externalLinkPath" Target="file:///X:\AA_DOSSIERS%20EN%20COURS%20GROUPE%20JET\CAPI\JET_JOURNAL%20DE%20CAISSE%20V02%20MINIMALISTE.xlsx" TargetMode="External"/><Relationship Id="rId2" Type="http://schemas.openxmlformats.org/officeDocument/2006/relationships/externalLinkPath" Target="file:///X:\AA_DOSSIERS%20EN%20COURS%20GROUPE%20JET\CAPI\JET_JOURNAL%20DE%20CAISSE%20V02%20MINIMALISTE.xlsx" TargetMode="External"/><Relationship Id="rId1" Type="http://schemas.openxmlformats.org/officeDocument/2006/relationships/externalLinkPath" Target="file:///X:\AA_DOSSIERS%20EN%20COURS%20GROUPE%20JET\CAPI\JET_JOURNAL%20DE%20CAISSE%20V02%20MINIMALISTE.xlsx" TargetMode="External"/><Relationship Id="rId6" Type="http://schemas.openxmlformats.org/officeDocument/2006/relationships/externalLinkPath" Target="file:///X:\AA_DOSSIERS%20EN%20COURS%20GROUPE%20JET\CAPI\JET_JOURNAL%20DE%20CAISSE%20V02%20MINIMALISTE.xlsx" TargetMode="External"/><Relationship Id="rId5" Type="http://schemas.openxmlformats.org/officeDocument/2006/relationships/externalLinkPath" Target="file:///X:\AA_DOSSIERS%20EN%20COURS%20GROUPE%20JET\CAPI\JET_JOURNAL%20DE%20CAISSE%20V02%20MINIMALISTE.xlsx" TargetMode="External"/><Relationship Id="rId4" Type="http://schemas.openxmlformats.org/officeDocument/2006/relationships/externalLinkPath" Target="file:///X:\AA_DOSSIERS%20EN%20COURS%20GROUPE%20JET\CAPI\JET_JOURNAL%20DE%20CAISSE%20V02%20MINIMALISTE.xlsx" TargetMode="External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V21"/>
  <sheetViews>
    <sheetView showGridLines="0" tabSelected="1" workbookViewId="0">
      <selection activeCell="G27" sqref="G2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15" style="1" bestFit="1" customWidth="1"/>
    <col min="4" max="4" width="15.5546875" style="1" bestFit="1" customWidth="1"/>
    <col min="5" max="5" width="15.88671875" style="3" bestFit="1" customWidth="1"/>
    <col min="6" max="6" width="12.5546875" style="1" bestFit="1" customWidth="1"/>
    <col min="7" max="7" width="9.21875" style="1" customWidth="1"/>
    <col min="8" max="8" width="11.33203125" style="3" bestFit="1" customWidth="1"/>
    <col min="9" max="9" width="18.109375" style="3" bestFit="1" customWidth="1"/>
    <col min="10" max="10" width="17.109375" style="3" bestFit="1" customWidth="1"/>
    <col min="11" max="11" width="10.109375" style="1" bestFit="1" customWidth="1"/>
    <col min="12" max="12" width="10.88671875" style="1" bestFit="1" customWidth="1"/>
    <col min="13" max="13" width="11.44140625" style="1" bestFit="1" customWidth="1"/>
    <col min="14" max="14" width="10.88671875" style="1" customWidth="1"/>
    <col min="15" max="15" width="13" style="1" bestFit="1" customWidth="1"/>
    <col min="16" max="16" width="10.109375" style="1" customWidth="1"/>
    <col min="17" max="17" width="9.33203125" style="1" bestFit="1" customWidth="1"/>
    <col min="18" max="18" width="12.33203125" style="1" bestFit="1" customWidth="1"/>
    <col min="19" max="19" width="9.6640625" style="1" bestFit="1" customWidth="1"/>
    <col min="20" max="20" width="13" style="1" bestFit="1" customWidth="1"/>
    <col min="21" max="21" width="8.88671875" style="1" bestFit="1" customWidth="1"/>
    <col min="22" max="22" width="8.33203125" style="1" bestFit="1" customWidth="1"/>
    <col min="23" max="16384" width="9.109375" style="1"/>
  </cols>
  <sheetData>
    <row r="1" spans="1:22" ht="15" customHeight="1" thickBot="1">
      <c r="A1" s="34"/>
      <c r="B1" s="37">
        <f ca="1">TODAY()</f>
        <v>46314</v>
      </c>
    </row>
    <row r="2" spans="1:22" ht="40.200000000000003" customHeight="1" thickBot="1">
      <c r="B2" s="70" t="s">
        <v>27</v>
      </c>
      <c r="C2" s="71"/>
      <c r="D2" s="72"/>
      <c r="E2" s="72"/>
      <c r="F2" s="72"/>
      <c r="G2" s="73"/>
      <c r="H2" s="10"/>
      <c r="I2" s="10"/>
      <c r="J2" s="10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</row>
    <row r="3" spans="1:22" ht="40.200000000000003" customHeight="1">
      <c r="B3" s="23"/>
      <c r="C3" s="31"/>
      <c r="E3" s="23"/>
      <c r="F3" s="43">
        <v>4900</v>
      </c>
      <c r="G3" s="23"/>
      <c r="H3" s="24"/>
      <c r="I3" s="24"/>
      <c r="J3" s="24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</row>
    <row r="4" spans="1:22" s="12" customFormat="1" ht="15" customHeight="1">
      <c r="C4" s="36">
        <v>46314</v>
      </c>
      <c r="E4" s="14"/>
      <c r="H4" s="14"/>
      <c r="I4" s="14"/>
      <c r="J4" s="14"/>
    </row>
    <row r="5" spans="1:22" customFormat="1" ht="19.95" customHeight="1"/>
    <row r="6" spans="1:22" customFormat="1" ht="15" customHeight="1">
      <c r="B6" s="26" t="s">
        <v>29</v>
      </c>
      <c r="C6" s="33" t="s">
        <v>36</v>
      </c>
      <c r="D6" s="26" t="s">
        <v>35</v>
      </c>
      <c r="E6" s="26" t="s">
        <v>37</v>
      </c>
      <c r="F6" s="26" t="s">
        <v>38</v>
      </c>
      <c r="G6" s="26" t="s">
        <v>39</v>
      </c>
      <c r="H6" s="26" t="s">
        <v>40</v>
      </c>
      <c r="I6" s="26" t="s">
        <v>41</v>
      </c>
      <c r="J6" s="26" t="s">
        <v>42</v>
      </c>
      <c r="K6" s="26" t="s">
        <v>43</v>
      </c>
      <c r="L6" s="26" t="s">
        <v>44</v>
      </c>
      <c r="M6" s="26" t="s">
        <v>45</v>
      </c>
      <c r="N6" s="26" t="s">
        <v>46</v>
      </c>
      <c r="O6" s="26" t="s">
        <v>47</v>
      </c>
      <c r="P6" s="26" t="s">
        <v>48</v>
      </c>
      <c r="Q6" s="26" t="s">
        <v>49</v>
      </c>
      <c r="R6" s="26" t="s">
        <v>50</v>
      </c>
      <c r="S6" s="26" t="s">
        <v>51</v>
      </c>
      <c r="T6" s="26" t="s">
        <v>52</v>
      </c>
    </row>
    <row r="7" spans="1:22" customFormat="1" ht="19.95" customHeight="1">
      <c r="B7" s="27" t="s">
        <v>31</v>
      </c>
      <c r="C7" s="35">
        <v>50000</v>
      </c>
      <c r="D7" s="28">
        <f>SUMIFS(T_Mvts[Encaissement],T_Mvts[Entreprise],B7,T_Mvts[Date],$C$4)</f>
        <v>0</v>
      </c>
      <c r="E7" s="28">
        <f>SUMIFS(T_Mvts[Décaissement],T_Mvts[Entreprise],B7,T_Mvts[Date],$C$4)</f>
        <v>0</v>
      </c>
      <c r="F7" s="28">
        <f>C7+SUMIF(T_Mvts[Entreprise],B7,T_Mvts[Encaissement])-SUMIF(T_Mvts[Entreprise],B7,T_Mvts[Décaissement])</f>
        <v>5000</v>
      </c>
      <c r="G7" s="28">
        <f>SUMIFS(T_Mvts[AG],T_Mvts[Entreprise],B7,T_Mvts[Date],$C$4)</f>
        <v>0</v>
      </c>
      <c r="H7" s="28">
        <f>SUMIFS(T_Mvts[Carburant],T_Mvts[Entreprise],B7,T_Mvts[Date],$C$4)</f>
        <v>0</v>
      </c>
      <c r="I7" s="28">
        <f>SUMIFS(T_Mvts[Missions/MinCce],T_Mvts[Entreprise],B7,T_Mvts[Date],$C$4)</f>
        <v>0</v>
      </c>
      <c r="J7" s="28">
        <f>SUMIFS(T_Mvts[Taxi/peage/PAD],T_Mvts[Entreprise],B7,T_Mvts[Date],$C$4)</f>
        <v>0</v>
      </c>
      <c r="K7" s="28">
        <f>SUMIFS(T_Mvts[Télécom],T_Mvts[Entreprise],B7,T_Mvts[Date],$C$4)</f>
        <v>0</v>
      </c>
      <c r="L7" s="28">
        <f>SUMIFS(T_Mvts[Entretien],T_Mvts[Entreprise],B7,T_Mvts[Date],$C$4)</f>
        <v>0</v>
      </c>
      <c r="M7" s="28">
        <f>SUMIFS(T_Mvts[Electricité],T_Mvts[Entreprise],B7,T_Mvts[Date],$C$4)</f>
        <v>0</v>
      </c>
      <c r="N7" s="28">
        <f>SUMIFS(T_Mvts[Eau],T_Mvts[Entreprise],B7,T_Mvts[Date],$C$4)</f>
        <v>0</v>
      </c>
      <c r="O7" s="28">
        <f>SUMIFS(T_Mvts[Impot/Cnps],T_Mvts[Entreprise],B7,T_Mvts[Date],$C$4)</f>
        <v>0</v>
      </c>
      <c r="P7" s="28">
        <f>SUMIFS(T_Mvts[Loyer],T_Mvts[Entreprise],B7,T_Mvts[Date],$C$4)</f>
        <v>0</v>
      </c>
      <c r="Q7" s="28">
        <f>SUMIFS(T_Mvts[Banque],T_Mvts[Entreprise],B7,T_Mvts[Date],$C$4)</f>
        <v>0</v>
      </c>
      <c r="R7" s="28">
        <f>SUMIFS(T_Mvts[Mat., mob.],T_Mvts[Entreprise],B7,T_Mvts[Date],$C$4)</f>
        <v>0</v>
      </c>
      <c r="S7" s="28">
        <f>SUMIFS(T_Mvts[Salaire],T_Mvts[Entreprise],B7,T_Mvts[Date],$C$4)</f>
        <v>0</v>
      </c>
      <c r="T7" s="28">
        <f>SUMIFS(T_Mvts[Autres],T_Mvts[Entreprise],B7,T_Mvts[Date],$C$4)</f>
        <v>0</v>
      </c>
    </row>
    <row r="8" spans="1:22" customFormat="1">
      <c r="B8" s="27" t="s">
        <v>23</v>
      </c>
      <c r="C8" s="35">
        <v>50000</v>
      </c>
      <c r="D8" s="28">
        <f>SUMIFS(T_Mvts[Encaissement],T_Mvts[Entreprise],B8,T_Mvts[Date],$C$4)</f>
        <v>0</v>
      </c>
      <c r="E8" s="28">
        <f>SUMIFS(T_Mvts[Décaissement],T_Mvts[Entreprise],B8,T_Mvts[Date],$C$4)</f>
        <v>0</v>
      </c>
      <c r="F8" s="28">
        <f>C8+SUMIF(T_Mvts[Entreprise],B8,T_Mvts[Encaissement])-SUMIF(T_Mvts[Entreprise],B8,T_Mvts[Décaissement])</f>
        <v>50000</v>
      </c>
      <c r="G8" s="28">
        <f>SUMIFS(T_Mvts[AG],T_Mvts[Entreprise],B8,T_Mvts[Date],$C$4)</f>
        <v>0</v>
      </c>
      <c r="H8" s="28">
        <f>SUMIFS(T_Mvts[Carburant],T_Mvts[Entreprise],B8,T_Mvts[Date],$C$4)</f>
        <v>0</v>
      </c>
      <c r="I8" s="28">
        <f>SUMIFS(T_Mvts[Missions/MinCce],T_Mvts[Entreprise],B8,T_Mvts[Date],$C$4)</f>
        <v>0</v>
      </c>
      <c r="J8" s="28">
        <f>SUMIFS(T_Mvts[Taxi/peage/PAD],T_Mvts[Entreprise],B8,T_Mvts[Date],$C$4)</f>
        <v>0</v>
      </c>
      <c r="K8" s="28">
        <f>SUMIFS(T_Mvts[Télécom],T_Mvts[Entreprise],B8,T_Mvts[Date],$C$4)</f>
        <v>0</v>
      </c>
      <c r="L8" s="28">
        <f>SUMIFS(T_Mvts[Entretien],T_Mvts[Entreprise],B8,T_Mvts[Date],$C$4)</f>
        <v>0</v>
      </c>
      <c r="M8" s="28">
        <f>SUMIFS(T_Mvts[Electricité],T_Mvts[Entreprise],B8,T_Mvts[Date],$C$4)</f>
        <v>0</v>
      </c>
      <c r="N8" s="28">
        <f>SUMIFS(T_Mvts[Eau],T_Mvts[Entreprise],B8,T_Mvts[Date],$C$4)</f>
        <v>0</v>
      </c>
      <c r="O8" s="28">
        <f>SUMIFS(T_Mvts[Impot/Cnps],T_Mvts[Entreprise],B8,T_Mvts[Date],$C$4)</f>
        <v>0</v>
      </c>
      <c r="P8" s="28">
        <f>SUMIFS(T_Mvts[Loyer],T_Mvts[Entreprise],B8,T_Mvts[Date],$C$4)</f>
        <v>0</v>
      </c>
      <c r="Q8" s="28">
        <f>SUMIFS(T_Mvts[Banque],T_Mvts[Entreprise],B8,T_Mvts[Date],$C$4)</f>
        <v>0</v>
      </c>
      <c r="R8" s="28">
        <f>SUMIFS(T_Mvts[Mat., mob.],T_Mvts[Entreprise],B8,T_Mvts[Date],$C$4)</f>
        <v>0</v>
      </c>
      <c r="S8" s="28">
        <f>SUMIFS(T_Mvts[Salaire],T_Mvts[Entreprise],B8,T_Mvts[Date],$C$4)</f>
        <v>0</v>
      </c>
      <c r="T8" s="28">
        <f>SUMIFS(T_Mvts[Autres],T_Mvts[Entreprise],B8,T_Mvts[Date],$C$4)</f>
        <v>0</v>
      </c>
    </row>
    <row r="9" spans="1:22" customFormat="1">
      <c r="B9" s="27" t="s">
        <v>32</v>
      </c>
      <c r="C9" s="35">
        <v>50000</v>
      </c>
      <c r="D9" s="28">
        <f>SUMIFS(T_Mvts[Encaissement],T_Mvts[Entreprise],B9,T_Mvts[Date],$C$4)</f>
        <v>0</v>
      </c>
      <c r="E9" s="28">
        <f>SUMIFS(T_Mvts[Décaissement],T_Mvts[Entreprise],B9,T_Mvts[Date],$C$4)</f>
        <v>0</v>
      </c>
      <c r="F9" s="28">
        <f>C9+SUMIF(T_Mvts[Entreprise],B9,T_Mvts[Encaissement])-SUMIF(T_Mvts[Entreprise],B9,T_Mvts[Décaissement])</f>
        <v>50000</v>
      </c>
      <c r="G9" s="28">
        <f>SUMIFS(T_Mvts[AG],T_Mvts[Entreprise],B9,T_Mvts[Date],$C$4)</f>
        <v>0</v>
      </c>
      <c r="H9" s="28">
        <f>SUMIFS(T_Mvts[Carburant],T_Mvts[Entreprise],B9,T_Mvts[Date],$C$4)</f>
        <v>0</v>
      </c>
      <c r="I9" s="28">
        <f>SUMIFS(T_Mvts[Missions/MinCce],T_Mvts[Entreprise],B9,T_Mvts[Date],$C$4)</f>
        <v>0</v>
      </c>
      <c r="J9" s="28">
        <f>SUMIFS(T_Mvts[Taxi/peage/PAD],T_Mvts[Entreprise],B9,T_Mvts[Date],$C$4)</f>
        <v>0</v>
      </c>
      <c r="K9" s="28">
        <f>SUMIFS(T_Mvts[Télécom],T_Mvts[Entreprise],B9,T_Mvts[Date],$C$4)</f>
        <v>0</v>
      </c>
      <c r="L9" s="28">
        <f>SUMIFS(T_Mvts[Entretien],T_Mvts[Entreprise],B9,T_Mvts[Date],$C$4)</f>
        <v>0</v>
      </c>
      <c r="M9" s="28">
        <f>SUMIFS(T_Mvts[Electricité],T_Mvts[Entreprise],B9,T_Mvts[Date],$C$4)</f>
        <v>0</v>
      </c>
      <c r="N9" s="28">
        <f>SUMIFS(T_Mvts[Eau],T_Mvts[Entreprise],B9,T_Mvts[Date],$C$4)</f>
        <v>0</v>
      </c>
      <c r="O9" s="28">
        <f>SUMIFS(T_Mvts[Impot/Cnps],T_Mvts[Entreprise],B9,T_Mvts[Date],$C$4)</f>
        <v>0</v>
      </c>
      <c r="P9" s="28">
        <f>SUMIFS(T_Mvts[Loyer],T_Mvts[Entreprise],B9,T_Mvts[Date],$C$4)</f>
        <v>0</v>
      </c>
      <c r="Q9" s="28">
        <f>SUMIFS(T_Mvts[Banque],T_Mvts[Entreprise],B9,T_Mvts[Date],$C$4)</f>
        <v>0</v>
      </c>
      <c r="R9" s="28">
        <f>SUMIFS(T_Mvts[Mat., mob.],T_Mvts[Entreprise],B9,T_Mvts[Date],$C$4)</f>
        <v>0</v>
      </c>
      <c r="S9" s="28">
        <f>SUMIFS(T_Mvts[Salaire],T_Mvts[Entreprise],B9,T_Mvts[Date],$C$4)</f>
        <v>0</v>
      </c>
      <c r="T9" s="28">
        <f>SUMIFS(T_Mvts[Autres],T_Mvts[Entreprise],B9,T_Mvts[Date],$C$4)</f>
        <v>0</v>
      </c>
    </row>
    <row r="10" spans="1:22" customFormat="1">
      <c r="B10" s="27" t="s">
        <v>24</v>
      </c>
      <c r="C10" s="35">
        <v>50000</v>
      </c>
      <c r="D10" s="28">
        <f>SUMIFS(T_Mvts[Encaissement],T_Mvts[Entreprise],B10,T_Mvts[Date],$C$4)</f>
        <v>0</v>
      </c>
      <c r="E10" s="28">
        <f>SUMIFS(T_Mvts[Décaissement],T_Mvts[Entreprise],B10,T_Mvts[Date],$C$4)</f>
        <v>0</v>
      </c>
      <c r="F10" s="28">
        <f>C10+SUMIF(T_Mvts[Entreprise],B10,T_Mvts[Encaissement])-SUMIF(T_Mvts[Entreprise],B10,T_Mvts[Décaissement])</f>
        <v>50000</v>
      </c>
      <c r="G10" s="28">
        <f>SUMIFS(T_Mvts[AG],T_Mvts[Entreprise],B10,T_Mvts[Date],$C$4)</f>
        <v>0</v>
      </c>
      <c r="H10" s="28">
        <f>SUMIFS(T_Mvts[Carburant],T_Mvts[Entreprise],B10,T_Mvts[Date],$C$4)</f>
        <v>0</v>
      </c>
      <c r="I10" s="28">
        <f>SUMIFS(T_Mvts[Missions/MinCce],T_Mvts[Entreprise],B10,T_Mvts[Date],$C$4)</f>
        <v>0</v>
      </c>
      <c r="J10" s="28">
        <f>SUMIFS(T_Mvts[Taxi/peage/PAD],T_Mvts[Entreprise],B10,T_Mvts[Date],$C$4)</f>
        <v>0</v>
      </c>
      <c r="K10" s="28">
        <f>SUMIFS(T_Mvts[Télécom],T_Mvts[Entreprise],B10,T_Mvts[Date],$C$4)</f>
        <v>0</v>
      </c>
      <c r="L10" s="28">
        <f>SUMIFS(T_Mvts[Entretien],T_Mvts[Entreprise],B10,T_Mvts[Date],$C$4)</f>
        <v>0</v>
      </c>
      <c r="M10" s="28">
        <f>SUMIFS(T_Mvts[Electricité],T_Mvts[Entreprise],B10,T_Mvts[Date],$C$4)</f>
        <v>0</v>
      </c>
      <c r="N10" s="28">
        <f>SUMIFS(T_Mvts[Eau],T_Mvts[Entreprise],B10,T_Mvts[Date],$C$4)</f>
        <v>0</v>
      </c>
      <c r="O10" s="28">
        <f>SUMIFS(T_Mvts[Impot/Cnps],T_Mvts[Entreprise],B10,T_Mvts[Date],$C$4)</f>
        <v>0</v>
      </c>
      <c r="P10" s="28">
        <f>SUMIFS(T_Mvts[Loyer],T_Mvts[Entreprise],B10,T_Mvts[Date],$C$4)</f>
        <v>0</v>
      </c>
      <c r="Q10" s="28">
        <f>SUMIFS(T_Mvts[Banque],T_Mvts[Entreprise],B10,T_Mvts[Date],$C$4)</f>
        <v>0</v>
      </c>
      <c r="R10" s="28">
        <f>SUMIFS(T_Mvts[Mat., mob.],T_Mvts[Entreprise],B10,T_Mvts[Date],$C$4)</f>
        <v>0</v>
      </c>
      <c r="S10" s="28">
        <f>SUMIFS(T_Mvts[Salaire],T_Mvts[Entreprise],B10,T_Mvts[Date],$C$4)</f>
        <v>0</v>
      </c>
      <c r="T10" s="28">
        <f>SUMIFS(T_Mvts[Autres],T_Mvts[Entreprise],B10,T_Mvts[Date],$C$4)</f>
        <v>0</v>
      </c>
    </row>
    <row r="11" spans="1:22" customFormat="1">
      <c r="B11" s="27" t="s">
        <v>25</v>
      </c>
      <c r="C11" s="35">
        <v>50000</v>
      </c>
      <c r="D11" s="28">
        <f>SUMIFS(T_Mvts[Encaissement],T_Mvts[Entreprise],B11,T_Mvts[Date],$C$4)</f>
        <v>0</v>
      </c>
      <c r="E11" s="28">
        <f>SUMIFS(T_Mvts[Décaissement],T_Mvts[Entreprise],B11,T_Mvts[Date],$C$4)</f>
        <v>0</v>
      </c>
      <c r="F11" s="28">
        <f>C11+SUMIF(T_Mvts[Entreprise],B11,T_Mvts[Encaissement])-SUMIF(T_Mvts[Entreprise],B11,T_Mvts[Décaissement])</f>
        <v>50000</v>
      </c>
      <c r="G11" s="28">
        <f>SUMIFS(T_Mvts[AG],T_Mvts[Entreprise],B11,T_Mvts[Date],$C$4)</f>
        <v>0</v>
      </c>
      <c r="H11" s="28">
        <f>SUMIFS(T_Mvts[Carburant],T_Mvts[Entreprise],B11,T_Mvts[Date],$C$4)</f>
        <v>0</v>
      </c>
      <c r="I11" s="28">
        <f>SUMIFS(T_Mvts[Missions/MinCce],T_Mvts[Entreprise],B11,T_Mvts[Date],$C$4)</f>
        <v>0</v>
      </c>
      <c r="J11" s="28">
        <f>SUMIFS(T_Mvts[Taxi/peage/PAD],T_Mvts[Entreprise],B11,T_Mvts[Date],$C$4)</f>
        <v>0</v>
      </c>
      <c r="K11" s="28">
        <f>SUMIFS(T_Mvts[Télécom],T_Mvts[Entreprise],B11,T_Mvts[Date],$C$4)</f>
        <v>0</v>
      </c>
      <c r="L11" s="28">
        <f>SUMIFS(T_Mvts[Entretien],T_Mvts[Entreprise],B11,T_Mvts[Date],$C$4)</f>
        <v>0</v>
      </c>
      <c r="M11" s="28">
        <f>SUMIFS(T_Mvts[Electricité],T_Mvts[Entreprise],B11,T_Mvts[Date],$C$4)</f>
        <v>0</v>
      </c>
      <c r="N11" s="28">
        <f>SUMIFS(T_Mvts[Eau],T_Mvts[Entreprise],B11,T_Mvts[Date],$C$4)</f>
        <v>0</v>
      </c>
      <c r="O11" s="28">
        <f>SUMIFS(T_Mvts[Impot/Cnps],T_Mvts[Entreprise],B11,T_Mvts[Date],$C$4)</f>
        <v>0</v>
      </c>
      <c r="P11" s="28">
        <f>SUMIFS(T_Mvts[Loyer],T_Mvts[Entreprise],B11,T_Mvts[Date],$C$4)</f>
        <v>0</v>
      </c>
      <c r="Q11" s="28">
        <f>SUMIFS(T_Mvts[Banque],T_Mvts[Entreprise],B11,T_Mvts[Date],$C$4)</f>
        <v>0</v>
      </c>
      <c r="R11" s="28">
        <f>SUMIFS(T_Mvts[Mat., mob.],T_Mvts[Entreprise],B11,T_Mvts[Date],$C$4)</f>
        <v>0</v>
      </c>
      <c r="S11" s="28">
        <f>SUMIFS(T_Mvts[Salaire],T_Mvts[Entreprise],B11,T_Mvts[Date],$C$4)</f>
        <v>0</v>
      </c>
      <c r="T11" s="28">
        <f>SUMIFS(T_Mvts[Autres],T_Mvts[Entreprise],B11,T_Mvts[Date],$C$4)</f>
        <v>0</v>
      </c>
    </row>
    <row r="12" spans="1:22" customFormat="1">
      <c r="B12" s="27" t="s">
        <v>26</v>
      </c>
      <c r="C12" s="35">
        <v>50000</v>
      </c>
      <c r="D12" s="28">
        <f>SUMIFS(T_Mvts[Encaissement],T_Mvts[Entreprise],B12,T_Mvts[Date],$C$4)</f>
        <v>0</v>
      </c>
      <c r="E12" s="28">
        <f>SUMIFS(T_Mvts[Décaissement],T_Mvts[Entreprise],B12,T_Mvts[Date],$C$4)</f>
        <v>0</v>
      </c>
      <c r="F12" s="28">
        <f>C12+SUMIF(T_Mvts[Entreprise],B12,T_Mvts[Encaissement])-SUMIF(T_Mvts[Entreprise],B12,T_Mvts[Décaissement])</f>
        <v>50000</v>
      </c>
      <c r="G12" s="28">
        <f>SUMIFS(T_Mvts[AG],T_Mvts[Entreprise],B12,T_Mvts[Date],$C$4)</f>
        <v>0</v>
      </c>
      <c r="H12" s="28">
        <f>SUMIFS(T_Mvts[Carburant],T_Mvts[Entreprise],B12,T_Mvts[Date],$C$4)</f>
        <v>0</v>
      </c>
      <c r="I12" s="28">
        <f>SUMIFS(T_Mvts[Missions/MinCce],T_Mvts[Entreprise],B12,T_Mvts[Date],$C$4)</f>
        <v>0</v>
      </c>
      <c r="J12" s="28">
        <f>SUMIFS(T_Mvts[Taxi/peage/PAD],T_Mvts[Entreprise],B12,T_Mvts[Date],$C$4)</f>
        <v>0</v>
      </c>
      <c r="K12" s="28">
        <f>SUMIFS(T_Mvts[Télécom],T_Mvts[Entreprise],B12,T_Mvts[Date],$C$4)</f>
        <v>0</v>
      </c>
      <c r="L12" s="28">
        <f>SUMIFS(T_Mvts[Entretien],T_Mvts[Entreprise],B12,T_Mvts[Date],$C$4)</f>
        <v>0</v>
      </c>
      <c r="M12" s="28">
        <f>SUMIFS(T_Mvts[Electricité],T_Mvts[Entreprise],B12,T_Mvts[Date],$C$4)</f>
        <v>0</v>
      </c>
      <c r="N12" s="28">
        <f>SUMIFS(T_Mvts[Eau],T_Mvts[Entreprise],B12,T_Mvts[Date],$C$4)</f>
        <v>0</v>
      </c>
      <c r="O12" s="28">
        <f>SUMIFS(T_Mvts[Impot/Cnps],T_Mvts[Entreprise],B12,T_Mvts[Date],$C$4)</f>
        <v>0</v>
      </c>
      <c r="P12" s="28">
        <f>SUMIFS(T_Mvts[Loyer],T_Mvts[Entreprise],B12,T_Mvts[Date],$C$4)</f>
        <v>0</v>
      </c>
      <c r="Q12" s="28">
        <f>SUMIFS(T_Mvts[Banque],T_Mvts[Entreprise],B12,T_Mvts[Date],$C$4)</f>
        <v>0</v>
      </c>
      <c r="R12" s="28">
        <f>SUMIFS(T_Mvts[Mat., mob.],T_Mvts[Entreprise],B12,T_Mvts[Date],$C$4)</f>
        <v>0</v>
      </c>
      <c r="S12" s="28">
        <f>SUMIFS(T_Mvts[Salaire],T_Mvts[Entreprise],B12,T_Mvts[Date],$C$4)</f>
        <v>0</v>
      </c>
      <c r="T12" s="28">
        <f>SUMIFS(T_Mvts[Autres],T_Mvts[Entreprise],B12,T_Mvts[Date],$C$4)</f>
        <v>0</v>
      </c>
    </row>
    <row r="13" spans="1:22" customFormat="1">
      <c r="B13" s="27" t="s">
        <v>33</v>
      </c>
      <c r="C13" s="35">
        <v>50000</v>
      </c>
      <c r="D13" s="28">
        <f>SUMIFS(T_Mvts[Encaissement],T_Mvts[Entreprise],B13,T_Mvts[Date],$C$4)</f>
        <v>0</v>
      </c>
      <c r="E13" s="28">
        <f>SUMIFS(T_Mvts[Décaissement],T_Mvts[Entreprise],B13,T_Mvts[Date],$C$4)</f>
        <v>0</v>
      </c>
      <c r="F13" s="28">
        <f>C13+SUMIF(T_Mvts[Entreprise],B13,T_Mvts[Encaissement])-SUMIF(T_Mvts[Entreprise],B13,T_Mvts[Décaissement])</f>
        <v>50000</v>
      </c>
      <c r="G13" s="28">
        <f>SUMIFS(T_Mvts[AG],T_Mvts[Entreprise],B13,T_Mvts[Date],$C$4)</f>
        <v>0</v>
      </c>
      <c r="H13" s="28">
        <f>SUMIFS(T_Mvts[Carburant],T_Mvts[Entreprise],B13,T_Mvts[Date],$C$4)</f>
        <v>0</v>
      </c>
      <c r="I13" s="28">
        <f>SUMIFS(T_Mvts[Missions/MinCce],T_Mvts[Entreprise],B13,T_Mvts[Date],$C$4)</f>
        <v>0</v>
      </c>
      <c r="J13" s="28">
        <f>SUMIFS(T_Mvts[Taxi/peage/PAD],T_Mvts[Entreprise],B13,T_Mvts[Date],$C$4)</f>
        <v>0</v>
      </c>
      <c r="K13" s="28">
        <f>SUMIFS(T_Mvts[Télécom],T_Mvts[Entreprise],B13,T_Mvts[Date],$C$4)</f>
        <v>0</v>
      </c>
      <c r="L13" s="28">
        <f>SUMIFS(T_Mvts[Entretien],T_Mvts[Entreprise],B13,T_Mvts[Date],$C$4)</f>
        <v>0</v>
      </c>
      <c r="M13" s="28">
        <f>SUMIFS(T_Mvts[Electricité],T_Mvts[Entreprise],B13,T_Mvts[Date],$C$4)</f>
        <v>0</v>
      </c>
      <c r="N13" s="28">
        <f>SUMIFS(T_Mvts[Eau],T_Mvts[Entreprise],B13,T_Mvts[Date],$C$4)</f>
        <v>0</v>
      </c>
      <c r="O13" s="28">
        <f>SUMIFS(T_Mvts[Impot/Cnps],T_Mvts[Entreprise],B13,T_Mvts[Date],$C$4)</f>
        <v>0</v>
      </c>
      <c r="P13" s="28">
        <f>SUMIFS(T_Mvts[Loyer],T_Mvts[Entreprise],B13,T_Mvts[Date],$C$4)</f>
        <v>0</v>
      </c>
      <c r="Q13" s="28">
        <f>SUMIFS(T_Mvts[Banque],T_Mvts[Entreprise],B13,T_Mvts[Date],$C$4)</f>
        <v>0</v>
      </c>
      <c r="R13" s="28">
        <f>SUMIFS(T_Mvts[Mat., mob.],T_Mvts[Entreprise],B13,T_Mvts[Date],$C$4)</f>
        <v>0</v>
      </c>
      <c r="S13" s="28">
        <f>SUMIFS(T_Mvts[Salaire],T_Mvts[Entreprise],B13,T_Mvts[Date],$C$4)</f>
        <v>0</v>
      </c>
      <c r="T13" s="28">
        <f>SUMIFS(T_Mvts[Autres],T_Mvts[Entreprise],B13,T_Mvts[Date],$C$4)</f>
        <v>0</v>
      </c>
    </row>
    <row r="14" spans="1:22" customFormat="1">
      <c r="B14" s="27" t="s">
        <v>34</v>
      </c>
      <c r="C14" s="35">
        <v>50000</v>
      </c>
      <c r="D14" s="28">
        <f>SUMIFS(T_Mvts[Encaissement],T_Mvts[Entreprise],B14,T_Mvts[Date],$C$4)</f>
        <v>0</v>
      </c>
      <c r="E14" s="28">
        <f>SUMIFS(T_Mvts[Décaissement],T_Mvts[Entreprise],B14,T_Mvts[Date],$C$4)</f>
        <v>0</v>
      </c>
      <c r="F14" s="28">
        <f>C14+SUMIF(T_Mvts[Entreprise],B14,T_Mvts[Encaissement])-SUMIF(T_Mvts[Entreprise],B14,T_Mvts[Décaissement])</f>
        <v>50000</v>
      </c>
      <c r="G14" s="28">
        <f>SUMIFS(T_Mvts[AG],T_Mvts[Entreprise],B14,T_Mvts[Date],$C$4)</f>
        <v>0</v>
      </c>
      <c r="H14" s="28">
        <f>SUMIFS(T_Mvts[Carburant],T_Mvts[Entreprise],B14,T_Mvts[Date],$C$4)</f>
        <v>0</v>
      </c>
      <c r="I14" s="28">
        <f>SUMIFS(T_Mvts[Missions/MinCce],T_Mvts[Entreprise],B14,T_Mvts[Date],$C$4)</f>
        <v>0</v>
      </c>
      <c r="J14" s="28">
        <f>SUMIFS(T_Mvts[Taxi/peage/PAD],T_Mvts[Entreprise],B14,T_Mvts[Date],$C$4)</f>
        <v>0</v>
      </c>
      <c r="K14" s="28">
        <f>SUMIFS(T_Mvts[Télécom],T_Mvts[Entreprise],B14,T_Mvts[Date],$C$4)</f>
        <v>0</v>
      </c>
      <c r="L14" s="28">
        <f>SUMIFS(T_Mvts[Entretien],T_Mvts[Entreprise],B14,T_Mvts[Date],$C$4)</f>
        <v>0</v>
      </c>
      <c r="M14" s="28">
        <f>SUMIFS(T_Mvts[Electricité],T_Mvts[Entreprise],B14,T_Mvts[Date],$C$4)</f>
        <v>0</v>
      </c>
      <c r="N14" s="28">
        <f>SUMIFS(T_Mvts[Eau],T_Mvts[Entreprise],B14,T_Mvts[Date],$C$4)</f>
        <v>0</v>
      </c>
      <c r="O14" s="28">
        <f>SUMIFS(T_Mvts[Impot/Cnps],T_Mvts[Entreprise],B14,T_Mvts[Date],$C$4)</f>
        <v>0</v>
      </c>
      <c r="P14" s="28">
        <f>SUMIFS(T_Mvts[Loyer],T_Mvts[Entreprise],B14,T_Mvts[Date],$C$4)</f>
        <v>0</v>
      </c>
      <c r="Q14" s="28">
        <f>SUMIFS(T_Mvts[Banque],T_Mvts[Entreprise],B14,T_Mvts[Date],$C$4)</f>
        <v>0</v>
      </c>
      <c r="R14" s="28">
        <f>SUMIFS(T_Mvts[Mat., mob.],T_Mvts[Entreprise],B14,T_Mvts[Date],$C$4)</f>
        <v>0</v>
      </c>
      <c r="S14" s="28">
        <f>SUMIFS(T_Mvts[Salaire],T_Mvts[Entreprise],B14,T_Mvts[Date],$C$4)</f>
        <v>0</v>
      </c>
      <c r="T14" s="28">
        <f>SUMIFS(T_Mvts[Autres],T_Mvts[Entreprise],B14,T_Mvts[Date],$C$4)</f>
        <v>0</v>
      </c>
    </row>
    <row r="15" spans="1:22" customFormat="1">
      <c r="B15" s="29" t="s">
        <v>30</v>
      </c>
      <c r="C15" s="29"/>
      <c r="D15" s="30">
        <f t="shared" ref="D15:T15" si="0">SUM(D7:D14)</f>
        <v>0</v>
      </c>
      <c r="E15" s="30">
        <f t="shared" si="0"/>
        <v>0</v>
      </c>
      <c r="F15" s="30">
        <f t="shared" si="0"/>
        <v>355000</v>
      </c>
      <c r="G15" s="30">
        <f t="shared" si="0"/>
        <v>0</v>
      </c>
      <c r="H15" s="30">
        <f t="shared" si="0"/>
        <v>0</v>
      </c>
      <c r="I15" s="30">
        <f t="shared" si="0"/>
        <v>0</v>
      </c>
      <c r="J15" s="30">
        <f t="shared" si="0"/>
        <v>0</v>
      </c>
      <c r="K15" s="30">
        <f t="shared" si="0"/>
        <v>0</v>
      </c>
      <c r="L15" s="30">
        <f t="shared" si="0"/>
        <v>0</v>
      </c>
      <c r="M15" s="30">
        <f t="shared" si="0"/>
        <v>0</v>
      </c>
      <c r="N15" s="30">
        <f t="shared" si="0"/>
        <v>0</v>
      </c>
      <c r="O15" s="30">
        <f t="shared" si="0"/>
        <v>0</v>
      </c>
      <c r="P15" s="30">
        <f t="shared" si="0"/>
        <v>0</v>
      </c>
      <c r="Q15" s="30">
        <f t="shared" si="0"/>
        <v>0</v>
      </c>
      <c r="R15" s="30">
        <f t="shared" si="0"/>
        <v>0</v>
      </c>
      <c r="S15" s="30">
        <f t="shared" si="0"/>
        <v>0</v>
      </c>
      <c r="T15" s="30">
        <f t="shared" si="0"/>
        <v>0</v>
      </c>
    </row>
    <row r="20" spans="6:7">
      <c r="F20" s="42"/>
      <c r="G20" s="42"/>
    </row>
    <row r="21" spans="6:7">
      <c r="F21" s="32"/>
    </row>
  </sheetData>
  <dataConsolidate topLabels="1" link="1">
    <dataRefs count="7">
      <dataRef ref="B7:V8" sheet="CAPI" r:id="rId1"/>
      <dataRef ref="B7:V8" sheet="CFPM-JET" r:id="rId2"/>
      <dataRef ref="B7:V8" sheet="GICCOPACAM" r:id="rId3"/>
      <dataRef ref="B7:V8" sheet="JET INDUSTRY" r:id="rId4"/>
      <dataRef ref="B7:V8" sheet="JET INVESTMENT" r:id="rId5"/>
      <dataRef ref="B7:V8" sheet="KENZO" r:id="rId6"/>
      <dataRef ref="B7:V8" sheet="SCI-JET" r:id="rId7"/>
    </dataRefs>
  </dataConsolidate>
  <mergeCells count="1">
    <mergeCell ref="B2:G2"/>
  </mergeCells>
  <printOptions horizontalCentered="1"/>
  <pageMargins left="0.75" right="0.75" top="1" bottom="1" header="0.5" footer="0.5"/>
  <pageSetup paperSize="9" scale="84" fitToHeight="0" orientation="portrait" r:id="rId8"/>
  <headerFooter alignWithMargins="0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0"/>
  <sheetViews>
    <sheetView workbookViewId="0">
      <selection activeCell="C4" sqref="C4"/>
    </sheetView>
  </sheetViews>
  <sheetFormatPr baseColWidth="10" defaultRowHeight="13.2"/>
  <cols>
    <col min="1" max="1" width="3.44140625" customWidth="1"/>
    <col min="2" max="2" width="15.33203125" customWidth="1"/>
    <col min="3" max="3" width="15.44140625" customWidth="1"/>
    <col min="4" max="4" width="15" customWidth="1"/>
    <col min="5" max="5" width="15.21875" customWidth="1"/>
    <col min="9" max="9" width="16.44140625" customWidth="1"/>
  </cols>
  <sheetData>
    <row r="1" spans="1:21" ht="36" customHeight="1" thickBot="1">
      <c r="A1" s="34"/>
      <c r="B1" s="37">
        <f ca="1">TODAY()</f>
        <v>46314</v>
      </c>
      <c r="C1" s="1"/>
      <c r="D1" s="1"/>
      <c r="E1" s="3"/>
      <c r="F1" s="1"/>
      <c r="G1" s="1"/>
      <c r="H1" s="3"/>
      <c r="I1" s="3"/>
      <c r="J1" s="3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28.2" thickBot="1">
      <c r="A2" s="1"/>
      <c r="B2" s="74" t="s">
        <v>56</v>
      </c>
      <c r="C2" s="75"/>
      <c r="D2" s="76"/>
      <c r="E2" s="60" t="s">
        <v>57</v>
      </c>
      <c r="F2" s="77"/>
      <c r="G2" s="78"/>
      <c r="H2" s="10"/>
      <c r="I2" s="10"/>
      <c r="J2" s="10"/>
      <c r="K2" s="9"/>
      <c r="L2" s="9"/>
      <c r="M2" s="9"/>
      <c r="N2" s="9"/>
      <c r="O2" s="9"/>
      <c r="P2" s="9"/>
      <c r="Q2" s="9"/>
      <c r="R2" s="9"/>
      <c r="S2" s="9"/>
      <c r="T2" s="9"/>
      <c r="U2" s="9"/>
    </row>
    <row r="3" spans="1:21" ht="27.6">
      <c r="A3" s="1"/>
      <c r="B3" s="61" t="s">
        <v>29</v>
      </c>
      <c r="C3" s="31"/>
      <c r="D3" s="79" t="s">
        <v>31</v>
      </c>
      <c r="E3" s="79"/>
      <c r="F3" s="23"/>
      <c r="G3" s="23"/>
      <c r="H3" s="24"/>
      <c r="I3" s="24"/>
      <c r="J3" s="24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</row>
    <row r="4" spans="1:21" ht="27" customHeight="1">
      <c r="A4" s="12"/>
      <c r="B4" s="12"/>
      <c r="C4" s="36">
        <v>46314</v>
      </c>
      <c r="D4" s="12"/>
      <c r="E4" s="14"/>
      <c r="F4" s="12"/>
      <c r="G4" s="12"/>
      <c r="H4" s="14"/>
      <c r="I4" s="14"/>
      <c r="J4" s="14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6" spans="1:21" ht="43.2">
      <c r="B6" s="62" t="s">
        <v>58</v>
      </c>
      <c r="C6" s="63" t="s">
        <v>59</v>
      </c>
      <c r="D6" s="64" t="s">
        <v>60</v>
      </c>
      <c r="E6" s="64" t="s">
        <v>61</v>
      </c>
      <c r="F6" s="64" t="s">
        <v>38</v>
      </c>
      <c r="G6" s="64" t="s">
        <v>39</v>
      </c>
      <c r="H6" s="64" t="s">
        <v>40</v>
      </c>
      <c r="I6" s="64" t="s">
        <v>41</v>
      </c>
      <c r="J6" s="64" t="s">
        <v>42</v>
      </c>
      <c r="K6" s="64" t="s">
        <v>43</v>
      </c>
      <c r="L6" s="64" t="s">
        <v>44</v>
      </c>
      <c r="M6" s="64" t="s">
        <v>45</v>
      </c>
      <c r="N6" s="64" t="s">
        <v>46</v>
      </c>
      <c r="O6" s="64" t="s">
        <v>47</v>
      </c>
      <c r="P6" s="64" t="s">
        <v>48</v>
      </c>
      <c r="Q6" s="64" t="s">
        <v>49</v>
      </c>
      <c r="R6" s="64" t="s">
        <v>50</v>
      </c>
      <c r="S6" s="64" t="s">
        <v>51</v>
      </c>
      <c r="T6" s="64" t="s">
        <v>52</v>
      </c>
    </row>
    <row r="7" spans="1:21" ht="14.4">
      <c r="B7" s="69"/>
      <c r="C7" s="67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</row>
    <row r="8" spans="1:21">
      <c r="B8" s="83" t="s">
        <v>1</v>
      </c>
      <c r="C8" s="84"/>
      <c r="D8" s="85">
        <f>SUBTOTAL(109,T_Journal[Encaissements])</f>
        <v>0</v>
      </c>
      <c r="E8" s="85">
        <f>SUBTOTAL(109,T_Journal[Décaissements])</f>
        <v>0</v>
      </c>
      <c r="F8" s="84"/>
      <c r="G8" s="85">
        <f>SUBTOTAL(109,T_Journal[∑ AG])</f>
        <v>0</v>
      </c>
      <c r="H8" s="85">
        <f>SUBTOTAL(109,T_Journal[∑ Carburant])</f>
        <v>0</v>
      </c>
      <c r="I8" s="85">
        <f>SUBTOTAL(109,T_Journal[∑ Missions/MinCce])</f>
        <v>0</v>
      </c>
      <c r="J8" s="85">
        <f>SUBTOTAL(109,T_Journal[∑ Taxi/peage/PAD])</f>
        <v>0</v>
      </c>
      <c r="K8" s="85">
        <f>SUBTOTAL(109,T_Journal[∑ Télécom])</f>
        <v>0</v>
      </c>
      <c r="L8" s="85">
        <f>SUBTOTAL(109,T_Journal[∑ Entretien])</f>
        <v>0</v>
      </c>
      <c r="M8" s="85">
        <f>SUBTOTAL(109,T_Journal[∑ Électricité])</f>
        <v>0</v>
      </c>
      <c r="N8" s="85">
        <f>SUBTOTAL(109,T_Journal[∑ Eau])</f>
        <v>0</v>
      </c>
      <c r="O8" s="85">
        <f>SUBTOTAL(109,T_Journal[∑ Impot/Cnps])</f>
        <v>0</v>
      </c>
      <c r="P8" s="85">
        <f>SUBTOTAL(109,T_Journal[∑ Loyer])</f>
        <v>0</v>
      </c>
      <c r="Q8" s="85">
        <f>SUBTOTAL(109,T_Journal[∑ Banque])</f>
        <v>0</v>
      </c>
      <c r="R8" s="85">
        <f>SUBTOTAL(109,T_Journal[∑ Mat., mob.])</f>
        <v>0</v>
      </c>
      <c r="S8" s="85">
        <f>SUBTOTAL(109,T_Journal[∑ Salaire])</f>
        <v>0</v>
      </c>
      <c r="T8" s="85">
        <f>SUBTOTAL(109,T_Journal[∑ Autres])</f>
        <v>0</v>
      </c>
    </row>
    <row r="10" spans="1:21">
      <c r="B10" s="65" t="s">
        <v>62</v>
      </c>
      <c r="C10" s="66"/>
      <c r="D10" s="65" t="s">
        <v>63</v>
      </c>
    </row>
  </sheetData>
  <mergeCells count="3">
    <mergeCell ref="B2:D2"/>
    <mergeCell ref="F2:G2"/>
    <mergeCell ref="D3:E3"/>
  </mergeCells>
  <dataValidations count="1">
    <dataValidation type="list" allowBlank="1" showInputMessage="1" showErrorMessage="1" sqref="D3:E3">
      <formula1>Entreprises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A1:W14"/>
  <sheetViews>
    <sheetView showGridLines="0" workbookViewId="0">
      <selection activeCell="D22" sqref="D22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35.88671875" style="3" customWidth="1"/>
    <col min="5" max="5" width="36.109375" style="1" customWidth="1"/>
    <col min="6" max="6" width="27.109375" style="1" customWidth="1"/>
    <col min="7" max="7" width="17.6640625" style="3" customWidth="1"/>
    <col min="8" max="8" width="13.44140625" style="3" customWidth="1"/>
    <col min="9" max="9" width="16.88671875" style="3" customWidth="1"/>
    <col min="10" max="10" width="17.33203125" style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10.6640625" style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11.33203125" style="1" customWidth="1"/>
    <col min="22" max="22" width="12.44140625" style="1" customWidth="1"/>
    <col min="23" max="16384" width="9.109375" style="1"/>
  </cols>
  <sheetData>
    <row r="1" spans="1:23" ht="15" customHeight="1" thickBot="1"/>
    <row r="2" spans="1:23" ht="40.200000000000003" customHeight="1" thickBot="1">
      <c r="B2" s="80" t="s">
        <v>54</v>
      </c>
      <c r="C2" s="81"/>
      <c r="D2" s="10"/>
      <c r="E2" s="11"/>
      <c r="F2" s="9"/>
      <c r="G2" s="10"/>
      <c r="H2" s="10"/>
      <c r="I2" s="10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</row>
    <row r="3" spans="1:23" s="12" customFormat="1" ht="15" customHeight="1">
      <c r="B3" s="12" t="s">
        <v>3</v>
      </c>
      <c r="C3" s="13">
        <f ca="1">TODAY()</f>
        <v>46314</v>
      </c>
      <c r="D3" s="14"/>
      <c r="G3" s="14"/>
      <c r="H3" s="14"/>
      <c r="I3" s="14"/>
    </row>
    <row r="4" spans="1:23" s="4" customFormat="1" ht="19.95" customHeight="1">
      <c r="A4" s="52"/>
      <c r="B4" s="2"/>
      <c r="C4" s="2"/>
      <c r="D4" s="3"/>
      <c r="E4" s="1"/>
      <c r="F4" s="53"/>
      <c r="G4" s="3"/>
      <c r="H4" s="50" t="s">
        <v>7</v>
      </c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1"/>
      <c r="W4" s="51"/>
    </row>
    <row r="5" spans="1:23" s="5" customFormat="1" ht="19.95" customHeight="1">
      <c r="B5" s="40" t="s">
        <v>0</v>
      </c>
      <c r="C5" s="6" t="s">
        <v>29</v>
      </c>
      <c r="D5" s="6" t="s">
        <v>6</v>
      </c>
      <c r="E5" s="17" t="s">
        <v>4</v>
      </c>
      <c r="F5" s="6" t="s">
        <v>5</v>
      </c>
      <c r="G5" s="7" t="s">
        <v>53</v>
      </c>
      <c r="H5" s="7" t="s">
        <v>2</v>
      </c>
      <c r="I5" s="6" t="s">
        <v>11</v>
      </c>
      <c r="J5" s="6" t="s">
        <v>9</v>
      </c>
      <c r="K5" s="6" t="s">
        <v>22</v>
      </c>
      <c r="L5" s="6" t="s">
        <v>8</v>
      </c>
      <c r="M5" s="6" t="s">
        <v>18</v>
      </c>
      <c r="N5" s="6" t="s">
        <v>10</v>
      </c>
      <c r="O5" s="6" t="s">
        <v>19</v>
      </c>
      <c r="P5" s="6" t="s">
        <v>20</v>
      </c>
      <c r="Q5" s="6" t="s">
        <v>15</v>
      </c>
      <c r="R5" s="6" t="s">
        <v>17</v>
      </c>
      <c r="S5" s="6" t="s">
        <v>12</v>
      </c>
      <c r="T5" s="6" t="s">
        <v>13</v>
      </c>
      <c r="U5" s="6" t="s">
        <v>16</v>
      </c>
      <c r="V5" s="6" t="s">
        <v>21</v>
      </c>
      <c r="W5" s="6" t="s">
        <v>1</v>
      </c>
    </row>
    <row r="6" spans="1:23" s="8" customFormat="1" ht="19.8" customHeight="1">
      <c r="B6" s="41">
        <v>46296</v>
      </c>
      <c r="C6" s="22" t="s">
        <v>31</v>
      </c>
      <c r="D6" s="39">
        <v>1</v>
      </c>
      <c r="E6" s="16" t="s">
        <v>28</v>
      </c>
      <c r="F6" s="19"/>
      <c r="G6" s="15">
        <v>45000</v>
      </c>
      <c r="H6" s="21">
        <f>5000</f>
        <v>5000</v>
      </c>
      <c r="I6" s="20"/>
      <c r="J6" s="19">
        <v>20000</v>
      </c>
      <c r="K6" s="19">
        <v>20000</v>
      </c>
      <c r="L6" s="19">
        <v>5000</v>
      </c>
      <c r="M6" s="20"/>
      <c r="N6" s="20"/>
      <c r="O6" s="20"/>
      <c r="P6" s="20"/>
      <c r="Q6" s="20"/>
      <c r="R6" s="20"/>
      <c r="S6" s="20"/>
      <c r="T6" s="20"/>
      <c r="U6" s="20"/>
      <c r="V6" s="20"/>
      <c r="W6" s="38">
        <f>SUM(T_Mvts[[#This Row],[AG]:[Autres]])</f>
        <v>45000</v>
      </c>
    </row>
    <row r="7" spans="1:23" s="8" customFormat="1" ht="16.8" thickBot="1">
      <c r="B7" s="54"/>
      <c r="C7" s="54"/>
      <c r="D7" s="55" t="s">
        <v>1</v>
      </c>
      <c r="E7" s="56">
        <f>SUBTOTAL(103,T_Mvts[Libellé de l''opération])</f>
        <v>1</v>
      </c>
      <c r="F7" s="57">
        <f>SUBTOTAL(109,T_Mvts[Encaissement])</f>
        <v>0</v>
      </c>
      <c r="G7" s="58">
        <f>SUBTOTAL(109,T_Mvts[Décaissement])</f>
        <v>45000</v>
      </c>
      <c r="H7" s="58">
        <f>SUBTOTAL(109,T_Mvts[Solde])</f>
        <v>5000</v>
      </c>
      <c r="I7" s="57">
        <f>SUBTOTAL(109,T_Mvts[AG])</f>
        <v>0</v>
      </c>
      <c r="J7" s="57">
        <f>SUBTOTAL(109,T_Mvts[Carburant])</f>
        <v>20000</v>
      </c>
      <c r="K7" s="57">
        <f>SUBTOTAL(109,T_Mvts[Missions/MinCce])</f>
        <v>20000</v>
      </c>
      <c r="L7" s="57">
        <f>SUBTOTAL(109,T_Mvts[Taxi/peage/PAD])</f>
        <v>5000</v>
      </c>
      <c r="M7" s="57">
        <f>SUBTOTAL(109,T_Mvts[Télécom])</f>
        <v>0</v>
      </c>
      <c r="N7" s="57">
        <f>SUBTOTAL(109,T_Mvts[Entretien])</f>
        <v>0</v>
      </c>
      <c r="O7" s="57">
        <f>SUBTOTAL(109,T_Mvts[Electricité])</f>
        <v>0</v>
      </c>
      <c r="P7" s="57">
        <f>SUBTOTAL(109,T_Mvts[Eau])</f>
        <v>0</v>
      </c>
      <c r="Q7" s="57">
        <f>SUBTOTAL(109,T_Mvts[Impot/Cnps])</f>
        <v>0</v>
      </c>
      <c r="R7" s="57">
        <f>SUBTOTAL(109,T_Mvts[Loyer])</f>
        <v>0</v>
      </c>
      <c r="S7" s="57">
        <f>SUBTOTAL(109,T_Mvts[Banque])</f>
        <v>0</v>
      </c>
      <c r="T7" s="57">
        <f>SUBTOTAL(109,T_Mvts[Mat., mob.])</f>
        <v>0</v>
      </c>
      <c r="U7" s="57">
        <f>SUBTOTAL(109,T_Mvts[Salaire])</f>
        <v>0</v>
      </c>
      <c r="V7" s="57">
        <f>SUBTOTAL(109,T_Mvts[Autres])</f>
        <v>0</v>
      </c>
      <c r="W7" s="59">
        <f>SUBTOTAL(109,T_Mvts[Total])</f>
        <v>45000</v>
      </c>
    </row>
    <row r="8" spans="1:23" ht="16.8" thickTop="1">
      <c r="B8" s="44"/>
      <c r="C8" s="44"/>
      <c r="D8" s="45"/>
      <c r="E8" s="46"/>
      <c r="F8" s="47"/>
      <c r="G8" s="48"/>
      <c r="H8" s="48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9"/>
    </row>
    <row r="9" spans="1:23">
      <c r="B9" s="18" t="s">
        <v>55</v>
      </c>
      <c r="D9" s="18" t="s">
        <v>14</v>
      </c>
    </row>
    <row r="10" spans="1:23">
      <c r="B10" s="82"/>
      <c r="C10" s="82"/>
    </row>
    <row r="11" spans="1:23">
      <c r="B11" s="82"/>
      <c r="C11" s="82"/>
    </row>
    <row r="12" spans="1:23">
      <c r="B12" s="82"/>
      <c r="C12" s="82"/>
    </row>
    <row r="13" spans="1:23">
      <c r="B13" s="82"/>
      <c r="C13" s="82"/>
    </row>
    <row r="14" spans="1:23">
      <c r="B14" s="82"/>
      <c r="C14" s="82"/>
    </row>
  </sheetData>
  <mergeCells count="2">
    <mergeCell ref="B2:C2"/>
    <mergeCell ref="B10:C14"/>
  </mergeCells>
  <phoneticPr fontId="3" type="noConversion"/>
  <printOptions horizontalCentered="1"/>
  <pageMargins left="0.19685039370078741" right="0.19685039370078741" top="0.15748031496062992" bottom="0.15748031496062992" header="0.19685039370078741" footer="0.19685039370078741"/>
  <pageSetup paperSize="9" scale="58" fitToHeight="0" orientation="portrait" r:id="rId1"/>
  <headerFooter alignWithMargins="0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1c2eb7a32e66fb6e4260f3771546a5e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04e1f6479c48b08974ba73b5ca973489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53D61B8-4E29-4C00-81AC-C4AA036285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39734D5-4621-4580-8094-85EF7AEC5F3D}">
  <ds:schemaRefs>
    <ds:schemaRef ds:uri="http://schemas.microsoft.com/office/2006/documentManagement/types"/>
    <ds:schemaRef ds:uri="http://schemas.microsoft.com/office/2006/metadata/properties"/>
    <ds:schemaRef ds:uri="16c05727-aa75-4e4a-9b5f-8a80a1165891"/>
    <ds:schemaRef ds:uri="http://www.w3.org/XML/1998/namespace"/>
    <ds:schemaRef ds:uri="http://purl.org/dc/elements/1.1/"/>
    <ds:schemaRef ds:uri="71af3243-3dd4-4a8d-8c0d-dd76da1f02a5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2F8C50E-0997-4B21-872E-71A9A4C1737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DashBord</vt:lpstr>
      <vt:lpstr>JOURNAL</vt:lpstr>
      <vt:lpstr>MVTS</vt:lpstr>
      <vt:lpstr>Entreprises</vt:lpstr>
      <vt:lpstr>DashBord!Impression_des_titres</vt:lpstr>
      <vt:lpstr>MVTS!Impression_des_titres</vt:lpstr>
      <vt:lpstr>DashBord!Zone_d_impression</vt:lpstr>
      <vt:lpstr>MVTS!Zone_d_impression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2019-02-19T20:17:25Z</dcterms:created>
  <dcterms:modified xsi:type="dcterms:W3CDTF">2026-10-19T17:03:50Z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