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0" yWindow="0" windowWidth="23256" windowHeight="12360"/>
  </bookViews>
  <sheets>
    <sheet name="CENTRALISATION" sheetId="2" r:id="rId1"/>
    <sheet name="CAPI" sheetId="1" r:id="rId2"/>
    <sheet name="GICCOPACAM" sheetId="4" r:id="rId3"/>
    <sheet name="KENZO" sheetId="5" r:id="rId4"/>
    <sheet name="JET INDUSTRY" sheetId="6" r:id="rId5"/>
    <sheet name="JET INVESTMENT" sheetId="7" r:id="rId6"/>
    <sheet name="SCI-JET" sheetId="8" r:id="rId7"/>
    <sheet name="CFPM-JET" sheetId="9" r:id="rId8"/>
    <sheet name="EVOTA-T IMMO" sheetId="11" r:id="rId9"/>
    <sheet name="Listes" sheetId="12" r:id="rId10"/>
  </sheets>
  <definedNames>
    <definedName name="Entreprises">T_Entr[Entreprises]</definedName>
    <definedName name="_xlnm.Print_Titles" localSheetId="1">CAPI!$6:$6</definedName>
    <definedName name="_xlnm.Print_Titles" localSheetId="0">CENTRALISATION!$7:$7</definedName>
    <definedName name="_xlnm.Print_Titles" localSheetId="7">'CFPM-JET'!$6:$6</definedName>
    <definedName name="_xlnm.Print_Titles" localSheetId="8">'EVOTA-T IMMO'!$6:$6</definedName>
    <definedName name="_xlnm.Print_Titles" localSheetId="2">GICCOPACAM!$6:$6</definedName>
    <definedName name="_xlnm.Print_Titles" localSheetId="4">'JET INDUSTRY'!$6:$6</definedName>
    <definedName name="_xlnm.Print_Titles" localSheetId="5">'JET INVESTMENT'!$6:$6</definedName>
    <definedName name="_xlnm.Print_Titles" localSheetId="3">KENZO!$6:$6</definedName>
    <definedName name="_xlnm.Print_Titles" localSheetId="6">'SCI-JET'!$6:$6</definedName>
    <definedName name="_xlnm.Print_Area" localSheetId="1">CAPI!$A$1:$G$16</definedName>
    <definedName name="_xlnm.Print_Area" localSheetId="0">CENTRALISATION!$A$1:$H$15</definedName>
    <definedName name="_xlnm.Print_Area" localSheetId="7">'CFPM-JET'!$A$1:$G$17</definedName>
    <definedName name="_xlnm.Print_Area" localSheetId="8">'EVOTA-T IMMO'!$A$1:$G$17</definedName>
    <definedName name="_xlnm.Print_Area" localSheetId="2">GICCOPACAM!$A$1:$G$17</definedName>
    <definedName name="_xlnm.Print_Area" localSheetId="4">'JET INDUSTRY'!$A$1:$G$17</definedName>
    <definedName name="_xlnm.Print_Area" localSheetId="5">'JET INVESTMENT'!$A$1:$G$17</definedName>
    <definedName name="_xlnm.Print_Area" localSheetId="3">KENZO!$A$1:$G$17</definedName>
    <definedName name="_xlnm.Print_Area" localSheetId="6">'SCI-JET'!$A$1:$G$17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4" i="2" l="1"/>
  <c r="T13" i="2"/>
  <c r="T12" i="2"/>
  <c r="T11" i="2"/>
  <c r="T10" i="2"/>
  <c r="T9" i="2"/>
  <c r="T8" i="2"/>
  <c r="S14" i="2"/>
  <c r="S13" i="2"/>
  <c r="S12" i="2"/>
  <c r="S11" i="2"/>
  <c r="S10" i="2"/>
  <c r="S9" i="2"/>
  <c r="S8" i="2"/>
  <c r="R14" i="2"/>
  <c r="R13" i="2"/>
  <c r="R12" i="2"/>
  <c r="R11" i="2"/>
  <c r="R10" i="2"/>
  <c r="R9" i="2"/>
  <c r="R8" i="2"/>
  <c r="Q14" i="2"/>
  <c r="Q13" i="2"/>
  <c r="Q12" i="2"/>
  <c r="Q11" i="2"/>
  <c r="Q10" i="2"/>
  <c r="Q9" i="2"/>
  <c r="Q8" i="2"/>
  <c r="P14" i="2"/>
  <c r="P13" i="2"/>
  <c r="P12" i="2"/>
  <c r="P11" i="2"/>
  <c r="P10" i="2"/>
  <c r="P9" i="2"/>
  <c r="P8" i="2"/>
  <c r="O14" i="2"/>
  <c r="O13" i="2"/>
  <c r="O12" i="2"/>
  <c r="O11" i="2"/>
  <c r="O10" i="2"/>
  <c r="O9" i="2"/>
  <c r="O8" i="2"/>
  <c r="N14" i="2"/>
  <c r="N13" i="2"/>
  <c r="N12" i="2"/>
  <c r="N11" i="2"/>
  <c r="N10" i="2"/>
  <c r="N9" i="2"/>
  <c r="N8" i="2"/>
  <c r="M14" i="2"/>
  <c r="M13" i="2"/>
  <c r="M12" i="2"/>
  <c r="M11" i="2"/>
  <c r="M10" i="2"/>
  <c r="M9" i="2"/>
  <c r="M8" i="2"/>
  <c r="L14" i="2"/>
  <c r="L13" i="2"/>
  <c r="L12" i="2"/>
  <c r="L11" i="2"/>
  <c r="L10" i="2"/>
  <c r="L9" i="2"/>
  <c r="L8" i="2"/>
  <c r="K14" i="2"/>
  <c r="K13" i="2"/>
  <c r="K12" i="2"/>
  <c r="K11" i="2"/>
  <c r="K10" i="2"/>
  <c r="K9" i="2"/>
  <c r="K8" i="2"/>
  <c r="J14" i="2"/>
  <c r="J13" i="2"/>
  <c r="J12" i="2"/>
  <c r="J11" i="2"/>
  <c r="J10" i="2"/>
  <c r="J9" i="2"/>
  <c r="J8" i="2"/>
  <c r="F13" i="2" l="1"/>
  <c r="F12" i="2"/>
  <c r="F11" i="2"/>
  <c r="F10" i="2"/>
  <c r="F9" i="2"/>
  <c r="I14" i="2" l="1"/>
  <c r="I13" i="2"/>
  <c r="I12" i="2"/>
  <c r="I11" i="2"/>
  <c r="I10" i="2"/>
  <c r="I9" i="2"/>
  <c r="I8" i="2"/>
  <c r="H14" i="2"/>
  <c r="H13" i="2"/>
  <c r="H12" i="2"/>
  <c r="H11" i="2"/>
  <c r="H10" i="2"/>
  <c r="H9" i="2"/>
  <c r="H8" i="2"/>
  <c r="G14" i="2"/>
  <c r="G13" i="2"/>
  <c r="G12" i="2"/>
  <c r="G11" i="2"/>
  <c r="G10" i="2"/>
  <c r="G9" i="2"/>
  <c r="G8" i="2"/>
  <c r="E11" i="2"/>
  <c r="E14" i="2"/>
  <c r="E13" i="2"/>
  <c r="E12" i="2"/>
  <c r="E10" i="2"/>
  <c r="E9" i="2"/>
  <c r="E8" i="2"/>
  <c r="D14" i="2"/>
  <c r="D13" i="2"/>
  <c r="D12" i="2"/>
  <c r="D11" i="2"/>
  <c r="D10" i="2"/>
  <c r="D9" i="2"/>
  <c r="D7" i="2"/>
  <c r="D8" i="2"/>
  <c r="E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V7" i="1" l="1"/>
  <c r="C14" i="2" l="1"/>
  <c r="C13" i="2"/>
  <c r="C12" i="2"/>
  <c r="C11" i="2"/>
  <c r="C10" i="2"/>
  <c r="C9" i="2"/>
  <c r="C8" i="2"/>
  <c r="C7" i="2"/>
  <c r="B1" i="2" l="1"/>
  <c r="E8" i="1"/>
  <c r="H8" i="1"/>
  <c r="T15" i="2" l="1"/>
  <c r="Q15" i="2"/>
  <c r="M15" i="2"/>
  <c r="I15" i="2"/>
  <c r="S15" i="2"/>
  <c r="O15" i="2"/>
  <c r="K15" i="2"/>
  <c r="G15" i="2"/>
  <c r="H15" i="2"/>
  <c r="J15" i="2"/>
  <c r="L15" i="2"/>
  <c r="N15" i="2"/>
  <c r="P15" i="2"/>
  <c r="R15" i="2"/>
  <c r="D8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F4" i="7" s="1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F4" i="5" s="1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G8" i="4"/>
  <c r="C3" i="4"/>
  <c r="G8" i="11" l="1"/>
  <c r="F4" i="11"/>
  <c r="F14" i="2" s="1"/>
  <c r="E15" i="2"/>
  <c r="D15" i="2"/>
  <c r="F4" i="4"/>
  <c r="F8" i="2" s="1"/>
  <c r="F4" i="6"/>
  <c r="F4" i="8"/>
  <c r="V8" i="4"/>
  <c r="V8" i="5"/>
  <c r="V8" i="6"/>
  <c r="V8" i="7"/>
  <c r="V8" i="8"/>
  <c r="F4" i="9"/>
  <c r="V8" i="11"/>
  <c r="V8" i="9"/>
  <c r="U8" i="1"/>
  <c r="O8" i="1"/>
  <c r="N8" i="1"/>
  <c r="L8" i="1"/>
  <c r="Q8" i="1"/>
  <c r="T8" i="1"/>
  <c r="P8" i="1"/>
  <c r="R8" i="1"/>
  <c r="S8" i="1"/>
  <c r="M8" i="1"/>
  <c r="I8" i="1"/>
  <c r="J8" i="1"/>
  <c r="K8" i="1"/>
  <c r="G7" i="1"/>
  <c r="C3" i="1"/>
  <c r="F15" i="2" l="1"/>
  <c r="V8" i="1"/>
  <c r="G8" i="1"/>
  <c r="F8" i="1"/>
  <c r="F4" i="1" s="1"/>
  <c r="F7" i="2" s="1"/>
</calcChain>
</file>

<file path=xl/sharedStrings.xml><?xml version="1.0" encoding="utf-8"?>
<sst xmlns="http://schemas.openxmlformats.org/spreadsheetml/2006/main" count="281" uniqueCount="75">
  <si>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</si>
  <si>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</si>
  <si>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</si>
  <si>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</si>
  <si>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</si>
  <si>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</si>
  <si>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</si>
  <si>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</si>
  <si>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</si>
  <si>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</si>
  <si>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</si>
  <si>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</si>
  <si>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</si>
  <si>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</si>
  <si>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</si>
  <si>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</si>
  <si>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</si>
  <si>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ignature du caissier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</si>
  <si>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</si>
  <si>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</si>
  <si>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</si>
  <si>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</si>
  <si>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</si>
  <si>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</si>
  <si>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</si>
  <si>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</si>
  <si>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</si>
  <si>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</si>
  <si>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</si>
  <si>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</si>
  <si>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</si>
  <si>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</si>
  <si>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</si>
  <si>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</si>
  <si>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</si>
  <si>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</si>
  <si>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</si>
  <si>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</si>
  <si>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</si>
  <si>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</si>
  <si>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</si>
  <si>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</si>
  <si>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</si>
  <si>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</si>
  <si>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</si>
  <si>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</si>
  <si>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</si>
  <si>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</si>
  <si>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</si>
  <si>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</si>
  <si>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</si>
  <si>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</si>
  <si>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</si>
  <si>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</si>
  <si>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</si>
  <si>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</si>
  <si>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</si>
  <si>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</si>
  <si>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</si>
  <si>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</si>
  <si>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</si>
  <si>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</si>
  <si>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</si>
  <si>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</si>
  <si>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P1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</si>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</sst>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54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</font>
    <font>
      <sz val="12"/>
      <color theme="1"/>
      <name val="Franklin Gothic Book"/>
      <scheme val="minor"/>
    </font>
    <font>
      <b/>
      <sz val="12"/>
      <color theme="1"/>
      <name val="Franklin Gothic Book"/>
      <scheme val="minor"/>
    </font>
    <font>
      <sz val="12"/>
      <color theme="1"/>
      <name val="Arial Narrow"/>
    </font>
    <font>
      <b/>
      <sz val="12"/>
      <name val="Arial"/>
    </font>
    <font>
      <sz val="12"/>
      <color theme="3"/>
      <name val="Franklin Gothic Book"/>
      <scheme val="minor"/>
    </font>
    <font>
      <b/>
      <sz val="12"/>
      <color theme="3"/>
      <name val="Franklin Gothic Book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</borders>
  <cellStyleXfs count="47">
    <xf numFmtId="0" fontId="0" fillId="0" borderId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09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5" xfId="0" applyNumberFormat="1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right" vertical="center"/>
    </xf>
    <xf numFmtId="3" fontId="9" fillId="35" borderId="15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5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9" xfId="0" applyFont="1" applyFill="1" applyBorder="1" applyAlignment="1">
      <alignment horizontal="center" vertical="center" wrapText="1"/>
    </xf>
    <xf numFmtId="0" fontId="38" fillId="0" borderId="19" xfId="0" applyFont="1" applyFill="1" applyBorder="1" applyAlignment="1">
      <alignment horizontal="right" vertical="center" wrapText="1"/>
    </xf>
    <xf numFmtId="3" fontId="39" fillId="0" borderId="19" xfId="0" applyNumberFormat="1" applyFont="1" applyFill="1" applyBorder="1" applyAlignment="1">
      <alignment horizontal="right" vertical="center"/>
    </xf>
    <xf numFmtId="3" fontId="38" fillId="36" borderId="19" xfId="0" applyNumberFormat="1" applyFont="1" applyFill="1" applyBorder="1" applyAlignment="1">
      <alignment horizontal="right" vertical="center" wrapText="1"/>
    </xf>
    <xf numFmtId="3" fontId="40" fillId="36" borderId="19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9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9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1" xfId="0" applyFont="1" applyFill="1" applyBorder="1" applyAlignment="1">
      <alignment horizontal="right" vertical="center" wrapText="1"/>
    </xf>
    <xf numFmtId="0" fontId="0" fillId="0" borderId="0" xfId="0" applyFont="1" applyFill="1"/>
    <xf numFmtId="0" fontId="42" fillId="0" borderId="19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43" fillId="0" borderId="0" xfId="0" applyFont="1" applyFill="1"/>
    <xf numFmtId="0" fontId="38" fillId="0" borderId="22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left"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2" fillId="0" borderId="1" xfId="0" applyFont="1" applyBorder="1" applyAlignment="1">
      <alignment horizontal="right" vertical="center" wrapText="1"/>
    </xf>
    <xf numFmtId="0" fontId="53" fillId="0" borderId="1" xfId="0" applyFont="1" applyBorder="1" applyAlignment="1">
      <alignment vertical="center" wrapText="1"/>
    </xf>
    <xf numFmtId="3" fontId="53" fillId="0" borderId="1" xfId="0" applyNumberFormat="1" applyFont="1" applyBorder="1" applyAlignment="1">
      <alignment vertical="center" wrapText="1"/>
    </xf>
    <xf numFmtId="3" fontId="52" fillId="0" borderId="1" xfId="0" applyNumberFormat="1" applyFont="1" applyBorder="1" applyAlignment="1">
      <alignment horizontal="right" vertical="center" wrapText="1"/>
    </xf>
    <xf numFmtId="3" fontId="53" fillId="0" borderId="1" xfId="0" applyNumberFormat="1" applyFont="1" applyBorder="1" applyAlignment="1">
      <alignment horizontal="right" vertical="center" wrapText="1"/>
    </xf>
    <xf numFmtId="0" fontId="52" fillId="0" borderId="1" xfId="0" applyFont="1" applyBorder="1" applyAlignment="1">
      <alignment horizontal="center" vertical="center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horizontal="center" vertical="center"/>
    </xf>
    <xf numFmtId="0" fontId="34" fillId="3" borderId="20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6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3" name="Flèche gauche 2"/>
        <xdr:cNvSpPr/>
      </xdr:nvSpPr>
      <xdr:spPr>
        <a:xfrm>
          <a:off x="175260" y="1051560"/>
          <a:ext cx="138988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4" name="Flèche droite 3"/>
        <xdr:cNvSpPr/>
      </xdr:nvSpPr>
      <xdr:spPr>
        <a:xfrm>
          <a:off x="2667000" y="108204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2" name="Organigramme : Alternative 1"/>
        <xdr:cNvSpPr/>
      </xdr:nvSpPr>
      <xdr:spPr>
        <a:xfrm>
          <a:off x="5996941" y="281940"/>
          <a:ext cx="3398519" cy="11049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8</xdr:row>
      <xdr:rowOff>0</xdr:rowOff>
    </xdr:from>
    <xdr:to>
      <xdr:col>5</xdr:col>
      <xdr:colOff>257175</xdr:colOff>
      <xdr:row>13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353050" y="277177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5</xdr:col>
      <xdr:colOff>1628775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Capi" displayName="T_Capi" ref="B6:V8" totalsRowCount="1" headerRowDxfId="364" dataDxfId="363" totalsRowDxfId="362">
  <tableColumns count="21">
    <tableColumn id="21" name="Date" dataDxfId="361" totalsRowDxfId="360"/>
    <tableColumn id="1" name="N° pièce" totalsRowLabel="Total" dataDxfId="359" totalsRowDxfId="358"/>
    <tableColumn id="2" name="Libellé de l'opération" totalsRowFunction="count" dataDxfId="357" totalsRowDxfId="356"/>
    <tableColumn id="3" name="Encaissement" totalsRowFunction="sum" dataDxfId="355" totalsRowDxfId="354"/>
    <tableColumn id="4" name="Décaissement" totalsRowFunction="sum" dataDxfId="353" totalsRowDxfId="352"/>
    <tableColumn id="5" name="Solde" totalsRowFunction="sum" dataDxfId="351" totalsRowDxfId="350"/>
    <tableColumn id="11" name="AG" totalsRowFunction="sum" dataDxfId="349" totalsRowDxfId="348"/>
    <tableColumn id="8" name="Carburant" totalsRowFunction="sum" dataDxfId="347" totalsRowDxfId="346"/>
    <tableColumn id="7" name="Missions/MinCce" totalsRowFunction="sum" dataDxfId="345" totalsRowDxfId="344"/>
    <tableColumn id="6" name="Taxi/peage/PAD" totalsRowFunction="sum" dataDxfId="343" totalsRowDxfId="342"/>
    <tableColumn id="16" name="Télécom" totalsRowFunction="sum" dataDxfId="341" totalsRowDxfId="340"/>
    <tableColumn id="9" name="Entretien" totalsRowFunction="sum" dataDxfId="339" totalsRowDxfId="338"/>
    <tableColumn id="17" name="Electricité" totalsRowFunction="sum" dataDxfId="337" totalsRowDxfId="336"/>
    <tableColumn id="18" name="Eau" totalsRowFunction="sum" dataDxfId="335" totalsRowDxfId="334"/>
    <tableColumn id="13" name="Impot/Cnps" totalsRowFunction="sum" dataDxfId="333" totalsRowDxfId="332"/>
    <tableColumn id="15" name="Loyer" totalsRowFunction="sum" dataDxfId="331" totalsRowDxfId="330"/>
    <tableColumn id="12" name="Banque" totalsRowFunction="sum" dataDxfId="329" totalsRowDxfId="328"/>
    <tableColumn id="10" name="Mat., mob." totalsRowFunction="sum" dataDxfId="327" totalsRowDxfId="326"/>
    <tableColumn id="14" name="Salaire" totalsRowFunction="sum" dataDxfId="325" totalsRowDxfId="324"/>
    <tableColumn id="19" name="Autres" totalsRowFunction="sum" dataDxfId="323" totalsRowDxfId="322"/>
    <tableColumn id="20" name="Total" totalsRowFunction="sum" dataDxfId="321" totalsRowDxfId="320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0" name="T_Giccopacam" displayName="T_Giccopacam" ref="B6:V8" insertRow="1" totalsRowCount="1" headerRowDxfId="319" dataDxfId="318" totalsRowDxfId="317">
  <tableColumns count="21">
    <tableColumn id="21" name="Date" dataDxfId="316" totalsRowDxfId="315"/>
    <tableColumn id="1" name="N° pièce" totalsRowLabel="Total" dataDxfId="314" totalsRowDxfId="313"/>
    <tableColumn id="2" name="Libellé de l'opération" totalsRowFunction="count" dataDxfId="312" totalsRowDxfId="311"/>
    <tableColumn id="3" name="Encaissement" totalsRowFunction="sum" dataDxfId="310" totalsRowDxfId="309"/>
    <tableColumn id="4" name="Décaissement" totalsRowFunction="sum" dataDxfId="308" totalsRowDxfId="307"/>
    <tableColumn id="5" name="Solde" totalsRowFunction="sum" dataDxfId="306" totalsRowDxfId="305"/>
    <tableColumn id="11" name="AG" totalsRowFunction="sum" dataDxfId="304" totalsRowDxfId="303"/>
    <tableColumn id="8" name="Carburant" totalsRowFunction="sum" dataDxfId="302" totalsRowDxfId="301"/>
    <tableColumn id="7" name="Missions/MinCce" totalsRowFunction="sum" dataDxfId="300" totalsRowDxfId="299"/>
    <tableColumn id="6" name="Taxi/peage/PAD" totalsRowFunction="sum" dataDxfId="298" totalsRowDxfId="297"/>
    <tableColumn id="16" name="Télécom" totalsRowFunction="sum" dataDxfId="296" totalsRowDxfId="295"/>
    <tableColumn id="9" name="Entretien" totalsRowFunction="sum" dataDxfId="294" totalsRowDxfId="293"/>
    <tableColumn id="17" name="Electricité" totalsRowFunction="sum" dataDxfId="292" totalsRowDxfId="291"/>
    <tableColumn id="18" name="Eau" totalsRowFunction="sum" dataDxfId="290" totalsRowDxfId="289"/>
    <tableColumn id="13" name="Impot/Cnps" totalsRowFunction="sum" dataDxfId="288" totalsRowDxfId="287"/>
    <tableColumn id="15" name="Loyer" totalsRowFunction="sum" dataDxfId="286" totalsRowDxfId="285"/>
    <tableColumn id="12" name="Banque" totalsRowFunction="sum" dataDxfId="284" totalsRowDxfId="283"/>
    <tableColumn id="10" name="Mat., mob." totalsRowFunction="sum" dataDxfId="282" totalsRowDxfId="281"/>
    <tableColumn id="14" name="Salaire" totalsRowFunction="sum" dataDxfId="280" totalsRowDxfId="279"/>
    <tableColumn id="19" name="Autres" totalsRowFunction="sum" dataDxfId="278" totalsRowDxfId="277"/>
    <tableColumn id="20" name="Total" totalsRowFunction="sum" dataDxfId="276" totalsRowDxfId="275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1" name="T_Kenzo" displayName="T_Kenzo" ref="B6:V8" insertRow="1" totalsRowCount="1" headerRowDxfId="274" dataDxfId="273" totalsRowDxfId="272">
  <tableColumns count="21">
    <tableColumn id="21" name="Date" dataDxfId="271" totalsRowDxfId="270"/>
    <tableColumn id="1" name="N° pièce" totalsRowLabel="Total" dataDxfId="269" totalsRowDxfId="268"/>
    <tableColumn id="2" name="Libellé de l'opération" totalsRowFunction="count" dataDxfId="267" totalsRowDxfId="266"/>
    <tableColumn id="3" name="Encaissement" totalsRowFunction="sum" dataDxfId="265" totalsRowDxfId="264"/>
    <tableColumn id="4" name="Décaissement" totalsRowFunction="sum" dataDxfId="263" totalsRowDxfId="262"/>
    <tableColumn id="5" name="Solde" totalsRowFunction="sum" dataDxfId="261" totalsRowDxfId="260"/>
    <tableColumn id="11" name="AG" totalsRowFunction="sum" dataDxfId="259" totalsRowDxfId="258"/>
    <tableColumn id="8" name="Carburant" totalsRowFunction="sum" dataDxfId="257" totalsRowDxfId="256"/>
    <tableColumn id="7" name="Missions/MinCce" totalsRowFunction="sum" dataDxfId="255" totalsRowDxfId="254"/>
    <tableColumn id="6" name="Taxi/peage/PAD" totalsRowFunction="sum" dataDxfId="253" totalsRowDxfId="252"/>
    <tableColumn id="16" name="Télécom" totalsRowFunction="sum" dataDxfId="251" totalsRowDxfId="250"/>
    <tableColumn id="9" name="Entretien" totalsRowFunction="sum" dataDxfId="249" totalsRowDxfId="248"/>
    <tableColumn id="17" name="Electricité" totalsRowFunction="sum" dataDxfId="247" totalsRowDxfId="246"/>
    <tableColumn id="18" name="Eau" totalsRowFunction="sum" dataDxfId="245" totalsRowDxfId="244"/>
    <tableColumn id="13" name="Impot/Cnps" totalsRowFunction="sum" dataDxfId="243" totalsRowDxfId="242"/>
    <tableColumn id="15" name="Loyer" totalsRowFunction="sum" dataDxfId="241" totalsRowDxfId="240"/>
    <tableColumn id="12" name="Banque" totalsRowFunction="sum" dataDxfId="239" totalsRowDxfId="238"/>
    <tableColumn id="10" name="Mat., mob." totalsRowFunction="sum" dataDxfId="237" totalsRowDxfId="236"/>
    <tableColumn id="14" name="Salaire" totalsRowFunction="sum" dataDxfId="235" totalsRowDxfId="234"/>
    <tableColumn id="19" name="Autres" totalsRowFunction="sum" dataDxfId="233" totalsRowDxfId="232"/>
    <tableColumn id="20" name="Total" totalsRowFunction="sum" dataDxfId="231" totalsRowDxfId="230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2" name="T_JetIndustry" displayName="T_JetIndustry" ref="B6:V8" insertRow="1" totalsRowCount="1" headerRowDxfId="229" dataDxfId="228" totalsRowDxfId="227">
  <tableColumns count="21">
    <tableColumn id="21" name="Date" dataDxfId="226" totalsRowDxfId="225"/>
    <tableColumn id="1" name="N° pièce" totalsRowLabel="Total" dataDxfId="224" totalsRowDxfId="223"/>
    <tableColumn id="2" name="Libellé de l'opération" totalsRowFunction="count" dataDxfId="222" totalsRowDxfId="221"/>
    <tableColumn id="3" name="Encaissement" totalsRowFunction="sum" dataDxfId="220" totalsRowDxfId="219"/>
    <tableColumn id="4" name="Décaissement" totalsRowFunction="sum" dataDxfId="218" totalsRowDxfId="217"/>
    <tableColumn id="5" name="Solde" totalsRowFunction="sum" dataDxfId="216" totalsRowDxfId="215"/>
    <tableColumn id="11" name="AG" totalsRowFunction="sum" dataDxfId="214" totalsRowDxfId="213"/>
    <tableColumn id="8" name="Carburant" totalsRowFunction="sum" dataDxfId="212" totalsRowDxfId="211"/>
    <tableColumn id="7" name="Missions/MinCce" totalsRowFunction="sum" dataDxfId="210" totalsRowDxfId="209"/>
    <tableColumn id="6" name="Taxi/peage/PAD" totalsRowFunction="sum" dataDxfId="208" totalsRowDxfId="207"/>
    <tableColumn id="16" name="Télécom" totalsRowFunction="sum" dataDxfId="206" totalsRowDxfId="205"/>
    <tableColumn id="9" name="Entretien" totalsRowFunction="sum" dataDxfId="204" totalsRowDxfId="203"/>
    <tableColumn id="17" name="Electricité" totalsRowFunction="sum" dataDxfId="202" totalsRowDxfId="201"/>
    <tableColumn id="18" name="Eau" totalsRowFunction="sum" dataDxfId="200" totalsRowDxfId="199"/>
    <tableColumn id="13" name="Impot/Cnps" totalsRowFunction="sum" dataDxfId="198" totalsRowDxfId="197"/>
    <tableColumn id="15" name="Loyer" totalsRowFunction="sum" dataDxfId="196" totalsRowDxfId="195"/>
    <tableColumn id="12" name="Banque" totalsRowFunction="sum" dataDxfId="194" totalsRowDxfId="193"/>
    <tableColumn id="10" name="Mat., mob." totalsRowFunction="sum" dataDxfId="192" totalsRowDxfId="191"/>
    <tableColumn id="14" name="Salaire" totalsRowFunction="sum" dataDxfId="190" totalsRowDxfId="189"/>
    <tableColumn id="19" name="Autres" totalsRowFunction="sum" dataDxfId="188" totalsRowDxfId="187"/>
    <tableColumn id="20" name="Total" totalsRowFunction="sum" dataDxfId="186" totalsRowDxfId="185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3" name="T_JetInvestment" displayName="T_JetInvestment" ref="B6:V8" insertRow="1" totalsRowCount="1" headerRowDxfId="184" dataDxfId="183" totalsRowDxfId="182">
  <tableColumns count="21">
    <tableColumn id="21" name="Date" dataDxfId="181" totalsRowDxfId="180"/>
    <tableColumn id="1" name="N° pièce" totalsRowLabel="Total" dataDxfId="179" totalsRowDxfId="178"/>
    <tableColumn id="2" name="Libellé de l'opération" totalsRowFunction="count" dataDxfId="177" totalsRowDxfId="176"/>
    <tableColumn id="3" name="Encaissement" totalsRowFunction="sum" dataDxfId="175" totalsRowDxfId="174"/>
    <tableColumn id="4" name="Décaissement" totalsRowFunction="sum" dataDxfId="173" totalsRowDxfId="172"/>
    <tableColumn id="5" name="Solde" totalsRowFunction="sum" dataDxfId="171" totalsRowDxfId="170"/>
    <tableColumn id="11" name="AG" totalsRowFunction="sum" dataDxfId="169" totalsRowDxfId="168"/>
    <tableColumn id="8" name="Carburant" totalsRowFunction="sum" dataDxfId="167" totalsRowDxfId="166"/>
    <tableColumn id="7" name="Missions/MinCce" totalsRowFunction="sum" dataDxfId="165" totalsRowDxfId="164"/>
    <tableColumn id="6" name="Taxi/peage/PAD" totalsRowFunction="sum" dataDxfId="163" totalsRowDxfId="162"/>
    <tableColumn id="16" name="Télécom" totalsRowFunction="sum" dataDxfId="161" totalsRowDxfId="160"/>
    <tableColumn id="9" name="Entretien" totalsRowFunction="sum" dataDxfId="159" totalsRowDxfId="158"/>
    <tableColumn id="17" name="Electricité" totalsRowFunction="sum" dataDxfId="157" totalsRowDxfId="156"/>
    <tableColumn id="18" name="Eau" totalsRowFunction="sum" dataDxfId="155" totalsRowDxfId="154"/>
    <tableColumn id="13" name="Impot/Cnps" totalsRowFunction="sum" dataDxfId="153" totalsRowDxfId="152"/>
    <tableColumn id="15" name="Loyer" totalsRowFunction="sum" dataDxfId="151" totalsRowDxfId="150"/>
    <tableColumn id="12" name="Banque" totalsRowFunction="sum" dataDxfId="149" totalsRowDxfId="148"/>
    <tableColumn id="10" name="Mat., mob." totalsRowFunction="sum" dataDxfId="147" totalsRowDxfId="146"/>
    <tableColumn id="14" name="Salaire" totalsRowFunction="sum" dataDxfId="145" totalsRowDxfId="144"/>
    <tableColumn id="19" name="Autres" totalsRowFunction="sum" dataDxfId="143" totalsRowDxfId="142"/>
    <tableColumn id="20" name="Total" totalsRowFunction="sum" dataDxfId="141" totalsRowDxfId="140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4" name="T_SciJet" displayName="T_SciJet" ref="B6:V8" insertRow="1" totalsRowCount="1" headerRowDxfId="139" dataDxfId="138" totalsRowDxfId="137">
  <tableColumns count="21">
    <tableColumn id="21" name="Date" dataDxfId="136" totalsRowDxfId="135"/>
    <tableColumn id="1" name="N° pièce" totalsRowLabel="Total" dataDxfId="134" totalsRowDxfId="133"/>
    <tableColumn id="2" name="Libellé de l'opération" totalsRowFunction="count" dataDxfId="132" totalsRowDxfId="131"/>
    <tableColumn id="3" name="Encaissement" totalsRowFunction="sum" dataDxfId="130" totalsRowDxfId="129"/>
    <tableColumn id="4" name="Décaissement" totalsRowFunction="sum" dataDxfId="128" totalsRowDxfId="127"/>
    <tableColumn id="5" name="Solde" totalsRowFunction="sum" dataDxfId="126" totalsRowDxfId="125"/>
    <tableColumn id="11" name="AG" totalsRowFunction="sum" dataDxfId="124" totalsRowDxfId="123"/>
    <tableColumn id="8" name="Carburant" totalsRowFunction="sum" dataDxfId="122" totalsRowDxfId="121"/>
    <tableColumn id="7" name="Missions/MinCce" totalsRowFunction="sum" dataDxfId="120" totalsRowDxfId="119"/>
    <tableColumn id="6" name="Taxi/peage/PAD" totalsRowFunction="sum" dataDxfId="118" totalsRowDxfId="117"/>
    <tableColumn id="16" name="Télécom" totalsRowFunction="sum" dataDxfId="116" totalsRowDxfId="115"/>
    <tableColumn id="9" name="Entretien" totalsRowFunction="sum" dataDxfId="114" totalsRowDxfId="113"/>
    <tableColumn id="17" name="Electricité" totalsRowFunction="sum" dataDxfId="112" totalsRowDxfId="111"/>
    <tableColumn id="18" name="Eau" totalsRowFunction="sum" dataDxfId="110" totalsRowDxfId="109"/>
    <tableColumn id="13" name="Impot/Cnps" totalsRowFunction="sum" dataDxfId="108" totalsRowDxfId="107"/>
    <tableColumn id="15" name="Loyer" totalsRowFunction="sum" dataDxfId="106" totalsRowDxfId="105"/>
    <tableColumn id="12" name="Banque" totalsRowFunction="sum" dataDxfId="104" totalsRowDxfId="103"/>
    <tableColumn id="10" name="Mat., mob." totalsRowFunction="sum" dataDxfId="102" totalsRowDxfId="101"/>
    <tableColumn id="14" name="Salaire" totalsRowFunction="sum" dataDxfId="100" totalsRowDxfId="99"/>
    <tableColumn id="19" name="Autres" totalsRowFunction="sum" dataDxfId="98" totalsRowDxfId="97"/>
    <tableColumn id="20" name="Total" totalsRowFunction="sum" dataDxfId="96" totalsRowDxfId="95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6" name="T_CfpmJet" displayName="T_CfpmJet" ref="B6:V8" insertRow="1" totalsRowCount="1" headerRowDxfId="94" dataDxfId="93" totalsRowDxfId="92">
  <tableColumns count="21">
    <tableColumn id="21" name="Date" dataDxfId="91" totalsRowDxfId="90"/>
    <tableColumn id="1" name="N° pièce" totalsRowLabel="Total" dataDxfId="89" totalsRowDxfId="88"/>
    <tableColumn id="2" name="Libellé de l'opération" totalsRowFunction="count" dataDxfId="87" totalsRowDxfId="86"/>
    <tableColumn id="3" name="Encaissement" totalsRowFunction="sum" dataDxfId="85" totalsRowDxfId="84"/>
    <tableColumn id="4" name="Décaissement" totalsRowFunction="sum" dataDxfId="83" totalsRowDxfId="82"/>
    <tableColumn id="5" name="Solde" totalsRowFunction="sum" dataDxfId="81" totalsRowDxfId="80"/>
    <tableColumn id="11" name="AG" totalsRowFunction="sum" dataDxfId="79" totalsRowDxfId="78"/>
    <tableColumn id="8" name="Carburant" totalsRowFunction="sum" dataDxfId="77" totalsRowDxfId="76"/>
    <tableColumn id="7" name="Missions/MinCce" totalsRowFunction="sum" dataDxfId="75" totalsRowDxfId="74"/>
    <tableColumn id="6" name="Taxi/peage/PAD" totalsRowFunction="sum" dataDxfId="73" totalsRowDxfId="72"/>
    <tableColumn id="16" name="Télécom" totalsRowFunction="sum" dataDxfId="71" totalsRowDxfId="70"/>
    <tableColumn id="9" name="Entretien" totalsRowFunction="sum" dataDxfId="69" totalsRowDxfId="68"/>
    <tableColumn id="17" name="Electricité" totalsRowFunction="sum" dataDxfId="67" totalsRowDxfId="66"/>
    <tableColumn id="18" name="Eau" totalsRowFunction="sum" dataDxfId="65" totalsRowDxfId="64"/>
    <tableColumn id="13" name="Impot/Cnps" totalsRowFunction="sum" dataDxfId="63" totalsRowDxfId="62"/>
    <tableColumn id="15" name="Loyer" totalsRowFunction="sum" dataDxfId="61" totalsRowDxfId="60"/>
    <tableColumn id="12" name="Banque" totalsRowFunction="sum" dataDxfId="59" totalsRowDxfId="58"/>
    <tableColumn id="10" name="Mat., mob." totalsRowFunction="sum" dataDxfId="57" totalsRowDxfId="56"/>
    <tableColumn id="14" name="Salaire" totalsRowFunction="sum" dataDxfId="55" totalsRowDxfId="54"/>
    <tableColumn id="19" name="Autres" totalsRowFunction="sum" dataDxfId="53" totalsRowDxfId="52"/>
    <tableColumn id="20" name="Total" totalsRowFunction="sum" dataDxfId="51" totalsRowDxfId="50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7" name="T_Evora" displayName="T_Evora" ref="B6:V8" insertRow="1" totalsRowCount="1" headerRowDxfId="49" dataDxfId="48" totalsRowDxfId="47">
  <tableColumns count="21">
    <tableColumn id="21" name="Date" dataDxfId="46" totalsRowDxfId="20"/>
    <tableColumn id="1" name="N° pièce" totalsRowLabel="Total" dataDxfId="45" totalsRowDxfId="19"/>
    <tableColumn id="2" name="Libellé de l'opération" totalsRowFunction="count" dataDxfId="44" totalsRowDxfId="18"/>
    <tableColumn id="3" name="Encaissement" totalsRowFunction="sum" dataDxfId="43" totalsRowDxfId="17"/>
    <tableColumn id="4" name="Décaissement" totalsRowFunction="sum" dataDxfId="42" totalsRowDxfId="16"/>
    <tableColumn id="5" name="Solde" totalsRowFunction="sum" dataDxfId="41" totalsRowDxfId="15"/>
    <tableColumn id="11" name="AG" totalsRowFunction="sum" dataDxfId="40" totalsRowDxfId="14"/>
    <tableColumn id="8" name="Carburant" totalsRowFunction="sum" dataDxfId="39" totalsRowDxfId="13"/>
    <tableColumn id="7" name="Missions/MinCce" totalsRowFunction="sum" dataDxfId="38" totalsRowDxfId="12"/>
    <tableColumn id="6" name="Taxi/peage/PAD" totalsRowFunction="sum" dataDxfId="37" totalsRowDxfId="11"/>
    <tableColumn id="16" name="Télécom" totalsRowFunction="sum" dataDxfId="36" totalsRowDxfId="10"/>
    <tableColumn id="9" name="Entretien" totalsRowFunction="sum" dataDxfId="35" totalsRowDxfId="9"/>
    <tableColumn id="17" name="Electricité" totalsRowFunction="sum" dataDxfId="34" totalsRowDxfId="8"/>
    <tableColumn id="18" name="Eau" totalsRowFunction="sum" dataDxfId="33" totalsRowDxfId="7"/>
    <tableColumn id="13" name="Impot/Cnps" totalsRowFunction="sum" dataDxfId="32" totalsRowDxfId="6"/>
    <tableColumn id="15" name="Loyer" totalsRowFunction="sum" dataDxfId="31" totalsRowDxfId="5"/>
    <tableColumn id="12" name="Banque" totalsRowFunction="sum" dataDxfId="30" totalsRowDxfId="4"/>
    <tableColumn id="10" name="Mat., mob." totalsRowFunction="sum" dataDxfId="29" totalsRowDxfId="3"/>
    <tableColumn id="14" name="Salaire" totalsRowFunction="sum" dataDxfId="28" totalsRowDxfId="2"/>
    <tableColumn id="19" name="Autres" totalsRowFunction="sum" dataDxfId="27" totalsRowDxfId="1"/>
    <tableColumn id="20" name="Total" totalsRowFunction="sum" dataDxfId="26" totalsRowDxfId="0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2" name="T_Entr" displayName="T_Entr" ref="A1:B9" totalsRowShown="0" headerRowDxfId="25" dataDxfId="24" tableBorderDxfId="23">
  <autoFilter ref="A1:B9"/>
  <tableColumns count="2">
    <tableColumn id="2" name="Entreprises" dataDxfId="22"/>
    <tableColumn id="1" name="Listes des tableaux" dataDxfId="2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21"/>
  <sheetViews>
    <sheetView showGridLines="0" tabSelected="1" workbookViewId="0">
      <selection activeCell="H21" sqref="H21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15" style="1" bestFit="1" customWidth="1"/>
    <col min="4" max="4" width="15.5546875" style="1" bestFit="1" customWidth="1"/>
    <col min="5" max="5" width="15.88671875" style="3" bestFit="1" customWidth="1"/>
    <col min="6" max="6" width="10.6640625" style="1" bestFit="1" customWidth="1"/>
    <col min="7" max="7" width="9.21875" style="1" customWidth="1"/>
    <col min="8" max="8" width="11.33203125" style="3" bestFit="1" customWidth="1"/>
    <col min="9" max="9" width="18.109375" style="3" bestFit="1" customWidth="1"/>
    <col min="10" max="10" width="17.109375" style="3" bestFit="1" customWidth="1"/>
    <col min="11" max="11" width="10.109375" style="1" bestFit="1" customWidth="1"/>
    <col min="12" max="12" width="10.88671875" style="1" bestFit="1" customWidth="1"/>
    <col min="13" max="13" width="11.44140625" style="1" bestFit="1" customWidth="1"/>
    <col min="14" max="14" width="10.88671875" style="1" customWidth="1"/>
    <col min="15" max="15" width="13" style="1" bestFit="1" customWidth="1"/>
    <col min="16" max="16" width="10.109375" style="1" customWidth="1"/>
    <col min="17" max="17" width="9.33203125" style="1" bestFit="1" customWidth="1"/>
    <col min="18" max="18" width="12.33203125" style="1" bestFit="1" customWidth="1"/>
    <col min="19" max="19" width="9.6640625" style="1" bestFit="1" customWidth="1"/>
    <col min="20" max="20" width="13" style="1" bestFit="1" customWidth="1"/>
    <col min="21" max="21" width="8.88671875" style="1" bestFit="1" customWidth="1"/>
    <col min="22" max="22" width="8.33203125" style="1" bestFit="1" customWidth="1"/>
    <col min="23" max="16384" width="9.109375" style="1"/>
  </cols>
  <sheetData>
    <row r="1" spans="1:22" ht="15" customHeight="1" thickBot="1">
      <c r="A1" s="47"/>
      <c r="B1" s="50">
        <f ca="1">TODAY()</f>
        <v>46302</v>
      </c>
    </row>
    <row r="2" spans="1:22" ht="40.200000000000003" customHeight="1" thickBot="1">
      <c r="B2" s="102" t="s">
        <v>33</v>
      </c>
      <c r="C2" s="103"/>
      <c r="D2" s="104"/>
      <c r="E2" s="104"/>
      <c r="F2" s="104"/>
      <c r="G2" s="10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200000000000003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46302</v>
      </c>
      <c r="E4" s="15"/>
      <c r="H4" s="15"/>
      <c r="I4" s="15"/>
      <c r="J4" s="15"/>
    </row>
    <row r="5" spans="1:22" customFormat="1" ht="19.95" customHeight="1"/>
    <row r="6" spans="1:22" customFormat="1" ht="15" customHeight="1">
      <c r="B6" s="39" t="s">
        <v>36</v>
      </c>
      <c r="C6" s="46" t="s">
        <v>43</v>
      </c>
      <c r="D6" s="39" t="s">
        <v>42</v>
      </c>
      <c r="E6" s="39" t="s">
        <v>44</v>
      </c>
      <c r="F6" s="39" t="s">
        <v>45</v>
      </c>
      <c r="G6" s="39" t="s">
        <v>46</v>
      </c>
      <c r="H6" s="39" t="s">
        <v>47</v>
      </c>
      <c r="I6" s="39" t="s">
        <v>48</v>
      </c>
      <c r="J6" s="39" t="s">
        <v>49</v>
      </c>
      <c r="K6" s="39" t="s">
        <v>50</v>
      </c>
      <c r="L6" s="39" t="s">
        <v>51</v>
      </c>
      <c r="M6" s="39" t="s">
        <v>52</v>
      </c>
      <c r="N6" s="39" t="s">
        <v>53</v>
      </c>
      <c r="O6" s="39" t="s">
        <v>54</v>
      </c>
      <c r="P6" s="39" t="s">
        <v>55</v>
      </c>
      <c r="Q6" s="39" t="s">
        <v>56</v>
      </c>
      <c r="R6" s="39" t="s">
        <v>57</v>
      </c>
      <c r="S6" s="39" t="s">
        <v>58</v>
      </c>
      <c r="T6" s="39" t="s">
        <v>59</v>
      </c>
    </row>
    <row r="7" spans="1:22" customFormat="1" ht="19.95" customHeight="1">
      <c r="B7" s="40" t="s">
        <v>38</v>
      </c>
      <c r="C7" s="48">
        <f>CAPI!D4</f>
        <v>50000</v>
      </c>
      <c r="D7" s="41">
        <f>SUMIF(T_Capi[Date],$C$4,T_Capi[Encaissement])</f>
        <v>0</v>
      </c>
      <c r="E7" s="41">
        <f>SUMIF(T_Capi[Date],$C$4,T_Capi[Décaissement])</f>
        <v>0</v>
      </c>
      <c r="F7" s="41">
        <f>CAPI!F4</f>
        <v>5000</v>
      </c>
      <c r="G7" s="41">
        <f>SUMIF(T_Capi[Date],$C$4,T_Capi[AG])</f>
        <v>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>
      <c r="B8" s="40" t="s">
        <v>27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>
      <c r="B9" s="40" t="s">
        <v>39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>
      <c r="B10" s="40" t="s">
        <v>29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>
      <c r="B11" s="40" t="s">
        <v>30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>
      <c r="B12" s="40" t="s">
        <v>31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>
      <c r="B13" s="40" t="s">
        <v>40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>
      <c r="B14" s="40" t="s">
        <v>41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>
      <c r="B15" s="42" t="s">
        <v>37</v>
      </c>
      <c r="C15" s="42"/>
      <c r="D15" s="43">
        <f t="shared" ref="D15:T15" si="0">SUM(D7:D14)</f>
        <v>0</v>
      </c>
      <c r="E15" s="43">
        <f t="shared" si="0"/>
        <v>0</v>
      </c>
      <c r="F15" s="43">
        <f t="shared" si="0"/>
        <v>355000</v>
      </c>
      <c r="G15" s="43">
        <f t="shared" si="0"/>
        <v>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4"/>
  <sheetViews>
    <sheetView showGridLines="0" workbookViewId="0">
      <selection activeCell="D24" sqref="D24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35.88671875" style="3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5000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34">
        <v>46296</v>
      </c>
      <c r="C7" s="55" t="s">
        <v>64</v>
      </c>
      <c r="D7" s="19" t="s">
        <v>35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4">
        <f>SUM(T_Capi[[#This Row],[AG]:[Autres]])</f>
        <v>45000</v>
      </c>
    </row>
    <row r="8" spans="2:22" s="8" customFormat="1" ht="16.8" thickBot="1">
      <c r="B8" s="93"/>
      <c r="C8" s="94" t="s">
        <v>1</v>
      </c>
      <c r="D8" s="98">
        <f>SUBTOTAL(103,T_Capi[Libellé de l''opération])</f>
        <v>1</v>
      </c>
      <c r="E8" s="96">
        <f>SUBTOTAL(109,T_Capi[Encaissement])</f>
        <v>0</v>
      </c>
      <c r="F8" s="95">
        <f>SUBTOTAL(109,T_Capi[Décaissement])</f>
        <v>45000</v>
      </c>
      <c r="G8" s="95">
        <f>SUBTOTAL(109,T_Capi[Solde])</f>
        <v>5000</v>
      </c>
      <c r="H8" s="96">
        <f>SUBTOTAL(109,T_Capi[AG])</f>
        <v>0</v>
      </c>
      <c r="I8" s="96">
        <f>SUBTOTAL(109,T_Capi[Carburant])</f>
        <v>20000</v>
      </c>
      <c r="J8" s="96">
        <f>SUBTOTAL(109,T_Capi[Missions/MinCce])</f>
        <v>20000</v>
      </c>
      <c r="K8" s="96">
        <f>SUBTOTAL(109,T_Capi[Taxi/peage/PAD])</f>
        <v>5000</v>
      </c>
      <c r="L8" s="96">
        <f>SUBTOTAL(109,T_Capi[Télécom])</f>
        <v>0</v>
      </c>
      <c r="M8" s="96">
        <f>SUBTOTAL(109,T_Capi[Entretien])</f>
        <v>0</v>
      </c>
      <c r="N8" s="96">
        <f>SUBTOTAL(109,T_Capi[Electricité])</f>
        <v>0</v>
      </c>
      <c r="O8" s="96">
        <f>SUBTOTAL(109,T_Capi[Eau])</f>
        <v>0</v>
      </c>
      <c r="P8" s="96">
        <f>SUBTOTAL(109,T_Capi[Impot/Cnps])</f>
        <v>0</v>
      </c>
      <c r="Q8" s="96">
        <f>SUBTOTAL(109,T_Capi[Loyer])</f>
        <v>0</v>
      </c>
      <c r="R8" s="96">
        <f>SUBTOTAL(109,T_Capi[Banque])</f>
        <v>0</v>
      </c>
      <c r="S8" s="96">
        <f>SUBTOTAL(109,T_Capi[Mat., mob.])</f>
        <v>0</v>
      </c>
      <c r="T8" s="96">
        <f>SUBTOTAL(109,T_Capi[Salaire])</f>
        <v>0</v>
      </c>
      <c r="U8" s="96">
        <f>SUBTOTAL(109,T_Capi[Autres])</f>
        <v>0</v>
      </c>
      <c r="V8" s="97">
        <f>SUBTOTAL(109,T_Capi[Total])</f>
        <v>45000</v>
      </c>
    </row>
    <row r="9" spans="2:22" ht="14.4" thickTop="1">
      <c r="B9" s="21" t="s">
        <v>17</v>
      </c>
      <c r="D9" s="22" t="s">
        <v>18</v>
      </c>
    </row>
    <row r="10" spans="2:22">
      <c r="B10" s="108"/>
      <c r="C10" s="108"/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</sheetData>
  <mergeCells count="2">
    <mergeCell ref="B2:C2"/>
    <mergeCell ref="B10:C14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2" fitToHeight="0" orientation="portrait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5"/>
  <sheetViews>
    <sheetView showGridLines="0" workbookViewId="0">
      <selection activeCell="D8" sqref="D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27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72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84"/>
      <c r="C7" s="85"/>
      <c r="D7" s="86"/>
      <c r="E7" s="87"/>
      <c r="F7" s="88"/>
      <c r="G7" s="89"/>
      <c r="H7" s="90"/>
      <c r="I7" s="91"/>
      <c r="J7" s="91"/>
      <c r="K7" s="91"/>
      <c r="L7" s="90"/>
      <c r="M7" s="92"/>
      <c r="N7" s="92"/>
      <c r="O7" s="92"/>
      <c r="P7" s="92"/>
      <c r="Q7" s="90"/>
      <c r="R7" s="92"/>
      <c r="S7" s="92"/>
      <c r="T7" s="92"/>
      <c r="U7" s="92"/>
      <c r="V7" s="92"/>
    </row>
    <row r="8" spans="2:22" s="8" customFormat="1" ht="16.8" thickBot="1">
      <c r="B8" s="75"/>
      <c r="C8" s="76" t="s">
        <v>1</v>
      </c>
      <c r="D8" s="99">
        <f>SUBTOTAL(103,T_Giccopacam[Libellé de l''opération])</f>
        <v>0</v>
      </c>
      <c r="E8" s="77">
        <f>SUBTOTAL(109,T_Giccopacam[Encaissement])</f>
        <v>0</v>
      </c>
      <c r="F8" s="78">
        <f>SUBTOTAL(109,T_Giccopacam[Décaissement])</f>
        <v>0</v>
      </c>
      <c r="G8" s="79">
        <f>SUBTOTAL(109,T_Giccopacam[Solde])</f>
        <v>0</v>
      </c>
      <c r="H8" s="80">
        <f>SUBTOTAL(109,T_Giccopacam[AG])</f>
        <v>0</v>
      </c>
      <c r="I8" s="81">
        <f>SUBTOTAL(109,T_Giccopacam[Carburant])</f>
        <v>0</v>
      </c>
      <c r="J8" s="81">
        <f>SUBTOTAL(109,T_Giccopacam[Missions/MinCce])</f>
        <v>0</v>
      </c>
      <c r="K8" s="81">
        <f>SUBTOTAL(109,T_Giccopacam[Taxi/peage/PAD])</f>
        <v>0</v>
      </c>
      <c r="L8" s="80">
        <f>SUBTOTAL(109,T_Giccopacam[Télécom])</f>
        <v>0</v>
      </c>
      <c r="M8" s="82">
        <f>SUBTOTAL(109,T_Giccopacam[Entretien])</f>
        <v>0</v>
      </c>
      <c r="N8" s="82">
        <f>SUBTOTAL(109,T_Giccopacam[Electricité])</f>
        <v>0</v>
      </c>
      <c r="O8" s="82">
        <f>SUBTOTAL(109,T_Giccopacam[Eau])</f>
        <v>0</v>
      </c>
      <c r="P8" s="82">
        <f>SUBTOTAL(109,T_Giccopacam[Impot/Cnps])</f>
        <v>0</v>
      </c>
      <c r="Q8" s="80">
        <f>SUBTOTAL(109,T_Giccopacam[Loyer])</f>
        <v>0</v>
      </c>
      <c r="R8" s="82">
        <f>SUBTOTAL(109,T_Giccopacam[Banque])</f>
        <v>0</v>
      </c>
      <c r="S8" s="82">
        <f>SUBTOTAL(109,T_Giccopacam[Mat., mob.])</f>
        <v>0</v>
      </c>
      <c r="T8" s="82">
        <f>SUBTOTAL(109,T_Giccopacam[Salaire])</f>
        <v>0</v>
      </c>
      <c r="U8" s="82">
        <f>SUBTOTAL(109,T_Giccopacam[Autres])</f>
        <v>0</v>
      </c>
      <c r="V8" s="83">
        <f>SUBTOTAL(109,T_Giccopacam[Total])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28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100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29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73"/>
      <c r="C7" s="58"/>
      <c r="D7" s="61"/>
      <c r="E7" s="60"/>
      <c r="F7" s="59"/>
      <c r="G7" s="69"/>
      <c r="H7" s="70"/>
      <c r="I7" s="60"/>
      <c r="J7" s="60"/>
      <c r="K7" s="60"/>
      <c r="L7" s="70"/>
      <c r="M7" s="71"/>
      <c r="N7" s="71"/>
      <c r="O7" s="71"/>
      <c r="P7" s="71"/>
      <c r="Q7" s="70"/>
      <c r="R7" s="71"/>
      <c r="S7" s="71"/>
      <c r="T7" s="71"/>
      <c r="U7" s="71"/>
      <c r="V7" s="71"/>
    </row>
    <row r="8" spans="2:22" s="8" customFormat="1" ht="16.8" thickBot="1">
      <c r="B8" s="74"/>
      <c r="C8" s="62" t="s">
        <v>1</v>
      </c>
      <c r="D8" s="101">
        <f>SUBTOTAL(103,T_JetIndustry[Libellé de l''opération])</f>
        <v>0</v>
      </c>
      <c r="E8" s="66">
        <f>SUBTOTAL(109,T_JetIndustry[Encaissement])</f>
        <v>0</v>
      </c>
      <c r="F8" s="63">
        <f>SUBTOTAL(109,T_JetIndustry[Décaissement])</f>
        <v>0</v>
      </c>
      <c r="G8" s="64">
        <f>SUBTOTAL(109,T_JetIndustry[Solde])</f>
        <v>0</v>
      </c>
      <c r="H8" s="65">
        <f>SUBTOTAL(109,T_JetIndustry[AG])</f>
        <v>0</v>
      </c>
      <c r="I8" s="66">
        <f>SUBTOTAL(109,T_JetIndustry[Carburant])</f>
        <v>0</v>
      </c>
      <c r="J8" s="66">
        <f>SUBTOTAL(109,T_JetIndustry[Missions/MinCce])</f>
        <v>0</v>
      </c>
      <c r="K8" s="66">
        <f>SUBTOTAL(109,T_JetIndustry[Taxi/peage/PAD])</f>
        <v>0</v>
      </c>
      <c r="L8" s="65">
        <f>SUBTOTAL(109,T_JetIndustry[Télécom])</f>
        <v>0</v>
      </c>
      <c r="M8" s="67">
        <f>SUBTOTAL(109,T_JetIndustry[Entretien])</f>
        <v>0</v>
      </c>
      <c r="N8" s="67">
        <f>SUBTOTAL(109,T_JetIndustry[Electricité])</f>
        <v>0</v>
      </c>
      <c r="O8" s="67">
        <f>SUBTOTAL(109,T_JetIndustry[Eau])</f>
        <v>0</v>
      </c>
      <c r="P8" s="67">
        <f>SUBTOTAL(109,T_JetIndustry[Impot/Cnps])</f>
        <v>0</v>
      </c>
      <c r="Q8" s="65">
        <f>SUBTOTAL(109,T_JetIndustry[Loyer])</f>
        <v>0</v>
      </c>
      <c r="R8" s="67">
        <f>SUBTOTAL(109,T_JetIndustry[Banque])</f>
        <v>0</v>
      </c>
      <c r="S8" s="67">
        <f>SUBTOTAL(109,T_JetIndustry[Mat., mob.])</f>
        <v>0</v>
      </c>
      <c r="T8" s="67">
        <f>SUBTOTAL(109,T_JetIndustry[Salaire])</f>
        <v>0</v>
      </c>
      <c r="U8" s="67">
        <f>SUBTOTAL(109,T_JetIndustry[Autres])</f>
        <v>0</v>
      </c>
      <c r="V8" s="68">
        <f>SUBTOTAL(109,T_JetIndustry[Total])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30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100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31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100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32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6.8" thickBot="1">
      <c r="B8" s="33"/>
      <c r="C8" s="9" t="s">
        <v>1</v>
      </c>
      <c r="D8" s="100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5"/>
  <sheetViews>
    <sheetView showGridLines="0" workbookViewId="0">
      <selection activeCell="D20" sqref="D20"/>
    </sheetView>
  </sheetViews>
  <sheetFormatPr baseColWidth="10" defaultColWidth="9.109375" defaultRowHeight="13.8"/>
  <cols>
    <col min="1" max="1" width="5" style="1" customWidth="1"/>
    <col min="2" max="2" width="17.88671875" style="1" customWidth="1"/>
    <col min="3" max="3" width="20.88671875" style="1" customWidth="1"/>
    <col min="4" max="4" width="21.109375" style="3" bestFit="1" customWidth="1"/>
    <col min="5" max="5" width="25.5546875" style="1" customWidth="1"/>
    <col min="6" max="6" width="27.109375" style="1" customWidth="1"/>
    <col min="7" max="7" width="9.109375" style="3" bestFit="1" customWidth="1"/>
    <col min="8" max="8" width="11.33203125" style="3" customWidth="1"/>
    <col min="9" max="9" width="12.109375" style="3" bestFit="1" customWidth="1"/>
    <col min="10" max="10" width="20.109375" style="1" bestFit="1" customWidth="1"/>
    <col min="11" max="11" width="19.109375" style="1" bestFit="1" customWidth="1"/>
    <col min="12" max="12" width="10.33203125" style="1" bestFit="1" customWidth="1"/>
    <col min="13" max="13" width="11.44140625" style="1" bestFit="1" customWidth="1"/>
    <col min="14" max="14" width="12.33203125" style="1" bestFit="1" customWidth="1"/>
    <col min="15" max="15" width="5.44140625" style="1" bestFit="1" customWidth="1"/>
    <col min="16" max="16" width="14.109375" style="1" bestFit="1" customWidth="1"/>
    <col min="17" max="17" width="7.109375" style="1" bestFit="1" customWidth="1"/>
    <col min="18" max="18" width="9.6640625" style="1" bestFit="1" customWidth="1"/>
    <col min="19" max="19" width="13" style="1" bestFit="1" customWidth="1"/>
    <col min="20" max="20" width="8.88671875" style="1" bestFit="1" customWidth="1"/>
    <col min="21" max="21" width="8.33203125" style="1" bestFit="1" customWidth="1"/>
    <col min="22" max="16384" width="9.109375" style="1"/>
  </cols>
  <sheetData>
    <row r="1" spans="2:22" ht="15" customHeight="1" thickBot="1"/>
    <row r="2" spans="2:22" ht="40.200000000000003" customHeight="1" thickBot="1">
      <c r="B2" s="106" t="s">
        <v>34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46302</v>
      </c>
      <c r="D3" s="15"/>
      <c r="G3" s="15"/>
      <c r="H3" s="15"/>
      <c r="I3" s="15"/>
    </row>
    <row r="4" spans="2:22" s="4" customFormat="1" ht="19.95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95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2">
      <c r="B7" s="84"/>
      <c r="C7" s="85"/>
      <c r="D7" s="86"/>
      <c r="E7" s="91"/>
      <c r="F7" s="88"/>
      <c r="G7" s="89"/>
      <c r="H7" s="90"/>
      <c r="I7" s="91"/>
      <c r="J7" s="91"/>
      <c r="K7" s="91"/>
      <c r="L7" s="90"/>
      <c r="M7" s="92"/>
      <c r="N7" s="92"/>
      <c r="O7" s="92"/>
      <c r="P7" s="92"/>
      <c r="Q7" s="90"/>
      <c r="R7" s="92"/>
      <c r="S7" s="92"/>
      <c r="T7" s="92"/>
      <c r="U7" s="92"/>
      <c r="V7" s="92"/>
    </row>
    <row r="8" spans="2:22" s="8" customFormat="1" ht="16.8" thickBot="1">
      <c r="B8" s="75"/>
      <c r="C8" s="76" t="s">
        <v>1</v>
      </c>
      <c r="D8" s="99">
        <f>SUBTOTAL(103,T_Evora[Libellé de l''opération])</f>
        <v>0</v>
      </c>
      <c r="E8" s="81">
        <f>SUBTOTAL(109,T_Evora[Encaissement])</f>
        <v>0</v>
      </c>
      <c r="F8" s="78">
        <f>SUBTOTAL(109,T_Evora[Décaissement])</f>
        <v>0</v>
      </c>
      <c r="G8" s="79">
        <f>SUBTOTAL(109,T_Evora[Solde])</f>
        <v>0</v>
      </c>
      <c r="H8" s="80">
        <f>SUBTOTAL(109,T_Evora[AG])</f>
        <v>0</v>
      </c>
      <c r="I8" s="81">
        <f>SUBTOTAL(109,T_Evora[Carburant])</f>
        <v>0</v>
      </c>
      <c r="J8" s="81">
        <f>SUBTOTAL(109,T_Evora[Missions/MinCce])</f>
        <v>0</v>
      </c>
      <c r="K8" s="81">
        <f>SUBTOTAL(109,T_Evora[Taxi/peage/PAD])</f>
        <v>0</v>
      </c>
      <c r="L8" s="80">
        <f>SUBTOTAL(109,T_Evora[Télécom])</f>
        <v>0</v>
      </c>
      <c r="M8" s="82">
        <f>SUBTOTAL(109,T_Evora[Entretien])</f>
        <v>0</v>
      </c>
      <c r="N8" s="82">
        <f>SUBTOTAL(109,T_Evora[Electricité])</f>
        <v>0</v>
      </c>
      <c r="O8" s="82">
        <f>SUBTOTAL(109,T_Evora[Eau])</f>
        <v>0</v>
      </c>
      <c r="P8" s="82">
        <f>SUBTOTAL(109,T_Evora[Impot/Cnps])</f>
        <v>0</v>
      </c>
      <c r="Q8" s="80">
        <f>SUBTOTAL(109,T_Evora[Loyer])</f>
        <v>0</v>
      </c>
      <c r="R8" s="82">
        <f>SUBTOTAL(109,T_Evora[Banque])</f>
        <v>0</v>
      </c>
      <c r="S8" s="82">
        <f>SUBTOTAL(109,T_Evora[Mat., mob.])</f>
        <v>0</v>
      </c>
      <c r="T8" s="82">
        <f>SUBTOTAL(109,T_Evora[Salaire])</f>
        <v>0</v>
      </c>
      <c r="U8" s="82">
        <f>SUBTOTAL(109,T_Evora[Autres])</f>
        <v>0</v>
      </c>
      <c r="V8" s="83">
        <f>SUBTOTAL(109,T_Evora[Total])</f>
        <v>0</v>
      </c>
    </row>
    <row r="9" spans="2:22" s="8" customFormat="1" ht="14.4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9"/>
  <sheetViews>
    <sheetView workbookViewId="0">
      <selection activeCell="E20" sqref="E20"/>
    </sheetView>
  </sheetViews>
  <sheetFormatPr baseColWidth="10" defaultRowHeight="13.2"/>
  <cols>
    <col min="1" max="1" width="23.109375" customWidth="1"/>
    <col min="2" max="2" width="22.33203125" customWidth="1"/>
  </cols>
  <sheetData>
    <row r="1" spans="1:2">
      <c r="A1" s="56" t="s">
        <v>65</v>
      </c>
      <c r="B1" s="52" t="s">
        <v>66</v>
      </c>
    </row>
    <row r="2" spans="1:2">
      <c r="A2" s="57" t="s">
        <v>38</v>
      </c>
      <c r="B2" s="40" t="s">
        <v>61</v>
      </c>
    </row>
    <row r="3" spans="1:2">
      <c r="A3" s="40" t="s">
        <v>69</v>
      </c>
      <c r="B3" s="40" t="s">
        <v>62</v>
      </c>
    </row>
    <row r="4" spans="1:2">
      <c r="A4" s="40" t="s">
        <v>67</v>
      </c>
      <c r="B4" s="53" t="s">
        <v>63</v>
      </c>
    </row>
    <row r="5" spans="1:2">
      <c r="A5" s="40" t="s">
        <v>29</v>
      </c>
      <c r="B5" s="40" t="s">
        <v>74</v>
      </c>
    </row>
    <row r="6" spans="1:2">
      <c r="A6" s="40" t="s">
        <v>30</v>
      </c>
      <c r="B6" s="40" t="s">
        <v>73</v>
      </c>
    </row>
    <row r="7" spans="1:2">
      <c r="A7" s="40" t="s">
        <v>31</v>
      </c>
      <c r="B7" s="40" t="s">
        <v>72</v>
      </c>
    </row>
    <row r="8" spans="1:2">
      <c r="A8" s="40" t="s">
        <v>32</v>
      </c>
      <c r="B8" s="40" t="s">
        <v>71</v>
      </c>
    </row>
    <row r="9" spans="1:2">
      <c r="A9" s="51" t="s">
        <v>68</v>
      </c>
      <c r="B9" s="51" t="s">
        <v>70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734D5-4621-4580-8094-85EF7AEC5F3D}">
  <ds:schemaRefs>
    <ds:schemaRef ds:uri="http://schemas.microsoft.com/office/2006/metadata/properties"/>
    <ds:schemaRef ds:uri="http://purl.org/dc/terms/"/>
    <ds:schemaRef ds:uri="71af3243-3dd4-4a8d-8c0d-dd76da1f02a5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6c05727-aa75-4e4a-9b5f-8a80a116589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CENTRALISATION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Entreprises</vt:lpstr>
      <vt:lpstr>CAPI!Impression_des_titres</vt:lpstr>
      <vt:lpstr>CENTRALISATION!Impression_des_titres</vt:lpstr>
      <vt:lpstr>'CFPM-JET'!Impression_des_titres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CAPI!Zone_d_impression</vt:lpstr>
      <vt:lpstr>CENTRALISATION!Zone_d_impression</vt:lpstr>
      <vt:lpstr>'CFPM-JET'!Zone_d_impression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2019-02-19T20:17:25Z</dcterms:created>
  <dcterms:modified xsi:type="dcterms:W3CDTF">2026-10-07T17:19:20Z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