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20" yWindow="-120" windowWidth="23256" windowHeight="13020" tabRatio="868"/>
  </bookViews>
  <sheets>
    <sheet name="Base" sheetId="1" r:id="rId1"/>
    <sheet name="Recap 2026" sheetId="7" r:id="rId2"/>
  </sheets>
  <functionGroups builtInGroupCount="17"/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3" i="1" l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3" i="1"/>
  <c r="AD32" i="1"/>
  <c r="AA34" i="1"/>
  <c r="AB12" i="7" l="1"/>
  <c r="AC14" i="7"/>
  <c r="AB14" i="7"/>
  <c r="AC13" i="7"/>
  <c r="AB13" i="7"/>
  <c r="AC12" i="7"/>
  <c r="K34" i="1"/>
  <c r="L34" i="1"/>
  <c r="M34" i="1"/>
  <c r="N34" i="1"/>
  <c r="O34" i="1"/>
  <c r="P34" i="1"/>
  <c r="Q34" i="1"/>
  <c r="R34" i="1"/>
  <c r="S34" i="1"/>
  <c r="T34" i="1"/>
  <c r="U34" i="1"/>
  <c r="J34" i="1"/>
  <c r="I34" i="1"/>
  <c r="Z34" i="1"/>
  <c r="D34" i="1"/>
  <c r="F34" i="1"/>
  <c r="E34" i="1"/>
  <c r="G34" i="1"/>
  <c r="AB34" i="1"/>
  <c r="AC34" i="1"/>
  <c r="H34" i="1"/>
  <c r="C34" i="1"/>
  <c r="B34" i="1"/>
  <c r="J12" i="7" l="1"/>
  <c r="AA4" i="7"/>
  <c r="AA8" i="7"/>
  <c r="AA12" i="7"/>
  <c r="Z3" i="7"/>
  <c r="Z7" i="7"/>
  <c r="Z11" i="7"/>
  <c r="Z15" i="7"/>
  <c r="Y6" i="7"/>
  <c r="Y10" i="7"/>
  <c r="Y14" i="7"/>
  <c r="X5" i="7"/>
  <c r="X9" i="7"/>
  <c r="X13" i="7"/>
  <c r="W4" i="7"/>
  <c r="W8" i="7"/>
  <c r="W12" i="7"/>
  <c r="V3" i="7"/>
  <c r="V7" i="7"/>
  <c r="V11" i="7"/>
  <c r="V15" i="7"/>
  <c r="U6" i="7"/>
  <c r="U10" i="7"/>
  <c r="U14" i="7"/>
  <c r="T5" i="7"/>
  <c r="T9" i="7"/>
  <c r="T13" i="7"/>
  <c r="S4" i="7"/>
  <c r="S8" i="7"/>
  <c r="S12" i="7"/>
  <c r="R3" i="7"/>
  <c r="R7" i="7"/>
  <c r="R11" i="7"/>
  <c r="R15" i="7"/>
  <c r="Q6" i="7"/>
  <c r="Q10" i="7"/>
  <c r="Q14" i="7"/>
  <c r="P5" i="7"/>
  <c r="P9" i="7"/>
  <c r="P13" i="7"/>
  <c r="O4" i="7"/>
  <c r="O8" i="7"/>
  <c r="O12" i="7"/>
  <c r="N3" i="7"/>
  <c r="N7" i="7"/>
  <c r="N11" i="7"/>
  <c r="N15" i="7"/>
  <c r="M6" i="7"/>
  <c r="M10" i="7"/>
  <c r="M14" i="7"/>
  <c r="L5" i="7"/>
  <c r="L9" i="7"/>
  <c r="L13" i="7"/>
  <c r="K4" i="7"/>
  <c r="K8" i="7"/>
  <c r="K12" i="7"/>
  <c r="J3" i="7"/>
  <c r="J7" i="7"/>
  <c r="J11" i="7"/>
  <c r="J15" i="7"/>
  <c r="E15" i="7"/>
  <c r="I15" i="7"/>
  <c r="AD5" i="7"/>
  <c r="AD9" i="7"/>
  <c r="AD13" i="7"/>
  <c r="AA10" i="7"/>
  <c r="Z5" i="7"/>
  <c r="Z13" i="7"/>
  <c r="Y8" i="7"/>
  <c r="X3" i="7"/>
  <c r="X11" i="7"/>
  <c r="W6" i="7"/>
  <c r="W10" i="7"/>
  <c r="W14" i="7"/>
  <c r="V5" i="7"/>
  <c r="V9" i="7"/>
  <c r="AA5" i="7"/>
  <c r="AA9" i="7"/>
  <c r="AA13" i="7"/>
  <c r="Z4" i="7"/>
  <c r="Z8" i="7"/>
  <c r="Z12" i="7"/>
  <c r="Y3" i="7"/>
  <c r="Y7" i="7"/>
  <c r="Y11" i="7"/>
  <c r="Y15" i="7"/>
  <c r="X6" i="7"/>
  <c r="X10" i="7"/>
  <c r="X14" i="7"/>
  <c r="W5" i="7"/>
  <c r="W9" i="7"/>
  <c r="W13" i="7"/>
  <c r="V4" i="7"/>
  <c r="V8" i="7"/>
  <c r="V12" i="7"/>
  <c r="U3" i="7"/>
  <c r="U7" i="7"/>
  <c r="U11" i="7"/>
  <c r="U15" i="7"/>
  <c r="T6" i="7"/>
  <c r="T10" i="7"/>
  <c r="T14" i="7"/>
  <c r="S5" i="7"/>
  <c r="S9" i="7"/>
  <c r="S13" i="7"/>
  <c r="R4" i="7"/>
  <c r="R8" i="7"/>
  <c r="R12" i="7"/>
  <c r="Q3" i="7"/>
  <c r="Q7" i="7"/>
  <c r="Q11" i="7"/>
  <c r="Q15" i="7"/>
  <c r="P6" i="7"/>
  <c r="P10" i="7"/>
  <c r="P14" i="7"/>
  <c r="O5" i="7"/>
  <c r="O9" i="7"/>
  <c r="O13" i="7"/>
  <c r="N4" i="7"/>
  <c r="N8" i="7"/>
  <c r="N12" i="7"/>
  <c r="M3" i="7"/>
  <c r="M7" i="7"/>
  <c r="M11" i="7"/>
  <c r="M15" i="7"/>
  <c r="L6" i="7"/>
  <c r="L10" i="7"/>
  <c r="L14" i="7"/>
  <c r="K5" i="7"/>
  <c r="K9" i="7"/>
  <c r="K13" i="7"/>
  <c r="J4" i="7"/>
  <c r="J8" i="7"/>
  <c r="H3" i="7"/>
  <c r="F15" i="7"/>
  <c r="AB15" i="7"/>
  <c r="AD6" i="7"/>
  <c r="AD10" i="7"/>
  <c r="AD14" i="7"/>
  <c r="AB11" i="7"/>
  <c r="AA6" i="7"/>
  <c r="AA14" i="7"/>
  <c r="Z9" i="7"/>
  <c r="Y4" i="7"/>
  <c r="Y12" i="7"/>
  <c r="X7" i="7"/>
  <c r="X15" i="7"/>
  <c r="AA3" i="7"/>
  <c r="Z6" i="7"/>
  <c r="Y9" i="7"/>
  <c r="X12" i="7"/>
  <c r="W15" i="7"/>
  <c r="V14" i="7"/>
  <c r="U9" i="7"/>
  <c r="T4" i="7"/>
  <c r="T12" i="7"/>
  <c r="S7" i="7"/>
  <c r="S15" i="7"/>
  <c r="R10" i="7"/>
  <c r="Q5" i="7"/>
  <c r="Q13" i="7"/>
  <c r="P8" i="7"/>
  <c r="O3" i="7"/>
  <c r="O11" i="7"/>
  <c r="N6" i="7"/>
  <c r="N14" i="7"/>
  <c r="M9" i="7"/>
  <c r="L4" i="7"/>
  <c r="L12" i="7"/>
  <c r="K7" i="7"/>
  <c r="K15" i="7"/>
  <c r="J10" i="7"/>
  <c r="D15" i="7"/>
  <c r="AD4" i="7"/>
  <c r="AD12" i="7"/>
  <c r="J5" i="7"/>
  <c r="G15" i="7"/>
  <c r="AD15" i="7"/>
  <c r="AA11" i="7"/>
  <c r="Z14" i="7"/>
  <c r="X4" i="7"/>
  <c r="W7" i="7"/>
  <c r="V10" i="7"/>
  <c r="U5" i="7"/>
  <c r="U13" i="7"/>
  <c r="T8" i="7"/>
  <c r="S3" i="7"/>
  <c r="S11" i="7"/>
  <c r="R6" i="7"/>
  <c r="R14" i="7"/>
  <c r="Q9" i="7"/>
  <c r="P4" i="7"/>
  <c r="P12" i="7"/>
  <c r="O7" i="7"/>
  <c r="O15" i="7"/>
  <c r="N10" i="7"/>
  <c r="M5" i="7"/>
  <c r="M13" i="7"/>
  <c r="L8" i="7"/>
  <c r="K3" i="7"/>
  <c r="K11" i="7"/>
  <c r="J6" i="7"/>
  <c r="J14" i="7"/>
  <c r="H15" i="7"/>
  <c r="AD8" i="7"/>
  <c r="AA15" i="7"/>
  <c r="Y5" i="7"/>
  <c r="X8" i="7"/>
  <c r="V13" i="7"/>
  <c r="U8" i="7"/>
  <c r="T3" i="7"/>
  <c r="T11" i="7"/>
  <c r="S6" i="7"/>
  <c r="S14" i="7"/>
  <c r="Q4" i="7"/>
  <c r="Q12" i="7"/>
  <c r="P15" i="7"/>
  <c r="N5" i="7"/>
  <c r="M8" i="7"/>
  <c r="L11" i="7"/>
  <c r="K14" i="7"/>
  <c r="C15" i="7"/>
  <c r="AD11" i="7"/>
  <c r="AA7" i="7"/>
  <c r="Z10" i="7"/>
  <c r="Y13" i="7"/>
  <c r="W3" i="7"/>
  <c r="V6" i="7"/>
  <c r="U4" i="7"/>
  <c r="U12" i="7"/>
  <c r="T7" i="7"/>
  <c r="T15" i="7"/>
  <c r="S10" i="7"/>
  <c r="R5" i="7"/>
  <c r="R13" i="7"/>
  <c r="Q8" i="7"/>
  <c r="P3" i="7"/>
  <c r="P11" i="7"/>
  <c r="O6" i="7"/>
  <c r="O14" i="7"/>
  <c r="N9" i="7"/>
  <c r="M4" i="7"/>
  <c r="M12" i="7"/>
  <c r="L7" i="7"/>
  <c r="L15" i="7"/>
  <c r="K10" i="7"/>
  <c r="J13" i="7"/>
  <c r="AD7" i="7"/>
  <c r="W11" i="7"/>
  <c r="R9" i="7"/>
  <c r="P7" i="7"/>
  <c r="O10" i="7"/>
  <c r="N13" i="7"/>
  <c r="L3" i="7"/>
  <c r="K6" i="7"/>
  <c r="J9" i="7"/>
  <c r="AC15" i="7"/>
  <c r="AB6" i="7"/>
  <c r="AC4" i="7"/>
  <c r="C3" i="7"/>
  <c r="D12" i="7"/>
  <c r="D10" i="7"/>
  <c r="D8" i="7"/>
  <c r="D6" i="7"/>
  <c r="D4" i="7"/>
  <c r="E3" i="7"/>
  <c r="I3" i="7"/>
  <c r="F14" i="7"/>
  <c r="G13" i="7"/>
  <c r="H12" i="7"/>
  <c r="I11" i="7"/>
  <c r="E11" i="7"/>
  <c r="F10" i="7"/>
  <c r="G9" i="7"/>
  <c r="H8" i="7"/>
  <c r="I7" i="7"/>
  <c r="E7" i="7"/>
  <c r="F6" i="7"/>
  <c r="G5" i="7"/>
  <c r="H4" i="7"/>
  <c r="AC9" i="7"/>
  <c r="AB8" i="7"/>
  <c r="AC5" i="7"/>
  <c r="AB4" i="7"/>
  <c r="D3" i="7"/>
  <c r="C12" i="7"/>
  <c r="C10" i="7"/>
  <c r="C8" i="7"/>
  <c r="C6" i="7"/>
  <c r="C4" i="7"/>
  <c r="F3" i="7"/>
  <c r="I14" i="7"/>
  <c r="E14" i="7"/>
  <c r="F13" i="7"/>
  <c r="G12" i="7"/>
  <c r="H11" i="7"/>
  <c r="I10" i="7"/>
  <c r="E10" i="7"/>
  <c r="F9" i="7"/>
  <c r="G8" i="7"/>
  <c r="H7" i="7"/>
  <c r="I6" i="7"/>
  <c r="E6" i="7"/>
  <c r="F5" i="7"/>
  <c r="G4" i="7"/>
  <c r="AB3" i="7"/>
  <c r="AC10" i="7"/>
  <c r="AB9" i="7"/>
  <c r="AC6" i="7"/>
  <c r="AB5" i="7"/>
  <c r="D13" i="7"/>
  <c r="D11" i="7"/>
  <c r="D9" i="7"/>
  <c r="D7" i="7"/>
  <c r="D5" i="7"/>
  <c r="D14" i="7"/>
  <c r="G3" i="7"/>
  <c r="H14" i="7"/>
  <c r="I13" i="7"/>
  <c r="E13" i="7"/>
  <c r="F12" i="7"/>
  <c r="G11" i="7"/>
  <c r="H10" i="7"/>
  <c r="I9" i="7"/>
  <c r="E9" i="7"/>
  <c r="F8" i="7"/>
  <c r="G7" i="7"/>
  <c r="H6" i="7"/>
  <c r="I5" i="7"/>
  <c r="E5" i="7"/>
  <c r="F4" i="7"/>
  <c r="AC3" i="7"/>
  <c r="AC11" i="7"/>
  <c r="AB10" i="7"/>
  <c r="AC7" i="7"/>
  <c r="C13" i="7"/>
  <c r="C11" i="7"/>
  <c r="C9" i="7"/>
  <c r="C7" i="7"/>
  <c r="C5" i="7"/>
  <c r="C14" i="7"/>
  <c r="G14" i="7"/>
  <c r="H13" i="7"/>
  <c r="I12" i="7"/>
  <c r="E12" i="7"/>
  <c r="F11" i="7"/>
  <c r="G10" i="7"/>
  <c r="H9" i="7"/>
  <c r="I8" i="7"/>
  <c r="E8" i="7"/>
  <c r="F7" i="7"/>
  <c r="G6" i="7"/>
  <c r="H5" i="7"/>
  <c r="I4" i="7"/>
  <c r="E4" i="7"/>
  <c r="AD3" i="7"/>
  <c r="AC8" i="7"/>
  <c r="AB7" i="7"/>
  <c r="J16" i="7" l="1"/>
  <c r="J17" i="7" s="1"/>
  <c r="W16" i="7"/>
  <c r="W17" i="7" s="1"/>
  <c r="S16" i="7"/>
  <c r="S17" i="7" s="1"/>
  <c r="U16" i="7"/>
  <c r="U17" i="7" s="1"/>
  <c r="L16" i="7"/>
  <c r="L17" i="7" s="1"/>
  <c r="Y16" i="7"/>
  <c r="Y17" i="7" s="1"/>
  <c r="R16" i="7"/>
  <c r="R17" i="7" s="1"/>
  <c r="P16" i="7"/>
  <c r="P17" i="7" s="1"/>
  <c r="M16" i="7"/>
  <c r="M17" i="7" s="1"/>
  <c r="X16" i="7"/>
  <c r="X17" i="7" s="1"/>
  <c r="V16" i="7"/>
  <c r="V17" i="7" s="1"/>
  <c r="K16" i="7"/>
  <c r="K17" i="7" s="1"/>
  <c r="AA16" i="7"/>
  <c r="AA17" i="7" s="1"/>
  <c r="Q16" i="7"/>
  <c r="Q17" i="7" s="1"/>
  <c r="Z16" i="7"/>
  <c r="Z17" i="7" s="1"/>
  <c r="T16" i="7"/>
  <c r="T17" i="7" s="1"/>
  <c r="O16" i="7"/>
  <c r="O17" i="7" s="1"/>
  <c r="N16" i="7"/>
  <c r="N17" i="7" s="1"/>
  <c r="AB16" i="7"/>
  <c r="AB17" i="7" s="1"/>
  <c r="D16" i="7"/>
  <c r="D17" i="7" s="1"/>
  <c r="H16" i="7"/>
  <c r="H17" i="7" s="1"/>
  <c r="F16" i="7"/>
  <c r="F17" i="7" s="1"/>
  <c r="C16" i="7"/>
  <c r="C17" i="7" s="1"/>
  <c r="AD16" i="7"/>
  <c r="AD17" i="7" s="1"/>
  <c r="AC16" i="7"/>
  <c r="AC17" i="7" s="1"/>
  <c r="I16" i="7"/>
  <c r="I17" i="7" s="1"/>
  <c r="G16" i="7"/>
  <c r="G17" i="7" s="1"/>
  <c r="E16" i="7"/>
  <c r="E17" i="7" s="1"/>
</calcChain>
</file>

<file path=xl/sharedStrings.xml><?xml version="1.0" encoding="utf-8"?>
<sst xmlns="http://schemas.openxmlformats.org/spreadsheetml/2006/main" count="116" uniqueCount="90">
  <si>
    <t>Dates</t>
  </si>
  <si>
    <t>Kcal</t>
  </si>
  <si>
    <t>km</t>
  </si>
  <si>
    <t>resist</t>
  </si>
  <si>
    <t>km/h</t>
  </si>
  <si>
    <t>rpm</t>
  </si>
  <si>
    <t>bpm</t>
  </si>
  <si>
    <t>Vélo éliptique</t>
  </si>
  <si>
    <t>Temps</t>
  </si>
  <si>
    <t xml:space="preserve">Km </t>
  </si>
  <si>
    <t xml:space="preserve">Calories </t>
  </si>
  <si>
    <t>Temps4</t>
  </si>
  <si>
    <t>Marche</t>
  </si>
  <si>
    <t>Totaux</t>
  </si>
  <si>
    <t>rpm2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</si>
  <si>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</si>
  <si>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</si>
  <si>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</si>
  <si>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</si>
  <si>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</si>
  <si>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</si>
  <si>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</si>
  <si>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</si>
  <si>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</si>
  <si>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</si>
  <si>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</si>
  <si>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</si>
  <si>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Moyenne/mois</t>
  </si>
  <si>
    <t xml:space="preserve">   Marche</t>
  </si>
  <si>
    <t>02/09/2026</t>
  </si>
  <si>
    <t>03/09/2026</t>
  </si>
  <si>
    <t>04/09/2026</t>
  </si>
  <si>
    <t>05/09/2026</t>
  </si>
  <si>
    <t>06/09/2026</t>
  </si>
  <si>
    <t>07/09/2026</t>
  </si>
  <si>
    <t>08/09/2026</t>
  </si>
  <si>
    <t>rowing</t>
  </si>
  <si>
    <t>frontal</t>
  </si>
  <si>
    <t>triceps</t>
  </si>
  <si>
    <t>fentes</t>
  </si>
  <si>
    <t>deadlift</t>
  </si>
  <si>
    <t>biceps</t>
  </si>
  <si>
    <t>laterales</t>
  </si>
  <si>
    <t>epaules</t>
  </si>
  <si>
    <t>derriere</t>
  </si>
  <si>
    <t>squats</t>
  </si>
  <si>
    <t>couche</t>
  </si>
  <si>
    <t>ecarté</t>
  </si>
  <si>
    <t>incline</t>
  </si>
  <si>
    <t>abdos</t>
  </si>
  <si>
    <t>09/09/2026</t>
  </si>
  <si>
    <t>10/09/2026</t>
  </si>
  <si>
    <t>11/09/2026</t>
  </si>
  <si>
    <t>12/09/2026</t>
  </si>
  <si>
    <t>13/09/2026</t>
  </si>
  <si>
    <t>14/09/2026</t>
  </si>
  <si>
    <t>15/09/2026</t>
  </si>
  <si>
    <t>16/09/2026</t>
  </si>
  <si>
    <t>17/09/2026</t>
  </si>
  <si>
    <t>18/09/2026</t>
  </si>
  <si>
    <t>19/09/2026</t>
  </si>
  <si>
    <t>20/09/2026</t>
  </si>
  <si>
    <t>21/09/2026</t>
  </si>
  <si>
    <t>22/09/2026</t>
  </si>
  <si>
    <t>23/09/2026</t>
  </si>
  <si>
    <t>Crunch sur banc</t>
  </si>
  <si>
    <t>penché avec haltères</t>
  </si>
  <si>
    <t>deadlife triceps der</t>
  </si>
  <si>
    <t>Relevés de genoux</t>
  </si>
  <si>
    <t>mois</t>
  </si>
  <si>
    <t>Temps6</t>
  </si>
  <si>
    <t>Mois</t>
  </si>
  <si>
    <t>Total</t>
  </si>
  <si>
    <t>Haltères</t>
  </si>
  <si>
    <t>24/09/2026</t>
  </si>
  <si>
    <t>laterale</t>
  </si>
  <si>
    <t>VELO</t>
  </si>
  <si>
    <t>HALTERE</t>
  </si>
  <si>
    <t>MARCHE</t>
  </si>
  <si>
    <t>Activite</t>
  </si>
  <si>
    <t>TOUT</t>
  </si>
  <si>
    <t>25/09/2026</t>
  </si>
  <si>
    <t>26/09/2026</t>
  </si>
  <si>
    <t>27/09/2026</t>
  </si>
  <si>
    <t>28/09/2026</t>
  </si>
  <si>
    <t>29/09/2026</t>
  </si>
  <si>
    <t>30/09/2026</t>
  </si>
  <si>
    <t>01/10/2026</t>
  </si>
  <si>
    <t>02/10/2026</t>
  </si>
  <si>
    <t xml:space="preserve">Km2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</si>
</sst>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[h]:mm"/>
    <numFmt numFmtId="166" formatCode="h:mm"/>
    <numFmt numFmtId="167" formatCode="h:mm;@"/>
  </numFmts>
  <fonts count="15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2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i/>
      <sz val="11"/>
      <color rgb="FFC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6" fillId="4" borderId="5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2" fontId="6" fillId="4" borderId="5" xfId="0" applyNumberFormat="1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6" borderId="2" xfId="0" applyFill="1" applyBorder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14" xfId="0" applyBorder="1" applyAlignment="1">
      <alignment horizontal="center"/>
    </xf>
    <xf numFmtId="1" fontId="0" fillId="0" borderId="0" xfId="0" quotePrefix="1" applyNumberFormat="1" applyAlignment="1">
      <alignment horizontal="center"/>
    </xf>
    <xf numFmtId="167" fontId="0" fillId="0" borderId="0" xfId="0" applyNumberFormat="1" applyAlignment="1">
      <alignment horizontal="center"/>
    </xf>
    <xf numFmtId="1" fontId="9" fillId="0" borderId="0" xfId="0" applyNumberFormat="1" applyFont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15" xfId="0" applyBorder="1"/>
    <xf numFmtId="0" fontId="0" fillId="5" borderId="14" xfId="0" applyFill="1" applyBorder="1" applyAlignment="1">
      <alignment horizontal="center"/>
    </xf>
    <xf numFmtId="0" fontId="4" fillId="4" borderId="3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0" xfId="0" applyFont="1" applyAlignment="1">
      <alignment horizontal="center"/>
    </xf>
    <xf numFmtId="0" fontId="2" fillId="7" borderId="0" xfId="0" applyFont="1" applyFill="1" applyAlignment="1">
      <alignment horizontal="center"/>
    </xf>
    <xf numFmtId="0" fontId="2" fillId="4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3" fillId="2" borderId="9" xfId="0" applyFont="1" applyFill="1" applyBorder="1"/>
    <xf numFmtId="0" fontId="13" fillId="2" borderId="12" xfId="0" applyFont="1" applyFill="1" applyBorder="1" applyAlignment="1">
      <alignment horizontal="center"/>
    </xf>
    <xf numFmtId="0" fontId="14" fillId="2" borderId="10" xfId="0" applyFont="1" applyFill="1" applyBorder="1" applyAlignment="1">
      <alignment horizontal="center"/>
    </xf>
    <xf numFmtId="2" fontId="14" fillId="2" borderId="10" xfId="0" applyNumberFormat="1" applyFont="1" applyFill="1" applyBorder="1" applyAlignment="1">
      <alignment horizontal="center"/>
    </xf>
    <xf numFmtId="166" fontId="14" fillId="2" borderId="10" xfId="0" applyNumberFormat="1" applyFont="1" applyFill="1" applyBorder="1" applyAlignment="1">
      <alignment horizontal="center"/>
    </xf>
    <xf numFmtId="0" fontId="0" fillId="0" borderId="0" xfId="0" applyAlignment="1">
      <alignment vertical="center" wrapText="1"/>
    </xf>
    <xf numFmtId="0" fontId="8" fillId="4" borderId="4" xfId="0" applyFont="1" applyFill="1" applyBorder="1"/>
    <xf numFmtId="0" fontId="2" fillId="4" borderId="17" xfId="0" applyFont="1" applyFill="1" applyBorder="1" applyAlignment="1">
      <alignment horizontal="center" vertical="center" wrapText="1"/>
    </xf>
    <xf numFmtId="1" fontId="6" fillId="4" borderId="3" xfId="0" applyNumberFormat="1" applyFont="1" applyFill="1" applyBorder="1" applyAlignment="1">
      <alignment horizontal="center"/>
    </xf>
    <xf numFmtId="164" fontId="6" fillId="4" borderId="3" xfId="0" applyNumberFormat="1" applyFont="1" applyFill="1" applyBorder="1" applyAlignment="1">
      <alignment horizontal="center"/>
    </xf>
    <xf numFmtId="0" fontId="6" fillId="4" borderId="3" xfId="0" applyFont="1" applyFill="1" applyBorder="1" applyAlignment="1">
      <alignment horizontal="right"/>
    </xf>
    <xf numFmtId="0" fontId="5" fillId="4" borderId="3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vertical="center" wrapText="1"/>
    </xf>
    <xf numFmtId="20" fontId="5" fillId="4" borderId="6" xfId="0" applyNumberFormat="1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 vertical="center" wrapText="1"/>
    </xf>
    <xf numFmtId="1" fontId="12" fillId="4" borderId="19" xfId="0" applyNumberFormat="1" applyFont="1" applyFill="1" applyBorder="1" applyAlignment="1">
      <alignment horizontal="center"/>
    </xf>
    <xf numFmtId="0" fontId="12" fillId="4" borderId="19" xfId="0" applyFont="1" applyFill="1" applyBorder="1" applyAlignment="1">
      <alignment horizontal="center"/>
    </xf>
    <xf numFmtId="0" fontId="1" fillId="4" borderId="19" xfId="0" applyFont="1" applyFill="1" applyBorder="1" applyAlignment="1">
      <alignment vertical="center"/>
    </xf>
    <xf numFmtId="0" fontId="0" fillId="0" borderId="19" xfId="0" applyBorder="1"/>
    <xf numFmtId="0" fontId="2" fillId="4" borderId="21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6" fillId="4" borderId="18" xfId="0" applyFont="1" applyFill="1" applyBorder="1" applyAlignment="1">
      <alignment horizontal="center"/>
    </xf>
    <xf numFmtId="20" fontId="6" fillId="4" borderId="6" xfId="0" applyNumberFormat="1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1" fontId="5" fillId="2" borderId="23" xfId="0" applyNumberFormat="1" applyFont="1" applyFill="1" applyBorder="1" applyAlignment="1">
      <alignment horizontal="center"/>
    </xf>
    <xf numFmtId="164" fontId="5" fillId="2" borderId="23" xfId="0" applyNumberFormat="1" applyFont="1" applyFill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20" fontId="10" fillId="3" borderId="24" xfId="0" applyNumberFormat="1" applyFont="1" applyFill="1" applyBorder="1" applyAlignment="1">
      <alignment horizontal="center"/>
    </xf>
    <xf numFmtId="1" fontId="5" fillId="2" borderId="25" xfId="0" applyNumberFormat="1" applyFont="1" applyFill="1" applyBorder="1" applyAlignment="1">
      <alignment horizontal="center"/>
    </xf>
    <xf numFmtId="0" fontId="11" fillId="2" borderId="24" xfId="0" applyFont="1" applyFill="1" applyBorder="1" applyAlignment="1">
      <alignment horizontal="center"/>
    </xf>
    <xf numFmtId="2" fontId="5" fillId="2" borderId="25" xfId="0" applyNumberFormat="1" applyFont="1" applyFill="1" applyBorder="1" applyAlignment="1">
      <alignment horizontal="center"/>
    </xf>
    <xf numFmtId="165" fontId="10" fillId="3" borderId="24" xfId="0" applyNumberFormat="1" applyFont="1" applyFill="1" applyBorder="1" applyAlignment="1">
      <alignment horizontal="center"/>
    </xf>
    <xf numFmtId="2" fontId="6" fillId="4" borderId="3" xfId="0" applyNumberFormat="1" applyFont="1" applyFill="1" applyBorder="1" applyAlignment="1">
      <alignment horizontal="center"/>
    </xf>
    <xf numFmtId="20" fontId="6" fillId="4" borderId="3" xfId="0" applyNumberFormat="1" applyFont="1" applyFill="1" applyBorder="1" applyAlignment="1">
      <alignment horizontal="center"/>
    </xf>
    <xf numFmtId="165" fontId="14" fillId="2" borderId="10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128"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numFmt numFmtId="165" formatCode="[h]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numFmt numFmtId="25" formatCode="hh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.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hair">
          <color indexed="64"/>
        </top>
        <bottom style="thin">
          <color indexed="64"/>
        </bottom>
      </border>
    </dxf>
    <dxf>
      <numFmt numFmtId="165" formatCode="[h]:mm"/>
      <alignment horizontal="center" vertical="bottom" textRotation="0" wrapText="0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/>
        <bottom/>
      </border>
    </dxf>
    <dxf>
      <numFmt numFmtId="167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66" formatCode="h:mm"/>
      <alignment horizontal="center" vertical="bottom" textRotation="0" wrapText="0" indent="0" justifyLastLine="0" shrinkToFit="0" readingOrder="0"/>
    </dxf>
    <dxf>
      <numFmt numFmtId="167" formatCode="h:mm;@"/>
      <fill>
        <patternFill patternType="none">
          <fgColor indexed="64"/>
          <bgColor auto="1"/>
        </patternFill>
      </fill>
    </dxf>
    <dxf>
      <numFmt numFmtId="2" formatCode="0.0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2" formatCode="0.0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2" formatCode="0.0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4" formatCode="0.0"/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 style="dotted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hair">
          <color indexed="64"/>
        </bottom>
      </border>
    </dxf>
    <dxf>
      <border diagonalUp="0" diagonalDown="0">
        <left style="hair">
          <color indexed="64"/>
        </left>
        <right style="hair">
          <color indexed="64"/>
        </right>
        <top/>
        <bottom/>
        <vertical style="hair">
          <color indexed="64"/>
        </vertical>
        <horizontal style="hair">
          <color indexed="64"/>
        </horizontal>
      </border>
    </dxf>
    <dxf>
      <fill>
        <patternFill>
          <bgColor rgb="FFFFF078"/>
        </patternFill>
      </fill>
    </dxf>
    <dxf>
      <border outline="0">
        <top style="hair">
          <color indexed="64"/>
        </top>
      </border>
    </dxf>
    <dxf>
      <numFmt numFmtId="0" formatCode="General"/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2" formatCode="0.00"/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0" formatCode="General"/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0" formatCode="General"/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thin">
          <color indexed="64"/>
        </left>
      </border>
    </dxf>
    <dxf>
      <border outline="0">
        <top style="hair">
          <color indexed="64"/>
        </top>
      </border>
    </dxf>
    <dxf>
      <fill>
        <patternFill patternType="solid">
          <fgColor indexed="64"/>
          <bgColor theme="0" tint="-0.249977111117893"/>
        </patternFill>
      </fill>
    </dxf>
    <dxf>
      <border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</dxfs>
  <tableStyles count="0" defaultTableStyle="TableStyleMedium9" defaultPivotStyle="PivotStyleLight16"/>
  <colors>
    <mruColors>
      <color rgb="FFFFF078"/>
      <color rgb="FFFFE669"/>
      <color rgb="FFFFFF99"/>
      <color rgb="FFFFFFCC"/>
      <color rgb="FFCCECFF"/>
      <color rgb="FFCCFF99"/>
      <color rgb="FFFFCCFF"/>
      <color rgb="FFFFFF66"/>
      <color rgb="FFFFCC99"/>
      <color rgb="FF27F1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png"/><Relationship Id="rId3" Type="http://schemas.openxmlformats.org/officeDocument/2006/relationships/image" Target="../media/image5.png"/><Relationship Id="rId7" Type="http://schemas.openxmlformats.org/officeDocument/2006/relationships/image" Target="../media/image9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11" Type="http://schemas.openxmlformats.org/officeDocument/2006/relationships/image" Target="../media/image13.png"/><Relationship Id="rId5" Type="http://schemas.openxmlformats.org/officeDocument/2006/relationships/image" Target="../media/image7.png"/><Relationship Id="rId10" Type="http://schemas.openxmlformats.org/officeDocument/2006/relationships/image" Target="../media/image12.png"/><Relationship Id="rId4" Type="http://schemas.openxmlformats.org/officeDocument/2006/relationships/image" Target="../media/image6.png"/><Relationship Id="rId9" Type="http://schemas.openxmlformats.org/officeDocument/2006/relationships/image" Target="../media/image1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</xdr:colOff>
          <xdr:row>0</xdr:row>
          <xdr:rowOff>213360</xdr:rowOff>
        </xdr:from>
        <xdr:to>
          <xdr:col>0</xdr:col>
          <xdr:colOff>1318260</xdr:colOff>
          <xdr:row>0</xdr:row>
          <xdr:rowOff>487680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22860</xdr:rowOff>
        </xdr:from>
        <xdr:to>
          <xdr:col>0</xdr:col>
          <xdr:colOff>937260</xdr:colOff>
          <xdr:row>0</xdr:row>
          <xdr:rowOff>236220</xdr:rowOff>
        </xdr:to>
        <xdr:sp macro="" textlink="">
          <xdr:nvSpPr>
            <xdr:cNvPr id="1027" name="Label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554855</xdr:colOff>
      <xdr:row>0</xdr:row>
      <xdr:rowOff>0</xdr:rowOff>
    </xdr:from>
    <xdr:to>
      <xdr:col>26</xdr:col>
      <xdr:colOff>0</xdr:colOff>
      <xdr:row>1</xdr:row>
      <xdr:rowOff>295922</xdr:rowOff>
    </xdr:to>
    <xdr:grpSp>
      <xdr:nvGrpSpPr>
        <xdr:cNvPr id="18" name="Groupe 17">
          <a:extLst>
            <a:ext uri="{FF2B5EF4-FFF2-40B4-BE49-F238E27FC236}">
              <a16:creationId xmlns="" xmlns:a16="http://schemas.microsoft.com/office/drawing/2014/main" id="{16C0E0D5-DCAE-44F3-8B09-4C70B575C757}"/>
            </a:ext>
          </a:extLst>
        </xdr:cNvPr>
        <xdr:cNvGrpSpPr/>
      </xdr:nvGrpSpPr>
      <xdr:grpSpPr>
        <a:xfrm>
          <a:off x="5156447" y="0"/>
          <a:ext cx="10690194" cy="1257670"/>
          <a:chOff x="4753253" y="1738544"/>
          <a:chExt cx="10523737" cy="1368913"/>
        </a:xfrm>
      </xdr:grpSpPr>
      <xdr:sp macro="" textlink="">
        <xdr:nvSpPr>
          <xdr:cNvPr id="17" name="Rectangle 16">
            <a:extLst>
              <a:ext uri="{FF2B5EF4-FFF2-40B4-BE49-F238E27FC236}">
                <a16:creationId xmlns="" xmlns:a16="http://schemas.microsoft.com/office/drawing/2014/main" id="{993C9C3A-FB00-483C-97DF-BF6B2A4DDB1A}"/>
              </a:ext>
            </a:extLst>
          </xdr:cNvPr>
          <xdr:cNvSpPr/>
        </xdr:nvSpPr>
        <xdr:spPr>
          <a:xfrm>
            <a:off x="4780996" y="1738545"/>
            <a:ext cx="10495994" cy="1044973"/>
          </a:xfrm>
          <a:prstGeom prst="rect">
            <a:avLst/>
          </a:prstGeom>
          <a:gradFill>
            <a:gsLst>
              <a:gs pos="23000">
                <a:srgbClr val="FFFF99"/>
              </a:gs>
              <a:gs pos="96000">
                <a:schemeClr val="bg1"/>
              </a:gs>
              <a:gs pos="83000">
                <a:schemeClr val="bg1"/>
              </a:gs>
              <a:gs pos="100000">
                <a:schemeClr val="bg1"/>
              </a:gs>
            </a:gsLst>
            <a:lin ang="5400000" scaled="1"/>
          </a:gradFill>
          <a:ln w="6350"/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600" b="1">
              <a:solidFill>
                <a:schemeClr val="tx1"/>
              </a:solidFill>
            </a:endParaRPr>
          </a:p>
        </xdr:txBody>
      </xdr:sp>
      <xdr:pic>
        <xdr:nvPicPr>
          <xdr:cNvPr id="22" name="Image 21" descr="Illustration du curl alterné debout avec haltères">
            <a:extLst>
              <a:ext uri="{FF2B5EF4-FFF2-40B4-BE49-F238E27FC236}">
                <a16:creationId xmlns="" xmlns:a16="http://schemas.microsoft.com/office/drawing/2014/main" id="{6844C768-FA1A-4257-A997-4A364F7B523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602257" y="1855029"/>
            <a:ext cx="665074" cy="993140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23" name="Image 22" descr="Illustration des élévations frontales avec haltères ">
            <a:extLst>
              <a:ext uri="{FF2B5EF4-FFF2-40B4-BE49-F238E27FC236}">
                <a16:creationId xmlns="" xmlns:a16="http://schemas.microsoft.com/office/drawing/2014/main" id="{8062B1F7-51DF-48C0-88B6-771637E8D61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361505" y="1856933"/>
            <a:ext cx="640169" cy="1057275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24" name="Image 23" descr="Illustration des elévations latérales avec haltères">
            <a:extLst>
              <a:ext uri="{FF2B5EF4-FFF2-40B4-BE49-F238E27FC236}">
                <a16:creationId xmlns="" xmlns:a16="http://schemas.microsoft.com/office/drawing/2014/main" id="{8A5AA2F1-B54F-4A74-AA40-7DAA5E8854A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288333" y="1815124"/>
            <a:ext cx="626326" cy="1152524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25" name="Image 24" descr="Illustration du développé assis avec haltères">
            <a:extLst>
              <a:ext uri="{FF2B5EF4-FFF2-40B4-BE49-F238E27FC236}">
                <a16:creationId xmlns="" xmlns:a16="http://schemas.microsoft.com/office/drawing/2014/main" id="{24EFEB31-9A94-49C6-83A1-5ED74984B86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793235" y="1848307"/>
            <a:ext cx="713272" cy="1165860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26" name="Image 25" descr="Illustration des fentes">
            <a:extLst>
              <a:ext uri="{FF2B5EF4-FFF2-40B4-BE49-F238E27FC236}">
                <a16:creationId xmlns="" xmlns:a16="http://schemas.microsoft.com/office/drawing/2014/main" id="{1B4EF683-8CB8-4779-9052-CDA8113A918C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445016" y="1880779"/>
            <a:ext cx="666368" cy="10001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27" name="Image 26" descr="Illustration de l'extension des avant-bras assis avec un haltère">
            <a:extLst>
              <a:ext uri="{FF2B5EF4-FFF2-40B4-BE49-F238E27FC236}">
                <a16:creationId xmlns="" xmlns:a16="http://schemas.microsoft.com/office/drawing/2014/main" id="{7545D645-A3FB-4712-9BD8-51C8C6EF42BB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890660" y="1802533"/>
            <a:ext cx="749100" cy="1304924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28" name="Image 27" descr="Illustration du soulevé de terre avec haltères">
            <a:extLst>
              <a:ext uri="{FF2B5EF4-FFF2-40B4-BE49-F238E27FC236}">
                <a16:creationId xmlns="" xmlns:a16="http://schemas.microsoft.com/office/drawing/2014/main" id="{DB8EB825-7AC6-4404-907E-B797BDF86AF8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975924" y="1942868"/>
            <a:ext cx="677281" cy="93345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29" name="Image 28" descr="Illustration du rowing debout avec haltères">
            <a:extLst>
              <a:ext uri="{FF2B5EF4-FFF2-40B4-BE49-F238E27FC236}">
                <a16:creationId xmlns="" xmlns:a16="http://schemas.microsoft.com/office/drawing/2014/main" id="{EB6ED155-0BEE-4395-8583-99903AD85929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753253" y="1738544"/>
            <a:ext cx="638081" cy="135255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30" name="Image 29" descr="Illustration du soulevé de terre roumain (jambes tendues) avec haltères">
            <a:extLst>
              <a:ext uri="{FF2B5EF4-FFF2-40B4-BE49-F238E27FC236}">
                <a16:creationId xmlns="" xmlns:a16="http://schemas.microsoft.com/office/drawing/2014/main" id="{E4CFDD64-04FD-4C8C-A7C4-383D1E12663C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417276" y="1738545"/>
            <a:ext cx="634836" cy="11280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31" name="Image 30" descr="Illustration du rowing à un bras avec haltères">
            <a:extLst>
              <a:ext uri="{FF2B5EF4-FFF2-40B4-BE49-F238E27FC236}">
                <a16:creationId xmlns="" xmlns:a16="http://schemas.microsoft.com/office/drawing/2014/main" id="{9DE283C2-599A-4BCF-AA37-5C14003103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039172" y="1933578"/>
            <a:ext cx="682552" cy="113347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0</xdr:col>
      <xdr:colOff>83228</xdr:colOff>
      <xdr:row>0</xdr:row>
      <xdr:rowOff>573350</xdr:rowOff>
    </xdr:from>
    <xdr:to>
      <xdr:col>0</xdr:col>
      <xdr:colOff>1276165</xdr:colOff>
      <xdr:row>0</xdr:row>
      <xdr:rowOff>887768</xdr:rowOff>
    </xdr:to>
    <xdr:sp macro="[0]!essai" textlink="">
      <xdr:nvSpPr>
        <xdr:cNvPr id="2" name="Rectangle 1">
          <a:extLst>
            <a:ext uri="{FF2B5EF4-FFF2-40B4-BE49-F238E27FC236}">
              <a16:creationId xmlns="" xmlns:a16="http://schemas.microsoft.com/office/drawing/2014/main" id="{5F39271E-2667-D590-DE7A-E81E5F081C0C}"/>
            </a:ext>
          </a:extLst>
        </xdr:cNvPr>
        <xdr:cNvSpPr/>
      </xdr:nvSpPr>
      <xdr:spPr>
        <a:xfrm>
          <a:off x="83228" y="573350"/>
          <a:ext cx="1192937" cy="314418"/>
        </a:xfrm>
        <a:prstGeom prst="rect">
          <a:avLst/>
        </a:prstGeom>
        <a:gradFill>
          <a:gsLst>
            <a:gs pos="23000">
              <a:srgbClr val="FFFF99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  <a:ln w="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userform</a:t>
          </a:r>
        </a:p>
      </xdr:txBody>
    </xdr:sp>
    <xdr:clientData/>
  </xdr:twoCellAnchor>
  <xdr:twoCellAnchor editAs="oneCell">
    <xdr:from>
      <xdr:col>1</xdr:col>
      <xdr:colOff>0</xdr:colOff>
      <xdr:row>0</xdr:row>
      <xdr:rowOff>0</xdr:rowOff>
    </xdr:from>
    <xdr:to>
      <xdr:col>3</xdr:col>
      <xdr:colOff>345859</xdr:colOff>
      <xdr:row>1</xdr:row>
      <xdr:rowOff>513930</xdr:rowOff>
    </xdr:to>
    <xdr:pic macro="[0]!enregistrer">
      <xdr:nvPicPr>
        <xdr:cNvPr id="9" name="Image 8" descr="Miaou - Détendu">
          <a:extLst>
            <a:ext uri="{FF2B5EF4-FFF2-40B4-BE49-F238E27FC236}">
              <a16:creationId xmlns="" xmlns:a16="http://schemas.microsoft.com/office/drawing/2014/main" id="{309760CD-4DF6-FA1F-F7FB-7A3D6B53A1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76" b="-11776"/>
        <a:stretch>
          <a:fillRect/>
        </a:stretch>
      </xdr:blipFill>
      <xdr:spPr>
        <a:xfrm>
          <a:off x="1405631" y="0"/>
          <a:ext cx="1377888" cy="147567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147225</xdr:colOff>
      <xdr:row>0</xdr:row>
      <xdr:rowOff>0</xdr:rowOff>
    </xdr:from>
    <xdr:to>
      <xdr:col>2</xdr:col>
      <xdr:colOff>428625</xdr:colOff>
      <xdr:row>1</xdr:row>
      <xdr:rowOff>495299</xdr:rowOff>
    </xdr:to>
    <xdr:pic macro="[0]!enregistrer">
      <xdr:nvPicPr>
        <xdr:cNvPr id="14" name="Image 13" descr="Miaou - Détendu">
          <a:extLst>
            <a:ext uri="{FF2B5EF4-FFF2-40B4-BE49-F238E27FC236}">
              <a16:creationId xmlns="" xmlns:a16="http://schemas.microsoft.com/office/drawing/2014/main" id="{1094578E-B7FF-423C-9429-DD02A2308AB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alphaModFix/>
          <a:extLst>
            <a:ext uri="{28A0092B-C50C-407E-A947-70E740481C1C}">
              <a14:useLocalDpi xmlns:a14="http://schemas.microsoft.com/office/drawing/2010/main" val="0"/>
            </a:ext>
          </a:extLst>
        </a:blip>
        <a:srcRect l="-1" t="14769" r="12281" b="-27674"/>
        <a:stretch>
          <a:fillRect/>
        </a:stretch>
      </xdr:blipFill>
      <xdr:spPr>
        <a:xfrm flipH="1">
          <a:off x="147225" y="0"/>
          <a:ext cx="1195800" cy="1647824"/>
        </a:xfrm>
        <a:prstGeom prst="rect">
          <a:avLst/>
        </a:prstGeom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</xdr:pic>
    <xdr:clientData/>
  </xdr:twoCellAnchor>
</xdr:wsDr>
</file>

<file path=xl/tables/table1.xml><?xml version="1.0" encoding="utf-8"?>
<table xmlns="http://schemas.openxmlformats.org/spreadsheetml/2006/main" id="1" name="T_Sport" displayName="T_Sport" ref="A2:AD34" insertRowShift="1" totalsRowCount="1" headerRowDxfId="127" totalsRowDxfId="124" headerRowBorderDxfId="126" tableBorderDxfId="125" totalsRowBorderDxfId="123">
  <tableColumns count="30">
    <tableColumn id="1" name="Dates" totalsRowLabel="Totaux" dataDxfId="122" totalsRowDxfId="29"/>
    <tableColumn id="2" name="Kcal" totalsRowFunction="custom" dataDxfId="121" totalsRowDxfId="28">
      <totalsRowFormula>SUM(T_Sport[Kcal])</totalsRowFormula>
    </tableColumn>
    <tableColumn id="3" name="km" totalsRowFunction="sum" dataDxfId="120" totalsRowDxfId="27"/>
    <tableColumn id="4" name="resist" totalsRowFunction="count" dataDxfId="119" totalsRowDxfId="26"/>
    <tableColumn id="5" name="km/h" totalsRowFunction="count" dataDxfId="118" totalsRowDxfId="25"/>
    <tableColumn id="6" name="bpm" totalsRowFunction="count" dataDxfId="117" totalsRowDxfId="24"/>
    <tableColumn id="7" name="rpm2" totalsRowFunction="count" dataDxfId="116" totalsRowDxfId="23"/>
    <tableColumn id="19" name="Temps" totalsRowFunction="custom" dataDxfId="115" totalsRowDxfId="22">
      <totalsRowFormula>SUM(T_Sport[Temps])</totalsRowFormula>
    </tableColumn>
    <tableColumn id="8" name="rowing" totalsRowFunction="custom" dataDxfId="114" totalsRowDxfId="21">
      <totalsRowFormula>SUM(T_Sport[rowing])*12</totalsRowFormula>
    </tableColumn>
    <tableColumn id="9" name="frontal" totalsRowFunction="custom" dataDxfId="113" totalsRowDxfId="20">
      <totalsRowFormula>SUM(T_Sport[frontal])*12</totalsRowFormula>
    </tableColumn>
    <tableColumn id="10" name="triceps" totalsRowFunction="custom" dataDxfId="112" totalsRowDxfId="19">
      <totalsRowFormula>SUM(T_Sport[triceps])*12</totalsRowFormula>
    </tableColumn>
    <tableColumn id="11" name="fentes" totalsRowFunction="custom" dataDxfId="111" totalsRowDxfId="18">
      <totalsRowFormula>SUM(T_Sport[fentes])*12</totalsRowFormula>
    </tableColumn>
    <tableColumn id="12" name="deadlift" totalsRowFunction="custom" dataDxfId="110" totalsRowDxfId="17">
      <totalsRowFormula>SUM(T_Sport[deadlift])*12</totalsRowFormula>
    </tableColumn>
    <tableColumn id="13" name="biceps" totalsRowFunction="custom" dataDxfId="109" totalsRowDxfId="16">
      <totalsRowFormula>SUM(T_Sport[biceps])*12</totalsRowFormula>
    </tableColumn>
    <tableColumn id="20" name="laterales" totalsRowFunction="custom" dataDxfId="108" totalsRowDxfId="15">
      <totalsRowFormula>SUM(T_Sport[laterales])*12</totalsRowFormula>
    </tableColumn>
    <tableColumn id="14" name="epaules" totalsRowFunction="custom" dataDxfId="107" totalsRowDxfId="14">
      <totalsRowFormula>SUM(T_Sport[epaules])*12</totalsRowFormula>
    </tableColumn>
    <tableColumn id="15" name="derriere" totalsRowFunction="custom" dataDxfId="106" totalsRowDxfId="13">
      <totalsRowFormula>SUM(T_Sport[derriere])*12</totalsRowFormula>
    </tableColumn>
    <tableColumn id="16" name="squats" totalsRowFunction="custom" dataDxfId="105" totalsRowDxfId="12">
      <totalsRowFormula>SUM(T_Sport[squats])*12</totalsRowFormula>
    </tableColumn>
    <tableColumn id="17" name="couche" totalsRowFunction="custom" dataDxfId="104" totalsRowDxfId="11">
      <totalsRowFormula>SUM(T_Sport[couche])*12</totalsRowFormula>
    </tableColumn>
    <tableColumn id="26" name="ecarté" totalsRowFunction="custom" dataDxfId="103" totalsRowDxfId="10">
      <totalsRowFormula>SUM(T_Sport[ecarté])*12</totalsRowFormula>
    </tableColumn>
    <tableColumn id="27" name="incline" totalsRowFunction="custom" dataDxfId="102" totalsRowDxfId="9">
      <totalsRowFormula>SUM(T_Sport[incline])*12</totalsRowFormula>
    </tableColumn>
    <tableColumn id="29" name="deadlife triceps der" dataDxfId="101" totalsRowDxfId="8"/>
    <tableColumn id="25" name="Crunch sur banc" dataDxfId="100" totalsRowDxfId="7"/>
    <tableColumn id="30" name="Relevés de genoux" dataDxfId="99" totalsRowDxfId="6"/>
    <tableColumn id="24" name="penché avec haltères" dataDxfId="98" totalsRowDxfId="5"/>
    <tableColumn id="28" name="abdos" totalsRowFunction="sum" dataDxfId="97" totalsRowDxfId="4"/>
    <tableColumn id="21" name="Km2 " totalsRowFunction="sum" dataDxfId="96" totalsRowDxfId="3"/>
    <tableColumn id="18" name="Calories " totalsRowFunction="custom" dataDxfId="95" totalsRowDxfId="2">
      <totalsRowFormula>SUM(T_Sport[[Calories ]])</totalsRowFormula>
    </tableColumn>
    <tableColumn id="22" name="Temps4" totalsRowFunction="custom" dataDxfId="94" totalsRowDxfId="1">
      <totalsRowFormula>SUM(T_Sport[Temps4])</totalsRowFormula>
    </tableColumn>
    <tableColumn id="23" name="Mois" dataDxfId="93" totalsRowDxfId="0">
      <calculatedColumnFormula>MONTH(T_Sport[[#This Row],[Dates]])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3" name="T_activite" displayName="T_activite" ref="AJ3:AJ7" totalsRowShown="0" tableBorderDxfId="92">
  <autoFilter ref="AJ3:AJ7"/>
  <tableColumns count="1">
    <tableColumn id="1" name="Activit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_recap" displayName="T_recap" ref="A2:AD16" totalsRowCount="1" headerRowDxfId="90" headerRowBorderDxfId="89">
  <tableColumns count="30">
    <tableColumn id="1" name="Dates" totalsRowLabel="Total" dataDxfId="88"/>
    <tableColumn id="27" name="mois" dataDxfId="87" totalsRowDxfId="86"/>
    <tableColumn id="2" name="Kcal" totalsRowFunction="sum" dataDxfId="85" totalsRowDxfId="84">
      <calculatedColumnFormula>SUMIFS(T_Sport[Kcal],T_Sport[Mois],T_recap[[#This Row],[mois]])</calculatedColumnFormula>
    </tableColumn>
    <tableColumn id="3" name="km" totalsRowFunction="sum" dataDxfId="83" totalsRowDxfId="82">
      <calculatedColumnFormula>SUMIFS(T_Sport[km],T_Sport[Mois],T_recap[[#This Row],[mois]])</calculatedColumnFormula>
    </tableColumn>
    <tableColumn id="4" name="resist" totalsRowFunction="sum" dataDxfId="81" totalsRowDxfId="80">
      <calculatedColumnFormula>SUMIFS(T_Sport[resist],T_Sport[Mois],T_recap[[#This Row],[mois]])</calculatedColumnFormula>
    </tableColumn>
    <tableColumn id="5" name="km/h" totalsRowFunction="sum" dataDxfId="79" totalsRowDxfId="78">
      <calculatedColumnFormula>SUMIFS(T_Sport[km/h],T_Sport[Mois],T_recap[[#This Row],[mois]])</calculatedColumnFormula>
    </tableColumn>
    <tableColumn id="6" name="rpm" totalsRowFunction="sum" dataDxfId="77" totalsRowDxfId="76">
      <calculatedColumnFormula>SUMIFS(T_Sport[rpm2],T_Sport[Mois],T_recap[[#This Row],[mois]])</calculatedColumnFormula>
    </tableColumn>
    <tableColumn id="7" name="bpm" totalsRowFunction="sum" dataDxfId="75" totalsRowDxfId="74">
      <calculatedColumnFormula>SUMIFS(T_Sport[bpm],T_Sport[Mois],T_recap[[#This Row],[mois]])</calculatedColumnFormula>
    </tableColumn>
    <tableColumn id="8" name="Temps" totalsRowFunction="sum" dataDxfId="73" totalsRowDxfId="72">
      <calculatedColumnFormula>SUMIFS(T_Sport[Temps],T_Sport[Mois],T_recap[[#This Row],[mois]])</calculatedColumnFormula>
    </tableColumn>
    <tableColumn id="9" name="rowing" totalsRowFunction="sum" dataDxfId="71" totalsRowDxfId="70">
      <calculatedColumnFormula>SUMIFS(T_Sport[rowing],T_Sport[Mois],T_recap[[#This Row],[mois]])</calculatedColumnFormula>
    </tableColumn>
    <tableColumn id="10" name="frontal" totalsRowFunction="sum" dataDxfId="69" totalsRowDxfId="68">
      <calculatedColumnFormula>SUMIFS(T_Sport[frontal],T_Sport[Mois],T_recap[[#This Row],[mois]])</calculatedColumnFormula>
    </tableColumn>
    <tableColumn id="11" name="triceps" totalsRowFunction="sum" dataDxfId="67" totalsRowDxfId="66">
      <calculatedColumnFormula>SUMIFS(T_Sport[triceps],T_Sport[Mois],T_recap[[#This Row],[mois]])</calculatedColumnFormula>
    </tableColumn>
    <tableColumn id="12" name="fentes" totalsRowFunction="sum" dataDxfId="65" totalsRowDxfId="64">
      <calculatedColumnFormula>SUMIFS(T_Sport[fentes],T_Sport[Mois],T_recap[[#This Row],[mois]])</calculatedColumnFormula>
    </tableColumn>
    <tableColumn id="13" name="deadlift" totalsRowFunction="sum" dataDxfId="63" totalsRowDxfId="62">
      <calculatedColumnFormula>SUMIFS(T_Sport[deadlift],T_Sport[Mois],T_recap[[#This Row],[mois]])</calculatedColumnFormula>
    </tableColumn>
    <tableColumn id="14" name="biceps" totalsRowFunction="sum" dataDxfId="61" totalsRowDxfId="60">
      <calculatedColumnFormula>SUMIFS(T_Sport[biceps],T_Sport[Mois],T_recap[[#This Row],[mois]])</calculatedColumnFormula>
    </tableColumn>
    <tableColumn id="15" name="laterale" totalsRowFunction="sum" dataDxfId="59" totalsRowDxfId="58">
      <calculatedColumnFormula>SUMIFS(T_Sport[laterales],T_Sport[Mois],T_recap[[#This Row],[mois]])</calculatedColumnFormula>
    </tableColumn>
    <tableColumn id="16" name="epaules" totalsRowFunction="sum" dataDxfId="57" totalsRowDxfId="56">
      <calculatedColumnFormula>SUMIFS(T_Sport[epaules],T_Sport[Mois],T_recap[[#This Row],[mois]])</calculatedColumnFormula>
    </tableColumn>
    <tableColumn id="17" name="derriere" totalsRowFunction="sum" dataDxfId="55" totalsRowDxfId="54">
      <calculatedColumnFormula>SUMIFS(T_Sport[derriere],T_Sport[Mois],T_recap[[#This Row],[mois]])</calculatedColumnFormula>
    </tableColumn>
    <tableColumn id="18" name="squats" totalsRowFunction="sum" dataDxfId="53" totalsRowDxfId="52">
      <calculatedColumnFormula>SUMIFS(T_Sport[squats],T_Sport[Mois],T_recap[[#This Row],[mois]])</calculatedColumnFormula>
    </tableColumn>
    <tableColumn id="26" name="couche" totalsRowFunction="sum" dataDxfId="51" totalsRowDxfId="50">
      <calculatedColumnFormula>SUMIFS(T_Sport[couche],T_Sport[Mois],T_recap[[#This Row],[mois]])</calculatedColumnFormula>
    </tableColumn>
    <tableColumn id="28" name="ecarté" totalsRowFunction="sum" dataDxfId="49" totalsRowDxfId="48">
      <calculatedColumnFormula>SUMIFS(T_Sport[ecarté],T_Sport[Mois],T_recap[[#This Row],[mois]])</calculatedColumnFormula>
    </tableColumn>
    <tableColumn id="29" name="incline" totalsRowFunction="sum" dataDxfId="47" totalsRowDxfId="46">
      <calculatedColumnFormula>SUMIFS(T_Sport[incline],T_Sport[Mois],T_recap[[#This Row],[mois]])</calculatedColumnFormula>
    </tableColumn>
    <tableColumn id="30" name="deadlife triceps der" totalsRowFunction="sum" dataDxfId="45" totalsRowDxfId="44">
      <calculatedColumnFormula>SUMIFS(T_Sport[deadlife triceps der],T_Sport[Mois],T_recap[[#This Row],[mois]])</calculatedColumnFormula>
    </tableColumn>
    <tableColumn id="19" name="Crunch sur banc" totalsRowFunction="sum" dataDxfId="43" totalsRowDxfId="42">
      <calculatedColumnFormula>SUMIFS(T_Sport[Crunch sur banc],T_Sport[Mois],T_recap[[#This Row],[mois]])</calculatedColumnFormula>
    </tableColumn>
    <tableColumn id="20" name="Relevés de genoux" totalsRowFunction="sum" dataDxfId="41" totalsRowDxfId="40">
      <calculatedColumnFormula>SUMIFS(T_Sport[Relevés de genoux],T_Sport[Mois],T_recap[[#This Row],[mois]])</calculatedColumnFormula>
    </tableColumn>
    <tableColumn id="21" name="penché avec haltères" totalsRowFunction="sum" dataDxfId="39" totalsRowDxfId="38">
      <calculatedColumnFormula>SUMIFS(T_Sport[penché avec haltères],T_Sport[Mois],T_recap[[#This Row],[mois]])</calculatedColumnFormula>
    </tableColumn>
    <tableColumn id="22" name="abdos" totalsRowFunction="sum" dataDxfId="37" totalsRowDxfId="36">
      <calculatedColumnFormula>SUMIFS(T_Sport[abdos],T_Sport[Mois],T_recap[[#This Row],[mois]])</calculatedColumnFormula>
    </tableColumn>
    <tableColumn id="23" name="Km " totalsRowFunction="sum" dataDxfId="35" totalsRowDxfId="34">
      <calculatedColumnFormula>SUMIFS(T_Sport[km],T_Sport[Mois],T_recap[[#This Row],[mois]])</calculatedColumnFormula>
    </tableColumn>
    <tableColumn id="24" name="Calories " totalsRowFunction="sum" dataDxfId="33" totalsRowDxfId="32">
      <calculatedColumnFormula>SUMIFS(T_Sport[[Calories ]],T_Sport[Mois],T_recap[[#This Row],[mois]])</calculatedColumnFormula>
    </tableColumn>
    <tableColumn id="25" name="Temps6" totalsRowFunction="sum" dataDxfId="31" totalsRowDxfId="30">
      <calculatedColumnFormula>SUMIFS(T_Sport[Temps4],T_Sport[Mois],T_recap[[#This Row],[mois]])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gradFill>
          <a:gsLst>
            <a:gs pos="23000">
              <a:srgbClr val="FFFF99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a:spPr>
      <a:bodyPr vertOverflow="clip" horzOverflow="clip" rtlCol="0" anchor="ctr"/>
      <a:lstStyle>
        <a:defPPr algn="ctr">
          <a:defRPr sz="1600" b="1">
            <a:solidFill>
              <a:schemeClr val="tx1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99"/>
  </sheetPr>
  <dimension ref="A1:AJ34"/>
  <sheetViews>
    <sheetView showGridLines="0" tabSelected="1" zoomScale="103" workbookViewId="0">
      <pane ySplit="2" topLeftCell="A18" activePane="bottomLeft" state="frozen"/>
      <selection pane="bottomLeft" activeCell="AA2" sqref="AA2"/>
    </sheetView>
  </sheetViews>
  <sheetFormatPr baseColWidth="10" defaultRowHeight="14.4" x14ac:dyDescent="0.3"/>
  <cols>
    <col min="1" max="1" width="21.109375" customWidth="1"/>
    <col min="2" max="7" width="7.6640625" customWidth="1"/>
    <col min="8" max="29" width="8.6640625" customWidth="1"/>
    <col min="30" max="30" width="16" hidden="1" customWidth="1"/>
    <col min="36" max="36" width="11.44140625" hidden="1" customWidth="1"/>
  </cols>
  <sheetData>
    <row r="1" spans="1:36" ht="75.75" customHeight="1" x14ac:dyDescent="0.5">
      <c r="A1" s="37"/>
      <c r="B1" s="69" t="s">
        <v>7</v>
      </c>
      <c r="C1" s="69"/>
      <c r="D1" s="69"/>
      <c r="E1" s="69"/>
      <c r="F1" s="69"/>
      <c r="G1" s="69"/>
      <c r="H1" s="69"/>
      <c r="I1" s="46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8"/>
      <c r="W1" s="49"/>
      <c r="X1" s="49"/>
      <c r="Y1" s="49"/>
      <c r="Z1" s="49"/>
      <c r="AA1" s="67" t="s">
        <v>28</v>
      </c>
      <c r="AB1" s="67"/>
      <c r="AC1" s="68"/>
    </row>
    <row r="2" spans="1:36" s="8" customFormat="1" ht="45.75" customHeight="1" x14ac:dyDescent="0.3">
      <c r="A2" s="50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6</v>
      </c>
      <c r="G2" s="5" t="s">
        <v>14</v>
      </c>
      <c r="H2" s="43" t="s">
        <v>8</v>
      </c>
      <c r="I2" s="6" t="s">
        <v>36</v>
      </c>
      <c r="J2" s="5" t="s">
        <v>37</v>
      </c>
      <c r="K2" s="5" t="s">
        <v>38</v>
      </c>
      <c r="L2" s="5" t="s">
        <v>39</v>
      </c>
      <c r="M2" s="5" t="s">
        <v>40</v>
      </c>
      <c r="N2" s="5" t="s">
        <v>41</v>
      </c>
      <c r="O2" s="5" t="s">
        <v>42</v>
      </c>
      <c r="P2" s="5" t="s">
        <v>43</v>
      </c>
      <c r="Q2" s="5" t="s">
        <v>44</v>
      </c>
      <c r="R2" s="5" t="s">
        <v>45</v>
      </c>
      <c r="S2" s="5" t="s">
        <v>46</v>
      </c>
      <c r="T2" s="7" t="s">
        <v>47</v>
      </c>
      <c r="U2" s="5" t="s">
        <v>48</v>
      </c>
      <c r="V2" s="5" t="s">
        <v>67</v>
      </c>
      <c r="W2" s="5" t="s">
        <v>65</v>
      </c>
      <c r="X2" s="5" t="s">
        <v>68</v>
      </c>
      <c r="Y2" s="5" t="s">
        <v>66</v>
      </c>
      <c r="Z2" s="45" t="s">
        <v>49</v>
      </c>
      <c r="AA2" s="6" t="s">
        <v>89</v>
      </c>
      <c r="AB2" s="7" t="s">
        <v>10</v>
      </c>
      <c r="AC2" s="51" t="s">
        <v>11</v>
      </c>
      <c r="AD2" s="38" t="s">
        <v>71</v>
      </c>
      <c r="AJ2" s="36"/>
    </row>
    <row r="3" spans="1:36" ht="15.6" x14ac:dyDescent="0.3">
      <c r="A3" s="52" t="s">
        <v>29</v>
      </c>
      <c r="B3" s="39"/>
      <c r="C3" s="40"/>
      <c r="D3" s="2"/>
      <c r="E3" s="2"/>
      <c r="F3" s="2"/>
      <c r="G3" s="2"/>
      <c r="H3" s="44"/>
      <c r="I3" s="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3"/>
      <c r="AA3" s="4">
        <v>2.21</v>
      </c>
      <c r="AB3" s="2">
        <v>224</v>
      </c>
      <c r="AC3" s="53">
        <v>3.125E-2</v>
      </c>
      <c r="AD3">
        <f>MONTH(T_Sport[[#This Row],[Dates]])</f>
        <v>9</v>
      </c>
      <c r="AJ3" t="s">
        <v>79</v>
      </c>
    </row>
    <row r="4" spans="1:36" ht="15.6" x14ac:dyDescent="0.3">
      <c r="A4" s="52" t="s">
        <v>30</v>
      </c>
      <c r="B4" s="39"/>
      <c r="C4" s="40"/>
      <c r="D4" s="2"/>
      <c r="E4" s="2"/>
      <c r="F4" s="2"/>
      <c r="G4" s="2"/>
      <c r="H4" s="44"/>
      <c r="I4" s="1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3"/>
      <c r="AA4" s="4">
        <v>3.32</v>
      </c>
      <c r="AB4" s="2">
        <v>420</v>
      </c>
      <c r="AC4" s="53">
        <v>5.8333333333333334E-2</v>
      </c>
      <c r="AD4">
        <f>MONTH(T_Sport[[#This Row],[Dates]])</f>
        <v>9</v>
      </c>
      <c r="AJ4" t="s">
        <v>76</v>
      </c>
    </row>
    <row r="5" spans="1:36" ht="15.6" x14ac:dyDescent="0.3">
      <c r="A5" s="52" t="s">
        <v>31</v>
      </c>
      <c r="B5" s="39"/>
      <c r="C5" s="40"/>
      <c r="D5" s="2"/>
      <c r="E5" s="2"/>
      <c r="F5" s="2"/>
      <c r="G5" s="2"/>
      <c r="H5" s="44"/>
      <c r="I5" s="1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3"/>
      <c r="AA5" s="4">
        <v>3.09</v>
      </c>
      <c r="AB5" s="2">
        <v>293</v>
      </c>
      <c r="AC5" s="53">
        <v>0.05</v>
      </c>
      <c r="AD5">
        <f>MONTH(T_Sport[[#This Row],[Dates]])</f>
        <v>9</v>
      </c>
      <c r="AJ5" t="s">
        <v>77</v>
      </c>
    </row>
    <row r="6" spans="1:36" ht="15.6" x14ac:dyDescent="0.3">
      <c r="A6" s="52" t="s">
        <v>32</v>
      </c>
      <c r="B6" s="39"/>
      <c r="C6" s="40"/>
      <c r="D6" s="2"/>
      <c r="E6" s="2"/>
      <c r="F6" s="2"/>
      <c r="G6" s="2"/>
      <c r="H6" s="44"/>
      <c r="I6" s="1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3"/>
      <c r="AA6" s="4">
        <v>1.64</v>
      </c>
      <c r="AB6" s="2">
        <v>301</v>
      </c>
      <c r="AC6" s="53">
        <v>3.6111111111111108E-2</v>
      </c>
      <c r="AD6">
        <f>MONTH(T_Sport[[#This Row],[Dates]])</f>
        <v>9</v>
      </c>
      <c r="AJ6" t="s">
        <v>78</v>
      </c>
    </row>
    <row r="7" spans="1:36" ht="15.6" x14ac:dyDescent="0.3">
      <c r="A7" s="52" t="s">
        <v>33</v>
      </c>
      <c r="B7" s="39"/>
      <c r="C7" s="40"/>
      <c r="D7" s="2"/>
      <c r="E7" s="2"/>
      <c r="F7" s="2"/>
      <c r="G7" s="2"/>
      <c r="H7" s="44"/>
      <c r="I7" s="1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3"/>
      <c r="AA7" s="4">
        <v>2.25</v>
      </c>
      <c r="AB7" s="2">
        <v>272</v>
      </c>
      <c r="AC7" s="53">
        <v>3.125E-2</v>
      </c>
      <c r="AD7">
        <f>MONTH(T_Sport[[#This Row],[Dates]])</f>
        <v>9</v>
      </c>
      <c r="AJ7" t="s">
        <v>80</v>
      </c>
    </row>
    <row r="8" spans="1:36" ht="15.6" x14ac:dyDescent="0.3">
      <c r="A8" s="52" t="s">
        <v>34</v>
      </c>
      <c r="B8" s="39">
        <v>158</v>
      </c>
      <c r="C8" s="40">
        <v>1.7</v>
      </c>
      <c r="D8" s="2">
        <v>3</v>
      </c>
      <c r="E8" s="2">
        <v>3.4</v>
      </c>
      <c r="F8" s="2"/>
      <c r="G8" s="2"/>
      <c r="H8" s="44">
        <v>2.0833333333333332E-2</v>
      </c>
      <c r="I8" s="1">
        <v>3</v>
      </c>
      <c r="J8" s="2">
        <v>3</v>
      </c>
      <c r="K8" s="2">
        <v>3</v>
      </c>
      <c r="L8" s="2">
        <v>3</v>
      </c>
      <c r="M8" s="2">
        <v>3</v>
      </c>
      <c r="N8" s="2">
        <v>3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3">
        <v>30</v>
      </c>
      <c r="AA8" s="4">
        <v>2.5299999999999998</v>
      </c>
      <c r="AB8" s="2">
        <v>343</v>
      </c>
      <c r="AC8" s="53">
        <v>4.1666666666666664E-2</v>
      </c>
      <c r="AD8">
        <f>MONTH(T_Sport[[#This Row],[Dates]])</f>
        <v>9</v>
      </c>
    </row>
    <row r="9" spans="1:36" ht="15.6" x14ac:dyDescent="0.3">
      <c r="A9" s="52" t="s">
        <v>35</v>
      </c>
      <c r="B9" s="39"/>
      <c r="C9" s="40"/>
      <c r="D9" s="2"/>
      <c r="E9" s="2"/>
      <c r="F9" s="2"/>
      <c r="G9" s="2"/>
      <c r="H9" s="44"/>
      <c r="I9" s="1">
        <v>3</v>
      </c>
      <c r="J9" s="2">
        <v>3</v>
      </c>
      <c r="K9" s="2">
        <v>3</v>
      </c>
      <c r="L9" s="2"/>
      <c r="M9" s="2"/>
      <c r="N9" s="2">
        <v>3</v>
      </c>
      <c r="O9" s="2">
        <v>3</v>
      </c>
      <c r="P9" s="2">
        <v>3</v>
      </c>
      <c r="Q9" s="2">
        <v>3</v>
      </c>
      <c r="R9" s="2">
        <v>3</v>
      </c>
      <c r="S9" s="2">
        <v>3</v>
      </c>
      <c r="T9" s="2">
        <v>3</v>
      </c>
      <c r="U9" s="2"/>
      <c r="V9" s="2"/>
      <c r="W9" s="2"/>
      <c r="X9" s="2"/>
      <c r="Y9" s="2"/>
      <c r="Z9" s="3">
        <v>90</v>
      </c>
      <c r="AA9" s="4">
        <v>2.04</v>
      </c>
      <c r="AB9" s="2">
        <v>196</v>
      </c>
      <c r="AC9" s="53">
        <v>3.125E-2</v>
      </c>
      <c r="AD9">
        <f>MONTH(T_Sport[[#This Row],[Dates]])</f>
        <v>9</v>
      </c>
    </row>
    <row r="10" spans="1:36" ht="15.6" x14ac:dyDescent="0.3">
      <c r="A10" s="52" t="s">
        <v>50</v>
      </c>
      <c r="B10" s="39">
        <v>227</v>
      </c>
      <c r="C10" s="40">
        <v>2</v>
      </c>
      <c r="D10" s="2">
        <v>3</v>
      </c>
      <c r="E10" s="2">
        <v>3.3</v>
      </c>
      <c r="F10" s="2"/>
      <c r="G10" s="2"/>
      <c r="H10" s="44">
        <v>3.125E-2</v>
      </c>
      <c r="I10" s="1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3"/>
      <c r="AA10" s="4">
        <v>2.2000000000000002</v>
      </c>
      <c r="AB10" s="2">
        <v>237</v>
      </c>
      <c r="AC10" s="53">
        <v>2.7777777777777776E-2</v>
      </c>
      <c r="AD10">
        <f>MONTH(T_Sport[[#This Row],[Dates]])</f>
        <v>9</v>
      </c>
    </row>
    <row r="11" spans="1:36" ht="15.6" x14ac:dyDescent="0.3">
      <c r="A11" s="52" t="s">
        <v>51</v>
      </c>
      <c r="B11" s="39"/>
      <c r="C11" s="40"/>
      <c r="D11" s="2"/>
      <c r="E11" s="2"/>
      <c r="F11" s="2"/>
      <c r="G11" s="2"/>
      <c r="H11" s="44"/>
      <c r="I11" s="1"/>
      <c r="J11" s="2">
        <v>3</v>
      </c>
      <c r="K11" s="2">
        <v>3</v>
      </c>
      <c r="L11" s="2"/>
      <c r="M11" s="2">
        <v>3</v>
      </c>
      <c r="N11" s="2">
        <v>3</v>
      </c>
      <c r="O11" s="2">
        <v>3</v>
      </c>
      <c r="P11" s="2">
        <v>3</v>
      </c>
      <c r="Q11" s="2"/>
      <c r="R11" s="2">
        <v>3</v>
      </c>
      <c r="S11" s="2">
        <v>3</v>
      </c>
      <c r="T11" s="2">
        <v>3</v>
      </c>
      <c r="U11" s="2">
        <v>3</v>
      </c>
      <c r="V11" s="2"/>
      <c r="W11" s="2"/>
      <c r="X11" s="2"/>
      <c r="Y11" s="2"/>
      <c r="Z11" s="3">
        <v>90</v>
      </c>
      <c r="AA11" s="4">
        <v>3.31</v>
      </c>
      <c r="AB11" s="2">
        <v>302</v>
      </c>
      <c r="AC11" s="53">
        <v>3.1944444444444442E-2</v>
      </c>
      <c r="AD11">
        <f>MONTH(T_Sport[[#This Row],[Dates]])</f>
        <v>9</v>
      </c>
    </row>
    <row r="12" spans="1:36" ht="15.6" x14ac:dyDescent="0.3">
      <c r="A12" s="52" t="s">
        <v>52</v>
      </c>
      <c r="B12" s="39"/>
      <c r="C12" s="40"/>
      <c r="D12" s="2"/>
      <c r="E12" s="2"/>
      <c r="F12" s="2"/>
      <c r="G12" s="2"/>
      <c r="H12" s="44"/>
      <c r="I12" s="1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3"/>
      <c r="AA12" s="4">
        <v>3.09</v>
      </c>
      <c r="AB12" s="2">
        <v>437</v>
      </c>
      <c r="AC12" s="53">
        <v>4.7222222222222221E-2</v>
      </c>
      <c r="AD12">
        <f>MONTH(T_Sport[[#This Row],[Dates]])</f>
        <v>9</v>
      </c>
    </row>
    <row r="13" spans="1:36" ht="15.6" x14ac:dyDescent="0.3">
      <c r="A13" s="52" t="s">
        <v>53</v>
      </c>
      <c r="B13" s="39"/>
      <c r="C13" s="40"/>
      <c r="D13" s="2"/>
      <c r="E13" s="2"/>
      <c r="F13" s="2"/>
      <c r="G13" s="2"/>
      <c r="H13" s="44"/>
      <c r="I13" s="1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3"/>
      <c r="AA13" s="4">
        <v>1.9</v>
      </c>
      <c r="AB13" s="2">
        <v>215</v>
      </c>
      <c r="AC13" s="53">
        <v>3.3333333333333333E-2</v>
      </c>
      <c r="AD13">
        <f>MONTH(T_Sport[[#This Row],[Dates]])</f>
        <v>9</v>
      </c>
    </row>
    <row r="14" spans="1:36" ht="15.6" x14ac:dyDescent="0.3">
      <c r="A14" s="52" t="s">
        <v>54</v>
      </c>
      <c r="B14" s="39"/>
      <c r="C14" s="40"/>
      <c r="D14" s="2"/>
      <c r="E14" s="2"/>
      <c r="F14" s="2"/>
      <c r="G14" s="2"/>
      <c r="H14" s="44"/>
      <c r="I14" s="1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3"/>
      <c r="AA14" s="4">
        <v>2.35</v>
      </c>
      <c r="AB14" s="2">
        <v>306</v>
      </c>
      <c r="AC14" s="53">
        <v>4.791666666666667E-2</v>
      </c>
      <c r="AD14">
        <f>MONTH(T_Sport[[#This Row],[Dates]])</f>
        <v>9</v>
      </c>
    </row>
    <row r="15" spans="1:36" ht="15.6" x14ac:dyDescent="0.3">
      <c r="A15" s="52" t="s">
        <v>55</v>
      </c>
      <c r="B15" s="39"/>
      <c r="C15" s="40"/>
      <c r="D15" s="2"/>
      <c r="E15" s="2"/>
      <c r="F15" s="2"/>
      <c r="G15" s="2"/>
      <c r="H15" s="44"/>
      <c r="I15" s="1"/>
      <c r="J15" s="2">
        <v>3</v>
      </c>
      <c r="K15" s="2">
        <v>3</v>
      </c>
      <c r="L15" s="2"/>
      <c r="M15" s="2"/>
      <c r="N15" s="2">
        <v>3</v>
      </c>
      <c r="O15" s="2">
        <v>3</v>
      </c>
      <c r="P15" s="2">
        <v>3</v>
      </c>
      <c r="Q15" s="2"/>
      <c r="R15" s="2"/>
      <c r="S15" s="2">
        <v>3</v>
      </c>
      <c r="T15" s="2">
        <v>3</v>
      </c>
      <c r="U15" s="2">
        <v>3</v>
      </c>
      <c r="V15" s="2"/>
      <c r="W15" s="2"/>
      <c r="X15" s="2"/>
      <c r="Y15" s="2"/>
      <c r="Z15" s="3">
        <v>120</v>
      </c>
      <c r="AA15" s="4">
        <v>1.55</v>
      </c>
      <c r="AB15" s="2">
        <v>235</v>
      </c>
      <c r="AC15" s="53">
        <v>2.7777777777777776E-2</v>
      </c>
      <c r="AD15">
        <f>MONTH(T_Sport[[#This Row],[Dates]])</f>
        <v>9</v>
      </c>
    </row>
    <row r="16" spans="1:36" ht="15.6" x14ac:dyDescent="0.3">
      <c r="A16" s="52" t="s">
        <v>56</v>
      </c>
      <c r="B16" s="39">
        <v>247</v>
      </c>
      <c r="C16" s="40">
        <v>2.5</v>
      </c>
      <c r="D16" s="2">
        <v>4</v>
      </c>
      <c r="E16" s="2">
        <v>3.4</v>
      </c>
      <c r="F16" s="2"/>
      <c r="G16" s="2"/>
      <c r="H16" s="44">
        <v>3.125E-2</v>
      </c>
      <c r="I16" s="1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3"/>
      <c r="AA16" s="4">
        <v>2.64</v>
      </c>
      <c r="AB16" s="2">
        <v>301</v>
      </c>
      <c r="AC16" s="53">
        <v>4.1666666666666664E-2</v>
      </c>
      <c r="AD16">
        <f>MONTH(T_Sport[[#This Row],[Dates]])</f>
        <v>9</v>
      </c>
    </row>
    <row r="17" spans="1:30" ht="15.6" x14ac:dyDescent="0.3">
      <c r="A17" s="52" t="s">
        <v>57</v>
      </c>
      <c r="B17" s="39"/>
      <c r="C17" s="40"/>
      <c r="D17" s="2"/>
      <c r="E17" s="2"/>
      <c r="F17" s="2"/>
      <c r="G17" s="2"/>
      <c r="H17" s="44"/>
      <c r="I17" s="1"/>
      <c r="J17" s="2">
        <v>3</v>
      </c>
      <c r="K17" s="2">
        <v>3</v>
      </c>
      <c r="L17" s="2"/>
      <c r="M17" s="2"/>
      <c r="N17" s="2">
        <v>3</v>
      </c>
      <c r="O17" s="2">
        <v>3</v>
      </c>
      <c r="P17" s="41">
        <v>3</v>
      </c>
      <c r="Q17" s="2"/>
      <c r="R17" s="2"/>
      <c r="S17" s="2">
        <v>3</v>
      </c>
      <c r="T17" s="2">
        <v>3</v>
      </c>
      <c r="U17" s="2">
        <v>3</v>
      </c>
      <c r="V17" s="2"/>
      <c r="W17" s="2"/>
      <c r="X17" s="2"/>
      <c r="Y17" s="2"/>
      <c r="Z17" s="3"/>
      <c r="AA17" s="4">
        <v>2.0499999999999998</v>
      </c>
      <c r="AB17" s="2">
        <v>208</v>
      </c>
      <c r="AC17" s="53">
        <v>4.4444444444444446E-2</v>
      </c>
      <c r="AD17">
        <f>MONTH(T_Sport[[#This Row],[Dates]])</f>
        <v>9</v>
      </c>
    </row>
    <row r="18" spans="1:30" ht="15.6" x14ac:dyDescent="0.3">
      <c r="A18" s="52" t="s">
        <v>58</v>
      </c>
      <c r="B18" s="39">
        <v>105</v>
      </c>
      <c r="C18" s="40">
        <v>1.1000000000000001</v>
      </c>
      <c r="D18" s="2">
        <v>4</v>
      </c>
      <c r="E18" s="2">
        <v>32</v>
      </c>
      <c r="F18" s="2"/>
      <c r="G18" s="2"/>
      <c r="H18" s="44">
        <v>1.3888888888888888E-2</v>
      </c>
      <c r="I18" s="1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3"/>
      <c r="AA18" s="4">
        <v>2</v>
      </c>
      <c r="AB18" s="2">
        <v>221</v>
      </c>
      <c r="AC18" s="53">
        <v>3.1944444444444442E-2</v>
      </c>
      <c r="AD18">
        <f>MONTH(T_Sport[[#This Row],[Dates]])</f>
        <v>9</v>
      </c>
    </row>
    <row r="19" spans="1:30" ht="15.6" x14ac:dyDescent="0.3">
      <c r="A19" s="52" t="s">
        <v>59</v>
      </c>
      <c r="B19" s="39"/>
      <c r="C19" s="40"/>
      <c r="D19" s="2"/>
      <c r="E19" s="2"/>
      <c r="F19" s="2"/>
      <c r="G19" s="2"/>
      <c r="H19" s="44"/>
      <c r="I19" s="1"/>
      <c r="J19" s="2">
        <v>3</v>
      </c>
      <c r="K19" s="2">
        <v>3</v>
      </c>
      <c r="L19" s="2"/>
      <c r="M19" s="2"/>
      <c r="N19" s="2">
        <v>3</v>
      </c>
      <c r="O19" s="2">
        <v>3</v>
      </c>
      <c r="P19" s="2">
        <v>3</v>
      </c>
      <c r="Q19" s="2"/>
      <c r="R19" s="2">
        <v>3</v>
      </c>
      <c r="S19" s="2">
        <v>3</v>
      </c>
      <c r="T19" s="2">
        <v>3</v>
      </c>
      <c r="U19" s="2">
        <v>3</v>
      </c>
      <c r="V19" s="2"/>
      <c r="W19" s="2"/>
      <c r="X19" s="2"/>
      <c r="Y19" s="2"/>
      <c r="Z19" s="3">
        <v>120</v>
      </c>
      <c r="AA19" s="4">
        <v>3.09</v>
      </c>
      <c r="AB19" s="2">
        <v>426</v>
      </c>
      <c r="AC19" s="53">
        <v>5.6250000000000001E-2</v>
      </c>
      <c r="AD19">
        <f>MONTH(T_Sport[[#This Row],[Dates]])</f>
        <v>9</v>
      </c>
    </row>
    <row r="20" spans="1:30" ht="15.6" x14ac:dyDescent="0.3">
      <c r="A20" s="52" t="s">
        <v>60</v>
      </c>
      <c r="B20" s="39"/>
      <c r="C20" s="40"/>
      <c r="D20" s="2"/>
      <c r="E20" s="2"/>
      <c r="F20" s="2"/>
      <c r="G20" s="2"/>
      <c r="H20" s="44"/>
      <c r="I20" s="1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3"/>
      <c r="AA20" s="4">
        <v>2.4300000000000002</v>
      </c>
      <c r="AB20" s="2">
        <v>238</v>
      </c>
      <c r="AC20" s="53">
        <v>4.7222222222222221E-2</v>
      </c>
      <c r="AD20">
        <f>MONTH(T_Sport[[#This Row],[Dates]])</f>
        <v>9</v>
      </c>
    </row>
    <row r="21" spans="1:30" ht="15.6" x14ac:dyDescent="0.3">
      <c r="A21" s="52" t="s">
        <v>61</v>
      </c>
      <c r="B21" s="39"/>
      <c r="C21" s="40"/>
      <c r="D21" s="2"/>
      <c r="E21" s="2"/>
      <c r="F21" s="2"/>
      <c r="G21" s="2"/>
      <c r="H21" s="44"/>
      <c r="I21" s="1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3"/>
      <c r="AA21" s="4">
        <v>2.16</v>
      </c>
      <c r="AB21" s="2">
        <v>250</v>
      </c>
      <c r="AC21" s="53">
        <v>4.1666666666666664E-2</v>
      </c>
      <c r="AD21">
        <f>MONTH(T_Sport[[#This Row],[Dates]])</f>
        <v>9</v>
      </c>
    </row>
    <row r="22" spans="1:30" ht="15.6" x14ac:dyDescent="0.3">
      <c r="A22" s="52" t="s">
        <v>62</v>
      </c>
      <c r="B22" s="39"/>
      <c r="C22" s="40"/>
      <c r="D22" s="2"/>
      <c r="E22" s="2"/>
      <c r="F22" s="2"/>
      <c r="G22" s="2"/>
      <c r="H22" s="44"/>
      <c r="I22" s="1"/>
      <c r="J22" s="2">
        <v>3</v>
      </c>
      <c r="K22" s="2">
        <v>3</v>
      </c>
      <c r="L22" s="2"/>
      <c r="M22" s="2"/>
      <c r="N22" s="2">
        <v>3</v>
      </c>
      <c r="O22" s="2">
        <v>3</v>
      </c>
      <c r="P22" s="2">
        <v>3</v>
      </c>
      <c r="Q22" s="2"/>
      <c r="R22" s="2"/>
      <c r="S22" s="2">
        <v>3</v>
      </c>
      <c r="T22" s="2">
        <v>3</v>
      </c>
      <c r="U22" s="2">
        <v>3</v>
      </c>
      <c r="V22" s="2"/>
      <c r="W22" s="2"/>
      <c r="X22" s="2"/>
      <c r="Y22" s="2"/>
      <c r="Z22" s="3">
        <v>60</v>
      </c>
      <c r="AA22" s="4">
        <v>2.39</v>
      </c>
      <c r="AB22" s="2">
        <v>295</v>
      </c>
      <c r="AC22" s="53">
        <v>4.1666666666666664E-2</v>
      </c>
      <c r="AD22">
        <f>MONTH(T_Sport[[#This Row],[Dates]])</f>
        <v>9</v>
      </c>
    </row>
    <row r="23" spans="1:30" ht="15.6" x14ac:dyDescent="0.3">
      <c r="A23" s="52" t="s">
        <v>63</v>
      </c>
      <c r="B23" s="39">
        <v>150</v>
      </c>
      <c r="C23" s="40">
        <v>1.3</v>
      </c>
      <c r="D23" s="2">
        <v>4</v>
      </c>
      <c r="E23" s="2">
        <v>32</v>
      </c>
      <c r="F23" s="2"/>
      <c r="G23" s="2"/>
      <c r="H23" s="44">
        <v>2.0833333333333332E-2</v>
      </c>
      <c r="I23" s="1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3"/>
      <c r="AA23" s="4">
        <v>2.35</v>
      </c>
      <c r="AB23" s="2">
        <v>210</v>
      </c>
      <c r="AC23" s="53">
        <v>4.1666666666666664E-2</v>
      </c>
      <c r="AD23">
        <f>MONTH(T_Sport[[#This Row],[Dates]])</f>
        <v>9</v>
      </c>
    </row>
    <row r="24" spans="1:30" ht="15.6" x14ac:dyDescent="0.3">
      <c r="A24" s="52" t="s">
        <v>64</v>
      </c>
      <c r="B24" s="39"/>
      <c r="C24" s="40"/>
      <c r="D24" s="2"/>
      <c r="E24" s="2"/>
      <c r="F24" s="2"/>
      <c r="G24" s="2"/>
      <c r="H24" s="44"/>
      <c r="I24" s="1">
        <v>3</v>
      </c>
      <c r="J24" s="2">
        <v>3</v>
      </c>
      <c r="K24" s="2">
        <v>3</v>
      </c>
      <c r="L24" s="2">
        <v>3</v>
      </c>
      <c r="M24" s="2"/>
      <c r="N24" s="2">
        <v>3</v>
      </c>
      <c r="O24" s="2">
        <v>3</v>
      </c>
      <c r="P24" s="2"/>
      <c r="Q24" s="2"/>
      <c r="R24" s="2"/>
      <c r="S24" s="2">
        <v>3</v>
      </c>
      <c r="T24" s="2">
        <v>3</v>
      </c>
      <c r="U24" s="2">
        <v>3</v>
      </c>
      <c r="V24" s="2"/>
      <c r="W24" s="2"/>
      <c r="X24" s="2"/>
      <c r="Y24" s="2"/>
      <c r="Z24" s="3"/>
      <c r="AA24" s="4">
        <v>2.31</v>
      </c>
      <c r="AB24" s="2">
        <v>339</v>
      </c>
      <c r="AC24" s="53">
        <v>3.6805555555555557E-2</v>
      </c>
      <c r="AD24">
        <f>MONTH(T_Sport[[#This Row],[Dates]])</f>
        <v>9</v>
      </c>
    </row>
    <row r="25" spans="1:30" ht="15.6" x14ac:dyDescent="0.3">
      <c r="A25" s="52" t="s">
        <v>74</v>
      </c>
      <c r="B25" s="39">
        <v>167</v>
      </c>
      <c r="C25" s="40">
        <v>1.7</v>
      </c>
      <c r="D25" s="2">
        <v>4</v>
      </c>
      <c r="E25" s="2">
        <v>3.5</v>
      </c>
      <c r="F25" s="2"/>
      <c r="G25" s="2"/>
      <c r="H25" s="44">
        <v>2.0833333333333332E-2</v>
      </c>
      <c r="I25" s="1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42"/>
      <c r="W25" s="42"/>
      <c r="X25" s="42"/>
      <c r="Y25" s="42"/>
      <c r="Z25" s="3"/>
      <c r="AA25" s="4">
        <v>2.14</v>
      </c>
      <c r="AB25" s="2">
        <v>238</v>
      </c>
      <c r="AC25" s="53">
        <v>4.1666666666666664E-2</v>
      </c>
      <c r="AD25">
        <f>MONTH(T_Sport[[#This Row],[Dates]])</f>
        <v>9</v>
      </c>
    </row>
    <row r="26" spans="1:30" ht="15.6" x14ac:dyDescent="0.3">
      <c r="A26" s="52" t="s">
        <v>81</v>
      </c>
      <c r="B26" s="39"/>
      <c r="C26" s="40"/>
      <c r="D26" s="2"/>
      <c r="E26" s="2"/>
      <c r="F26" s="2"/>
      <c r="G26" s="2"/>
      <c r="H26" s="44"/>
      <c r="I26" s="1">
        <v>5</v>
      </c>
      <c r="J26" s="2">
        <v>3</v>
      </c>
      <c r="K26" s="2"/>
      <c r="L26" s="2">
        <v>3</v>
      </c>
      <c r="M26" s="2"/>
      <c r="N26" s="2"/>
      <c r="O26" s="2"/>
      <c r="P26" s="2">
        <v>3</v>
      </c>
      <c r="Q26" s="2"/>
      <c r="R26" s="2"/>
      <c r="S26" s="2">
        <v>5</v>
      </c>
      <c r="T26" s="2">
        <v>5</v>
      </c>
      <c r="U26" s="2">
        <v>5</v>
      </c>
      <c r="V26" s="42"/>
      <c r="W26" s="42"/>
      <c r="X26" s="42"/>
      <c r="Y26" s="42"/>
      <c r="Z26" s="3">
        <v>45</v>
      </c>
      <c r="AA26" s="4">
        <v>2.74</v>
      </c>
      <c r="AB26" s="2">
        <v>431</v>
      </c>
      <c r="AC26" s="53">
        <v>4.1666666666666664E-2</v>
      </c>
      <c r="AD26">
        <f>MONTH(T_Sport[[#This Row],[Dates]])</f>
        <v>9</v>
      </c>
    </row>
    <row r="27" spans="1:30" ht="15.6" x14ac:dyDescent="0.3">
      <c r="A27" s="52" t="s">
        <v>82</v>
      </c>
      <c r="B27" s="39"/>
      <c r="C27" s="40"/>
      <c r="D27" s="2"/>
      <c r="E27" s="2"/>
      <c r="F27" s="2"/>
      <c r="G27" s="2"/>
      <c r="H27" s="44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42"/>
      <c r="W27" s="42"/>
      <c r="X27" s="42"/>
      <c r="Y27" s="42"/>
      <c r="Z27" s="3"/>
      <c r="AA27" s="63">
        <v>5.63</v>
      </c>
      <c r="AB27" s="2">
        <v>737</v>
      </c>
      <c r="AC27" s="64">
        <v>9.3055555555555558E-2</v>
      </c>
      <c r="AD27">
        <f>MONTH(T_Sport[[#This Row],[Dates]])</f>
        <v>9</v>
      </c>
    </row>
    <row r="28" spans="1:30" ht="15.6" x14ac:dyDescent="0.3">
      <c r="A28" s="52" t="s">
        <v>83</v>
      </c>
      <c r="B28" s="39"/>
      <c r="C28" s="40"/>
      <c r="D28" s="2"/>
      <c r="E28" s="2"/>
      <c r="F28" s="2"/>
      <c r="G28" s="2"/>
      <c r="H28" s="44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42"/>
      <c r="W28" s="42"/>
      <c r="X28" s="42"/>
      <c r="Y28" s="42"/>
      <c r="Z28" s="3"/>
      <c r="AA28" s="63">
        <v>2</v>
      </c>
      <c r="AB28" s="2">
        <v>265</v>
      </c>
      <c r="AC28" s="64">
        <v>3.1944444444444442E-2</v>
      </c>
      <c r="AD28">
        <f>MONTH(T_Sport[[#This Row],[Dates]])</f>
        <v>9</v>
      </c>
    </row>
    <row r="29" spans="1:30" ht="15.6" x14ac:dyDescent="0.3">
      <c r="A29" s="52" t="s">
        <v>84</v>
      </c>
      <c r="B29" s="39"/>
      <c r="C29" s="40"/>
      <c r="D29" s="2"/>
      <c r="E29" s="2"/>
      <c r="F29" s="2"/>
      <c r="G29" s="2"/>
      <c r="H29" s="44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42"/>
      <c r="W29" s="42"/>
      <c r="X29" s="42"/>
      <c r="Y29" s="42"/>
      <c r="Z29" s="3"/>
      <c r="AA29" s="63">
        <v>1.86</v>
      </c>
      <c r="AB29" s="2">
        <v>209</v>
      </c>
      <c r="AC29" s="64">
        <v>2.9861111111111113E-2</v>
      </c>
      <c r="AD29">
        <f>MONTH(T_Sport[[#This Row],[Dates]])</f>
        <v>9</v>
      </c>
    </row>
    <row r="30" spans="1:30" ht="15.6" x14ac:dyDescent="0.3">
      <c r="A30" s="52" t="s">
        <v>85</v>
      </c>
      <c r="B30" s="39"/>
      <c r="C30" s="40"/>
      <c r="D30" s="2"/>
      <c r="E30" s="2"/>
      <c r="F30" s="2"/>
      <c r="G30" s="2"/>
      <c r="H30" s="44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42"/>
      <c r="W30" s="42"/>
      <c r="X30" s="42"/>
      <c r="Y30" s="42"/>
      <c r="Z30" s="3"/>
      <c r="AA30" s="63">
        <v>1.87</v>
      </c>
      <c r="AB30" s="2">
        <v>282</v>
      </c>
      <c r="AC30" s="64">
        <v>3.2638888888888891E-2</v>
      </c>
      <c r="AD30">
        <f>MONTH(T_Sport[[#This Row],[Dates]])</f>
        <v>9</v>
      </c>
    </row>
    <row r="31" spans="1:30" ht="15.6" x14ac:dyDescent="0.3">
      <c r="A31" s="52" t="s">
        <v>86</v>
      </c>
      <c r="B31" s="39"/>
      <c r="C31" s="40"/>
      <c r="D31" s="2"/>
      <c r="E31" s="2"/>
      <c r="F31" s="2"/>
      <c r="G31" s="2"/>
      <c r="H31" s="44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42"/>
      <c r="W31" s="42"/>
      <c r="X31" s="42"/>
      <c r="Y31" s="42"/>
      <c r="Z31" s="3"/>
      <c r="AA31" s="63">
        <v>2.0699999999999998</v>
      </c>
      <c r="AB31" s="2">
        <v>208</v>
      </c>
      <c r="AC31" s="64">
        <v>4.4444444444444446E-2</v>
      </c>
      <c r="AD31">
        <f>MONTH(T_Sport[[#This Row],[Dates]])</f>
        <v>9</v>
      </c>
    </row>
    <row r="32" spans="1:30" ht="15.6" x14ac:dyDescent="0.3">
      <c r="A32" s="52" t="s">
        <v>87</v>
      </c>
      <c r="B32" s="39"/>
      <c r="C32" s="40"/>
      <c r="D32" s="2"/>
      <c r="E32" s="2"/>
      <c r="F32" s="2"/>
      <c r="G32" s="2"/>
      <c r="H32" s="44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42"/>
      <c r="W32" s="42"/>
      <c r="X32" s="42"/>
      <c r="Y32" s="42"/>
      <c r="Z32" s="3"/>
      <c r="AA32" s="63">
        <v>2</v>
      </c>
      <c r="AB32" s="2">
        <v>250</v>
      </c>
      <c r="AC32" s="64">
        <v>3.2638888888888891E-2</v>
      </c>
      <c r="AD32">
        <f>MONTH(T_Sport[[#This Row],[Dates]])</f>
        <v>10</v>
      </c>
    </row>
    <row r="33" spans="1:30" ht="15.6" x14ac:dyDescent="0.3">
      <c r="A33" s="52" t="s">
        <v>88</v>
      </c>
      <c r="B33" s="39"/>
      <c r="C33" s="40"/>
      <c r="D33" s="2"/>
      <c r="E33" s="2"/>
      <c r="F33" s="2"/>
      <c r="G33" s="2"/>
      <c r="H33" s="44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42"/>
      <c r="W33" s="42"/>
      <c r="X33" s="42"/>
      <c r="Y33" s="42"/>
      <c r="Z33" s="3"/>
      <c r="AA33" s="63">
        <v>2.7</v>
      </c>
      <c r="AB33" s="2">
        <v>477</v>
      </c>
      <c r="AC33" s="64">
        <v>4.8611111111111112E-2</v>
      </c>
      <c r="AD33">
        <f>MONTH(T_Sport[[#This Row],[Dates]])</f>
        <v>10</v>
      </c>
    </row>
    <row r="34" spans="1:30" ht="15.6" x14ac:dyDescent="0.3">
      <c r="A34" s="54" t="s">
        <v>13</v>
      </c>
      <c r="B34" s="55">
        <f>SUM(T_Sport[Kcal])</f>
        <v>1054</v>
      </c>
      <c r="C34" s="56">
        <f>SUBTOTAL(109,T_Sport[km])</f>
        <v>10.3</v>
      </c>
      <c r="D34" s="57">
        <f>SUBTOTAL(103,T_Sport[resist])</f>
        <v>6</v>
      </c>
      <c r="E34" s="57">
        <f>SUBTOTAL(103,T_Sport[km/h])</f>
        <v>6</v>
      </c>
      <c r="F34" s="57">
        <f>SUBTOTAL(103,T_Sport[bpm])</f>
        <v>0</v>
      </c>
      <c r="G34" s="57">
        <f>SUBTOTAL(103,T_Sport[rpm2])</f>
        <v>0</v>
      </c>
      <c r="H34" s="58">
        <f>SUM(T_Sport[Temps])</f>
        <v>0.13888888888888887</v>
      </c>
      <c r="I34" s="59">
        <f>SUM(T_Sport[rowing])*12</f>
        <v>168</v>
      </c>
      <c r="J34" s="55">
        <f>SUM(T_Sport[frontal])*12</f>
        <v>324</v>
      </c>
      <c r="K34" s="55">
        <f>SUM(T_Sport[triceps])*12</f>
        <v>288</v>
      </c>
      <c r="L34" s="55">
        <f>SUM(T_Sport[fentes])*12</f>
        <v>108</v>
      </c>
      <c r="M34" s="55">
        <f>SUM(T_Sport[deadlift])*12</f>
        <v>72</v>
      </c>
      <c r="N34" s="55">
        <f>SUM(T_Sport[biceps])*12</f>
        <v>288</v>
      </c>
      <c r="O34" s="55">
        <f>SUM(T_Sport[laterales])*12</f>
        <v>252</v>
      </c>
      <c r="P34" s="55">
        <f>SUM(T_Sport[epaules])*12</f>
        <v>252</v>
      </c>
      <c r="Q34" s="55">
        <f>SUM(T_Sport[derriere])*12</f>
        <v>36</v>
      </c>
      <c r="R34" s="55">
        <f>SUM(T_Sport[squats])*12</f>
        <v>108</v>
      </c>
      <c r="S34" s="55">
        <f>SUM(T_Sport[couche])*12</f>
        <v>312</v>
      </c>
      <c r="T34" s="55">
        <f>SUM(T_Sport[ecarté])*12</f>
        <v>312</v>
      </c>
      <c r="U34" s="55">
        <f>SUM(T_Sport[incline])*12</f>
        <v>276</v>
      </c>
      <c r="V34" s="55"/>
      <c r="W34" s="55"/>
      <c r="X34" s="55"/>
      <c r="Y34" s="55"/>
      <c r="Z34" s="60">
        <f>SUBTOTAL(109,T_Sport[abdos])</f>
        <v>555</v>
      </c>
      <c r="AA34" s="61">
        <f>SUBTOTAL(109,T_Sport[[Km2 ]])</f>
        <v>75.91</v>
      </c>
      <c r="AB34" s="57">
        <f>SUM(T_Sport[[Calories ]])</f>
        <v>9366</v>
      </c>
      <c r="AC34" s="62">
        <f>SUM(T_Sport[Temps4])</f>
        <v>1.2756944444444445</v>
      </c>
      <c r="AD34" s="9"/>
    </row>
  </sheetData>
  <mergeCells count="2">
    <mergeCell ref="AA1:AC1"/>
    <mergeCell ref="B1:H1"/>
  </mergeCells>
  <phoneticPr fontId="7" type="noConversion"/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>
              <from>
                <xdr:col>0</xdr:col>
                <xdr:colOff>60960</xdr:colOff>
                <xdr:row>0</xdr:row>
                <xdr:rowOff>213360</xdr:rowOff>
              </from>
              <to>
                <xdr:col>0</xdr:col>
                <xdr:colOff>1318260</xdr:colOff>
                <xdr:row>0</xdr:row>
                <xdr:rowOff>487680</xdr:rowOff>
              </to>
            </anchor>
          </controlPr>
        </control>
      </mc:Choice>
      <mc:Fallback>
        <control shapeId="1025" r:id="rId4" name="ComboBox1"/>
      </mc:Fallback>
    </mc:AlternateContent>
    <mc:AlternateContent xmlns:mc="http://schemas.openxmlformats.org/markup-compatibility/2006">
      <mc:Choice Requires="x14">
        <control shapeId="1027" r:id="rId6" name="Label1">
          <controlPr defaultSize="0" autoLine="0" r:id="rId7">
            <anchor moveWithCells="1">
              <from>
                <xdr:col>0</xdr:col>
                <xdr:colOff>0</xdr:colOff>
                <xdr:row>0</xdr:row>
                <xdr:rowOff>22860</xdr:rowOff>
              </from>
              <to>
                <xdr:col>0</xdr:col>
                <xdr:colOff>937260</xdr:colOff>
                <xdr:row>0</xdr:row>
                <xdr:rowOff>236220</xdr:rowOff>
              </to>
            </anchor>
          </controlPr>
        </control>
      </mc:Choice>
      <mc:Fallback>
        <control shapeId="1027" r:id="rId6" name="Label1"/>
      </mc:Fallback>
    </mc:AlternateContent>
  </controls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CFF99"/>
  </sheetPr>
  <dimension ref="A1:AE17"/>
  <sheetViews>
    <sheetView showGridLines="0" zoomScaleNormal="100" workbookViewId="0">
      <selection activeCell="AB21" sqref="AB21"/>
    </sheetView>
  </sheetViews>
  <sheetFormatPr baseColWidth="10" defaultRowHeight="14.4" x14ac:dyDescent="0.3"/>
  <cols>
    <col min="1" max="1" width="13.6640625" customWidth="1"/>
    <col min="2" max="2" width="12" style="10" hidden="1" customWidth="1"/>
    <col min="3" max="29" width="8.6640625" customWidth="1"/>
    <col min="30" max="30" width="8.88671875" customWidth="1"/>
  </cols>
  <sheetData>
    <row r="1" spans="1:31" ht="90.75" customHeight="1" x14ac:dyDescent="0.3">
      <c r="A1" s="70" t="s">
        <v>7</v>
      </c>
      <c r="B1" s="70"/>
      <c r="C1" s="70"/>
      <c r="D1" s="70"/>
      <c r="E1" s="70"/>
      <c r="F1" s="70"/>
      <c r="G1" s="70"/>
      <c r="H1" s="70"/>
      <c r="I1" s="70"/>
      <c r="J1" s="70" t="s">
        <v>73</v>
      </c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 t="s">
        <v>12</v>
      </c>
      <c r="AC1" s="70"/>
      <c r="AD1" s="70"/>
    </row>
    <row r="2" spans="1:31" ht="47.25" customHeight="1" x14ac:dyDescent="0.3">
      <c r="A2" s="29" t="s">
        <v>0</v>
      </c>
      <c r="B2" s="29" t="s">
        <v>69</v>
      </c>
      <c r="C2" s="29" t="s">
        <v>1</v>
      </c>
      <c r="D2" s="29" t="s">
        <v>2</v>
      </c>
      <c r="E2" s="29" t="s">
        <v>3</v>
      </c>
      <c r="F2" s="29" t="s">
        <v>4</v>
      </c>
      <c r="G2" s="29" t="s">
        <v>5</v>
      </c>
      <c r="H2" s="29" t="s">
        <v>6</v>
      </c>
      <c r="I2" s="29" t="s">
        <v>8</v>
      </c>
      <c r="J2" s="23" t="s">
        <v>36</v>
      </c>
      <c r="K2" s="5" t="s">
        <v>37</v>
      </c>
      <c r="L2" s="5" t="s">
        <v>38</v>
      </c>
      <c r="M2" s="5" t="s">
        <v>39</v>
      </c>
      <c r="N2" s="5" t="s">
        <v>40</v>
      </c>
      <c r="O2" s="5" t="s">
        <v>41</v>
      </c>
      <c r="P2" s="5" t="s">
        <v>75</v>
      </c>
      <c r="Q2" s="5" t="s">
        <v>43</v>
      </c>
      <c r="R2" s="5" t="s">
        <v>44</v>
      </c>
      <c r="S2" s="5" t="s">
        <v>45</v>
      </c>
      <c r="T2" s="5" t="s">
        <v>46</v>
      </c>
      <c r="U2" s="7" t="s">
        <v>47</v>
      </c>
      <c r="V2" s="5" t="s">
        <v>48</v>
      </c>
      <c r="W2" s="5" t="s">
        <v>67</v>
      </c>
      <c r="X2" s="5" t="s">
        <v>65</v>
      </c>
      <c r="Y2" s="5" t="s">
        <v>68</v>
      </c>
      <c r="Z2" s="5" t="s">
        <v>66</v>
      </c>
      <c r="AA2" s="23" t="s">
        <v>49</v>
      </c>
      <c r="AB2" s="30" t="s">
        <v>9</v>
      </c>
      <c r="AC2" s="30" t="s">
        <v>10</v>
      </c>
      <c r="AD2" s="30" t="s">
        <v>70</v>
      </c>
      <c r="AE2" s="28"/>
    </row>
    <row r="3" spans="1:31" x14ac:dyDescent="0.3">
      <c r="A3" s="21" t="s">
        <v>15</v>
      </c>
      <c r="B3" s="22">
        <v>1</v>
      </c>
      <c r="C3" s="16">
        <f>SUMIFS(T_Sport[Kcal],T_Sport[Mois],T_recap[[#This Row],[mois]])</f>
        <v>0</v>
      </c>
      <c r="D3" s="66">
        <f>SUMIFS(T_Sport[km],T_Sport[Mois],T_recap[[#This Row],[mois]])</f>
        <v>0</v>
      </c>
      <c r="E3" s="11">
        <f>SUMIFS(T_Sport[resist],T_Sport[Mois],T_recap[[#This Row],[mois]])</f>
        <v>0</v>
      </c>
      <c r="F3" s="11">
        <f>SUMIFS(T_Sport[km/h],T_Sport[Mois],T_recap[[#This Row],[mois]])</f>
        <v>0</v>
      </c>
      <c r="G3" s="11">
        <f>SUMIFS(T_Sport[rpm2],T_Sport[Mois],T_recap[[#This Row],[mois]])</f>
        <v>0</v>
      </c>
      <c r="H3" s="11">
        <f>SUMIFS(T_Sport[bpm],T_Sport[Mois],T_recap[[#This Row],[mois]])</f>
        <v>0</v>
      </c>
      <c r="I3" s="17">
        <f>SUMIFS(T_Sport[Temps],T_Sport[Mois],T_recap[[#This Row],[mois]])</f>
        <v>0</v>
      </c>
      <c r="J3" s="16">
        <f>SUMIFS(T_Sport[rowing],T_Sport[Mois],T_recap[[#This Row],[mois]])</f>
        <v>0</v>
      </c>
      <c r="K3" s="11">
        <f>SUMIFS(T_Sport[frontal],T_Sport[Mois],T_recap[[#This Row],[mois]])</f>
        <v>0</v>
      </c>
      <c r="L3" s="11">
        <f>SUMIFS(T_Sport[triceps],T_Sport[Mois],T_recap[[#This Row],[mois]])</f>
        <v>0</v>
      </c>
      <c r="M3" s="11">
        <f>SUMIFS(T_Sport[fentes],T_Sport[Mois],T_recap[[#This Row],[mois]])</f>
        <v>0</v>
      </c>
      <c r="N3" s="11">
        <f>SUMIFS(T_Sport[deadlift],T_Sport[Mois],T_recap[[#This Row],[mois]])</f>
        <v>0</v>
      </c>
      <c r="O3" s="11">
        <f>SUMIFS(T_Sport[biceps],T_Sport[Mois],T_recap[[#This Row],[mois]])</f>
        <v>0</v>
      </c>
      <c r="P3" s="11">
        <f>SUMIFS(T_Sport[laterales],T_Sport[Mois],T_recap[[#This Row],[mois]])</f>
        <v>0</v>
      </c>
      <c r="Q3" s="11">
        <f>SUMIFS(T_Sport[epaules],T_Sport[Mois],T_recap[[#This Row],[mois]])</f>
        <v>0</v>
      </c>
      <c r="R3" s="11">
        <f>SUMIFS(T_Sport[derriere],T_Sport[Mois],T_recap[[#This Row],[mois]])</f>
        <v>0</v>
      </c>
      <c r="S3" s="11">
        <f>SUMIFS(T_Sport[squats],T_Sport[Mois],T_recap[[#This Row],[mois]])</f>
        <v>0</v>
      </c>
      <c r="T3" s="11">
        <f>SUMIFS(T_Sport[couche],T_Sport[Mois],T_recap[[#This Row],[mois]])</f>
        <v>0</v>
      </c>
      <c r="U3" s="11">
        <f>SUMIFS(T_Sport[ecarté],T_Sport[Mois],T_recap[[#This Row],[mois]])</f>
        <v>0</v>
      </c>
      <c r="V3" s="11">
        <f>SUMIFS(T_Sport[incline],T_Sport[Mois],T_recap[[#This Row],[mois]])</f>
        <v>0</v>
      </c>
      <c r="W3" s="11">
        <f>SUMIFS(T_Sport[deadlife triceps der],T_Sport[Mois],T_recap[[#This Row],[mois]])</f>
        <v>0</v>
      </c>
      <c r="X3" s="11">
        <f>SUMIFS(T_Sport[Crunch sur banc],T_Sport[Mois],T_recap[[#This Row],[mois]])</f>
        <v>0</v>
      </c>
      <c r="Y3" s="11">
        <f>SUMIFS(T_Sport[Relevés de genoux],T_Sport[Mois],T_recap[[#This Row],[mois]])</f>
        <v>0</v>
      </c>
      <c r="Z3" s="11">
        <f>SUMIFS(T_Sport[penché avec haltères],T_Sport[Mois],T_recap[[#This Row],[mois]])</f>
        <v>0</v>
      </c>
      <c r="AA3" s="11">
        <f>SUMIFS(T_Sport[abdos],T_Sport[Mois],T_recap[[#This Row],[mois]])</f>
        <v>0</v>
      </c>
      <c r="AB3" s="11">
        <f>SUMIFS(T_Sport[km],T_Sport[Mois],T_recap[[#This Row],[mois]])</f>
        <v>0</v>
      </c>
      <c r="AC3" s="11">
        <f>SUMIFS(T_Sport[[Calories ]],T_Sport[Mois],T_recap[[#This Row],[mois]])</f>
        <v>0</v>
      </c>
      <c r="AD3" s="24">
        <f>SUMIFS(T_Sport[Temps4],T_Sport[Mois],T_recap[[#This Row],[mois]])</f>
        <v>0</v>
      </c>
    </row>
    <row r="4" spans="1:31" ht="15" thickBot="1" x14ac:dyDescent="0.35">
      <c r="A4" s="19" t="s">
        <v>16</v>
      </c>
      <c r="B4" s="15">
        <v>2</v>
      </c>
      <c r="C4" s="16">
        <f>SUMIFS(T_Sport[Kcal],T_Sport[Mois],T_recap[[#This Row],[mois]])</f>
        <v>0</v>
      </c>
      <c r="D4" s="66">
        <f>SUMIFS(T_Sport[km],T_Sport[Mois],T_recap[[#This Row],[mois]])</f>
        <v>0</v>
      </c>
      <c r="E4" s="11">
        <f>SUMIFS(T_Sport[resist],T_Sport[Mois],T_recap[[#This Row],[mois]])</f>
        <v>0</v>
      </c>
      <c r="F4" s="11">
        <f>SUMIFS(T_Sport[km/h],T_Sport[Mois],T_recap[[#This Row],[mois]])</f>
        <v>0</v>
      </c>
      <c r="G4" s="11">
        <f>SUMIFS(T_Sport[rpm2],T_Sport[Mois],T_recap[[#This Row],[mois]])</f>
        <v>0</v>
      </c>
      <c r="H4" s="11">
        <f>SUMIFS(T_Sport[bpm],T_Sport[Mois],T_recap[[#This Row],[mois]])</f>
        <v>0</v>
      </c>
      <c r="I4" s="17">
        <f>SUMIFS(T_Sport[Temps],T_Sport[Mois],T_recap[[#This Row],[mois]])</f>
        <v>0</v>
      </c>
      <c r="J4" s="11">
        <f>SUMIFS(T_Sport[rowing],T_Sport[Mois],T_recap[[#This Row],[mois]])</f>
        <v>0</v>
      </c>
      <c r="K4" s="11">
        <f>SUMIFS(T_Sport[frontal],T_Sport[Mois],T_recap[[#This Row],[mois]])</f>
        <v>0</v>
      </c>
      <c r="L4" s="11">
        <f>SUMIFS(T_Sport[triceps],T_Sport[Mois],T_recap[[#This Row],[mois]])</f>
        <v>0</v>
      </c>
      <c r="M4" s="11">
        <f>SUMIFS(T_Sport[fentes],T_Sport[Mois],T_recap[[#This Row],[mois]])</f>
        <v>0</v>
      </c>
      <c r="N4" s="11">
        <f>SUMIFS(T_Sport[deadlift],T_Sport[Mois],T_recap[[#This Row],[mois]])</f>
        <v>0</v>
      </c>
      <c r="O4" s="11">
        <f>SUMIFS(T_Sport[biceps],T_Sport[Mois],T_recap[[#This Row],[mois]])</f>
        <v>0</v>
      </c>
      <c r="P4" s="10">
        <f>SUMIFS(T_Sport[laterales],T_Sport[Mois],T_recap[[#This Row],[mois]])</f>
        <v>0</v>
      </c>
      <c r="Q4" s="11">
        <f>SUMIFS(T_Sport[epaules],T_Sport[Mois],T_recap[[#This Row],[mois]])</f>
        <v>0</v>
      </c>
      <c r="R4" s="11">
        <f>SUMIFS(T_Sport[derriere],T_Sport[Mois],T_recap[[#This Row],[mois]])</f>
        <v>0</v>
      </c>
      <c r="S4" s="11">
        <f>SUMIFS(T_Sport[squats],T_Sport[Mois],T_recap[[#This Row],[mois]])</f>
        <v>0</v>
      </c>
      <c r="T4" s="11">
        <f>SUMIFS(T_Sport[couche],T_Sport[Mois],T_recap[[#This Row],[mois]])</f>
        <v>0</v>
      </c>
      <c r="U4" s="11">
        <f>SUMIFS(T_Sport[ecarté],T_Sport[Mois],T_recap[[#This Row],[mois]])</f>
        <v>0</v>
      </c>
      <c r="V4" s="11">
        <f>SUMIFS(T_Sport[incline],T_Sport[Mois],T_recap[[#This Row],[mois]])</f>
        <v>0</v>
      </c>
      <c r="W4" s="11">
        <f>SUMIFS(T_Sport[deadlife triceps der],T_Sport[Mois],T_recap[[#This Row],[mois]])</f>
        <v>0</v>
      </c>
      <c r="X4" s="11">
        <f>SUMIFS(T_Sport[Crunch sur banc],T_Sport[Mois],T_recap[[#This Row],[mois]])</f>
        <v>0</v>
      </c>
      <c r="Y4" s="11">
        <f>SUMIFS(T_Sport[Relevés de genoux],T_Sport[Mois],T_recap[[#This Row],[mois]])</f>
        <v>0</v>
      </c>
      <c r="Z4" s="11">
        <f>SUMIFS(T_Sport[penché avec haltères],T_Sport[Mois],T_recap[[#This Row],[mois]])</f>
        <v>0</v>
      </c>
      <c r="AA4" s="10">
        <f>SUMIFS(T_Sport[abdos],T_Sport[Mois],T_recap[[#This Row],[mois]])</f>
        <v>0</v>
      </c>
      <c r="AB4" s="11">
        <f>SUMIFS(T_Sport[km],T_Sport[Mois],T_recap[[#This Row],[mois]])</f>
        <v>0</v>
      </c>
      <c r="AC4" s="11">
        <f>SUMIFS(T_Sport[[Calories ]],T_Sport[Mois],T_recap[[#This Row],[mois]])</f>
        <v>0</v>
      </c>
      <c r="AD4" s="24">
        <f>SUMIFS(T_Sport[Temps4],T_Sport[Mois],T_recap[[#This Row],[mois]])</f>
        <v>0</v>
      </c>
    </row>
    <row r="5" spans="1:31" x14ac:dyDescent="0.3">
      <c r="A5" s="19" t="s">
        <v>17</v>
      </c>
      <c r="B5" s="14">
        <v>3</v>
      </c>
      <c r="C5" s="16">
        <f>SUMIFS(T_Sport[Kcal],T_Sport[Mois],T_recap[[#This Row],[mois]])</f>
        <v>0</v>
      </c>
      <c r="D5" s="66">
        <f>SUMIFS(T_Sport[km],T_Sport[Mois],T_recap[[#This Row],[mois]])</f>
        <v>0</v>
      </c>
      <c r="E5" s="11">
        <f>SUMIFS(T_Sport[resist],T_Sport[Mois],T_recap[[#This Row],[mois]])</f>
        <v>0</v>
      </c>
      <c r="F5" s="11">
        <f>SUMIFS(T_Sport[km/h],T_Sport[Mois],T_recap[[#This Row],[mois]])</f>
        <v>0</v>
      </c>
      <c r="G5" s="11">
        <f>SUMIFS(T_Sport[rpm2],T_Sport[Mois],T_recap[[#This Row],[mois]])</f>
        <v>0</v>
      </c>
      <c r="H5" s="11">
        <f>SUMIFS(T_Sport[bpm],T_Sport[Mois],T_recap[[#This Row],[mois]])</f>
        <v>0</v>
      </c>
      <c r="I5" s="17">
        <f>SUMIFS(T_Sport[Temps],T_Sport[Mois],T_recap[[#This Row],[mois]])</f>
        <v>0</v>
      </c>
      <c r="J5" s="11">
        <f>SUMIFS(T_Sport[rowing],T_Sport[Mois],T_recap[[#This Row],[mois]])</f>
        <v>0</v>
      </c>
      <c r="K5" s="11">
        <f>SUMIFS(T_Sport[frontal],T_Sport[Mois],T_recap[[#This Row],[mois]])</f>
        <v>0</v>
      </c>
      <c r="L5" s="11">
        <f>SUMIFS(T_Sport[triceps],T_Sport[Mois],T_recap[[#This Row],[mois]])</f>
        <v>0</v>
      </c>
      <c r="M5" s="11">
        <f>SUMIFS(T_Sport[fentes],T_Sport[Mois],T_recap[[#This Row],[mois]])</f>
        <v>0</v>
      </c>
      <c r="N5" s="11">
        <f>SUMIFS(T_Sport[deadlift],T_Sport[Mois],T_recap[[#This Row],[mois]])</f>
        <v>0</v>
      </c>
      <c r="O5" s="11">
        <f>SUMIFS(T_Sport[biceps],T_Sport[Mois],T_recap[[#This Row],[mois]])</f>
        <v>0</v>
      </c>
      <c r="P5" s="10">
        <f>SUMIFS(T_Sport[laterales],T_Sport[Mois],T_recap[[#This Row],[mois]])</f>
        <v>0</v>
      </c>
      <c r="Q5" s="11">
        <f>SUMIFS(T_Sport[epaules],T_Sport[Mois],T_recap[[#This Row],[mois]])</f>
        <v>0</v>
      </c>
      <c r="R5" s="11">
        <f>SUMIFS(T_Sport[derriere],T_Sport[Mois],T_recap[[#This Row],[mois]])</f>
        <v>0</v>
      </c>
      <c r="S5" s="11">
        <f>SUMIFS(T_Sport[squats],T_Sport[Mois],T_recap[[#This Row],[mois]])</f>
        <v>0</v>
      </c>
      <c r="T5" s="11">
        <f>SUMIFS(T_Sport[couche],T_Sport[Mois],T_recap[[#This Row],[mois]])</f>
        <v>0</v>
      </c>
      <c r="U5" s="11">
        <f>SUMIFS(T_Sport[ecarté],T_Sport[Mois],T_recap[[#This Row],[mois]])</f>
        <v>0</v>
      </c>
      <c r="V5" s="11">
        <f>SUMIFS(T_Sport[incline],T_Sport[Mois],T_recap[[#This Row],[mois]])</f>
        <v>0</v>
      </c>
      <c r="W5" s="11">
        <f>SUMIFS(T_Sport[deadlife triceps der],T_Sport[Mois],T_recap[[#This Row],[mois]])</f>
        <v>0</v>
      </c>
      <c r="X5" s="11">
        <f>SUMIFS(T_Sport[Crunch sur banc],T_Sport[Mois],T_recap[[#This Row],[mois]])</f>
        <v>0</v>
      </c>
      <c r="Y5" s="11">
        <f>SUMIFS(T_Sport[Relevés de genoux],T_Sport[Mois],T_recap[[#This Row],[mois]])</f>
        <v>0</v>
      </c>
      <c r="Z5" s="11">
        <f>SUMIFS(T_Sport[penché avec haltères],T_Sport[Mois],T_recap[[#This Row],[mois]])</f>
        <v>0</v>
      </c>
      <c r="AA5" s="10">
        <f>SUMIFS(T_Sport[abdos],T_Sport[Mois],T_recap[[#This Row],[mois]])</f>
        <v>0</v>
      </c>
      <c r="AB5" s="11">
        <f>SUMIFS(T_Sport[km],T_Sport[Mois],T_recap[[#This Row],[mois]])</f>
        <v>0</v>
      </c>
      <c r="AC5" s="11">
        <f>SUMIFS(T_Sport[[Calories ]],T_Sport[Mois],T_recap[[#This Row],[mois]])</f>
        <v>0</v>
      </c>
      <c r="AD5" s="24">
        <f>SUMIFS(T_Sport[Temps4],T_Sport[Mois],T_recap[[#This Row],[mois]])</f>
        <v>0</v>
      </c>
    </row>
    <row r="6" spans="1:31" ht="15" thickBot="1" x14ac:dyDescent="0.35">
      <c r="A6" s="19" t="s">
        <v>18</v>
      </c>
      <c r="B6" s="15">
        <v>4</v>
      </c>
      <c r="C6" s="16">
        <f>SUMIFS(T_Sport[Kcal],T_Sport[Mois],T_recap[[#This Row],[mois]])</f>
        <v>0</v>
      </c>
      <c r="D6" s="66">
        <f>SUMIFS(T_Sport[km],T_Sport[Mois],T_recap[[#This Row],[mois]])</f>
        <v>0</v>
      </c>
      <c r="E6" s="11">
        <f>SUMIFS(T_Sport[resist],T_Sport[Mois],T_recap[[#This Row],[mois]])</f>
        <v>0</v>
      </c>
      <c r="F6" s="11">
        <f>SUMIFS(T_Sport[km/h],T_Sport[Mois],T_recap[[#This Row],[mois]])</f>
        <v>0</v>
      </c>
      <c r="G6" s="11">
        <f>SUMIFS(T_Sport[rpm2],T_Sport[Mois],T_recap[[#This Row],[mois]])</f>
        <v>0</v>
      </c>
      <c r="H6" s="11">
        <f>SUMIFS(T_Sport[bpm],T_Sport[Mois],T_recap[[#This Row],[mois]])</f>
        <v>0</v>
      </c>
      <c r="I6" s="17">
        <f>SUMIFS(T_Sport[Temps],T_Sport[Mois],T_recap[[#This Row],[mois]])</f>
        <v>0</v>
      </c>
      <c r="J6" s="11">
        <f>SUMIFS(T_Sport[rowing],T_Sport[Mois],T_recap[[#This Row],[mois]])</f>
        <v>0</v>
      </c>
      <c r="K6" s="11">
        <f>SUMIFS(T_Sport[frontal],T_Sport[Mois],T_recap[[#This Row],[mois]])</f>
        <v>0</v>
      </c>
      <c r="L6" s="11">
        <f>SUMIFS(T_Sport[triceps],T_Sport[Mois],T_recap[[#This Row],[mois]])</f>
        <v>0</v>
      </c>
      <c r="M6" s="11">
        <f>SUMIFS(T_Sport[fentes],T_Sport[Mois],T_recap[[#This Row],[mois]])</f>
        <v>0</v>
      </c>
      <c r="N6" s="11">
        <f>SUMIFS(T_Sport[deadlift],T_Sport[Mois],T_recap[[#This Row],[mois]])</f>
        <v>0</v>
      </c>
      <c r="O6" s="11">
        <f>SUMIFS(T_Sport[biceps],T_Sport[Mois],T_recap[[#This Row],[mois]])</f>
        <v>0</v>
      </c>
      <c r="P6" s="10">
        <f>SUMIFS(T_Sport[laterales],T_Sport[Mois],T_recap[[#This Row],[mois]])</f>
        <v>0</v>
      </c>
      <c r="Q6" s="11">
        <f>SUMIFS(T_Sport[epaules],T_Sport[Mois],T_recap[[#This Row],[mois]])</f>
        <v>0</v>
      </c>
      <c r="R6" s="11">
        <f>SUMIFS(T_Sport[derriere],T_Sport[Mois],T_recap[[#This Row],[mois]])</f>
        <v>0</v>
      </c>
      <c r="S6" s="11">
        <f>SUMIFS(T_Sport[squats],T_Sport[Mois],T_recap[[#This Row],[mois]])</f>
        <v>0</v>
      </c>
      <c r="T6" s="11">
        <f>SUMIFS(T_Sport[couche],T_Sport[Mois],T_recap[[#This Row],[mois]])</f>
        <v>0</v>
      </c>
      <c r="U6" s="11">
        <f>SUMIFS(T_Sport[ecarté],T_Sport[Mois],T_recap[[#This Row],[mois]])</f>
        <v>0</v>
      </c>
      <c r="V6" s="11">
        <f>SUMIFS(T_Sport[incline],T_Sport[Mois],T_recap[[#This Row],[mois]])</f>
        <v>0</v>
      </c>
      <c r="W6" s="11">
        <f>SUMIFS(T_Sport[deadlife triceps der],T_Sport[Mois],T_recap[[#This Row],[mois]])</f>
        <v>0</v>
      </c>
      <c r="X6" s="11">
        <f>SUMIFS(T_Sport[Crunch sur banc],T_Sport[Mois],T_recap[[#This Row],[mois]])</f>
        <v>0</v>
      </c>
      <c r="Y6" s="11">
        <f>SUMIFS(T_Sport[Relevés de genoux],T_Sport[Mois],T_recap[[#This Row],[mois]])</f>
        <v>0</v>
      </c>
      <c r="Z6" s="11">
        <f>SUMIFS(T_Sport[penché avec haltères],T_Sport[Mois],T_recap[[#This Row],[mois]])</f>
        <v>0</v>
      </c>
      <c r="AA6" s="10">
        <f>SUMIFS(T_Sport[abdos],T_Sport[Mois],T_recap[[#This Row],[mois]])</f>
        <v>0</v>
      </c>
      <c r="AB6" s="11">
        <f>SUMIFS(T_Sport[km],T_Sport[Mois],T_recap[[#This Row],[mois]])</f>
        <v>0</v>
      </c>
      <c r="AC6" s="11">
        <f>SUMIFS(T_Sport[[Calories ]],T_Sport[Mois],T_recap[[#This Row],[mois]])</f>
        <v>0</v>
      </c>
      <c r="AD6" s="24">
        <f>SUMIFS(T_Sport[Temps4],T_Sport[Mois],T_recap[[#This Row],[mois]])</f>
        <v>0</v>
      </c>
    </row>
    <row r="7" spans="1:31" x14ac:dyDescent="0.3">
      <c r="A7" s="19" t="s">
        <v>19</v>
      </c>
      <c r="B7" s="14">
        <v>5</v>
      </c>
      <c r="C7" s="16">
        <f>SUMIFS(T_Sport[Kcal],T_Sport[Mois],T_recap[[#This Row],[mois]])</f>
        <v>0</v>
      </c>
      <c r="D7" s="66">
        <f>SUMIFS(T_Sport[km],T_Sport[Mois],T_recap[[#This Row],[mois]])</f>
        <v>0</v>
      </c>
      <c r="E7" s="11">
        <f>SUMIFS(T_Sport[resist],T_Sport[Mois],T_recap[[#This Row],[mois]])</f>
        <v>0</v>
      </c>
      <c r="F7" s="11">
        <f>SUMIFS(T_Sport[km/h],T_Sport[Mois],T_recap[[#This Row],[mois]])</f>
        <v>0</v>
      </c>
      <c r="G7" s="11">
        <f>SUMIFS(T_Sport[rpm2],T_Sport[Mois],T_recap[[#This Row],[mois]])</f>
        <v>0</v>
      </c>
      <c r="H7" s="11">
        <f>SUMIFS(T_Sport[bpm],T_Sport[Mois],T_recap[[#This Row],[mois]])</f>
        <v>0</v>
      </c>
      <c r="I7" s="17">
        <f>SUMIFS(T_Sport[Temps],T_Sport[Mois],T_recap[[#This Row],[mois]])</f>
        <v>0</v>
      </c>
      <c r="J7" s="18">
        <f>SUMIFS(T_Sport[rowing],T_Sport[Mois],T_recap[[#This Row],[mois]])</f>
        <v>0</v>
      </c>
      <c r="K7" s="18">
        <f>SUMIFS(T_Sport[frontal],T_Sport[Mois],T_recap[[#This Row],[mois]])</f>
        <v>0</v>
      </c>
      <c r="L7" s="18">
        <f>SUMIFS(T_Sport[triceps],T_Sport[Mois],T_recap[[#This Row],[mois]])</f>
        <v>0</v>
      </c>
      <c r="M7" s="18">
        <f>SUMIFS(T_Sport[fentes],T_Sport[Mois],T_recap[[#This Row],[mois]])</f>
        <v>0</v>
      </c>
      <c r="N7" s="18">
        <f>SUMIFS(T_Sport[deadlift],T_Sport[Mois],T_recap[[#This Row],[mois]])</f>
        <v>0</v>
      </c>
      <c r="O7" s="18">
        <f>SUMIFS(T_Sport[biceps],T_Sport[Mois],T_recap[[#This Row],[mois]])</f>
        <v>0</v>
      </c>
      <c r="P7" s="27">
        <f>SUMIFS(T_Sport[laterales],T_Sport[Mois],T_recap[[#This Row],[mois]])</f>
        <v>0</v>
      </c>
      <c r="Q7" s="18">
        <f>SUMIFS(T_Sport[epaules],T_Sport[Mois],T_recap[[#This Row],[mois]])</f>
        <v>0</v>
      </c>
      <c r="R7" s="18">
        <f>SUMIFS(T_Sport[derriere],T_Sport[Mois],T_recap[[#This Row],[mois]])</f>
        <v>0</v>
      </c>
      <c r="S7" s="18">
        <f>SUMIFS(T_Sport[squats],T_Sport[Mois],T_recap[[#This Row],[mois]])</f>
        <v>0</v>
      </c>
      <c r="T7" s="18">
        <f>SUMIFS(T_Sport[couche],T_Sport[Mois],T_recap[[#This Row],[mois]])</f>
        <v>0</v>
      </c>
      <c r="U7" s="18">
        <f>SUMIFS(T_Sport[ecarté],T_Sport[Mois],T_recap[[#This Row],[mois]])</f>
        <v>0</v>
      </c>
      <c r="V7" s="18">
        <f>SUMIFS(T_Sport[incline],T_Sport[Mois],T_recap[[#This Row],[mois]])</f>
        <v>0</v>
      </c>
      <c r="W7" s="18">
        <f>SUMIFS(T_Sport[deadlife triceps der],T_Sport[Mois],T_recap[[#This Row],[mois]])</f>
        <v>0</v>
      </c>
      <c r="X7" s="18">
        <f>SUMIFS(T_Sport[Crunch sur banc],T_Sport[Mois],T_recap[[#This Row],[mois]])</f>
        <v>0</v>
      </c>
      <c r="Y7" s="18">
        <f>SUMIFS(T_Sport[Relevés de genoux],T_Sport[Mois],T_recap[[#This Row],[mois]])</f>
        <v>0</v>
      </c>
      <c r="Z7" s="18">
        <f>SUMIFS(T_Sport[penché avec haltères],T_Sport[Mois],T_recap[[#This Row],[mois]])</f>
        <v>0</v>
      </c>
      <c r="AA7" s="27">
        <f>SUMIFS(T_Sport[abdos],T_Sport[Mois],T_recap[[#This Row],[mois]])</f>
        <v>0</v>
      </c>
      <c r="AB7" s="11">
        <f>SUMIFS(T_Sport[km],T_Sport[Mois],T_recap[[#This Row],[mois]])</f>
        <v>0</v>
      </c>
      <c r="AC7" s="11">
        <f>SUMIFS(T_Sport[[Calories ]],T_Sport[Mois],T_recap[[#This Row],[mois]])</f>
        <v>0</v>
      </c>
      <c r="AD7" s="24">
        <f>SUMIFS(T_Sport[Temps4],T_Sport[Mois],T_recap[[#This Row],[mois]])</f>
        <v>0</v>
      </c>
    </row>
    <row r="8" spans="1:31" ht="15" thickBot="1" x14ac:dyDescent="0.35">
      <c r="A8" s="19" t="s">
        <v>20</v>
      </c>
      <c r="B8" s="15">
        <v>6</v>
      </c>
      <c r="C8" s="16">
        <f>SUMIFS(T_Sport[Kcal],T_Sport[Mois],T_recap[[#This Row],[mois]])</f>
        <v>0</v>
      </c>
      <c r="D8" s="66">
        <f>SUMIFS(T_Sport[km],T_Sport[Mois],T_recap[[#This Row],[mois]])</f>
        <v>0</v>
      </c>
      <c r="E8" s="11">
        <f>SUMIFS(T_Sport[resist],T_Sport[Mois],T_recap[[#This Row],[mois]])</f>
        <v>0</v>
      </c>
      <c r="F8" s="11">
        <f>SUMIFS(T_Sport[km/h],T_Sport[Mois],T_recap[[#This Row],[mois]])</f>
        <v>0</v>
      </c>
      <c r="G8" s="11">
        <f>SUMIFS(T_Sport[rpm2],T_Sport[Mois],T_recap[[#This Row],[mois]])</f>
        <v>0</v>
      </c>
      <c r="H8" s="11">
        <f>SUMIFS(T_Sport[bpm],T_Sport[Mois],T_recap[[#This Row],[mois]])</f>
        <v>0</v>
      </c>
      <c r="I8" s="17">
        <f>SUMIFS(T_Sport[Temps],T_Sport[Mois],T_recap[[#This Row],[mois]])</f>
        <v>0</v>
      </c>
      <c r="J8" s="11">
        <f>SUMIFS(T_Sport[rowing],T_Sport[Mois],T_recap[[#This Row],[mois]])</f>
        <v>0</v>
      </c>
      <c r="K8" s="11">
        <f>SUMIFS(T_Sport[frontal],T_Sport[Mois],T_recap[[#This Row],[mois]])</f>
        <v>0</v>
      </c>
      <c r="L8" s="11">
        <f>SUMIFS(T_Sport[triceps],T_Sport[Mois],T_recap[[#This Row],[mois]])</f>
        <v>0</v>
      </c>
      <c r="M8" s="11">
        <f>SUMIFS(T_Sport[fentes],T_Sport[Mois],T_recap[[#This Row],[mois]])</f>
        <v>0</v>
      </c>
      <c r="N8" s="11">
        <f>SUMIFS(T_Sport[deadlift],T_Sport[Mois],T_recap[[#This Row],[mois]])</f>
        <v>0</v>
      </c>
      <c r="O8" s="11">
        <f>SUMIFS(T_Sport[biceps],T_Sport[Mois],T_recap[[#This Row],[mois]])</f>
        <v>0</v>
      </c>
      <c r="P8" s="10">
        <f>SUMIFS(T_Sport[laterales],T_Sport[Mois],T_recap[[#This Row],[mois]])</f>
        <v>0</v>
      </c>
      <c r="Q8" s="11">
        <f>SUMIFS(T_Sport[epaules],T_Sport[Mois],T_recap[[#This Row],[mois]])</f>
        <v>0</v>
      </c>
      <c r="R8" s="11">
        <f>SUMIFS(T_Sport[derriere],T_Sport[Mois],T_recap[[#This Row],[mois]])</f>
        <v>0</v>
      </c>
      <c r="S8" s="11">
        <f>SUMIFS(T_Sport[squats],T_Sport[Mois],T_recap[[#This Row],[mois]])</f>
        <v>0</v>
      </c>
      <c r="T8" s="11">
        <f>SUMIFS(T_Sport[couche],T_Sport[Mois],T_recap[[#This Row],[mois]])</f>
        <v>0</v>
      </c>
      <c r="U8" s="11">
        <f>SUMIFS(T_Sport[ecarté],T_Sport[Mois],T_recap[[#This Row],[mois]])</f>
        <v>0</v>
      </c>
      <c r="V8" s="11">
        <f>SUMIFS(T_Sport[incline],T_Sport[Mois],T_recap[[#This Row],[mois]])</f>
        <v>0</v>
      </c>
      <c r="W8" s="11">
        <f>SUMIFS(T_Sport[deadlife triceps der],T_Sport[Mois],T_recap[[#This Row],[mois]])</f>
        <v>0</v>
      </c>
      <c r="X8" s="11">
        <f>SUMIFS(T_Sport[Crunch sur banc],T_Sport[Mois],T_recap[[#This Row],[mois]])</f>
        <v>0</v>
      </c>
      <c r="Y8" s="11">
        <f>SUMIFS(T_Sport[Relevés de genoux],T_Sport[Mois],T_recap[[#This Row],[mois]])</f>
        <v>0</v>
      </c>
      <c r="Z8" s="11">
        <f>SUMIFS(T_Sport[penché avec haltères],T_Sport[Mois],T_recap[[#This Row],[mois]])</f>
        <v>0</v>
      </c>
      <c r="AA8" s="10">
        <f>SUMIFS(T_Sport[abdos],T_Sport[Mois],T_recap[[#This Row],[mois]])</f>
        <v>0</v>
      </c>
      <c r="AB8" s="11">
        <f>SUMIFS(T_Sport[km],T_Sport[Mois],T_recap[[#This Row],[mois]])</f>
        <v>0</v>
      </c>
      <c r="AC8" s="11">
        <f>SUMIFS(T_Sport[[Calories ]],T_Sport[Mois],T_recap[[#This Row],[mois]])</f>
        <v>0</v>
      </c>
      <c r="AD8" s="24">
        <f>SUMIFS(T_Sport[Temps4],T_Sport[Mois],T_recap[[#This Row],[mois]])</f>
        <v>0</v>
      </c>
    </row>
    <row r="9" spans="1:31" x14ac:dyDescent="0.3">
      <c r="A9" s="19" t="s">
        <v>21</v>
      </c>
      <c r="B9" s="14">
        <v>7</v>
      </c>
      <c r="C9" s="16">
        <f>SUMIFS(T_Sport[Kcal],T_Sport[Mois],T_recap[[#This Row],[mois]])</f>
        <v>0</v>
      </c>
      <c r="D9" s="66">
        <f>SUMIFS(T_Sport[km],T_Sport[Mois],T_recap[[#This Row],[mois]])</f>
        <v>0</v>
      </c>
      <c r="E9" s="11">
        <f>SUMIFS(T_Sport[resist],T_Sport[Mois],T_recap[[#This Row],[mois]])</f>
        <v>0</v>
      </c>
      <c r="F9" s="11">
        <f>SUMIFS(T_Sport[km/h],T_Sport[Mois],T_recap[[#This Row],[mois]])</f>
        <v>0</v>
      </c>
      <c r="G9" s="11">
        <f>SUMIFS(T_Sport[rpm2],T_Sport[Mois],T_recap[[#This Row],[mois]])</f>
        <v>0</v>
      </c>
      <c r="H9" s="11">
        <f>SUMIFS(T_Sport[bpm],T_Sport[Mois],T_recap[[#This Row],[mois]])</f>
        <v>0</v>
      </c>
      <c r="I9" s="17">
        <f>SUMIFS(T_Sport[Temps],T_Sport[Mois],T_recap[[#This Row],[mois]])</f>
        <v>0</v>
      </c>
      <c r="J9" s="11">
        <f>SUMIFS(T_Sport[rowing],T_Sport[Mois],T_recap[[#This Row],[mois]])</f>
        <v>0</v>
      </c>
      <c r="K9" s="11">
        <f>SUMIFS(T_Sport[frontal],T_Sport[Mois],T_recap[[#This Row],[mois]])</f>
        <v>0</v>
      </c>
      <c r="L9" s="11">
        <f>SUMIFS(T_Sport[triceps],T_Sport[Mois],T_recap[[#This Row],[mois]])</f>
        <v>0</v>
      </c>
      <c r="M9" s="11">
        <f>SUMIFS(T_Sport[fentes],T_Sport[Mois],T_recap[[#This Row],[mois]])</f>
        <v>0</v>
      </c>
      <c r="N9" s="11">
        <f>SUMIFS(T_Sport[deadlift],T_Sport[Mois],T_recap[[#This Row],[mois]])</f>
        <v>0</v>
      </c>
      <c r="O9" s="11">
        <f>SUMIFS(T_Sport[biceps],T_Sport[Mois],T_recap[[#This Row],[mois]])</f>
        <v>0</v>
      </c>
      <c r="P9" s="10">
        <f>SUMIFS(T_Sport[laterales],T_Sport[Mois],T_recap[[#This Row],[mois]])</f>
        <v>0</v>
      </c>
      <c r="Q9" s="11">
        <f>SUMIFS(T_Sport[epaules],T_Sport[Mois],T_recap[[#This Row],[mois]])</f>
        <v>0</v>
      </c>
      <c r="R9" s="11">
        <f>SUMIFS(T_Sport[derriere],T_Sport[Mois],T_recap[[#This Row],[mois]])</f>
        <v>0</v>
      </c>
      <c r="S9" s="11">
        <f>SUMIFS(T_Sport[squats],T_Sport[Mois],T_recap[[#This Row],[mois]])</f>
        <v>0</v>
      </c>
      <c r="T9" s="11">
        <f>SUMIFS(T_Sport[couche],T_Sport[Mois],T_recap[[#This Row],[mois]])</f>
        <v>0</v>
      </c>
      <c r="U9" s="11">
        <f>SUMIFS(T_Sport[ecarté],T_Sport[Mois],T_recap[[#This Row],[mois]])</f>
        <v>0</v>
      </c>
      <c r="V9" s="11">
        <f>SUMIFS(T_Sport[incline],T_Sport[Mois],T_recap[[#This Row],[mois]])</f>
        <v>0</v>
      </c>
      <c r="W9" s="11">
        <f>SUMIFS(T_Sport[deadlife triceps der],T_Sport[Mois],T_recap[[#This Row],[mois]])</f>
        <v>0</v>
      </c>
      <c r="X9" s="11">
        <f>SUMIFS(T_Sport[Crunch sur banc],T_Sport[Mois],T_recap[[#This Row],[mois]])</f>
        <v>0</v>
      </c>
      <c r="Y9" s="11">
        <f>SUMIFS(T_Sport[Relevés de genoux],T_Sport[Mois],T_recap[[#This Row],[mois]])</f>
        <v>0</v>
      </c>
      <c r="Z9" s="11">
        <f>SUMIFS(T_Sport[penché avec haltères],T_Sport[Mois],T_recap[[#This Row],[mois]])</f>
        <v>0</v>
      </c>
      <c r="AA9" s="10">
        <f>SUMIFS(T_Sport[abdos],T_Sport[Mois],T_recap[[#This Row],[mois]])</f>
        <v>0</v>
      </c>
      <c r="AB9" s="11">
        <f>SUMIFS(T_Sport[km],T_Sport[Mois],T_recap[[#This Row],[mois]])</f>
        <v>0</v>
      </c>
      <c r="AC9" s="11">
        <f>SUMIFS(T_Sport[[Calories ]],T_Sport[Mois],T_recap[[#This Row],[mois]])</f>
        <v>0</v>
      </c>
      <c r="AD9" s="24">
        <f>SUMIFS(T_Sport[Temps4],T_Sport[Mois],T_recap[[#This Row],[mois]])</f>
        <v>0</v>
      </c>
    </row>
    <row r="10" spans="1:31" ht="15" thickBot="1" x14ac:dyDescent="0.35">
      <c r="A10" s="19" t="s">
        <v>22</v>
      </c>
      <c r="B10" s="15">
        <v>8</v>
      </c>
      <c r="C10" s="16">
        <f>SUMIFS(T_Sport[Kcal],T_Sport[Mois],T_recap[[#This Row],[mois]])</f>
        <v>0</v>
      </c>
      <c r="D10" s="66">
        <f>SUMIFS(T_Sport[km],T_Sport[Mois],T_recap[[#This Row],[mois]])</f>
        <v>0</v>
      </c>
      <c r="E10" s="11">
        <f>SUMIFS(T_Sport[resist],T_Sport[Mois],T_recap[[#This Row],[mois]])</f>
        <v>0</v>
      </c>
      <c r="F10" s="11">
        <f>SUMIFS(T_Sport[km/h],T_Sport[Mois],T_recap[[#This Row],[mois]])</f>
        <v>0</v>
      </c>
      <c r="G10" s="11">
        <f>SUMIFS(T_Sport[rpm2],T_Sport[Mois],T_recap[[#This Row],[mois]])</f>
        <v>0</v>
      </c>
      <c r="H10" s="11">
        <f>SUMIFS(T_Sport[bpm],T_Sport[Mois],T_recap[[#This Row],[mois]])</f>
        <v>0</v>
      </c>
      <c r="I10" s="17">
        <f>SUMIFS(T_Sport[Temps],T_Sport[Mois],T_recap[[#This Row],[mois]])</f>
        <v>0</v>
      </c>
      <c r="J10" s="11">
        <f>SUMIFS(T_Sport[rowing],T_Sport[Mois],T_recap[[#This Row],[mois]])</f>
        <v>0</v>
      </c>
      <c r="K10" s="11">
        <f>SUMIFS(T_Sport[frontal],T_Sport[Mois],T_recap[[#This Row],[mois]])</f>
        <v>0</v>
      </c>
      <c r="L10" s="11">
        <f>SUMIFS(T_Sport[triceps],T_Sport[Mois],T_recap[[#This Row],[mois]])</f>
        <v>0</v>
      </c>
      <c r="M10" s="11">
        <f>SUMIFS(T_Sport[fentes],T_Sport[Mois],T_recap[[#This Row],[mois]])</f>
        <v>0</v>
      </c>
      <c r="N10" s="11">
        <f>SUMIFS(T_Sport[deadlift],T_Sport[Mois],T_recap[[#This Row],[mois]])</f>
        <v>0</v>
      </c>
      <c r="O10" s="11">
        <f>SUMIFS(T_Sport[biceps],T_Sport[Mois],T_recap[[#This Row],[mois]])</f>
        <v>0</v>
      </c>
      <c r="P10" s="10">
        <f>SUMIFS(T_Sport[laterales],T_Sport[Mois],T_recap[[#This Row],[mois]])</f>
        <v>0</v>
      </c>
      <c r="Q10" s="11">
        <f>SUMIFS(T_Sport[epaules],T_Sport[Mois],T_recap[[#This Row],[mois]])</f>
        <v>0</v>
      </c>
      <c r="R10" s="11">
        <f>SUMIFS(T_Sport[derriere],T_Sport[Mois],T_recap[[#This Row],[mois]])</f>
        <v>0</v>
      </c>
      <c r="S10" s="11">
        <f>SUMIFS(T_Sport[squats],T_Sport[Mois],T_recap[[#This Row],[mois]])</f>
        <v>0</v>
      </c>
      <c r="T10" s="11">
        <f>SUMIFS(T_Sport[couche],T_Sport[Mois],T_recap[[#This Row],[mois]])</f>
        <v>0</v>
      </c>
      <c r="U10" s="11">
        <f>SUMIFS(T_Sport[ecarté],T_Sport[Mois],T_recap[[#This Row],[mois]])</f>
        <v>0</v>
      </c>
      <c r="V10" s="11">
        <f>SUMIFS(T_Sport[incline],T_Sport[Mois],T_recap[[#This Row],[mois]])</f>
        <v>0</v>
      </c>
      <c r="W10" s="11">
        <f>SUMIFS(T_Sport[deadlife triceps der],T_Sport[Mois],T_recap[[#This Row],[mois]])</f>
        <v>0</v>
      </c>
      <c r="X10" s="11">
        <f>SUMIFS(T_Sport[Crunch sur banc],T_Sport[Mois],T_recap[[#This Row],[mois]])</f>
        <v>0</v>
      </c>
      <c r="Y10" s="11">
        <f>SUMIFS(T_Sport[Relevés de genoux],T_Sport[Mois],T_recap[[#This Row],[mois]])</f>
        <v>0</v>
      </c>
      <c r="Z10" s="11">
        <f>SUMIFS(T_Sport[penché avec haltères],T_Sport[Mois],T_recap[[#This Row],[mois]])</f>
        <v>0</v>
      </c>
      <c r="AA10" s="10">
        <f>SUMIFS(T_Sport[abdos],T_Sport[Mois],T_recap[[#This Row],[mois]])</f>
        <v>0</v>
      </c>
      <c r="AB10" s="11">
        <f>SUMIFS(T_Sport[km],T_Sport[Mois],T_recap[[#This Row],[mois]])</f>
        <v>0</v>
      </c>
      <c r="AC10" s="11">
        <f>SUMIFS(T_Sport[[Calories ]],T_Sport[Mois],T_recap[[#This Row],[mois]])</f>
        <v>0</v>
      </c>
      <c r="AD10" s="24">
        <f>SUMIFS(T_Sport[Temps4],T_Sport[Mois],T_recap[[#This Row],[mois]])</f>
        <v>0</v>
      </c>
    </row>
    <row r="11" spans="1:31" x14ac:dyDescent="0.3">
      <c r="A11" s="19" t="s">
        <v>23</v>
      </c>
      <c r="B11" s="14">
        <v>9</v>
      </c>
      <c r="C11" s="16">
        <f>SUMIFS(T_Sport[Kcal],T_Sport[Mois],T_recap[[#This Row],[mois]])</f>
        <v>1054</v>
      </c>
      <c r="D11" s="66">
        <f>SUMIFS(T_Sport[km],T_Sport[Mois],T_recap[[#This Row],[mois]])</f>
        <v>10.3</v>
      </c>
      <c r="E11" s="11">
        <f>SUMIFS(T_Sport[resist],T_Sport[Mois],T_recap[[#This Row],[mois]])</f>
        <v>22</v>
      </c>
      <c r="F11" s="11">
        <f>SUMIFS(T_Sport[km/h],T_Sport[Mois],T_recap[[#This Row],[mois]])</f>
        <v>77.599999999999994</v>
      </c>
      <c r="G11" s="11">
        <f>SUMIFS(T_Sport[rpm2],T_Sport[Mois],T_recap[[#This Row],[mois]])</f>
        <v>0</v>
      </c>
      <c r="H11" s="11">
        <f>SUMIFS(T_Sport[bpm],T_Sport[Mois],T_recap[[#This Row],[mois]])</f>
        <v>0</v>
      </c>
      <c r="I11" s="17">
        <f>SUMIFS(T_Sport[Temps],T_Sport[Mois],T_recap[[#This Row],[mois]])</f>
        <v>0.13888888888888887</v>
      </c>
      <c r="J11" s="11">
        <f>SUMIFS(T_Sport[rowing],T_Sport[Mois],T_recap[[#This Row],[mois]])</f>
        <v>14</v>
      </c>
      <c r="K11" s="11">
        <f>SUMIFS(T_Sport[frontal],T_Sport[Mois],T_recap[[#This Row],[mois]])</f>
        <v>27</v>
      </c>
      <c r="L11" s="11">
        <f>SUMIFS(T_Sport[triceps],T_Sport[Mois],T_recap[[#This Row],[mois]])</f>
        <v>24</v>
      </c>
      <c r="M11" s="11">
        <f>SUMIFS(T_Sport[fentes],T_Sport[Mois],T_recap[[#This Row],[mois]])</f>
        <v>9</v>
      </c>
      <c r="N11" s="11">
        <f>SUMIFS(T_Sport[deadlift],T_Sport[Mois],T_recap[[#This Row],[mois]])</f>
        <v>6</v>
      </c>
      <c r="O11" s="11">
        <f>SUMIFS(T_Sport[biceps],T_Sport[Mois],T_recap[[#This Row],[mois]])</f>
        <v>24</v>
      </c>
      <c r="P11" s="10">
        <f>SUMIFS(T_Sport[laterales],T_Sport[Mois],T_recap[[#This Row],[mois]])</f>
        <v>21</v>
      </c>
      <c r="Q11" s="11">
        <f>SUMIFS(T_Sport[epaules],T_Sport[Mois],T_recap[[#This Row],[mois]])</f>
        <v>21</v>
      </c>
      <c r="R11" s="11">
        <f>SUMIFS(T_Sport[derriere],T_Sport[Mois],T_recap[[#This Row],[mois]])</f>
        <v>3</v>
      </c>
      <c r="S11" s="11">
        <f>SUMIFS(T_Sport[squats],T_Sport[Mois],T_recap[[#This Row],[mois]])</f>
        <v>9</v>
      </c>
      <c r="T11" s="11">
        <f>SUMIFS(T_Sport[couche],T_Sport[Mois],T_recap[[#This Row],[mois]])</f>
        <v>26</v>
      </c>
      <c r="U11" s="11">
        <f>SUMIFS(T_Sport[ecarté],T_Sport[Mois],T_recap[[#This Row],[mois]])</f>
        <v>26</v>
      </c>
      <c r="V11" s="11">
        <f>SUMIFS(T_Sport[incline],T_Sport[Mois],T_recap[[#This Row],[mois]])</f>
        <v>23</v>
      </c>
      <c r="W11" s="11">
        <f>SUMIFS(T_Sport[deadlife triceps der],T_Sport[Mois],T_recap[[#This Row],[mois]])</f>
        <v>0</v>
      </c>
      <c r="X11" s="11">
        <f>SUMIFS(T_Sport[Crunch sur banc],T_Sport[Mois],T_recap[[#This Row],[mois]])</f>
        <v>0</v>
      </c>
      <c r="Y11" s="11">
        <f>SUMIFS(T_Sport[Relevés de genoux],T_Sport[Mois],T_recap[[#This Row],[mois]])</f>
        <v>0</v>
      </c>
      <c r="Z11" s="11">
        <f>SUMIFS(T_Sport[penché avec haltères],T_Sport[Mois],T_recap[[#This Row],[mois]])</f>
        <v>0</v>
      </c>
      <c r="AA11" s="10">
        <f>SUMIFS(T_Sport[abdos],T_Sport[Mois],T_recap[[#This Row],[mois]])</f>
        <v>555</v>
      </c>
      <c r="AB11" s="11">
        <f>SUMIFS(T_Sport[km],T_Sport[Mois],T_recap[[#This Row],[mois]])</f>
        <v>10.3</v>
      </c>
      <c r="AC11" s="11">
        <f>SUMIFS(T_Sport[[Calories ]],T_Sport[Mois],T_recap[[#This Row],[mois]])</f>
        <v>8639</v>
      </c>
      <c r="AD11" s="24">
        <f>SUMIFS(T_Sport[Temps4],T_Sport[Mois],T_recap[[#This Row],[mois]])</f>
        <v>1.1944444444444444</v>
      </c>
    </row>
    <row r="12" spans="1:31" ht="15" thickBot="1" x14ac:dyDescent="0.35">
      <c r="A12" s="19" t="s">
        <v>24</v>
      </c>
      <c r="B12" s="15">
        <v>10</v>
      </c>
      <c r="C12" s="16">
        <f>SUMIFS(T_Sport[Kcal],T_Sport[Mois],T_recap[[#This Row],[mois]])</f>
        <v>0</v>
      </c>
      <c r="D12" s="66">
        <f>SUMIFS(T_Sport[km],T_Sport[Mois],T_recap[[#This Row],[mois]])</f>
        <v>0</v>
      </c>
      <c r="E12" s="11">
        <f>SUMIFS(T_Sport[resist],T_Sport[Mois],T_recap[[#This Row],[mois]])</f>
        <v>0</v>
      </c>
      <c r="F12" s="11">
        <f>SUMIFS(T_Sport[km/h],T_Sport[Mois],T_recap[[#This Row],[mois]])</f>
        <v>0</v>
      </c>
      <c r="G12" s="11">
        <f>SUMIFS(T_Sport[rpm2],T_Sport[Mois],T_recap[[#This Row],[mois]])</f>
        <v>0</v>
      </c>
      <c r="H12" s="11">
        <f>SUMIFS(T_Sport[bpm],T_Sport[Mois],T_recap[[#This Row],[mois]])</f>
        <v>0</v>
      </c>
      <c r="I12" s="17">
        <f>SUMIFS(T_Sport[Temps],T_Sport[Mois],T_recap[[#This Row],[mois]])</f>
        <v>0</v>
      </c>
      <c r="J12" s="11">
        <f>SUMIFS(T_Sport[rowing],T_Sport[Mois],T_recap[[#This Row],[mois]])</f>
        <v>0</v>
      </c>
      <c r="K12" s="11">
        <f>SUMIFS(T_Sport[frontal],T_Sport[Mois],T_recap[[#This Row],[mois]])</f>
        <v>0</v>
      </c>
      <c r="L12" s="11">
        <f>SUMIFS(T_Sport[triceps],T_Sport[Mois],T_recap[[#This Row],[mois]])</f>
        <v>0</v>
      </c>
      <c r="M12" s="11">
        <f>SUMIFS(T_Sport[fentes],T_Sport[Mois],T_recap[[#This Row],[mois]])</f>
        <v>0</v>
      </c>
      <c r="N12" s="11">
        <f>SUMIFS(T_Sport[deadlift],T_Sport[Mois],T_recap[[#This Row],[mois]])</f>
        <v>0</v>
      </c>
      <c r="O12" s="11">
        <f>SUMIFS(T_Sport[biceps],T_Sport[Mois],T_recap[[#This Row],[mois]])</f>
        <v>0</v>
      </c>
      <c r="P12" s="10">
        <f>SUMIFS(T_Sport[laterales],T_Sport[Mois],T_recap[[#This Row],[mois]])</f>
        <v>0</v>
      </c>
      <c r="Q12" s="11">
        <f>SUMIFS(T_Sport[epaules],T_Sport[Mois],T_recap[[#This Row],[mois]])</f>
        <v>0</v>
      </c>
      <c r="R12" s="11">
        <f>SUMIFS(T_Sport[derriere],T_Sport[Mois],T_recap[[#This Row],[mois]])</f>
        <v>0</v>
      </c>
      <c r="S12" s="11">
        <f>SUMIFS(T_Sport[squats],T_Sport[Mois],T_recap[[#This Row],[mois]])</f>
        <v>0</v>
      </c>
      <c r="T12" s="11">
        <f>SUMIFS(T_Sport[couche],T_Sport[Mois],T_recap[[#This Row],[mois]])</f>
        <v>0</v>
      </c>
      <c r="U12" s="11">
        <f>SUMIFS(T_Sport[ecarté],T_Sport[Mois],T_recap[[#This Row],[mois]])</f>
        <v>0</v>
      </c>
      <c r="V12" s="11">
        <f>SUMIFS(T_Sport[incline],T_Sport[Mois],T_recap[[#This Row],[mois]])</f>
        <v>0</v>
      </c>
      <c r="W12" s="11">
        <f>SUMIFS(T_Sport[deadlife triceps der],T_Sport[Mois],T_recap[[#This Row],[mois]])</f>
        <v>0</v>
      </c>
      <c r="X12" s="11">
        <f>SUMIFS(T_Sport[Crunch sur banc],T_Sport[Mois],T_recap[[#This Row],[mois]])</f>
        <v>0</v>
      </c>
      <c r="Y12" s="11">
        <f>SUMIFS(T_Sport[Relevés de genoux],T_Sport[Mois],T_recap[[#This Row],[mois]])</f>
        <v>0</v>
      </c>
      <c r="Z12" s="11">
        <f>SUMIFS(T_Sport[penché avec haltères],T_Sport[Mois],T_recap[[#This Row],[mois]])</f>
        <v>0</v>
      </c>
      <c r="AA12" s="10">
        <f>SUMIFS(T_Sport[abdos],T_Sport[Mois],T_recap[[#This Row],[mois]])</f>
        <v>0</v>
      </c>
      <c r="AB12" s="11">
        <f>SUMIFS(T_Sport[km],T_Sport[Mois],T_recap[[#This Row],[mois]])</f>
        <v>0</v>
      </c>
      <c r="AC12" s="11">
        <f>SUMIFS(T_Sport[[Calories ]],T_Sport[Mois],T_recap[[#This Row],[mois]])</f>
        <v>727</v>
      </c>
      <c r="AD12" s="24">
        <f>SUMIFS(T_Sport[Temps4],T_Sport[Mois],T_recap[[#This Row],[mois]])</f>
        <v>8.1250000000000003E-2</v>
      </c>
    </row>
    <row r="13" spans="1:31" x14ac:dyDescent="0.3">
      <c r="A13" s="19" t="s">
        <v>25</v>
      </c>
      <c r="B13" s="14">
        <v>11</v>
      </c>
      <c r="C13" s="16">
        <f>SUMIFS(T_Sport[Kcal],T_Sport[Mois],T_recap[[#This Row],[mois]])</f>
        <v>0</v>
      </c>
      <c r="D13" s="66">
        <f>SUMIFS(T_Sport[km],T_Sport[Mois],T_recap[[#This Row],[mois]])</f>
        <v>0</v>
      </c>
      <c r="E13" s="11">
        <f>SUMIFS(T_Sport[resist],T_Sport[Mois],T_recap[[#This Row],[mois]])</f>
        <v>0</v>
      </c>
      <c r="F13" s="11">
        <f>SUMIFS(T_Sport[km/h],T_Sport[Mois],T_recap[[#This Row],[mois]])</f>
        <v>0</v>
      </c>
      <c r="G13" s="11">
        <f>SUMIFS(T_Sport[rpm2],T_Sport[Mois],T_recap[[#This Row],[mois]])</f>
        <v>0</v>
      </c>
      <c r="H13" s="11">
        <f>SUMIFS(T_Sport[bpm],T_Sport[Mois],T_recap[[#This Row],[mois]])</f>
        <v>0</v>
      </c>
      <c r="I13" s="17">
        <f>SUMIFS(T_Sport[Temps],T_Sport[Mois],T_recap[[#This Row],[mois]])</f>
        <v>0</v>
      </c>
      <c r="J13" s="11">
        <f>SUMIFS(T_Sport[rowing],T_Sport[Mois],T_recap[[#This Row],[mois]])</f>
        <v>0</v>
      </c>
      <c r="K13" s="11">
        <f>SUMIFS(T_Sport[frontal],T_Sport[Mois],T_recap[[#This Row],[mois]])</f>
        <v>0</v>
      </c>
      <c r="L13" s="11">
        <f>SUMIFS(T_Sport[triceps],T_Sport[Mois],T_recap[[#This Row],[mois]])</f>
        <v>0</v>
      </c>
      <c r="M13" s="11">
        <f>SUMIFS(T_Sport[fentes],T_Sport[Mois],T_recap[[#This Row],[mois]])</f>
        <v>0</v>
      </c>
      <c r="N13" s="11">
        <f>SUMIFS(T_Sport[deadlift],T_Sport[Mois],T_recap[[#This Row],[mois]])</f>
        <v>0</v>
      </c>
      <c r="O13" s="11">
        <f>SUMIFS(T_Sport[biceps],T_Sport[Mois],T_recap[[#This Row],[mois]])</f>
        <v>0</v>
      </c>
      <c r="P13" s="10">
        <f>SUMIFS(T_Sport[laterales],T_Sport[Mois],T_recap[[#This Row],[mois]])</f>
        <v>0</v>
      </c>
      <c r="Q13" s="11">
        <f>SUMIFS(T_Sport[epaules],T_Sport[Mois],T_recap[[#This Row],[mois]])</f>
        <v>0</v>
      </c>
      <c r="R13" s="11">
        <f>SUMIFS(T_Sport[derriere],T_Sport[Mois],T_recap[[#This Row],[mois]])</f>
        <v>0</v>
      </c>
      <c r="S13" s="11">
        <f>SUMIFS(T_Sport[squats],T_Sport[Mois],T_recap[[#This Row],[mois]])</f>
        <v>0</v>
      </c>
      <c r="T13" s="11">
        <f>SUMIFS(T_Sport[couche],T_Sport[Mois],T_recap[[#This Row],[mois]])</f>
        <v>0</v>
      </c>
      <c r="U13" s="11">
        <f>SUMIFS(T_Sport[ecarté],T_Sport[Mois],T_recap[[#This Row],[mois]])</f>
        <v>0</v>
      </c>
      <c r="V13" s="11">
        <f>SUMIFS(T_Sport[incline],T_Sport[Mois],T_recap[[#This Row],[mois]])</f>
        <v>0</v>
      </c>
      <c r="W13" s="11">
        <f>SUMIFS(T_Sport[deadlife triceps der],T_Sport[Mois],T_recap[[#This Row],[mois]])</f>
        <v>0</v>
      </c>
      <c r="X13" s="11">
        <f>SUMIFS(T_Sport[Crunch sur banc],T_Sport[Mois],T_recap[[#This Row],[mois]])</f>
        <v>0</v>
      </c>
      <c r="Y13" s="11">
        <f>SUMIFS(T_Sport[Relevés de genoux],T_Sport[Mois],T_recap[[#This Row],[mois]])</f>
        <v>0</v>
      </c>
      <c r="Z13" s="11">
        <f>SUMIFS(T_Sport[penché avec haltères],T_Sport[Mois],T_recap[[#This Row],[mois]])</f>
        <v>0</v>
      </c>
      <c r="AA13" s="10">
        <f>SUMIFS(T_Sport[abdos],T_Sport[Mois],T_recap[[#This Row],[mois]])</f>
        <v>0</v>
      </c>
      <c r="AB13" s="11">
        <f>SUMIFS(T_Sport[km],T_Sport[Mois],T_recap[[#This Row],[mois]])</f>
        <v>0</v>
      </c>
      <c r="AC13" s="11">
        <f>SUMIFS(T_Sport[[Calories ]],T_Sport[Mois],T_recap[[#This Row],[mois]])</f>
        <v>0</v>
      </c>
      <c r="AD13" s="24">
        <f>SUMIFS(T_Sport[Temps4],T_Sport[Mois],T_recap[[#This Row],[mois]])</f>
        <v>0</v>
      </c>
    </row>
    <row r="14" spans="1:31" x14ac:dyDescent="0.3">
      <c r="A14" s="20" t="s">
        <v>26</v>
      </c>
      <c r="B14" s="15">
        <v>12</v>
      </c>
      <c r="C14" s="16">
        <f>SUMIFS(T_Sport[Kcal],T_Sport[Mois],T_recap[[#This Row],[mois]])</f>
        <v>0</v>
      </c>
      <c r="D14" s="66">
        <f>SUMIFS(T_Sport[km],T_Sport[Mois],T_recap[[#This Row],[mois]])</f>
        <v>0</v>
      </c>
      <c r="E14" s="11">
        <f>SUMIFS(T_Sport[resist],T_Sport[Mois],T_recap[[#This Row],[mois]])</f>
        <v>0</v>
      </c>
      <c r="F14" s="11">
        <f>SUMIFS(T_Sport[km/h],T_Sport[Mois],T_recap[[#This Row],[mois]])</f>
        <v>0</v>
      </c>
      <c r="G14" s="11">
        <f>SUMIFS(T_Sport[rpm2],T_Sport[Mois],T_recap[[#This Row],[mois]])</f>
        <v>0</v>
      </c>
      <c r="H14" s="11">
        <f>SUMIFS(T_Sport[bpm],T_Sport[Mois],T_recap[[#This Row],[mois]])</f>
        <v>0</v>
      </c>
      <c r="I14" s="17">
        <f>SUMIFS(T_Sport[Temps],T_Sport[Mois],T_recap[[#This Row],[mois]])</f>
        <v>0</v>
      </c>
      <c r="J14" s="11">
        <f>SUMIFS(T_Sport[rowing],T_Sport[Mois],T_recap[[#This Row],[mois]])</f>
        <v>0</v>
      </c>
      <c r="K14" s="11">
        <f>SUMIFS(T_Sport[frontal],T_Sport[Mois],T_recap[[#This Row],[mois]])</f>
        <v>0</v>
      </c>
      <c r="L14" s="11">
        <f>SUMIFS(T_Sport[triceps],T_Sport[Mois],T_recap[[#This Row],[mois]])</f>
        <v>0</v>
      </c>
      <c r="M14" s="11">
        <f>SUMIFS(T_Sport[fentes],T_Sport[Mois],T_recap[[#This Row],[mois]])</f>
        <v>0</v>
      </c>
      <c r="N14" s="11">
        <f>SUMIFS(T_Sport[deadlift],T_Sport[Mois],T_recap[[#This Row],[mois]])</f>
        <v>0</v>
      </c>
      <c r="O14" s="11">
        <f>SUMIFS(T_Sport[biceps],T_Sport[Mois],T_recap[[#This Row],[mois]])</f>
        <v>0</v>
      </c>
      <c r="P14" s="10">
        <f>SUMIFS(T_Sport[laterales],T_Sport[Mois],T_recap[[#This Row],[mois]])</f>
        <v>0</v>
      </c>
      <c r="Q14" s="11">
        <f>SUMIFS(T_Sport[epaules],T_Sport[Mois],T_recap[[#This Row],[mois]])</f>
        <v>0</v>
      </c>
      <c r="R14" s="11">
        <f>SUMIFS(T_Sport[derriere],T_Sport[Mois],T_recap[[#This Row],[mois]])</f>
        <v>0</v>
      </c>
      <c r="S14" s="11">
        <f>SUMIFS(T_Sport[squats],T_Sport[Mois],T_recap[[#This Row],[mois]])</f>
        <v>0</v>
      </c>
      <c r="T14" s="11">
        <f>SUMIFS(T_Sport[couche],T_Sport[Mois],T_recap[[#This Row],[mois]])</f>
        <v>0</v>
      </c>
      <c r="U14" s="11">
        <f>SUMIFS(T_Sport[ecarté],T_Sport[Mois],T_recap[[#This Row],[mois]])</f>
        <v>0</v>
      </c>
      <c r="V14" s="11">
        <f>SUMIFS(T_Sport[incline],T_Sport[Mois],T_recap[[#This Row],[mois]])</f>
        <v>0</v>
      </c>
      <c r="W14" s="11">
        <f>SUMIFS(T_Sport[deadlife triceps der],T_Sport[Mois],T_recap[[#This Row],[mois]])</f>
        <v>0</v>
      </c>
      <c r="X14" s="11">
        <f>SUMIFS(T_Sport[Crunch sur banc],T_Sport[Mois],T_recap[[#This Row],[mois]])</f>
        <v>0</v>
      </c>
      <c r="Y14" s="11">
        <f>SUMIFS(T_Sport[Relevés de genoux],T_Sport[Mois],T_recap[[#This Row],[mois]])</f>
        <v>0</v>
      </c>
      <c r="Z14" s="11">
        <f>SUMIFS(T_Sport[penché avec haltères],T_Sport[Mois],T_recap[[#This Row],[mois]])</f>
        <v>0</v>
      </c>
      <c r="AA14" s="10">
        <f>SUMIFS(T_Sport[abdos],T_Sport[Mois],T_recap[[#This Row],[mois]])</f>
        <v>0</v>
      </c>
      <c r="AB14" s="11">
        <f>SUMIFS(T_Sport[km],T_Sport[Mois],T_recap[[#This Row],[mois]])</f>
        <v>0</v>
      </c>
      <c r="AC14" s="11">
        <f>SUMIFS(T_Sport[[Calories ]],T_Sport[Mois],T_recap[[#This Row],[mois]])</f>
        <v>0</v>
      </c>
      <c r="AD14" s="24">
        <f>SUMIFS(T_Sport[Temps4],T_Sport[Mois],T_recap[[#This Row],[mois]])</f>
        <v>0</v>
      </c>
    </row>
    <row r="15" spans="1:31" s="10" customFormat="1" x14ac:dyDescent="0.3">
      <c r="B15" s="26"/>
      <c r="C15" s="10">
        <f>SUMIFS(T_Sport[Kcal],T_Sport[Mois],T_recap[[#This Row],[mois]])</f>
        <v>0</v>
      </c>
      <c r="D15" s="66">
        <f>SUMIFS(T_Sport[km],T_Sport[Mois],T_recap[[#This Row],[mois]])</f>
        <v>0</v>
      </c>
      <c r="E15" s="10">
        <f>SUMIFS(T_Sport[resist],T_Sport[Mois],T_recap[[#This Row],[mois]])</f>
        <v>0</v>
      </c>
      <c r="F15" s="10">
        <f>SUMIFS(T_Sport[km/h],T_Sport[Mois],T_recap[[#This Row],[mois]])</f>
        <v>0</v>
      </c>
      <c r="G15" s="10">
        <f>SUMIFS(T_Sport[rpm2],T_Sport[Mois],T_recap[[#This Row],[mois]])</f>
        <v>0</v>
      </c>
      <c r="H15" s="10">
        <f>SUMIFS(T_Sport[bpm],T_Sport[Mois],T_recap[[#This Row],[mois]])</f>
        <v>0</v>
      </c>
      <c r="I15" s="17">
        <f>SUMIFS(T_Sport[Temps],T_Sport[Mois],T_recap[[#This Row],[mois]])</f>
        <v>0</v>
      </c>
      <c r="J15" s="11">
        <f>SUMIFS(T_Sport[rowing],T_Sport[Mois],T_recap[[#This Row],[mois]])</f>
        <v>0</v>
      </c>
      <c r="K15" s="11">
        <f>SUMIFS(T_Sport[frontal],T_Sport[Mois],T_recap[[#This Row],[mois]])</f>
        <v>0</v>
      </c>
      <c r="L15" s="11">
        <f>SUMIFS(T_Sport[triceps],T_Sport[Mois],T_recap[[#This Row],[mois]])</f>
        <v>0</v>
      </c>
      <c r="M15" s="11">
        <f>SUMIFS(T_Sport[fentes],T_Sport[Mois],T_recap[[#This Row],[mois]])</f>
        <v>0</v>
      </c>
      <c r="N15" s="11">
        <f>SUMIFS(T_Sport[deadlift],T_Sport[Mois],T_recap[[#This Row],[mois]])</f>
        <v>0</v>
      </c>
      <c r="O15" s="11">
        <f>SUMIFS(T_Sport[biceps],T_Sport[Mois],T_recap[[#This Row],[mois]])</f>
        <v>0</v>
      </c>
      <c r="P15" s="10">
        <f>SUMIFS(T_Sport[laterales],T_Sport[Mois],T_recap[[#This Row],[mois]])</f>
        <v>0</v>
      </c>
      <c r="Q15" s="11">
        <f>SUMIFS(T_Sport[epaules],T_Sport[Mois],T_recap[[#This Row],[mois]])</f>
        <v>0</v>
      </c>
      <c r="R15" s="11">
        <f>SUMIFS(T_Sport[derriere],T_Sport[Mois],T_recap[[#This Row],[mois]])</f>
        <v>0</v>
      </c>
      <c r="S15" s="11">
        <f>SUMIFS(T_Sport[squats],T_Sport[Mois],T_recap[[#This Row],[mois]])</f>
        <v>0</v>
      </c>
      <c r="T15" s="11">
        <f>SUMIFS(T_Sport[couche],T_Sport[Mois],T_recap[[#This Row],[mois]])</f>
        <v>0</v>
      </c>
      <c r="U15" s="11">
        <f>SUMIFS(T_Sport[ecarté],T_Sport[Mois],T_recap[[#This Row],[mois]])</f>
        <v>0</v>
      </c>
      <c r="V15" s="11">
        <f>SUMIFS(T_Sport[incline],T_Sport[Mois],T_recap[[#This Row],[mois]])</f>
        <v>0</v>
      </c>
      <c r="W15" s="11">
        <f>SUMIFS(T_Sport[deadlife triceps der],T_Sport[Mois],T_recap[[#This Row],[mois]])</f>
        <v>0</v>
      </c>
      <c r="X15" s="11">
        <f>SUMIFS(T_Sport[Crunch sur banc],T_Sport[Mois],T_recap[[#This Row],[mois]])</f>
        <v>0</v>
      </c>
      <c r="Y15" s="11">
        <f>SUMIFS(T_Sport[Relevés de genoux],T_Sport[Mois],T_recap[[#This Row],[mois]])</f>
        <v>0</v>
      </c>
      <c r="Z15" s="11">
        <f>SUMIFS(T_Sport[penché avec haltères],T_Sport[Mois],T_recap[[#This Row],[mois]])</f>
        <v>0</v>
      </c>
      <c r="AA15" s="10">
        <f>SUMIFS(T_Sport[abdos],T_Sport[Mois],T_recap[[#This Row],[mois]])</f>
        <v>0</v>
      </c>
      <c r="AB15" s="10">
        <f>SUMIFS(T_Sport[km],T_Sport[Mois],T_recap[[#This Row],[mois]])</f>
        <v>0</v>
      </c>
      <c r="AC15" s="10">
        <f>SUMIFS(T_Sport[[Calories ]],T_Sport[Mois],T_recap[[#This Row],[mois]])</f>
        <v>0</v>
      </c>
      <c r="AD15" s="24">
        <f>SUMIFS(T_Sport[Temps4],T_Sport[Mois],T_recap[[#This Row],[mois]])</f>
        <v>0</v>
      </c>
    </row>
    <row r="16" spans="1:31" x14ac:dyDescent="0.3">
      <c r="A16" t="s">
        <v>72</v>
      </c>
      <c r="C16" s="11">
        <f>SUBTOTAL(109,T_recap[Kcal])</f>
        <v>1054</v>
      </c>
      <c r="D16" s="66">
        <f>SUBTOTAL(109,T_recap[km])</f>
        <v>10.3</v>
      </c>
      <c r="E16" s="11">
        <f>SUBTOTAL(109,T_recap[resist])</f>
        <v>22</v>
      </c>
      <c r="F16" s="12">
        <f>SUBTOTAL(109,T_recap[km/h])</f>
        <v>77.599999999999994</v>
      </c>
      <c r="G16" s="12">
        <f>SUBTOTAL(109,T_recap[rpm])</f>
        <v>0</v>
      </c>
      <c r="H16" s="12">
        <f>SUBTOTAL(109,T_recap[bpm])</f>
        <v>0</v>
      </c>
      <c r="I16" s="13">
        <f>SUBTOTAL(109,T_recap[Temps])</f>
        <v>0.13888888888888887</v>
      </c>
      <c r="J16" s="11">
        <f>SUBTOTAL(109,T_recap[rowing])</f>
        <v>14</v>
      </c>
      <c r="K16" s="11">
        <f>SUBTOTAL(109,T_recap[frontal])</f>
        <v>27</v>
      </c>
      <c r="L16" s="11">
        <f>SUBTOTAL(109,T_recap[triceps])</f>
        <v>24</v>
      </c>
      <c r="M16" s="11">
        <f>SUBTOTAL(109,T_recap[fentes])</f>
        <v>9</v>
      </c>
      <c r="N16" s="11">
        <f>SUBTOTAL(109,T_recap[deadlift])</f>
        <v>6</v>
      </c>
      <c r="O16" s="11">
        <f>SUBTOTAL(109,T_recap[biceps])</f>
        <v>24</v>
      </c>
      <c r="P16" s="11">
        <f>SUBTOTAL(109,T_recap[laterale])</f>
        <v>21</v>
      </c>
      <c r="Q16" s="11">
        <f>SUBTOTAL(109,T_recap[epaules])</f>
        <v>21</v>
      </c>
      <c r="R16" s="11">
        <f>SUBTOTAL(109,T_recap[derriere])</f>
        <v>3</v>
      </c>
      <c r="S16" s="11">
        <f>SUBTOTAL(109,T_recap[squats])</f>
        <v>9</v>
      </c>
      <c r="T16" s="11">
        <f>SUBTOTAL(109,T_recap[couche])</f>
        <v>26</v>
      </c>
      <c r="U16" s="11">
        <f>SUBTOTAL(109,T_recap[ecarté])</f>
        <v>26</v>
      </c>
      <c r="V16" s="11">
        <f>SUBTOTAL(109,T_recap[incline])</f>
        <v>23</v>
      </c>
      <c r="W16" s="11">
        <f>SUBTOTAL(109,T_recap[deadlife triceps der])</f>
        <v>0</v>
      </c>
      <c r="X16" s="11">
        <f>SUBTOTAL(109,T_recap[Crunch sur banc])</f>
        <v>0</v>
      </c>
      <c r="Y16" s="11">
        <f>SUBTOTAL(109,T_recap[Relevés de genoux])</f>
        <v>0</v>
      </c>
      <c r="Z16" s="11">
        <f>SUBTOTAL(109,T_recap[penché avec haltères])</f>
        <v>0</v>
      </c>
      <c r="AA16" s="11">
        <f>SUBTOTAL(109,T_recap[abdos])</f>
        <v>555</v>
      </c>
      <c r="AB16" s="11">
        <f>SUBTOTAL(109,T_recap[[Km ]])</f>
        <v>10.3</v>
      </c>
      <c r="AC16" s="11">
        <f>SUBTOTAL(109,T_recap[[Calories ]])</f>
        <v>9366</v>
      </c>
      <c r="AD16" s="25">
        <f>SUBTOTAL(109,T_recap[Temps6])</f>
        <v>1.2756944444444445</v>
      </c>
    </row>
    <row r="17" spans="1:30" x14ac:dyDescent="0.3">
      <c r="A17" s="31" t="s">
        <v>27</v>
      </c>
      <c r="B17" s="32"/>
      <c r="C17" s="33">
        <f>T_recap[[#Totals],[Kcal]]</f>
        <v>1054</v>
      </c>
      <c r="D17" s="34">
        <f>T_recap[[#Totals],[km]]</f>
        <v>10.3</v>
      </c>
      <c r="E17" s="33">
        <f>T_recap[[#Totals],[resist]]</f>
        <v>22</v>
      </c>
      <c r="F17" s="33">
        <f>T_recap[[#Totals],[km/h]]</f>
        <v>77.599999999999994</v>
      </c>
      <c r="G17" s="33">
        <f>T_recap[[#Totals],[rpm]]</f>
        <v>0</v>
      </c>
      <c r="H17" s="33">
        <f>T_recap[[#Totals],[bpm]]</f>
        <v>0</v>
      </c>
      <c r="I17" s="35">
        <f>T_recap[[#Totals],[Temps]]</f>
        <v>0.13888888888888887</v>
      </c>
      <c r="J17" s="33">
        <f>T_recap[[#Totals],[rowing]]*12</f>
        <v>168</v>
      </c>
      <c r="K17" s="33">
        <f>T_recap[[#Totals],[frontal]]*12</f>
        <v>324</v>
      </c>
      <c r="L17" s="33">
        <f>T_recap[[#Totals],[triceps]]*12</f>
        <v>288</v>
      </c>
      <c r="M17" s="33">
        <f>T_recap[[#Totals],[fentes]]*12</f>
        <v>108</v>
      </c>
      <c r="N17" s="33">
        <f>T_recap[[#Totals],[deadlift]]*12</f>
        <v>72</v>
      </c>
      <c r="O17" s="33">
        <f>T_recap[[#Totals],[biceps]]*12</f>
        <v>288</v>
      </c>
      <c r="P17" s="33">
        <f>T_recap[[#Totals],[laterale]]*12</f>
        <v>252</v>
      </c>
      <c r="Q17" s="33">
        <f>T_recap[[#Totals],[epaules]]*12</f>
        <v>252</v>
      </c>
      <c r="R17" s="33">
        <f>T_recap[[#Totals],[derriere]]*12</f>
        <v>36</v>
      </c>
      <c r="S17" s="33">
        <f>T_recap[[#Totals],[squats]]*12</f>
        <v>108</v>
      </c>
      <c r="T17" s="33">
        <f>T_recap[[#Totals],[couche]]*12</f>
        <v>312</v>
      </c>
      <c r="U17" s="33">
        <f>T_recap[[#Totals],[ecarté]]*12</f>
        <v>312</v>
      </c>
      <c r="V17" s="33">
        <f>T_recap[[#Totals],[incline]]*12</f>
        <v>276</v>
      </c>
      <c r="W17" s="33">
        <f>T_recap[[#Totals],[deadlife triceps der]]*12</f>
        <v>0</v>
      </c>
      <c r="X17" s="33">
        <f>T_recap[[#Totals],[Crunch sur banc]]*12</f>
        <v>0</v>
      </c>
      <c r="Y17" s="33">
        <f>T_recap[[#Totals],[Relevés de genoux]]*12</f>
        <v>0</v>
      </c>
      <c r="Z17" s="33">
        <f>T_recap[[#Totals],[penché avec haltères]]*12</f>
        <v>0</v>
      </c>
      <c r="AA17" s="33">
        <f>T_recap[[#Totals],[abdos]]</f>
        <v>555</v>
      </c>
      <c r="AB17" s="34">
        <f>T_recap[[#Totals],[Km ]]</f>
        <v>10.3</v>
      </c>
      <c r="AC17" s="33">
        <f>T_recap[[#Totals],[Calories ]]</f>
        <v>9366</v>
      </c>
      <c r="AD17" s="65">
        <f>T_recap[[#Totals],[Temps6]]</f>
        <v>1.2756944444444445</v>
      </c>
    </row>
  </sheetData>
  <mergeCells count="3">
    <mergeCell ref="A1:I1"/>
    <mergeCell ref="AB1:AD1"/>
    <mergeCell ref="J1:AA1"/>
  </mergeCells>
  <phoneticPr fontId="7" type="noConversion"/>
  <conditionalFormatting sqref="A3:AD15">
    <cfRule type="expression" dxfId="91" priority="1">
      <formula>$A3=TEXT(TODAY(),"mmmm")</formula>
    </cfRule>
  </conditionalFormatting>
  <pageMargins left="0.7" right="0.7" top="0.75" bottom="0.75" header="0.3" footer="0.3"/>
  <pageSetup paperSize="9" orientation="portrait" horizontalDpi="4294967292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 2026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HENRI</cp:lastModifiedBy>
  <dcterms:created xsi:type="dcterms:W3CDTF">2024-08-14T08:55:22Z</dcterms:created>
  <dcterms:modified xsi:type="dcterms:W3CDTF">2026-10-02T14:27:23Z</dcterms:modified>
</cp:coreProperties>
</file>