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-120" yWindow="-120" windowWidth="19440" windowHeight="15600" tabRatio="868"/>
  </bookViews>
  <sheets>
    <sheet name="Base" sheetId="1" r:id="rId1"/>
    <sheet name="Recap 2026" sheetId="7" r:id="rId2"/>
  </sheets>
  <functionGroups builtInGroupCount="17"/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6" i="7" l="1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K25" i="1"/>
  <c r="L25" i="1"/>
  <c r="M25" i="1"/>
  <c r="N25" i="1"/>
  <c r="O25" i="1"/>
  <c r="P25" i="1"/>
  <c r="Q25" i="1"/>
  <c r="R25" i="1"/>
  <c r="S25" i="1"/>
  <c r="T25" i="1"/>
  <c r="U25" i="1"/>
  <c r="J25" i="1"/>
  <c r="I25" i="1"/>
  <c r="Z25" i="1"/>
  <c r="D25" i="1"/>
  <c r="F25" i="1"/>
  <c r="E25" i="1"/>
  <c r="G25" i="1"/>
  <c r="AB25" i="1"/>
  <c r="AA25" i="1"/>
  <c r="AC25" i="1"/>
  <c r="H25" i="1"/>
  <c r="C25" i="1"/>
  <c r="B25" i="1"/>
  <c r="I5" i="7" l="1"/>
  <c r="Z6" i="7"/>
  <c r="Z12" i="7"/>
  <c r="I4" i="7"/>
  <c r="I6" i="7"/>
  <c r="I8" i="7"/>
  <c r="I10" i="7"/>
  <c r="I12" i="7"/>
  <c r="I14" i="7"/>
  <c r="Z5" i="7"/>
  <c r="Z7" i="7"/>
  <c r="Z9" i="7"/>
  <c r="Z11" i="7"/>
  <c r="Z13" i="7"/>
  <c r="I7" i="7"/>
  <c r="I9" i="7"/>
  <c r="I11" i="7"/>
  <c r="I13" i="7"/>
  <c r="Z4" i="7"/>
  <c r="Z8" i="7"/>
  <c r="Z10" i="7"/>
  <c r="Z14" i="7"/>
  <c r="Y4" i="7"/>
  <c r="C3" i="7"/>
  <c r="D13" i="7"/>
  <c r="D12" i="7"/>
  <c r="D11" i="7"/>
  <c r="D10" i="7"/>
  <c r="D9" i="7"/>
  <c r="D8" i="7"/>
  <c r="D7" i="7"/>
  <c r="D6" i="7"/>
  <c r="D5" i="7"/>
  <c r="D4" i="7"/>
  <c r="D14" i="7"/>
  <c r="E3" i="7"/>
  <c r="G3" i="7"/>
  <c r="I3" i="7"/>
  <c r="H14" i="7"/>
  <c r="F14" i="7"/>
  <c r="G13" i="7"/>
  <c r="E13" i="7"/>
  <c r="H12" i="7"/>
  <c r="F12" i="7"/>
  <c r="G11" i="7"/>
  <c r="E11" i="7"/>
  <c r="H10" i="7"/>
  <c r="F10" i="7"/>
  <c r="G9" i="7"/>
  <c r="E9" i="7"/>
  <c r="H8" i="7"/>
  <c r="F8" i="7"/>
  <c r="G7" i="7"/>
  <c r="E7" i="7"/>
  <c r="H6" i="7"/>
  <c r="F6" i="7"/>
  <c r="G5" i="7"/>
  <c r="E5" i="7"/>
  <c r="H4" i="7"/>
  <c r="F4" i="7"/>
  <c r="Y3" i="7"/>
  <c r="X14" i="7"/>
  <c r="Y13" i="7"/>
  <c r="X12" i="7"/>
  <c r="Y11" i="7"/>
  <c r="X10" i="7"/>
  <c r="Y9" i="7"/>
  <c r="X8" i="7"/>
  <c r="Y7" i="7"/>
  <c r="X6" i="7"/>
  <c r="Y5" i="7"/>
  <c r="X4" i="7"/>
  <c r="D3" i="7"/>
  <c r="C13" i="7"/>
  <c r="C12" i="7"/>
  <c r="C11" i="7"/>
  <c r="C10" i="7"/>
  <c r="C9" i="7"/>
  <c r="C8" i="7"/>
  <c r="C7" i="7"/>
  <c r="C6" i="7"/>
  <c r="C5" i="7"/>
  <c r="C4" i="7"/>
  <c r="C15" i="7" s="1"/>
  <c r="C16" i="7" s="1"/>
  <c r="C14" i="7"/>
  <c r="F3" i="7"/>
  <c r="H3" i="7"/>
  <c r="G14" i="7"/>
  <c r="E14" i="7"/>
  <c r="H13" i="7"/>
  <c r="F13" i="7"/>
  <c r="G12" i="7"/>
  <c r="E12" i="7"/>
  <c r="H11" i="7"/>
  <c r="F11" i="7"/>
  <c r="G10" i="7"/>
  <c r="E10" i="7"/>
  <c r="H9" i="7"/>
  <c r="F9" i="7"/>
  <c r="G8" i="7"/>
  <c r="E8" i="7"/>
  <c r="H7" i="7"/>
  <c r="F7" i="7"/>
  <c r="G6" i="7"/>
  <c r="E6" i="7"/>
  <c r="H5" i="7"/>
  <c r="H15" i="7" s="1"/>
  <c r="H16" i="7" s="1"/>
  <c r="F5" i="7"/>
  <c r="G4" i="7"/>
  <c r="E4" i="7"/>
  <c r="X3" i="7"/>
  <c r="Z3" i="7"/>
  <c r="Y14" i="7"/>
  <c r="X13" i="7"/>
  <c r="Y12" i="7"/>
  <c r="X11" i="7"/>
  <c r="Y10" i="7"/>
  <c r="X9" i="7"/>
  <c r="Y8" i="7"/>
  <c r="X7" i="7"/>
  <c r="Y6" i="7"/>
  <c r="X5" i="7"/>
  <c r="D15" i="7"/>
  <c r="D16" i="7" s="1"/>
  <c r="F15" i="7" l="1"/>
  <c r="F16" i="7" s="1"/>
  <c r="Z15" i="7"/>
  <c r="Z16" i="7" s="1"/>
  <c r="X15" i="7"/>
  <c r="X16" i="7" s="1"/>
  <c r="Y15" i="7"/>
  <c r="Y16" i="7" s="1"/>
  <c r="I15" i="7"/>
  <c r="I16" i="7" s="1"/>
  <c r="G15" i="7"/>
  <c r="G16" i="7" s="1"/>
  <c r="E15" i="7"/>
  <c r="E16" i="7" s="1"/>
</calcChain>
</file>

<file path=xl/sharedStrings.xml><?xml version="1.0" encoding="utf-8"?>
<sst xmlns="http://schemas.openxmlformats.org/spreadsheetml/2006/main" count="99" uniqueCount="89">
  <si>
    <t>Dates</t>
  </si>
  <si>
    <t>Kcal</t>
  </si>
  <si>
    <t>km</t>
  </si>
  <si>
    <t>resist</t>
  </si>
  <si>
    <t>km/h</t>
  </si>
  <si>
    <t>rpm</t>
  </si>
  <si>
    <t>bpm</t>
  </si>
  <si>
    <t>500 gr</t>
  </si>
  <si>
    <t>1 kg</t>
  </si>
  <si>
    <t>2 kg</t>
  </si>
  <si>
    <t>3 kg</t>
  </si>
  <si>
    <t>4 kg</t>
  </si>
  <si>
    <t>5 kg</t>
  </si>
  <si>
    <t>Séries</t>
  </si>
  <si>
    <t>Pompes</t>
  </si>
  <si>
    <t>Abdos</t>
  </si>
  <si>
    <t>Vélo éliptique</t>
  </si>
  <si>
    <t>Banc</t>
  </si>
  <si>
    <t>Temps</t>
  </si>
  <si>
    <t xml:space="preserve">Km </t>
  </si>
  <si>
    <t xml:space="preserve">Calories </t>
  </si>
  <si>
    <t>Temps4</t>
  </si>
  <si>
    <t>Marche</t>
  </si>
  <si>
    <t>Etirement</t>
  </si>
  <si>
    <t>Assouplissements</t>
  </si>
  <si>
    <t>Totaux</t>
  </si>
  <si>
    <t>rpm2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</si>
  <si>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</si>
  <si>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</si>
  <si>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</si>
  <si>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</si>
  <si>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</si>
  <si>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</si>
  <si>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</si>
  <si>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</si>
  <si>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</si>
  <si>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</si>
  <si>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</si>
  <si>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</si>
  <si>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Moyenne/mois</t>
  </si>
  <si>
    <t xml:space="preserve">   Marche</t>
  </si>
  <si>
    <t>01/09/2026</t>
  </si>
  <si>
    <t>02/09/2026</t>
  </si>
  <si>
    <t>03/09/2026</t>
  </si>
  <si>
    <t>04/09/2026</t>
  </si>
  <si>
    <t>05/09/2026</t>
  </si>
  <si>
    <t>06/09/2026</t>
  </si>
  <si>
    <t>07/09/2026</t>
  </si>
  <si>
    <t>08/09/2026</t>
  </si>
  <si>
    <t>rowing</t>
  </si>
  <si>
    <t>frontal</t>
  </si>
  <si>
    <t>triceps</t>
  </si>
  <si>
    <t>fentes</t>
  </si>
  <si>
    <t>deadlift</t>
  </si>
  <si>
    <t>biceps</t>
  </si>
  <si>
    <t>laterales</t>
  </si>
  <si>
    <t>epaules</t>
  </si>
  <si>
    <t>derriere</t>
  </si>
  <si>
    <t>squats</t>
  </si>
  <si>
    <t>couche</t>
  </si>
  <si>
    <t>ecarté</t>
  </si>
  <si>
    <t>incline</t>
  </si>
  <si>
    <t>abdos</t>
  </si>
  <si>
    <t>09/09/2026</t>
  </si>
  <si>
    <t>10/09/2026</t>
  </si>
  <si>
    <t>11/09/2026</t>
  </si>
  <si>
    <t>12/09/2026</t>
  </si>
  <si>
    <t>13/09/2026</t>
  </si>
  <si>
    <t>14/09/2026</t>
  </si>
  <si>
    <t>15/09/2026</t>
  </si>
  <si>
    <t>16/09/2026</t>
  </si>
  <si>
    <t>17/09/2026</t>
  </si>
  <si>
    <t>18/09/2026</t>
  </si>
  <si>
    <t>19/09/2026</t>
  </si>
  <si>
    <t>20/09/2026</t>
  </si>
  <si>
    <t>21/09/2026</t>
  </si>
  <si>
    <t>22/09/2026</t>
  </si>
  <si>
    <t>Crunch sur banc</t>
  </si>
  <si>
    <t>penché avec haltères</t>
  </si>
  <si>
    <t>deadlife triceps der</t>
  </si>
  <si>
    <t>Relevés de genoux</t>
  </si>
  <si>
    <t>mois</t>
  </si>
  <si>
    <t>Temps2</t>
  </si>
  <si>
    <t>Séries3</t>
  </si>
  <si>
    <t>Séries4</t>
  </si>
  <si>
    <t>Temps5</t>
  </si>
  <si>
    <t>Temps6</t>
  </si>
  <si>
    <t>Mois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</si>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</sst>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[h]:mm"/>
    <numFmt numFmtId="166" formatCode="h:mm"/>
    <numFmt numFmtId="167" formatCode="h:mm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2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20" fontId="6" fillId="4" borderId="4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1" fontId="7" fillId="4" borderId="2" xfId="0" applyNumberFormat="1" applyFont="1" applyFill="1" applyBorder="1" applyAlignment="1">
      <alignment horizontal="center"/>
    </xf>
    <xf numFmtId="164" fontId="7" fillId="4" borderId="2" xfId="0" applyNumberFormat="1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center"/>
    </xf>
    <xf numFmtId="0" fontId="9" fillId="6" borderId="20" xfId="0" applyFont="1" applyFill="1" applyBorder="1"/>
    <xf numFmtId="2" fontId="9" fillId="6" borderId="21" xfId="0" applyNumberFormat="1" applyFont="1" applyFill="1" applyBorder="1" applyAlignment="1">
      <alignment horizontal="center"/>
    </xf>
    <xf numFmtId="20" fontId="7" fillId="4" borderId="6" xfId="0" applyNumberFormat="1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/>
    </xf>
    <xf numFmtId="20" fontId="12" fillId="3" borderId="4" xfId="0" applyNumberFormat="1" applyFont="1" applyFill="1" applyBorder="1" applyAlignment="1">
      <alignment horizontal="center"/>
    </xf>
    <xf numFmtId="165" fontId="12" fillId="3" borderId="5" xfId="0" applyNumberFormat="1" applyFont="1" applyFill="1" applyBorder="1" applyAlignment="1">
      <alignment horizontal="center"/>
    </xf>
    <xf numFmtId="2" fontId="7" fillId="4" borderId="11" xfId="0" applyNumberFormat="1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13" fillId="2" borderId="16" xfId="0" applyFont="1" applyFill="1" applyBorder="1" applyAlignment="1">
      <alignment horizontal="center"/>
    </xf>
    <xf numFmtId="0" fontId="14" fillId="4" borderId="23" xfId="0" applyFont="1" applyFill="1" applyBorder="1" applyAlignment="1">
      <alignment horizontal="center"/>
    </xf>
    <xf numFmtId="0" fontId="14" fillId="4" borderId="24" xfId="0" applyFont="1" applyFill="1" applyBorder="1" applyAlignment="1">
      <alignment horizontal="center"/>
    </xf>
    <xf numFmtId="1" fontId="14" fillId="4" borderId="23" xfId="0" applyNumberFormat="1" applyFont="1" applyFill="1" applyBorder="1" applyAlignment="1">
      <alignment horizontal="center"/>
    </xf>
    <xf numFmtId="0" fontId="2" fillId="4" borderId="13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5" fillId="4" borderId="16" xfId="0" applyFont="1" applyFill="1" applyBorder="1" applyAlignment="1">
      <alignment horizontal="center" vertical="center" wrapText="1"/>
    </xf>
    <xf numFmtId="164" fontId="7" fillId="4" borderId="22" xfId="0" applyNumberFormat="1" applyFont="1" applyFill="1" applyBorder="1" applyAlignment="1">
      <alignment horizontal="center"/>
    </xf>
    <xf numFmtId="164" fontId="7" fillId="4" borderId="1" xfId="0" applyNumberFormat="1" applyFont="1" applyFill="1" applyBorder="1" applyAlignment="1">
      <alignment horizontal="center"/>
    </xf>
    <xf numFmtId="20" fontId="6" fillId="4" borderId="27" xfId="0" applyNumberFormat="1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vertical="center" wrapText="1"/>
    </xf>
    <xf numFmtId="1" fontId="7" fillId="4" borderId="22" xfId="0" applyNumberFormat="1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0" fontId="3" fillId="4" borderId="27" xfId="0" applyFont="1" applyFill="1" applyBorder="1" applyAlignment="1">
      <alignment horizontal="center" vertical="center" wrapText="1"/>
    </xf>
    <xf numFmtId="164" fontId="7" fillId="4" borderId="28" xfId="0" applyNumberFormat="1" applyFont="1" applyFill="1" applyBorder="1" applyAlignment="1">
      <alignment horizontal="center"/>
    </xf>
    <xf numFmtId="0" fontId="7" fillId="4" borderId="27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 vertical="center" wrapText="1"/>
    </xf>
    <xf numFmtId="0" fontId="0" fillId="7" borderId="4" xfId="0" applyFill="1" applyBorder="1"/>
    <xf numFmtId="0" fontId="0" fillId="0" borderId="0" xfId="0" applyAlignment="1">
      <alignment horizontal="center"/>
    </xf>
    <xf numFmtId="0" fontId="9" fillId="6" borderId="31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5" borderId="32" xfId="0" applyFill="1" applyBorder="1" applyAlignment="1">
      <alignment horizontal="center"/>
    </xf>
    <xf numFmtId="0" fontId="0" fillId="0" borderId="33" xfId="0" applyBorder="1" applyAlignment="1">
      <alignment horizontal="center"/>
    </xf>
    <xf numFmtId="1" fontId="0" fillId="0" borderId="0" xfId="0" quotePrefix="1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" fontId="11" fillId="0" borderId="0" xfId="0" applyNumberFormat="1" applyFont="1" applyFill="1" applyBorder="1" applyAlignment="1">
      <alignment horizontal="center"/>
    </xf>
    <xf numFmtId="166" fontId="11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8" xfId="0" applyFill="1" applyBorder="1"/>
    <xf numFmtId="0" fontId="0" fillId="0" borderId="19" xfId="0" applyFill="1" applyBorder="1"/>
    <xf numFmtId="0" fontId="0" fillId="0" borderId="34" xfId="0" applyFill="1" applyBorder="1"/>
    <xf numFmtId="0" fontId="0" fillId="5" borderId="33" xfId="0" applyFill="1" applyBorder="1" applyAlignment="1">
      <alignment horizontal="center"/>
    </xf>
    <xf numFmtId="0" fontId="3" fillId="4" borderId="35" xfId="0" applyFont="1" applyFill="1" applyBorder="1" applyAlignment="1">
      <alignment horizontal="center"/>
    </xf>
    <xf numFmtId="0" fontId="3" fillId="4" borderId="36" xfId="0" applyFont="1" applyFill="1" applyBorder="1" applyAlignment="1">
      <alignment horizontal="center"/>
    </xf>
    <xf numFmtId="0" fontId="3" fillId="4" borderId="37" xfId="0" applyFont="1" applyFill="1" applyBorder="1" applyAlignment="1">
      <alignment horizontal="center"/>
    </xf>
    <xf numFmtId="0" fontId="3" fillId="4" borderId="38" xfId="0" applyFont="1" applyFill="1" applyBorder="1" applyAlignment="1">
      <alignment horizontal="center"/>
    </xf>
    <xf numFmtId="0" fontId="3" fillId="4" borderId="39" xfId="0" applyFont="1" applyFill="1" applyBorder="1" applyAlignment="1">
      <alignment horizontal="center"/>
    </xf>
    <xf numFmtId="0" fontId="4" fillId="4" borderId="37" xfId="0" applyFont="1" applyFill="1" applyBorder="1" applyAlignment="1">
      <alignment horizontal="center"/>
    </xf>
    <xf numFmtId="0" fontId="3" fillId="4" borderId="40" xfId="0" applyFont="1" applyFill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4" fillId="4" borderId="41" xfId="0" applyFont="1" applyFill="1" applyBorder="1" applyAlignment="1">
      <alignment horizontal="center"/>
    </xf>
    <xf numFmtId="167" fontId="9" fillId="6" borderId="21" xfId="0" applyNumberFormat="1" applyFont="1" applyFill="1" applyBorder="1" applyAlignment="1">
      <alignment horizontal="center"/>
    </xf>
    <xf numFmtId="165" fontId="9" fillId="6" borderId="21" xfId="0" applyNumberFormat="1" applyFont="1" applyFill="1" applyBorder="1" applyAlignment="1">
      <alignment horizontal="center"/>
    </xf>
    <xf numFmtId="1" fontId="1" fillId="2" borderId="27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0" fillId="0" borderId="30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" fontId="1" fillId="2" borderId="11" xfId="0" applyNumberFormat="1" applyFont="1" applyFill="1" applyBorder="1" applyAlignment="1">
      <alignment horizontal="center"/>
    </xf>
    <xf numFmtId="1" fontId="1" fillId="2" borderId="10" xfId="0" applyNumberFormat="1" applyFont="1" applyFill="1" applyBorder="1" applyAlignment="1">
      <alignment horizontal="center"/>
    </xf>
    <xf numFmtId="2" fontId="1" fillId="2" borderId="11" xfId="0" applyNumberFormat="1" applyFont="1" applyFill="1" applyBorder="1" applyAlignment="1">
      <alignment horizont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</cellXfs>
  <cellStyles count="1">
    <cellStyle name="Normal" xfId="0" builtinId="0"/>
  </cellStyles>
  <dxfs count="116">
    <dxf>
      <numFmt numFmtId="165" formatCode="[h]:mm"/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 style="medium">
          <color indexed="64"/>
        </right>
        <top/>
        <bottom/>
      </border>
    </dxf>
    <dxf>
      <numFmt numFmtId="167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66" formatCode="h:mm"/>
      <alignment horizontal="center" vertical="bottom" textRotation="0" wrapText="0" indent="0" justifyLastLine="0" shrinkToFit="0" readingOrder="0"/>
    </dxf>
    <dxf>
      <numFmt numFmtId="167" formatCode="h:mm;@"/>
      <fill>
        <patternFill patternType="none">
          <fgColor indexed="64"/>
          <bgColor auto="1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border diagonalUp="0" diagonalDown="0" outline="0">
        <left/>
        <right/>
        <top style="hair">
          <color indexed="64"/>
        </top>
        <bottom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scheme val="minor"/>
      </font>
      <numFmt numFmtId="165" formatCode="[h]:mm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2" formatCode="0.00"/>
      <fill>
        <patternFill patternType="solid">
          <fgColor indexed="64"/>
          <bgColor rgb="FFF8F8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  <border diagonalUp="0" diagonalDown="0" outline="0">
        <left style="hair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fill>
        <patternFill patternType="solid">
          <fgColor indexed="64"/>
          <bgColor rgb="FFF8F8F8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scheme val="minor"/>
      </font>
      <numFmt numFmtId="25" formatCode="hh:mm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0.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border outline="0">
        <top style="hair">
          <color indexed="64"/>
        </top>
      </border>
    </dxf>
    <dxf>
      <fill>
        <patternFill patternType="solid">
          <fgColor indexed="64"/>
          <bgColor theme="0" tint="-0.249977111117893"/>
        </patternFill>
      </fill>
    </dxf>
    <dxf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8F8F8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9" defaultPivotStyle="PivotStyleLight16"/>
  <colors>
    <mruColors>
      <color rgb="FFFFFF99"/>
      <color rgb="FFCCECFF"/>
      <color rgb="FFCCFF99"/>
      <color rgb="FFFFCCFF"/>
      <color rgb="FFFFFF66"/>
      <color rgb="FFFFCC99"/>
      <color rgb="FF27F1B2"/>
      <color rgb="FF66FFFF"/>
      <color rgb="FFFFFFCC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305170</xdr:colOff>
      <xdr:row>0</xdr:row>
      <xdr:rowOff>462377</xdr:rowOff>
    </xdr:from>
    <xdr:to>
      <xdr:col>7</xdr:col>
      <xdr:colOff>491462</xdr:colOff>
      <xdr:row>0</xdr:row>
      <xdr:rowOff>822377</xdr:rowOff>
    </xdr:to>
    <xdr:sp macro="[0]!masqueCol" textlink="">
      <xdr:nvSpPr>
        <xdr:cNvPr id="6" name="Rectangle : en biseau 5">
          <a:extLst>
            <a:ext uri="{FF2B5EF4-FFF2-40B4-BE49-F238E27FC236}">
              <a16:creationId xmlns="" xmlns:a16="http://schemas.microsoft.com/office/drawing/2014/main" id="{48846832-E2B2-078F-9D74-17AB990D36E1}"/>
            </a:ext>
          </a:extLst>
        </xdr:cNvPr>
        <xdr:cNvSpPr/>
      </xdr:nvSpPr>
      <xdr:spPr>
        <a:xfrm>
          <a:off x="3449345" y="462377"/>
          <a:ext cx="1296000" cy="360000"/>
        </a:xfrm>
        <a:prstGeom prst="bevel">
          <a:avLst/>
        </a:prstGeom>
        <a:gradFill>
          <a:gsLst>
            <a:gs pos="23000">
              <a:schemeClr val="accent6">
                <a:lumMod val="75000"/>
              </a:schemeClr>
            </a:gs>
            <a:gs pos="96000">
              <a:schemeClr val="bg1"/>
            </a:gs>
            <a:gs pos="83000">
              <a:schemeClr val="bg1"/>
            </a:gs>
            <a:gs pos="100000">
              <a:schemeClr val="bg1"/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Masquer</a:t>
          </a:r>
        </a:p>
      </xdr:txBody>
    </xdr:sp>
    <xdr:clientData/>
  </xdr:twoCellAnchor>
  <xdr:twoCellAnchor>
    <xdr:from>
      <xdr:col>5</xdr:col>
      <xdr:colOff>305171</xdr:colOff>
      <xdr:row>0</xdr:row>
      <xdr:rowOff>46236</xdr:rowOff>
    </xdr:from>
    <xdr:to>
      <xdr:col>7</xdr:col>
      <xdr:colOff>491463</xdr:colOff>
      <xdr:row>0</xdr:row>
      <xdr:rowOff>406236</xdr:rowOff>
    </xdr:to>
    <xdr:sp macro="[0]!afficheCol" textlink="">
      <xdr:nvSpPr>
        <xdr:cNvPr id="2" name="Rectangle : en biseau 1">
          <a:extLst>
            <a:ext uri="{FF2B5EF4-FFF2-40B4-BE49-F238E27FC236}">
              <a16:creationId xmlns="" xmlns:a16="http://schemas.microsoft.com/office/drawing/2014/main" id="{5CFFD354-0B90-4F70-8100-C7BB40C0186A}"/>
            </a:ext>
          </a:extLst>
        </xdr:cNvPr>
        <xdr:cNvSpPr/>
      </xdr:nvSpPr>
      <xdr:spPr>
        <a:xfrm>
          <a:off x="3449346" y="46236"/>
          <a:ext cx="1296000" cy="360000"/>
        </a:xfrm>
        <a:prstGeom prst="bevel">
          <a:avLst/>
        </a:prstGeom>
        <a:gradFill>
          <a:gsLst>
            <a:gs pos="23000">
              <a:srgbClr val="00B0F0"/>
            </a:gs>
            <a:gs pos="96000">
              <a:schemeClr val="bg1"/>
            </a:gs>
            <a:gs pos="83000">
              <a:schemeClr val="bg1"/>
            </a:gs>
            <a:gs pos="100000">
              <a:schemeClr val="bg1"/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Afficher</a:t>
          </a:r>
        </a:p>
      </xdr:txBody>
    </xdr:sp>
    <xdr:clientData/>
  </xdr:twoCellAnchor>
  <xdr:twoCellAnchor editAs="oneCell">
    <xdr:from>
      <xdr:col>0</xdr:col>
      <xdr:colOff>64735</xdr:colOff>
      <xdr:row>0</xdr:row>
      <xdr:rowOff>0</xdr:rowOff>
    </xdr:from>
    <xdr:to>
      <xdr:col>1</xdr:col>
      <xdr:colOff>64735</xdr:colOff>
      <xdr:row>1</xdr:row>
      <xdr:rowOff>36990</xdr:rowOff>
    </xdr:to>
    <xdr:pic macro="[0]!essai">
      <xdr:nvPicPr>
        <xdr:cNvPr id="5" name="Image 4" descr="Bonjour Miaou">
          <a:extLst>
            <a:ext uri="{FF2B5EF4-FFF2-40B4-BE49-F238E27FC236}">
              <a16:creationId xmlns="" xmlns:a16="http://schemas.microsoft.com/office/drawing/2014/main" id="{AF1A59B7-78DB-3F2C-DB8A-C951F40F4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35" y="0"/>
          <a:ext cx="924757" cy="924757"/>
        </a:xfrm>
        <a:prstGeom prst="rect">
          <a:avLst/>
        </a:prstGeom>
      </xdr:spPr>
    </xdr:pic>
    <xdr:clientData/>
  </xdr:twoCellAnchor>
  <xdr:twoCellAnchor>
    <xdr:from>
      <xdr:col>8</xdr:col>
      <xdr:colOff>9247</xdr:colOff>
      <xdr:row>0</xdr:row>
      <xdr:rowOff>27744</xdr:rowOff>
    </xdr:from>
    <xdr:to>
      <xdr:col>25</xdr:col>
      <xdr:colOff>749053</xdr:colOff>
      <xdr:row>0</xdr:row>
      <xdr:rowOff>869272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C04FB967-DF66-B335-D8DA-AD7B2D055902}"/>
            </a:ext>
          </a:extLst>
        </xdr:cNvPr>
        <xdr:cNvSpPr/>
      </xdr:nvSpPr>
      <xdr:spPr>
        <a:xfrm>
          <a:off x="4817985" y="27744"/>
          <a:ext cx="10153835" cy="841528"/>
        </a:xfrm>
        <a:prstGeom prst="rect">
          <a:avLst/>
        </a:prstGeom>
        <a:gradFill>
          <a:gsLst>
            <a:gs pos="28000">
              <a:srgbClr val="FFFF99"/>
            </a:gs>
            <a:gs pos="100000">
              <a:schemeClr val="bg1"/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séries</a:t>
          </a:r>
          <a:r>
            <a:rPr lang="fr-FR" sz="1600" b="1" baseline="0">
              <a:solidFill>
                <a:schemeClr val="tx1"/>
              </a:solidFill>
            </a:rPr>
            <a:t> de 12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21</xdr:col>
      <xdr:colOff>379152</xdr:colOff>
      <xdr:row>0</xdr:row>
      <xdr:rowOff>9248</xdr:rowOff>
    </xdr:from>
    <xdr:to>
      <xdr:col>23</xdr:col>
      <xdr:colOff>545607</xdr:colOff>
      <xdr:row>1</xdr:row>
      <xdr:rowOff>344473</xdr:rowOff>
    </xdr:to>
    <xdr:pic macro="[0]!enregistrer">
      <xdr:nvPicPr>
        <xdr:cNvPr id="9" name="Image 8" descr="Miaou - Détendu">
          <a:extLst>
            <a:ext uri="{FF2B5EF4-FFF2-40B4-BE49-F238E27FC236}">
              <a16:creationId xmlns="" xmlns:a16="http://schemas.microsoft.com/office/drawing/2014/main" id="{309760CD-4DF6-FA1F-F7FB-7A3D6B53A1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776" b="-11776"/>
        <a:stretch>
          <a:fillRect/>
        </a:stretch>
      </xdr:blipFill>
      <xdr:spPr>
        <a:xfrm>
          <a:off x="12400997" y="9248"/>
          <a:ext cx="1276164" cy="12229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90075</xdr:rowOff>
    </xdr:from>
    <xdr:to>
      <xdr:col>2</xdr:col>
      <xdr:colOff>57150</xdr:colOff>
      <xdr:row>2</xdr:row>
      <xdr:rowOff>61500</xdr:rowOff>
    </xdr:to>
    <xdr:pic macro="[0]!enregistrer">
      <xdr:nvPicPr>
        <xdr:cNvPr id="4" name="Image 3" descr="Zzz chat Taffy">
          <a:extLst>
            <a:ext uri="{FF2B5EF4-FFF2-40B4-BE49-F238E27FC236}">
              <a16:creationId xmlns="" xmlns:a16="http://schemas.microsoft.com/office/drawing/2014/main" id="{0B3B7B36-09B5-743A-851F-2036920530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84" b="-34584"/>
        <a:stretch>
          <a:fillRect/>
        </a:stretch>
      </xdr:blipFill>
      <xdr:spPr>
        <a:xfrm>
          <a:off x="266700" y="90075"/>
          <a:ext cx="714375" cy="714375"/>
        </a:xfrm>
        <a:prstGeom prst="rect">
          <a:avLst/>
        </a:prstGeom>
        <a:effectLst>
          <a:softEdge rad="0"/>
        </a:effectLst>
      </xdr:spPr>
    </xdr:pic>
    <xdr:clientData/>
  </xdr:twoCellAnchor>
</xdr:wsDr>
</file>

<file path=xl/tables/table1.xml><?xml version="1.0" encoding="utf-8"?>
<table xmlns="http://schemas.openxmlformats.org/spreadsheetml/2006/main" id="1" name="T_Sport" displayName="T_Sport" ref="A2:AD25" insertRowShift="1" totalsRowCount="1" headerRowDxfId="115" totalsRowDxfId="112" headerRowBorderDxfId="114" tableBorderDxfId="113" totalsRowBorderDxfId="111">
  <sortState ref="A3:AC3">
    <sortCondition ref="A3"/>
  </sortState>
  <tableColumns count="30">
    <tableColumn id="1" name="Dates" totalsRowLabel="Totaux" dataDxfId="110" totalsRowDxfId="109"/>
    <tableColumn id="2" name="Kcal" totalsRowFunction="custom" dataDxfId="108" totalsRowDxfId="107">
      <totalsRowFormula>SUM(T_Sport[Kcal])</totalsRowFormula>
    </tableColumn>
    <tableColumn id="3" name="km" totalsRowFunction="sum" dataDxfId="106" totalsRowDxfId="105"/>
    <tableColumn id="4" name="resist" totalsRowFunction="count" dataDxfId="104" totalsRowDxfId="103"/>
    <tableColumn id="5" name="km/h" totalsRowFunction="count" dataDxfId="102" totalsRowDxfId="101"/>
    <tableColumn id="6" name="bpm" totalsRowFunction="count" dataDxfId="100" totalsRowDxfId="99"/>
    <tableColumn id="7" name="rpm2" totalsRowFunction="count" dataDxfId="98" totalsRowDxfId="97"/>
    <tableColumn id="19" name="Temps" totalsRowFunction="custom" dataDxfId="96" totalsRowDxfId="95">
      <totalsRowFormula>SUM(T_Sport[Temps])</totalsRowFormula>
    </tableColumn>
    <tableColumn id="8" name="rowing" totalsRowFunction="custom" dataDxfId="94" totalsRowDxfId="93">
      <totalsRowFormula>SUM(T_Sport[rowing])*12</totalsRowFormula>
    </tableColumn>
    <tableColumn id="9" name="frontal" totalsRowFunction="custom" dataDxfId="92" totalsRowDxfId="91">
      <totalsRowFormula>SUM(T_Sport[frontal])*12</totalsRowFormula>
    </tableColumn>
    <tableColumn id="10" name="triceps" totalsRowFunction="custom" dataDxfId="90" totalsRowDxfId="89">
      <totalsRowFormula>SUM(T_Sport[triceps])*12</totalsRowFormula>
    </tableColumn>
    <tableColumn id="11" name="fentes" totalsRowFunction="custom" dataDxfId="88" totalsRowDxfId="87">
      <totalsRowFormula>SUM(T_Sport[fentes])*12</totalsRowFormula>
    </tableColumn>
    <tableColumn id="12" name="deadlift" totalsRowFunction="custom" dataDxfId="86" totalsRowDxfId="85">
      <totalsRowFormula>SUM(T_Sport[deadlift])*12</totalsRowFormula>
    </tableColumn>
    <tableColumn id="13" name="biceps" totalsRowFunction="custom" dataDxfId="84" totalsRowDxfId="83">
      <totalsRowFormula>SUM(T_Sport[biceps])*12</totalsRowFormula>
    </tableColumn>
    <tableColumn id="20" name="laterales" totalsRowFunction="custom" dataDxfId="82" totalsRowDxfId="81">
      <totalsRowFormula>SUM(T_Sport[laterales])*12</totalsRowFormula>
    </tableColumn>
    <tableColumn id="14" name="epaules" totalsRowFunction="custom" dataDxfId="80" totalsRowDxfId="79">
      <totalsRowFormula>SUM(T_Sport[epaules])*12</totalsRowFormula>
    </tableColumn>
    <tableColumn id="15" name="derriere" totalsRowFunction="custom" dataDxfId="78" totalsRowDxfId="77">
      <totalsRowFormula>SUM(T_Sport[derriere])*12</totalsRowFormula>
    </tableColumn>
    <tableColumn id="16" name="squats" totalsRowFunction="custom" dataDxfId="76" totalsRowDxfId="75">
      <totalsRowFormula>SUM(T_Sport[squats])*12</totalsRowFormula>
    </tableColumn>
    <tableColumn id="17" name="couche" totalsRowFunction="custom" dataDxfId="74" totalsRowDxfId="73">
      <totalsRowFormula>SUM(T_Sport[couche])*12</totalsRowFormula>
    </tableColumn>
    <tableColumn id="26" name="ecarté" totalsRowFunction="custom" dataDxfId="72" totalsRowDxfId="71">
      <totalsRowFormula>SUM(T_Sport[ecarté])*12</totalsRowFormula>
    </tableColumn>
    <tableColumn id="27" name="incline" totalsRowFunction="custom" dataDxfId="70" totalsRowDxfId="69">
      <totalsRowFormula>SUM(T_Sport[incline])*12</totalsRowFormula>
    </tableColumn>
    <tableColumn id="29" name="deadlife triceps der" dataDxfId="68" totalsRowDxfId="67"/>
    <tableColumn id="25" name="Crunch sur banc" dataDxfId="66" totalsRowDxfId="65"/>
    <tableColumn id="30" name="Relevés de genoux" dataDxfId="64" totalsRowDxfId="63"/>
    <tableColumn id="24" name="penché avec haltères" dataDxfId="62" totalsRowDxfId="61"/>
    <tableColumn id="28" name="abdos" totalsRowFunction="sum" dataDxfId="60" totalsRowDxfId="59"/>
    <tableColumn id="21" name="Km " totalsRowFunction="custom" dataDxfId="58" totalsRowDxfId="57">
      <totalsRowFormula>SUM(T_Sport[[Km ]])</totalsRowFormula>
    </tableColumn>
    <tableColumn id="18" name="Calories " totalsRowFunction="custom" dataDxfId="56" totalsRowDxfId="55">
      <totalsRowFormula>SUM(T_Sport[[Calories ]])</totalsRowFormula>
    </tableColumn>
    <tableColumn id="22" name="Temps4" totalsRowFunction="custom" totalsRowDxfId="54">
      <totalsRowFormula>SUM(T_Sport[Temps4])</totalsRowFormula>
    </tableColumn>
    <tableColumn id="23" name="Mois" dataDxfId="53" totalsRowDxfId="52">
      <calculatedColumnFormula>MONTH(T_Sport[[#This Row],[Dates]])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_recap" displayName="T_recap" ref="A2:Z15" totalsRowCount="1" headerRowBorderDxfId="51">
  <tableColumns count="26">
    <tableColumn id="1" name="Dates" totalsRowLabel="Total" dataDxfId="50"/>
    <tableColumn id="27" name="mois" dataDxfId="49" totalsRowDxfId="48"/>
    <tableColumn id="2" name="Kcal" totalsRowFunction="sum" dataDxfId="47" totalsRowDxfId="46">
      <calculatedColumnFormula>SUMIFS(T_Sport[Kcal],T_Sport[Mois],T_recap[[#This Row],[mois]])</calculatedColumnFormula>
    </tableColumn>
    <tableColumn id="3" name="km" totalsRowFunction="sum" dataDxfId="45" totalsRowDxfId="44">
      <calculatedColumnFormula>SUMIFS(T_Sport[km],T_Sport[Mois],T_recap[[#This Row],[mois]])</calculatedColumnFormula>
    </tableColumn>
    <tableColumn id="4" name="resist" totalsRowFunction="sum" dataDxfId="43" totalsRowDxfId="42">
      <calculatedColumnFormula>SUMIFS(T_Sport[resist],T_Sport[Mois],T_recap[[#This Row],[mois]])</calculatedColumnFormula>
    </tableColumn>
    <tableColumn id="5" name="km/h" totalsRowFunction="sum" dataDxfId="41" totalsRowDxfId="40">
      <calculatedColumnFormula>SUMIFS(T_Sport[km/h],T_Sport[Mois],T_recap[[#This Row],[mois]])</calculatedColumnFormula>
    </tableColumn>
    <tableColumn id="6" name="rpm" totalsRowFunction="sum" dataDxfId="39" totalsRowDxfId="38">
      <calculatedColumnFormula>SUMIFS(T_Sport[rpm2],T_Sport[Mois],T_recap[[#This Row],[mois]])</calculatedColumnFormula>
    </tableColumn>
    <tableColumn id="7" name="bpm" totalsRowFunction="sum" dataDxfId="37" totalsRowDxfId="36">
      <calculatedColumnFormula>SUMIFS(T_Sport[bpm],T_Sport[Mois],T_recap[[#This Row],[mois]])</calculatedColumnFormula>
    </tableColumn>
    <tableColumn id="8" name="Temps" totalsRowFunction="sum" dataDxfId="35" totalsRowDxfId="34">
      <calculatedColumnFormula>SUMIFS(T_Sport[Temps],T_Sport[Mois],T_recap[[#This Row],[mois]])</calculatedColumnFormula>
    </tableColumn>
    <tableColumn id="9" name="500 gr" dataDxfId="33" totalsRowDxfId="32"/>
    <tableColumn id="10" name="1 kg" dataDxfId="31" totalsRowDxfId="30"/>
    <tableColumn id="11" name="2 kg" dataDxfId="29" totalsRowDxfId="28"/>
    <tableColumn id="12" name="3 kg" dataDxfId="27" totalsRowDxfId="26"/>
    <tableColumn id="13" name="4 kg" dataDxfId="25" totalsRowDxfId="24"/>
    <tableColumn id="14" name="5 kg" dataDxfId="23" totalsRowDxfId="22"/>
    <tableColumn id="15" name="Temps2" dataDxfId="21" totalsRowDxfId="20"/>
    <tableColumn id="16" name="Abdos" dataDxfId="19" totalsRowDxfId="18"/>
    <tableColumn id="17" name="Séries" dataDxfId="17" totalsRowDxfId="16"/>
    <tableColumn id="18" name="Pompes" dataDxfId="15" totalsRowDxfId="14"/>
    <tableColumn id="19" name="Séries3" dataDxfId="13" totalsRowDxfId="12"/>
    <tableColumn id="20" name="Etirement" dataDxfId="11" totalsRowDxfId="10"/>
    <tableColumn id="21" name="Séries4" dataDxfId="9" totalsRowDxfId="8"/>
    <tableColumn id="22" name="Temps5" dataDxfId="7" totalsRowDxfId="6"/>
    <tableColumn id="23" name="Km " totalsRowFunction="sum" dataDxfId="5" totalsRowDxfId="4">
      <calculatedColumnFormula>SUMIFS(T_Sport[km],T_Sport[Mois],T_recap[[#This Row],[mois]])</calculatedColumnFormula>
    </tableColumn>
    <tableColumn id="24" name="Calories " totalsRowFunction="sum" dataDxfId="3" totalsRowDxfId="2">
      <calculatedColumnFormula>SUMIFS(T_Sport[[Calories ]],T_Sport[Mois],T_recap[[#This Row],[mois]])</calculatedColumnFormula>
    </tableColumn>
    <tableColumn id="25" name="Temps6" totalsRowFunction="sum" dataDxfId="1" totalsRowDxfId="0">
      <calculatedColumnFormula>SUMIFS(T_Sport[Temps4],T_Sport[Mois],T_recap[[#This Row],[mois]])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>
          <a:gsLst>
            <a:gs pos="23000">
              <a:srgbClr val="FFFF99"/>
            </a:gs>
            <a:gs pos="96000">
              <a:schemeClr val="bg1"/>
            </a:gs>
            <a:gs pos="83000">
              <a:schemeClr val="bg1"/>
            </a:gs>
            <a:gs pos="100000">
              <a:schemeClr val="bg1"/>
            </a:gs>
          </a:gsLst>
          <a:lin ang="5400000" scaled="1"/>
        </a:gradFill>
      </a:spPr>
      <a:bodyPr vertOverflow="clip" horzOverflow="clip" rtlCol="0" anchor="ctr"/>
      <a:lstStyle>
        <a:defPPr algn="ctr">
          <a:defRPr sz="1600" b="1">
            <a:solidFill>
              <a:schemeClr val="tx1"/>
            </a:solidFill>
          </a:defRPr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99"/>
  </sheetPr>
  <dimension ref="A1:AD25"/>
  <sheetViews>
    <sheetView showGridLines="0" tabSelected="1" zoomScale="103" workbookViewId="0">
      <pane ySplit="2" topLeftCell="A9" activePane="bottomLeft" state="frozen"/>
      <selection pane="bottomLeft" activeCell="D31" sqref="D31"/>
    </sheetView>
  </sheetViews>
  <sheetFormatPr baseColWidth="10" defaultRowHeight="15" x14ac:dyDescent="0.25"/>
  <cols>
    <col min="1" max="1" width="13.85546875" customWidth="1"/>
    <col min="2" max="14" width="8.28515625" customWidth="1"/>
    <col min="15" max="15" width="9.140625" customWidth="1"/>
    <col min="16" max="24" width="8.28515625" customWidth="1"/>
    <col min="25" max="25" width="8" customWidth="1"/>
    <col min="27" max="28" width="16.7109375" customWidth="1"/>
    <col min="29" max="29" width="14.42578125" customWidth="1"/>
  </cols>
  <sheetData>
    <row r="1" spans="1:30" ht="69.75" customHeight="1" x14ac:dyDescent="0.25">
      <c r="A1" s="84" t="s">
        <v>16</v>
      </c>
      <c r="B1" s="85"/>
      <c r="C1" s="85"/>
      <c r="D1" s="85"/>
      <c r="E1" s="85"/>
      <c r="F1" s="85"/>
      <c r="G1" s="85"/>
      <c r="H1" s="85"/>
      <c r="I1" s="20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  <c r="V1" s="21"/>
      <c r="AA1" s="86" t="s">
        <v>40</v>
      </c>
      <c r="AB1" s="86"/>
      <c r="AC1" s="86"/>
    </row>
    <row r="2" spans="1:30" s="30" customFormat="1" ht="45.75" customHeight="1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6</v>
      </c>
      <c r="G2" s="22" t="s">
        <v>26</v>
      </c>
      <c r="H2" s="23" t="s">
        <v>18</v>
      </c>
      <c r="I2" s="22" t="s">
        <v>49</v>
      </c>
      <c r="J2" s="22" t="s">
        <v>50</v>
      </c>
      <c r="K2" s="22" t="s">
        <v>51</v>
      </c>
      <c r="L2" s="22" t="s">
        <v>52</v>
      </c>
      <c r="M2" s="22" t="s">
        <v>53</v>
      </c>
      <c r="N2" s="35" t="s">
        <v>54</v>
      </c>
      <c r="O2" s="39" t="s">
        <v>55</v>
      </c>
      <c r="P2" s="24" t="s">
        <v>56</v>
      </c>
      <c r="Q2" s="22" t="s">
        <v>57</v>
      </c>
      <c r="R2" s="22" t="s">
        <v>58</v>
      </c>
      <c r="S2" s="22" t="s">
        <v>59</v>
      </c>
      <c r="T2" s="25" t="s">
        <v>60</v>
      </c>
      <c r="U2" s="26" t="s">
        <v>61</v>
      </c>
      <c r="V2" s="27" t="s">
        <v>79</v>
      </c>
      <c r="W2" s="27" t="s">
        <v>77</v>
      </c>
      <c r="X2" s="27" t="s">
        <v>80</v>
      </c>
      <c r="Y2" s="27" t="s">
        <v>78</v>
      </c>
      <c r="Z2" s="31" t="s">
        <v>62</v>
      </c>
      <c r="AA2" s="28" t="s">
        <v>19</v>
      </c>
      <c r="AB2" s="25" t="s">
        <v>20</v>
      </c>
      <c r="AC2" s="29" t="s">
        <v>21</v>
      </c>
      <c r="AD2" s="43" t="s">
        <v>87</v>
      </c>
    </row>
    <row r="3" spans="1:30" ht="15.75" x14ac:dyDescent="0.25">
      <c r="A3" s="2" t="s">
        <v>41</v>
      </c>
      <c r="B3" s="3"/>
      <c r="C3" s="4"/>
      <c r="D3" s="3"/>
      <c r="E3" s="4"/>
      <c r="F3" s="3"/>
      <c r="G3" s="32"/>
      <c r="H3" s="34"/>
      <c r="I3" s="33"/>
      <c r="J3" s="3"/>
      <c r="K3" s="4"/>
      <c r="L3" s="3"/>
      <c r="M3" s="4"/>
      <c r="N3" s="36"/>
      <c r="O3" s="40"/>
      <c r="P3" s="38"/>
      <c r="Q3" s="4"/>
      <c r="R3" s="3"/>
      <c r="S3" s="4"/>
      <c r="T3" s="3"/>
      <c r="U3" s="8"/>
      <c r="V3" s="16"/>
      <c r="W3" s="16"/>
      <c r="X3" s="16"/>
      <c r="Y3" s="16"/>
      <c r="Z3" s="16"/>
      <c r="AA3" s="15">
        <v>2.0099999999999998</v>
      </c>
      <c r="AB3" s="7">
        <v>278</v>
      </c>
      <c r="AC3" s="1">
        <v>3.5416666666666666E-2</v>
      </c>
      <c r="AD3">
        <f>MONTH(T_Sport[[#This Row],[Dates]])</f>
        <v>9</v>
      </c>
    </row>
    <row r="4" spans="1:30" ht="15.75" x14ac:dyDescent="0.25">
      <c r="A4" s="2" t="s">
        <v>42</v>
      </c>
      <c r="B4" s="3"/>
      <c r="C4" s="4"/>
      <c r="D4" s="5"/>
      <c r="E4" s="5"/>
      <c r="F4" s="5"/>
      <c r="G4" s="12"/>
      <c r="H4" s="1"/>
      <c r="I4" s="6"/>
      <c r="J4" s="6"/>
      <c r="K4" s="6"/>
      <c r="L4" s="6"/>
      <c r="M4" s="6"/>
      <c r="N4" s="37"/>
      <c r="O4" s="41"/>
      <c r="P4" s="2"/>
      <c r="Q4" s="2"/>
      <c r="R4" s="2"/>
      <c r="S4" s="2"/>
      <c r="T4" s="2"/>
      <c r="U4" s="8"/>
      <c r="V4" s="16"/>
      <c r="W4" s="16"/>
      <c r="X4" s="16"/>
      <c r="Y4" s="16"/>
      <c r="Z4" s="16"/>
      <c r="AA4" s="15">
        <v>2.21</v>
      </c>
      <c r="AB4" s="7">
        <v>224</v>
      </c>
      <c r="AC4" s="11">
        <v>3.125E-2</v>
      </c>
      <c r="AD4">
        <f>MONTH(T_Sport[[#This Row],[Dates]])</f>
        <v>9</v>
      </c>
    </row>
    <row r="5" spans="1:30" ht="15.75" x14ac:dyDescent="0.25">
      <c r="A5" s="2" t="s">
        <v>43</v>
      </c>
      <c r="B5" s="3"/>
      <c r="C5" s="4"/>
      <c r="D5" s="5"/>
      <c r="E5" s="5"/>
      <c r="F5" s="5"/>
      <c r="G5" s="12"/>
      <c r="H5" s="1"/>
      <c r="I5" s="6"/>
      <c r="J5" s="6"/>
      <c r="K5" s="6"/>
      <c r="L5" s="6"/>
      <c r="M5" s="6"/>
      <c r="N5" s="37"/>
      <c r="O5" s="41"/>
      <c r="P5" s="2"/>
      <c r="Q5" s="2"/>
      <c r="R5" s="2"/>
      <c r="S5" s="2"/>
      <c r="T5" s="2"/>
      <c r="U5" s="8"/>
      <c r="V5" s="16"/>
      <c r="W5" s="16"/>
      <c r="X5" s="16"/>
      <c r="Y5" s="16"/>
      <c r="Z5" s="16"/>
      <c r="AA5" s="15">
        <v>3.32</v>
      </c>
      <c r="AB5" s="7">
        <v>420</v>
      </c>
      <c r="AC5" s="11">
        <v>5.8333333333333334E-2</v>
      </c>
      <c r="AD5">
        <f>MONTH(T_Sport[[#This Row],[Dates]])</f>
        <v>9</v>
      </c>
    </row>
    <row r="6" spans="1:30" ht="15.75" x14ac:dyDescent="0.25">
      <c r="A6" s="2" t="s">
        <v>44</v>
      </c>
      <c r="B6" s="3"/>
      <c r="C6" s="4"/>
      <c r="D6" s="5"/>
      <c r="E6" s="5"/>
      <c r="F6" s="5"/>
      <c r="G6" s="12"/>
      <c r="H6" s="1"/>
      <c r="I6" s="6"/>
      <c r="J6" s="6"/>
      <c r="K6" s="6"/>
      <c r="L6" s="6"/>
      <c r="M6" s="6"/>
      <c r="N6" s="37"/>
      <c r="O6" s="41"/>
      <c r="P6" s="2"/>
      <c r="Q6" s="2"/>
      <c r="R6" s="2"/>
      <c r="S6" s="2"/>
      <c r="T6" s="2"/>
      <c r="U6" s="8"/>
      <c r="V6" s="16"/>
      <c r="W6" s="16"/>
      <c r="X6" s="16"/>
      <c r="Y6" s="16"/>
      <c r="Z6" s="16"/>
      <c r="AA6" s="15">
        <v>3.09</v>
      </c>
      <c r="AB6" s="7">
        <v>293</v>
      </c>
      <c r="AC6" s="11">
        <v>0.05</v>
      </c>
      <c r="AD6">
        <f>MONTH(T_Sport[[#This Row],[Dates]])</f>
        <v>9</v>
      </c>
    </row>
    <row r="7" spans="1:30" ht="15.75" x14ac:dyDescent="0.25">
      <c r="A7" s="2" t="s">
        <v>45</v>
      </c>
      <c r="B7" s="3"/>
      <c r="C7" s="4"/>
      <c r="D7" s="5"/>
      <c r="E7" s="5"/>
      <c r="F7" s="5"/>
      <c r="G7" s="12"/>
      <c r="H7" s="1"/>
      <c r="I7" s="6"/>
      <c r="J7" s="6"/>
      <c r="K7" s="6"/>
      <c r="L7" s="6"/>
      <c r="M7" s="6"/>
      <c r="N7" s="37"/>
      <c r="O7" s="41"/>
      <c r="P7" s="2"/>
      <c r="Q7" s="2"/>
      <c r="R7" s="2"/>
      <c r="S7" s="2"/>
      <c r="T7" s="2"/>
      <c r="U7" s="8"/>
      <c r="V7" s="16"/>
      <c r="W7" s="16"/>
      <c r="X7" s="16"/>
      <c r="Y7" s="16"/>
      <c r="Z7" s="16"/>
      <c r="AA7" s="15">
        <v>1.64</v>
      </c>
      <c r="AB7" s="7">
        <v>301</v>
      </c>
      <c r="AC7" s="11">
        <v>3.6111111111111115E-2</v>
      </c>
      <c r="AD7">
        <f>MONTH(T_Sport[[#This Row],[Dates]])</f>
        <v>9</v>
      </c>
    </row>
    <row r="8" spans="1:30" ht="15.75" x14ac:dyDescent="0.25">
      <c r="A8" s="2" t="s">
        <v>46</v>
      </c>
      <c r="B8" s="3"/>
      <c r="C8" s="4"/>
      <c r="D8" s="5"/>
      <c r="E8" s="5"/>
      <c r="F8" s="5"/>
      <c r="G8" s="12"/>
      <c r="H8" s="1"/>
      <c r="I8" s="6"/>
      <c r="J8" s="6"/>
      <c r="K8" s="6"/>
      <c r="L8" s="6"/>
      <c r="M8" s="6"/>
      <c r="N8" s="37"/>
      <c r="O8" s="41"/>
      <c r="P8" s="2"/>
      <c r="Q8" s="2"/>
      <c r="R8" s="2"/>
      <c r="S8" s="2"/>
      <c r="T8" s="2"/>
      <c r="U8" s="8"/>
      <c r="V8" s="16"/>
      <c r="W8" s="16"/>
      <c r="X8" s="16"/>
      <c r="Y8" s="16"/>
      <c r="Z8" s="16"/>
      <c r="AA8" s="15">
        <v>2.25</v>
      </c>
      <c r="AB8" s="7">
        <v>272</v>
      </c>
      <c r="AC8" s="11">
        <v>3.125E-2</v>
      </c>
      <c r="AD8">
        <f>MONTH(T_Sport[[#This Row],[Dates]])</f>
        <v>9</v>
      </c>
    </row>
    <row r="9" spans="1:30" ht="15.75" x14ac:dyDescent="0.25">
      <c r="A9" s="2" t="s">
        <v>47</v>
      </c>
      <c r="B9" s="3">
        <v>158</v>
      </c>
      <c r="C9" s="4">
        <v>1.7</v>
      </c>
      <c r="D9" s="5">
        <v>3</v>
      </c>
      <c r="E9" s="5">
        <v>3.4</v>
      </c>
      <c r="F9" s="5"/>
      <c r="G9" s="12"/>
      <c r="H9" s="1">
        <v>2.0833333333333332E-2</v>
      </c>
      <c r="I9" s="6">
        <v>3</v>
      </c>
      <c r="J9" s="6">
        <v>3</v>
      </c>
      <c r="K9" s="6">
        <v>3</v>
      </c>
      <c r="L9" s="6">
        <v>3</v>
      </c>
      <c r="M9" s="6">
        <v>3</v>
      </c>
      <c r="N9" s="37">
        <v>3</v>
      </c>
      <c r="O9" s="41"/>
      <c r="P9" s="2"/>
      <c r="Q9" s="2"/>
      <c r="R9" s="2"/>
      <c r="S9" s="2"/>
      <c r="T9" s="2"/>
      <c r="U9" s="8"/>
      <c r="V9" s="16"/>
      <c r="W9" s="16"/>
      <c r="X9" s="16"/>
      <c r="Y9" s="16"/>
      <c r="Z9" s="16">
        <v>30</v>
      </c>
      <c r="AA9" s="15">
        <v>2.5299999999999998</v>
      </c>
      <c r="AB9" s="7">
        <v>343</v>
      </c>
      <c r="AC9" s="11">
        <v>4.1666666666666664E-2</v>
      </c>
      <c r="AD9">
        <f>MONTH(T_Sport[[#This Row],[Dates]])</f>
        <v>9</v>
      </c>
    </row>
    <row r="10" spans="1:30" ht="15.75" x14ac:dyDescent="0.25">
      <c r="A10" s="2" t="s">
        <v>48</v>
      </c>
      <c r="B10" s="3"/>
      <c r="C10" s="4"/>
      <c r="D10" s="5"/>
      <c r="E10" s="5"/>
      <c r="F10" s="5"/>
      <c r="G10" s="12"/>
      <c r="H10" s="1"/>
      <c r="I10" s="6">
        <v>3</v>
      </c>
      <c r="J10" s="6">
        <v>3</v>
      </c>
      <c r="K10" s="6">
        <v>3</v>
      </c>
      <c r="L10" s="6"/>
      <c r="M10" s="6"/>
      <c r="N10" s="37">
        <v>3</v>
      </c>
      <c r="O10" s="41">
        <v>3</v>
      </c>
      <c r="P10" s="2">
        <v>3</v>
      </c>
      <c r="Q10" s="2">
        <v>3</v>
      </c>
      <c r="R10" s="2">
        <v>3</v>
      </c>
      <c r="S10" s="2">
        <v>3</v>
      </c>
      <c r="T10" s="2">
        <v>3</v>
      </c>
      <c r="U10" s="8"/>
      <c r="V10" s="16"/>
      <c r="W10" s="16"/>
      <c r="X10" s="16"/>
      <c r="Y10" s="16"/>
      <c r="Z10" s="16">
        <v>90</v>
      </c>
      <c r="AA10" s="15">
        <v>2.04</v>
      </c>
      <c r="AB10" s="7">
        <v>196</v>
      </c>
      <c r="AC10" s="11">
        <v>3.125E-2</v>
      </c>
      <c r="AD10">
        <f>MONTH(T_Sport[[#This Row],[Dates]])</f>
        <v>9</v>
      </c>
    </row>
    <row r="11" spans="1:30" ht="15.75" x14ac:dyDescent="0.25">
      <c r="A11" s="2" t="s">
        <v>63</v>
      </c>
      <c r="B11" s="3">
        <v>227</v>
      </c>
      <c r="C11" s="4">
        <v>2</v>
      </c>
      <c r="D11" s="5">
        <v>3</v>
      </c>
      <c r="E11" s="5">
        <v>3.3</v>
      </c>
      <c r="F11" s="5"/>
      <c r="G11" s="12"/>
      <c r="H11" s="1">
        <v>3.125E-2</v>
      </c>
      <c r="I11" s="6"/>
      <c r="J11" s="6"/>
      <c r="K11" s="6"/>
      <c r="L11" s="6"/>
      <c r="M11" s="6"/>
      <c r="N11" s="37"/>
      <c r="O11" s="41"/>
      <c r="P11" s="2"/>
      <c r="Q11" s="2"/>
      <c r="R11" s="2"/>
      <c r="S11" s="2"/>
      <c r="T11" s="2"/>
      <c r="U11" s="8"/>
      <c r="V11" s="16"/>
      <c r="W11" s="16"/>
      <c r="X11" s="16"/>
      <c r="Y11" s="16"/>
      <c r="Z11" s="16"/>
      <c r="AA11" s="15">
        <v>2.2000000000000002</v>
      </c>
      <c r="AB11" s="7">
        <v>237</v>
      </c>
      <c r="AC11" s="11">
        <v>2.7777777777777776E-2</v>
      </c>
      <c r="AD11">
        <f>MONTH(T_Sport[[#This Row],[Dates]])</f>
        <v>9</v>
      </c>
    </row>
    <row r="12" spans="1:30" ht="15.75" x14ac:dyDescent="0.25">
      <c r="A12" s="2" t="s">
        <v>64</v>
      </c>
      <c r="B12" s="3"/>
      <c r="C12" s="4"/>
      <c r="D12" s="5"/>
      <c r="E12" s="5"/>
      <c r="F12" s="5"/>
      <c r="G12" s="12"/>
      <c r="H12" s="1"/>
      <c r="I12" s="6"/>
      <c r="J12" s="6">
        <v>3</v>
      </c>
      <c r="K12" s="6">
        <v>3</v>
      </c>
      <c r="L12" s="6"/>
      <c r="M12" s="6">
        <v>3</v>
      </c>
      <c r="N12" s="37">
        <v>3</v>
      </c>
      <c r="O12" s="41">
        <v>3</v>
      </c>
      <c r="P12" s="2">
        <v>3</v>
      </c>
      <c r="Q12" s="2"/>
      <c r="R12" s="2">
        <v>3</v>
      </c>
      <c r="S12" s="2">
        <v>3</v>
      </c>
      <c r="T12" s="2">
        <v>3</v>
      </c>
      <c r="U12" s="8">
        <v>3</v>
      </c>
      <c r="V12" s="16"/>
      <c r="W12" s="16"/>
      <c r="X12" s="16"/>
      <c r="Y12" s="16"/>
      <c r="Z12" s="16">
        <v>90</v>
      </c>
      <c r="AA12" s="15">
        <v>3.31</v>
      </c>
      <c r="AB12" s="7">
        <v>302</v>
      </c>
      <c r="AC12" s="11">
        <v>3.1944444444444442E-2</v>
      </c>
      <c r="AD12">
        <f>MONTH(T_Sport[[#This Row],[Dates]])</f>
        <v>9</v>
      </c>
    </row>
    <row r="13" spans="1:30" ht="15.75" x14ac:dyDescent="0.25">
      <c r="A13" s="2" t="s">
        <v>65</v>
      </c>
      <c r="B13" s="3"/>
      <c r="C13" s="4"/>
      <c r="D13" s="5"/>
      <c r="E13" s="5"/>
      <c r="F13" s="5"/>
      <c r="G13" s="12"/>
      <c r="H13" s="1"/>
      <c r="I13" s="6"/>
      <c r="J13" s="6"/>
      <c r="K13" s="6"/>
      <c r="L13" s="6"/>
      <c r="M13" s="6"/>
      <c r="N13" s="37"/>
      <c r="O13" s="41"/>
      <c r="P13" s="2"/>
      <c r="Q13" s="2"/>
      <c r="R13" s="2"/>
      <c r="S13" s="2"/>
      <c r="T13" s="2"/>
      <c r="U13" s="8"/>
      <c r="V13" s="16"/>
      <c r="W13" s="16"/>
      <c r="X13" s="16"/>
      <c r="Y13" s="16"/>
      <c r="Z13" s="16"/>
      <c r="AA13" s="15">
        <v>3.09</v>
      </c>
      <c r="AB13" s="7">
        <v>437</v>
      </c>
      <c r="AC13" s="11">
        <v>4.7222222222222221E-2</v>
      </c>
      <c r="AD13">
        <f>MONTH(T_Sport[[#This Row],[Dates]])</f>
        <v>9</v>
      </c>
    </row>
    <row r="14" spans="1:30" ht="15.75" x14ac:dyDescent="0.25">
      <c r="A14" s="2" t="s">
        <v>66</v>
      </c>
      <c r="B14" s="3"/>
      <c r="C14" s="4"/>
      <c r="D14" s="5"/>
      <c r="E14" s="5"/>
      <c r="F14" s="5"/>
      <c r="G14" s="12"/>
      <c r="H14" s="1"/>
      <c r="I14" s="6"/>
      <c r="J14" s="6"/>
      <c r="K14" s="6"/>
      <c r="L14" s="6"/>
      <c r="M14" s="6"/>
      <c r="N14" s="37"/>
      <c r="O14" s="41"/>
      <c r="P14" s="2"/>
      <c r="Q14" s="2"/>
      <c r="R14" s="2"/>
      <c r="S14" s="2"/>
      <c r="T14" s="2"/>
      <c r="U14" s="8"/>
      <c r="V14" s="16"/>
      <c r="W14" s="16"/>
      <c r="X14" s="16"/>
      <c r="Y14" s="16"/>
      <c r="Z14" s="16"/>
      <c r="AA14" s="15">
        <v>1.9</v>
      </c>
      <c r="AB14" s="7">
        <v>215</v>
      </c>
      <c r="AC14" s="11">
        <v>3.3333333333333333E-2</v>
      </c>
      <c r="AD14">
        <f>MONTH(T_Sport[[#This Row],[Dates]])</f>
        <v>9</v>
      </c>
    </row>
    <row r="15" spans="1:30" ht="15.75" x14ac:dyDescent="0.25">
      <c r="A15" s="2" t="s">
        <v>67</v>
      </c>
      <c r="B15" s="3"/>
      <c r="C15" s="4"/>
      <c r="D15" s="5"/>
      <c r="E15" s="5"/>
      <c r="F15" s="5"/>
      <c r="G15" s="12"/>
      <c r="H15" s="1"/>
      <c r="I15" s="6"/>
      <c r="J15" s="6"/>
      <c r="K15" s="6"/>
      <c r="L15" s="6"/>
      <c r="M15" s="6"/>
      <c r="N15" s="37"/>
      <c r="O15" s="41"/>
      <c r="P15" s="2"/>
      <c r="Q15" s="2"/>
      <c r="R15" s="2"/>
      <c r="S15" s="2"/>
      <c r="T15" s="2"/>
      <c r="U15" s="8"/>
      <c r="V15" s="16"/>
      <c r="W15" s="16"/>
      <c r="X15" s="16"/>
      <c r="Y15" s="16"/>
      <c r="Z15" s="16"/>
      <c r="AA15" s="15">
        <v>2.35</v>
      </c>
      <c r="AB15" s="7">
        <v>306</v>
      </c>
      <c r="AC15" s="11">
        <v>4.791666666666667E-2</v>
      </c>
      <c r="AD15">
        <f>MONTH(T_Sport[[#This Row],[Dates]])</f>
        <v>9</v>
      </c>
    </row>
    <row r="16" spans="1:30" ht="15.75" x14ac:dyDescent="0.25">
      <c r="A16" s="2" t="s">
        <v>68</v>
      </c>
      <c r="B16" s="3"/>
      <c r="C16" s="4"/>
      <c r="D16" s="5"/>
      <c r="E16" s="5"/>
      <c r="F16" s="5"/>
      <c r="G16" s="12"/>
      <c r="H16" s="1"/>
      <c r="I16" s="6"/>
      <c r="J16" s="6">
        <v>3</v>
      </c>
      <c r="K16" s="6">
        <v>3</v>
      </c>
      <c r="L16" s="6"/>
      <c r="M16" s="6"/>
      <c r="N16" s="37">
        <v>3</v>
      </c>
      <c r="O16" s="41">
        <v>3</v>
      </c>
      <c r="P16" s="2">
        <v>3</v>
      </c>
      <c r="Q16" s="2"/>
      <c r="R16" s="2"/>
      <c r="S16" s="2">
        <v>3</v>
      </c>
      <c r="T16" s="2">
        <v>3</v>
      </c>
      <c r="U16" s="8">
        <v>3</v>
      </c>
      <c r="V16" s="16"/>
      <c r="W16" s="16"/>
      <c r="X16" s="16"/>
      <c r="Y16" s="16"/>
      <c r="Z16" s="16">
        <v>120</v>
      </c>
      <c r="AA16" s="15">
        <v>1.55</v>
      </c>
      <c r="AB16" s="7">
        <v>235</v>
      </c>
      <c r="AC16" s="11">
        <v>2.7777777777777776E-2</v>
      </c>
      <c r="AD16">
        <f>MONTH(T_Sport[[#This Row],[Dates]])</f>
        <v>9</v>
      </c>
    </row>
    <row r="17" spans="1:30" ht="15.75" x14ac:dyDescent="0.25">
      <c r="A17" s="2" t="s">
        <v>69</v>
      </c>
      <c r="B17" s="3">
        <v>247</v>
      </c>
      <c r="C17" s="4">
        <v>2.5</v>
      </c>
      <c r="D17" s="5">
        <v>4</v>
      </c>
      <c r="E17" s="5">
        <v>3.4</v>
      </c>
      <c r="F17" s="5"/>
      <c r="G17" s="12"/>
      <c r="H17" s="1">
        <v>3.125E-2</v>
      </c>
      <c r="I17" s="6"/>
      <c r="J17" s="6"/>
      <c r="K17" s="6"/>
      <c r="L17" s="6"/>
      <c r="M17" s="6"/>
      <c r="N17" s="37"/>
      <c r="O17" s="41"/>
      <c r="P17" s="2"/>
      <c r="Q17" s="2"/>
      <c r="R17" s="2"/>
      <c r="S17" s="2"/>
      <c r="T17" s="2"/>
      <c r="U17" s="8"/>
      <c r="V17" s="16"/>
      <c r="W17" s="16"/>
      <c r="X17" s="16"/>
      <c r="Y17" s="16"/>
      <c r="Z17" s="16"/>
      <c r="AA17" s="15">
        <v>2.64</v>
      </c>
      <c r="AB17" s="7">
        <v>301</v>
      </c>
      <c r="AC17" s="11">
        <v>4.1666666666666664E-2</v>
      </c>
      <c r="AD17">
        <f>MONTH(T_Sport[[#This Row],[Dates]])</f>
        <v>9</v>
      </c>
    </row>
    <row r="18" spans="1:30" ht="15.75" x14ac:dyDescent="0.25">
      <c r="A18" s="2" t="s">
        <v>70</v>
      </c>
      <c r="B18" s="3"/>
      <c r="C18" s="4"/>
      <c r="D18" s="5"/>
      <c r="E18" s="5"/>
      <c r="F18" s="5"/>
      <c r="G18" s="12"/>
      <c r="H18" s="1"/>
      <c r="I18" s="6"/>
      <c r="J18" s="6">
        <v>3</v>
      </c>
      <c r="K18" s="6">
        <v>3</v>
      </c>
      <c r="L18" s="6"/>
      <c r="M18" s="6"/>
      <c r="N18" s="37">
        <v>3</v>
      </c>
      <c r="O18" s="41">
        <v>3</v>
      </c>
      <c r="P18" s="2">
        <v>3</v>
      </c>
      <c r="Q18" s="2"/>
      <c r="R18" s="2"/>
      <c r="S18" s="2">
        <v>3</v>
      </c>
      <c r="T18" s="2">
        <v>3</v>
      </c>
      <c r="U18" s="8">
        <v>3</v>
      </c>
      <c r="V18" s="16"/>
      <c r="W18" s="16"/>
      <c r="X18" s="16"/>
      <c r="Y18" s="16"/>
      <c r="Z18" s="16"/>
      <c r="AA18" s="15">
        <v>2.0499999999999998</v>
      </c>
      <c r="AB18" s="7">
        <v>208</v>
      </c>
      <c r="AC18" s="11">
        <v>4.4444444444444446E-2</v>
      </c>
      <c r="AD18">
        <f>MONTH(T_Sport[[#This Row],[Dates]])</f>
        <v>9</v>
      </c>
    </row>
    <row r="19" spans="1:30" ht="15.75" x14ac:dyDescent="0.25">
      <c r="A19" s="2" t="s">
        <v>71</v>
      </c>
      <c r="B19" s="3">
        <v>105</v>
      </c>
      <c r="C19" s="4">
        <v>1.1000000000000001</v>
      </c>
      <c r="D19" s="5">
        <v>4</v>
      </c>
      <c r="E19" s="5">
        <v>32</v>
      </c>
      <c r="F19" s="5"/>
      <c r="G19" s="12"/>
      <c r="H19" s="1">
        <v>1.3888888888888888E-2</v>
      </c>
      <c r="I19" s="6"/>
      <c r="J19" s="6"/>
      <c r="K19" s="6"/>
      <c r="L19" s="6"/>
      <c r="M19" s="6"/>
      <c r="N19" s="37"/>
      <c r="O19" s="41"/>
      <c r="P19" s="2"/>
      <c r="Q19" s="2"/>
      <c r="R19" s="2"/>
      <c r="S19" s="2"/>
      <c r="T19" s="2"/>
      <c r="U19" s="8"/>
      <c r="V19" s="16"/>
      <c r="W19" s="16"/>
      <c r="X19" s="16"/>
      <c r="Y19" s="16"/>
      <c r="Z19" s="16"/>
      <c r="AA19" s="15">
        <v>2</v>
      </c>
      <c r="AB19" s="7">
        <v>221</v>
      </c>
      <c r="AC19" s="11">
        <v>3.1944444444444442E-2</v>
      </c>
      <c r="AD19">
        <f>MONTH(T_Sport[[#This Row],[Dates]])</f>
        <v>9</v>
      </c>
    </row>
    <row r="20" spans="1:30" ht="15.75" x14ac:dyDescent="0.25">
      <c r="A20" s="2" t="s">
        <v>72</v>
      </c>
      <c r="B20" s="3"/>
      <c r="C20" s="4"/>
      <c r="D20" s="5"/>
      <c r="E20" s="5"/>
      <c r="F20" s="5"/>
      <c r="G20" s="12"/>
      <c r="H20" s="1"/>
      <c r="I20" s="6"/>
      <c r="J20" s="6">
        <v>3</v>
      </c>
      <c r="K20" s="6">
        <v>3</v>
      </c>
      <c r="L20" s="6"/>
      <c r="M20" s="6"/>
      <c r="N20" s="37">
        <v>3</v>
      </c>
      <c r="O20" s="41">
        <v>3</v>
      </c>
      <c r="P20" s="2">
        <v>3</v>
      </c>
      <c r="Q20" s="2"/>
      <c r="R20" s="2">
        <v>3</v>
      </c>
      <c r="S20" s="2">
        <v>3</v>
      </c>
      <c r="T20" s="2">
        <v>3</v>
      </c>
      <c r="U20" s="8">
        <v>3</v>
      </c>
      <c r="V20" s="16"/>
      <c r="W20" s="16"/>
      <c r="X20" s="16"/>
      <c r="Y20" s="16"/>
      <c r="Z20" s="16">
        <v>120</v>
      </c>
      <c r="AA20" s="15">
        <v>3.09</v>
      </c>
      <c r="AB20" s="7">
        <v>426</v>
      </c>
      <c r="AC20" s="11">
        <v>5.6250000000000001E-2</v>
      </c>
      <c r="AD20">
        <f>MONTH(T_Sport[[#This Row],[Dates]])</f>
        <v>9</v>
      </c>
    </row>
    <row r="21" spans="1:30" ht="15.75" x14ac:dyDescent="0.25">
      <c r="A21" s="2" t="s">
        <v>73</v>
      </c>
      <c r="B21" s="3"/>
      <c r="C21" s="4"/>
      <c r="D21" s="5"/>
      <c r="E21" s="5"/>
      <c r="F21" s="5"/>
      <c r="G21" s="12"/>
      <c r="H21" s="1"/>
      <c r="I21" s="6"/>
      <c r="J21" s="6"/>
      <c r="K21" s="6"/>
      <c r="L21" s="6"/>
      <c r="M21" s="6"/>
      <c r="N21" s="37"/>
      <c r="O21" s="41"/>
      <c r="P21" s="2"/>
      <c r="Q21" s="2"/>
      <c r="R21" s="2"/>
      <c r="S21" s="2"/>
      <c r="T21" s="2"/>
      <c r="U21" s="8"/>
      <c r="V21" s="16"/>
      <c r="W21" s="16"/>
      <c r="X21" s="16"/>
      <c r="Y21" s="16"/>
      <c r="Z21" s="16"/>
      <c r="AA21" s="15">
        <v>2.4300000000000002</v>
      </c>
      <c r="AB21" s="7">
        <v>238</v>
      </c>
      <c r="AC21" s="11">
        <v>4.7222222222222221E-2</v>
      </c>
      <c r="AD21">
        <f>MONTH(T_Sport[[#This Row],[Dates]])</f>
        <v>9</v>
      </c>
    </row>
    <row r="22" spans="1:30" ht="15.75" x14ac:dyDescent="0.25">
      <c r="A22" s="2" t="s">
        <v>74</v>
      </c>
      <c r="B22" s="3"/>
      <c r="C22" s="4"/>
      <c r="D22" s="5"/>
      <c r="E22" s="5"/>
      <c r="F22" s="5"/>
      <c r="G22" s="12"/>
      <c r="H22" s="1"/>
      <c r="I22" s="6"/>
      <c r="J22" s="6"/>
      <c r="K22" s="6"/>
      <c r="L22" s="6"/>
      <c r="M22" s="6"/>
      <c r="N22" s="37"/>
      <c r="O22" s="41"/>
      <c r="P22" s="2"/>
      <c r="Q22" s="2"/>
      <c r="R22" s="2"/>
      <c r="S22" s="2"/>
      <c r="T22" s="2"/>
      <c r="U22" s="8"/>
      <c r="V22" s="16"/>
      <c r="W22" s="16"/>
      <c r="X22" s="16"/>
      <c r="Y22" s="16"/>
      <c r="Z22" s="16"/>
      <c r="AA22" s="15">
        <v>2.16</v>
      </c>
      <c r="AB22" s="7">
        <v>250</v>
      </c>
      <c r="AC22" s="11">
        <v>4.1666666666666664E-2</v>
      </c>
      <c r="AD22">
        <f>MONTH(T_Sport[[#This Row],[Dates]])</f>
        <v>9</v>
      </c>
    </row>
    <row r="23" spans="1:30" ht="15.75" x14ac:dyDescent="0.25">
      <c r="A23" s="2" t="s">
        <v>75</v>
      </c>
      <c r="B23" s="3"/>
      <c r="C23" s="4"/>
      <c r="D23" s="5"/>
      <c r="E23" s="5"/>
      <c r="F23" s="5"/>
      <c r="G23" s="12"/>
      <c r="H23" s="1"/>
      <c r="I23" s="6"/>
      <c r="J23" s="6">
        <v>3</v>
      </c>
      <c r="K23" s="6">
        <v>3</v>
      </c>
      <c r="L23" s="6"/>
      <c r="M23" s="6"/>
      <c r="N23" s="37">
        <v>3</v>
      </c>
      <c r="O23" s="41">
        <v>3</v>
      </c>
      <c r="P23" s="2">
        <v>3</v>
      </c>
      <c r="Q23" s="2"/>
      <c r="R23" s="2"/>
      <c r="S23" s="2">
        <v>3</v>
      </c>
      <c r="T23" s="2">
        <v>3</v>
      </c>
      <c r="U23" s="8">
        <v>3</v>
      </c>
      <c r="V23" s="16"/>
      <c r="W23" s="16"/>
      <c r="X23" s="16"/>
      <c r="Y23" s="16"/>
      <c r="Z23" s="16">
        <v>60</v>
      </c>
      <c r="AA23" s="15">
        <v>2.39</v>
      </c>
      <c r="AB23" s="7">
        <v>295</v>
      </c>
      <c r="AC23" s="11">
        <v>4.1666666666666664E-2</v>
      </c>
      <c r="AD23">
        <f>MONTH(T_Sport[[#This Row],[Dates]])</f>
        <v>9</v>
      </c>
    </row>
    <row r="24" spans="1:30" ht="15.75" x14ac:dyDescent="0.25">
      <c r="A24" s="2" t="s">
        <v>76</v>
      </c>
      <c r="B24" s="3">
        <v>150</v>
      </c>
      <c r="C24" s="4">
        <v>1.3</v>
      </c>
      <c r="D24" s="5">
        <v>4</v>
      </c>
      <c r="E24" s="5">
        <v>32</v>
      </c>
      <c r="F24" s="5"/>
      <c r="G24" s="12"/>
      <c r="H24" s="1">
        <v>2.0833333333333332E-2</v>
      </c>
      <c r="I24" s="6"/>
      <c r="J24" s="6"/>
      <c r="K24" s="6"/>
      <c r="L24" s="6"/>
      <c r="M24" s="6"/>
      <c r="N24" s="37"/>
      <c r="O24" s="41"/>
      <c r="P24" s="2"/>
      <c r="Q24" s="2"/>
      <c r="R24" s="2"/>
      <c r="S24" s="2"/>
      <c r="T24" s="2"/>
      <c r="U24" s="8"/>
      <c r="V24" s="16"/>
      <c r="W24" s="16"/>
      <c r="X24" s="16"/>
      <c r="Y24" s="16"/>
      <c r="Z24" s="16"/>
      <c r="AA24" s="15">
        <v>2.35</v>
      </c>
      <c r="AB24" s="7">
        <v>210</v>
      </c>
      <c r="AC24" s="11">
        <v>4.1666666666666664E-2</v>
      </c>
      <c r="AD24">
        <f>MONTH(T_Sport[[#This Row],[Dates]])</f>
        <v>9</v>
      </c>
    </row>
    <row r="25" spans="1:30" ht="15.75" x14ac:dyDescent="0.25">
      <c r="A25" s="77" t="s">
        <v>25</v>
      </c>
      <c r="B25" s="78">
        <f>SUM(T_Sport[Kcal])</f>
        <v>887</v>
      </c>
      <c r="C25" s="79">
        <f>SUBTOTAL(109,T_Sport[km])</f>
        <v>8.6000000000000014</v>
      </c>
      <c r="D25" s="80">
        <f>SUBTOTAL(103,T_Sport[resist])</f>
        <v>5</v>
      </c>
      <c r="E25" s="80">
        <f>SUBTOTAL(103,T_Sport[km/h])</f>
        <v>5</v>
      </c>
      <c r="F25" s="80">
        <f>SUBTOTAL(103,T_Sport[bpm])</f>
        <v>0</v>
      </c>
      <c r="G25" s="80">
        <f>SUBTOTAL(103,T_Sport[rpm2])</f>
        <v>0</v>
      </c>
      <c r="H25" s="13">
        <f>SUM(T_Sport[Temps])</f>
        <v>0.11805555555555554</v>
      </c>
      <c r="I25" s="81">
        <f>SUM(T_Sport[rowing])*12</f>
        <v>72</v>
      </c>
      <c r="J25" s="81">
        <f>SUM(T_Sport[frontal])*12</f>
        <v>252</v>
      </c>
      <c r="K25" s="81">
        <f>SUM(T_Sport[triceps])*12</f>
        <v>252</v>
      </c>
      <c r="L25" s="81">
        <f>SUM(T_Sport[fentes])*12</f>
        <v>36</v>
      </c>
      <c r="M25" s="81">
        <f>SUM(T_Sport[deadlift])*12</f>
        <v>72</v>
      </c>
      <c r="N25" s="82">
        <f>SUM(T_Sport[biceps])*12</f>
        <v>252</v>
      </c>
      <c r="O25" s="73">
        <f>SUM(T_Sport[laterales])*12</f>
        <v>216</v>
      </c>
      <c r="P25" s="81">
        <f>SUM(T_Sport[epaules])*12</f>
        <v>216</v>
      </c>
      <c r="Q25" s="81">
        <f>SUM(T_Sport[derriere])*12</f>
        <v>36</v>
      </c>
      <c r="R25" s="81">
        <f>SUM(T_Sport[squats])*12</f>
        <v>108</v>
      </c>
      <c r="S25" s="81">
        <f>SUM(T_Sport[couche])*12</f>
        <v>216</v>
      </c>
      <c r="T25" s="81">
        <f>SUM(T_Sport[ecarté])*12</f>
        <v>216</v>
      </c>
      <c r="U25" s="81">
        <f>SUM(T_Sport[incline])*12</f>
        <v>180</v>
      </c>
      <c r="V25" s="81"/>
      <c r="W25" s="81"/>
      <c r="X25" s="81"/>
      <c r="Y25" s="81"/>
      <c r="Z25" s="17">
        <f>SUBTOTAL(109,T_Sport[abdos])</f>
        <v>510</v>
      </c>
      <c r="AA25" s="83">
        <f>SUM(T_Sport[[Km ]])</f>
        <v>52.6</v>
      </c>
      <c r="AB25" s="74">
        <f>SUM(T_Sport[[Calories ]])</f>
        <v>6208</v>
      </c>
      <c r="AC25" s="14">
        <f>SUM(T_Sport[Temps4])</f>
        <v>0.87777777777777766</v>
      </c>
      <c r="AD25" s="44"/>
    </row>
  </sheetData>
  <mergeCells count="2">
    <mergeCell ref="A1:H1"/>
    <mergeCell ref="AA1:AC1"/>
  </mergeCells>
  <phoneticPr fontId="8" type="noConversion"/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CFF99"/>
  </sheetPr>
  <dimension ref="A1:AA16"/>
  <sheetViews>
    <sheetView showGridLines="0" topLeftCell="L1" workbookViewId="0">
      <selection activeCell="J19" sqref="J19"/>
    </sheetView>
  </sheetViews>
  <sheetFormatPr baseColWidth="10" defaultRowHeight="15" x14ac:dyDescent="0.25"/>
  <cols>
    <col min="1" max="1" width="13.85546875" customWidth="1"/>
    <col min="2" max="2" width="7.28515625" style="45" hidden="1" customWidth="1"/>
    <col min="3" max="5" width="8.28515625" customWidth="1"/>
    <col min="6" max="6" width="8.42578125" customWidth="1"/>
    <col min="7" max="8" width="8.28515625" customWidth="1"/>
    <col min="9" max="9" width="9.42578125" customWidth="1"/>
    <col min="10" max="10" width="9.140625" customWidth="1"/>
    <col min="11" max="15" width="8.28515625" customWidth="1"/>
    <col min="16" max="16" width="10.5703125" customWidth="1"/>
    <col min="17" max="17" width="9.28515625" customWidth="1"/>
    <col min="18" max="18" width="19.140625" customWidth="1"/>
    <col min="19" max="19" width="10.85546875" customWidth="1"/>
    <col min="20" max="20" width="10" customWidth="1"/>
    <col min="21" max="21" width="12.85546875" customWidth="1"/>
    <col min="22" max="22" width="10" customWidth="1"/>
    <col min="23" max="23" width="10.5703125" customWidth="1"/>
    <col min="24" max="24" width="8.28515625" customWidth="1"/>
    <col min="25" max="25" width="11.28515625" customWidth="1"/>
    <col min="26" max="26" width="10.5703125" customWidth="1"/>
  </cols>
  <sheetData>
    <row r="1" spans="1:27" ht="42" customHeight="1" x14ac:dyDescent="0.25">
      <c r="A1" s="87" t="s">
        <v>16</v>
      </c>
      <c r="B1" s="88"/>
      <c r="C1" s="88"/>
      <c r="D1" s="88"/>
      <c r="E1" s="88"/>
      <c r="F1" s="88"/>
      <c r="G1" s="88"/>
      <c r="H1" s="88"/>
      <c r="I1" s="88"/>
      <c r="J1" s="87" t="s">
        <v>17</v>
      </c>
      <c r="K1" s="88"/>
      <c r="L1" s="88"/>
      <c r="M1" s="88"/>
      <c r="N1" s="88"/>
      <c r="O1" s="88"/>
      <c r="P1" s="89"/>
      <c r="Q1" s="90" t="s">
        <v>24</v>
      </c>
      <c r="R1" s="86"/>
      <c r="S1" s="86"/>
      <c r="T1" s="86"/>
      <c r="U1" s="86"/>
      <c r="V1" s="86"/>
      <c r="W1" s="86"/>
      <c r="X1" s="91" t="s">
        <v>22</v>
      </c>
      <c r="Y1" s="92"/>
      <c r="Z1" s="93"/>
    </row>
    <row r="2" spans="1:27" ht="16.5" thickBot="1" x14ac:dyDescent="0.3">
      <c r="A2" s="62" t="s">
        <v>0</v>
      </c>
      <c r="B2" s="63" t="s">
        <v>81</v>
      </c>
      <c r="C2" s="64" t="s">
        <v>1</v>
      </c>
      <c r="D2" s="64" t="s">
        <v>2</v>
      </c>
      <c r="E2" s="64" t="s">
        <v>3</v>
      </c>
      <c r="F2" s="64" t="s">
        <v>4</v>
      </c>
      <c r="G2" s="64" t="s">
        <v>5</v>
      </c>
      <c r="H2" s="64" t="s">
        <v>6</v>
      </c>
      <c r="I2" s="65" t="s">
        <v>18</v>
      </c>
      <c r="J2" s="62" t="s">
        <v>7</v>
      </c>
      <c r="K2" s="64" t="s">
        <v>8</v>
      </c>
      <c r="L2" s="64" t="s">
        <v>9</v>
      </c>
      <c r="M2" s="64" t="s">
        <v>10</v>
      </c>
      <c r="N2" s="64" t="s">
        <v>11</v>
      </c>
      <c r="O2" s="64" t="s">
        <v>12</v>
      </c>
      <c r="P2" s="66" t="s">
        <v>82</v>
      </c>
      <c r="Q2" s="63" t="s">
        <v>15</v>
      </c>
      <c r="R2" s="64" t="s">
        <v>13</v>
      </c>
      <c r="S2" s="64" t="s">
        <v>14</v>
      </c>
      <c r="T2" s="64" t="s">
        <v>83</v>
      </c>
      <c r="U2" s="67" t="s">
        <v>23</v>
      </c>
      <c r="V2" s="64" t="s">
        <v>84</v>
      </c>
      <c r="W2" s="68" t="s">
        <v>85</v>
      </c>
      <c r="X2" s="69" t="s">
        <v>19</v>
      </c>
      <c r="Y2" s="67" t="s">
        <v>20</v>
      </c>
      <c r="Z2" s="70" t="s">
        <v>86</v>
      </c>
      <c r="AA2" s="42"/>
    </row>
    <row r="3" spans="1:27" x14ac:dyDescent="0.25">
      <c r="A3" s="60" t="s">
        <v>27</v>
      </c>
      <c r="B3" s="61">
        <v>1</v>
      </c>
      <c r="C3" s="52">
        <f>SUMIFS(T_Sport[Kcal],T_Sport[Mois],T_recap[[#This Row],[mois]])</f>
        <v>0</v>
      </c>
      <c r="D3" s="53">
        <f>SUMIFS(T_Sport[km],T_Sport[Mois],T_recap[[#This Row],[mois]])</f>
        <v>0</v>
      </c>
      <c r="E3" s="53">
        <f>SUMIFS(T_Sport[resist],T_Sport[Mois],T_recap[[#This Row],[mois]])</f>
        <v>0</v>
      </c>
      <c r="F3" s="53">
        <f>SUMIFS(T_Sport[km/h],T_Sport[Mois],T_recap[[#This Row],[mois]])</f>
        <v>0</v>
      </c>
      <c r="G3" s="53">
        <f>SUMIFS(T_Sport[rpm2],T_Sport[Mois],T_recap[[#This Row],[mois]])</f>
        <v>0</v>
      </c>
      <c r="H3" s="53">
        <f>SUMIFS(T_Sport[bpm],T_Sport[Mois],T_recap[[#This Row],[mois]])</f>
        <v>0</v>
      </c>
      <c r="I3" s="75">
        <f>SUMIFS(T_Sport[Temps],T_Sport[Mois],T_recap[[#This Row],[mois]])</f>
        <v>0</v>
      </c>
      <c r="J3" s="52"/>
      <c r="K3" s="53"/>
      <c r="L3" s="53"/>
      <c r="M3" s="53"/>
      <c r="N3" s="53"/>
      <c r="O3" s="53"/>
      <c r="P3" s="54"/>
      <c r="Q3" s="53"/>
      <c r="R3" s="53"/>
      <c r="S3" s="53"/>
      <c r="T3" s="53"/>
      <c r="U3" s="53"/>
      <c r="V3" s="53"/>
      <c r="W3" s="53"/>
      <c r="X3" s="53">
        <f>SUMIFS(T_Sport[km],T_Sport[Mois],T_recap[[#This Row],[mois]])</f>
        <v>0</v>
      </c>
      <c r="Y3" s="53">
        <f>SUMIFS(T_Sport[[Calories ]],T_Sport[Mois],T_recap[[#This Row],[mois]])</f>
        <v>0</v>
      </c>
      <c r="Z3" s="75">
        <f>SUMIFS(T_Sport[Temps4],T_Sport[Mois],T_recap[[#This Row],[mois]])</f>
        <v>0</v>
      </c>
    </row>
    <row r="4" spans="1:27" ht="15.75" thickBot="1" x14ac:dyDescent="0.3">
      <c r="A4" s="58" t="s">
        <v>28</v>
      </c>
      <c r="B4" s="51">
        <v>2</v>
      </c>
      <c r="C4" s="52">
        <f>SUMIFS(T_Sport[Kcal],T_Sport[Mois],T_recap[[#This Row],[mois]])</f>
        <v>0</v>
      </c>
      <c r="D4" s="53">
        <f>SUMIFS(T_Sport[km],T_Sport[Mois],T_recap[[#This Row],[mois]])</f>
        <v>0</v>
      </c>
      <c r="E4" s="53">
        <f>SUMIFS(T_Sport[resist],T_Sport[Mois],T_recap[[#This Row],[mois]])</f>
        <v>0</v>
      </c>
      <c r="F4" s="53">
        <f>SUMIFS(T_Sport[km/h],T_Sport[Mois],T_recap[[#This Row],[mois]])</f>
        <v>0</v>
      </c>
      <c r="G4" s="53">
        <f>SUMIFS(T_Sport[rpm2],T_Sport[Mois],T_recap[[#This Row],[mois]])</f>
        <v>0</v>
      </c>
      <c r="H4" s="53">
        <f>SUMIFS(T_Sport[bpm],T_Sport[Mois],T_recap[[#This Row],[mois]])</f>
        <v>0</v>
      </c>
      <c r="I4" s="75">
        <f>SUMIFS(T_Sport[Temps],T_Sport[Mois],T_recap[[#This Row],[mois]])</f>
        <v>0</v>
      </c>
      <c r="J4" s="53"/>
      <c r="K4" s="53"/>
      <c r="L4" s="53"/>
      <c r="M4" s="53"/>
      <c r="N4" s="53"/>
      <c r="O4" s="53"/>
      <c r="P4" s="54"/>
      <c r="Q4" s="53"/>
      <c r="R4" s="53"/>
      <c r="S4" s="53"/>
      <c r="T4" s="53"/>
      <c r="U4" s="53"/>
      <c r="V4" s="53"/>
      <c r="W4" s="54"/>
      <c r="X4" s="53">
        <f>SUMIFS(T_Sport[km],T_Sport[Mois],T_recap[[#This Row],[mois]])</f>
        <v>0</v>
      </c>
      <c r="Y4" s="53">
        <f>SUMIFS(T_Sport[[Calories ]],T_Sport[Mois],T_recap[[#This Row],[mois]])</f>
        <v>0</v>
      </c>
      <c r="Z4" s="75">
        <f>SUMIFS(T_Sport[Temps4],T_Sport[Mois],T_recap[[#This Row],[mois]])</f>
        <v>0</v>
      </c>
    </row>
    <row r="5" spans="1:27" x14ac:dyDescent="0.25">
      <c r="A5" s="58" t="s">
        <v>29</v>
      </c>
      <c r="B5" s="50">
        <v>3</v>
      </c>
      <c r="C5" s="52">
        <f>SUMIFS(T_Sport[Kcal],T_Sport[Mois],T_recap[[#This Row],[mois]])</f>
        <v>0</v>
      </c>
      <c r="D5" s="53">
        <f>SUMIFS(T_Sport[km],T_Sport[Mois],T_recap[[#This Row],[mois]])</f>
        <v>0</v>
      </c>
      <c r="E5" s="53">
        <f>SUMIFS(T_Sport[resist],T_Sport[Mois],T_recap[[#This Row],[mois]])</f>
        <v>0</v>
      </c>
      <c r="F5" s="53">
        <f>SUMIFS(T_Sport[km/h],T_Sport[Mois],T_recap[[#This Row],[mois]])</f>
        <v>0</v>
      </c>
      <c r="G5" s="53">
        <f>SUMIFS(T_Sport[rpm2],T_Sport[Mois],T_recap[[#This Row],[mois]])</f>
        <v>0</v>
      </c>
      <c r="H5" s="53">
        <f>SUMIFS(T_Sport[bpm],T_Sport[Mois],T_recap[[#This Row],[mois]])</f>
        <v>0</v>
      </c>
      <c r="I5" s="75">
        <f>SUMIFS(T_Sport[Temps],T_Sport[Mois],T_recap[[#This Row],[mois]])</f>
        <v>0</v>
      </c>
      <c r="J5" s="53"/>
      <c r="K5" s="53"/>
      <c r="L5" s="53"/>
      <c r="M5" s="53"/>
      <c r="N5" s="53"/>
      <c r="O5" s="53"/>
      <c r="P5" s="54"/>
      <c r="Q5" s="53"/>
      <c r="R5" s="53"/>
      <c r="S5" s="53"/>
      <c r="T5" s="53"/>
      <c r="U5" s="53"/>
      <c r="V5" s="53"/>
      <c r="W5" s="54"/>
      <c r="X5" s="53">
        <f>SUMIFS(T_Sport[km],T_Sport[Mois],T_recap[[#This Row],[mois]])</f>
        <v>0</v>
      </c>
      <c r="Y5" s="53">
        <f>SUMIFS(T_Sport[[Calories ]],T_Sport[Mois],T_recap[[#This Row],[mois]])</f>
        <v>0</v>
      </c>
      <c r="Z5" s="75">
        <f>SUMIFS(T_Sport[Temps4],T_Sport[Mois],T_recap[[#This Row],[mois]])</f>
        <v>0</v>
      </c>
    </row>
    <row r="6" spans="1:27" ht="15.75" thickBot="1" x14ac:dyDescent="0.3">
      <c r="A6" s="58" t="s">
        <v>30</v>
      </c>
      <c r="B6" s="51">
        <v>4</v>
      </c>
      <c r="C6" s="52">
        <f>SUMIFS(T_Sport[Kcal],T_Sport[Mois],T_recap[[#This Row],[mois]])</f>
        <v>0</v>
      </c>
      <c r="D6" s="53">
        <f>SUMIFS(T_Sport[km],T_Sport[Mois],T_recap[[#This Row],[mois]])</f>
        <v>0</v>
      </c>
      <c r="E6" s="53">
        <f>SUMIFS(T_Sport[resist],T_Sport[Mois],T_recap[[#This Row],[mois]])</f>
        <v>0</v>
      </c>
      <c r="F6" s="53">
        <f>SUMIFS(T_Sport[km/h],T_Sport[Mois],T_recap[[#This Row],[mois]])</f>
        <v>0</v>
      </c>
      <c r="G6" s="53">
        <f>SUMIFS(T_Sport[rpm2],T_Sport[Mois],T_recap[[#This Row],[mois]])</f>
        <v>0</v>
      </c>
      <c r="H6" s="53">
        <f>SUMIFS(T_Sport[bpm],T_Sport[Mois],T_recap[[#This Row],[mois]])</f>
        <v>0</v>
      </c>
      <c r="I6" s="75">
        <f>SUMIFS(T_Sport[Temps],T_Sport[Mois],T_recap[[#This Row],[mois]])</f>
        <v>0</v>
      </c>
      <c r="J6" s="53"/>
      <c r="K6" s="53"/>
      <c r="L6" s="53"/>
      <c r="M6" s="53"/>
      <c r="N6" s="53"/>
      <c r="O6" s="53"/>
      <c r="P6" s="54"/>
      <c r="Q6" s="53"/>
      <c r="R6" s="53"/>
      <c r="S6" s="53"/>
      <c r="T6" s="53"/>
      <c r="U6" s="53"/>
      <c r="V6" s="53"/>
      <c r="W6" s="54"/>
      <c r="X6" s="53">
        <f>SUMIFS(T_Sport[km],T_Sport[Mois],T_recap[[#This Row],[mois]])</f>
        <v>0</v>
      </c>
      <c r="Y6" s="53">
        <f>SUMIFS(T_Sport[[Calories ]],T_Sport[Mois],T_recap[[#This Row],[mois]])</f>
        <v>0</v>
      </c>
      <c r="Z6" s="75">
        <f>SUMIFS(T_Sport[Temps4],T_Sport[Mois],T_recap[[#This Row],[mois]])</f>
        <v>0</v>
      </c>
    </row>
    <row r="7" spans="1:27" x14ac:dyDescent="0.25">
      <c r="A7" s="58" t="s">
        <v>31</v>
      </c>
      <c r="B7" s="50">
        <v>5</v>
      </c>
      <c r="C7" s="52">
        <f>SUMIFS(T_Sport[Kcal],T_Sport[Mois],T_recap[[#This Row],[mois]])</f>
        <v>0</v>
      </c>
      <c r="D7" s="53">
        <f>SUMIFS(T_Sport[km],T_Sport[Mois],T_recap[[#This Row],[mois]])</f>
        <v>0</v>
      </c>
      <c r="E7" s="53">
        <f>SUMIFS(T_Sport[resist],T_Sport[Mois],T_recap[[#This Row],[mois]])</f>
        <v>0</v>
      </c>
      <c r="F7" s="53">
        <f>SUMIFS(T_Sport[km/h],T_Sport[Mois],T_recap[[#This Row],[mois]])</f>
        <v>0</v>
      </c>
      <c r="G7" s="53">
        <f>SUMIFS(T_Sport[rpm2],T_Sport[Mois],T_recap[[#This Row],[mois]])</f>
        <v>0</v>
      </c>
      <c r="H7" s="53">
        <f>SUMIFS(T_Sport[bpm],T_Sport[Mois],T_recap[[#This Row],[mois]])</f>
        <v>0</v>
      </c>
      <c r="I7" s="75">
        <f>SUMIFS(T_Sport[Temps],T_Sport[Mois],T_recap[[#This Row],[mois]])</f>
        <v>0</v>
      </c>
      <c r="J7" s="55"/>
      <c r="K7" s="55"/>
      <c r="L7" s="55"/>
      <c r="M7" s="55"/>
      <c r="N7" s="55"/>
      <c r="O7" s="55"/>
      <c r="P7" s="56"/>
      <c r="Q7" s="55"/>
      <c r="R7" s="55"/>
      <c r="S7" s="55"/>
      <c r="T7" s="55"/>
      <c r="U7" s="55"/>
      <c r="V7" s="55"/>
      <c r="W7" s="56"/>
      <c r="X7" s="53">
        <f>SUMIFS(T_Sport[km],T_Sport[Mois],T_recap[[#This Row],[mois]])</f>
        <v>0</v>
      </c>
      <c r="Y7" s="53">
        <f>SUMIFS(T_Sport[[Calories ]],T_Sport[Mois],T_recap[[#This Row],[mois]])</f>
        <v>0</v>
      </c>
      <c r="Z7" s="75">
        <f>SUMIFS(T_Sport[Temps4],T_Sport[Mois],T_recap[[#This Row],[mois]])</f>
        <v>0</v>
      </c>
    </row>
    <row r="8" spans="1:27" ht="15.75" thickBot="1" x14ac:dyDescent="0.3">
      <c r="A8" s="58" t="s">
        <v>32</v>
      </c>
      <c r="B8" s="51">
        <v>6</v>
      </c>
      <c r="C8" s="52">
        <f>SUMIFS(T_Sport[Kcal],T_Sport[Mois],T_recap[[#This Row],[mois]])</f>
        <v>0</v>
      </c>
      <c r="D8" s="53">
        <f>SUMIFS(T_Sport[km],T_Sport[Mois],T_recap[[#This Row],[mois]])</f>
        <v>0</v>
      </c>
      <c r="E8" s="53">
        <f>SUMIFS(T_Sport[resist],T_Sport[Mois],T_recap[[#This Row],[mois]])</f>
        <v>0</v>
      </c>
      <c r="F8" s="53">
        <f>SUMIFS(T_Sport[km/h],T_Sport[Mois],T_recap[[#This Row],[mois]])</f>
        <v>0</v>
      </c>
      <c r="G8" s="53">
        <f>SUMIFS(T_Sport[rpm2],T_Sport[Mois],T_recap[[#This Row],[mois]])</f>
        <v>0</v>
      </c>
      <c r="H8" s="53">
        <f>SUMIFS(T_Sport[bpm],T_Sport[Mois],T_recap[[#This Row],[mois]])</f>
        <v>0</v>
      </c>
      <c r="I8" s="75">
        <f>SUMIFS(T_Sport[Temps],T_Sport[Mois],T_recap[[#This Row],[mois]])</f>
        <v>0</v>
      </c>
      <c r="J8" s="57"/>
      <c r="K8" s="57"/>
      <c r="L8" s="57"/>
      <c r="M8" s="57"/>
      <c r="N8" s="57"/>
      <c r="O8" s="57"/>
      <c r="P8" s="54"/>
      <c r="Q8" s="57"/>
      <c r="R8" s="57"/>
      <c r="S8" s="57"/>
      <c r="T8" s="57"/>
      <c r="U8" s="57"/>
      <c r="V8" s="57"/>
      <c r="W8" s="54"/>
      <c r="X8" s="53">
        <f>SUMIFS(T_Sport[km],T_Sport[Mois],T_recap[[#This Row],[mois]])</f>
        <v>0</v>
      </c>
      <c r="Y8" s="53">
        <f>SUMIFS(T_Sport[[Calories ]],T_Sport[Mois],T_recap[[#This Row],[mois]])</f>
        <v>0</v>
      </c>
      <c r="Z8" s="75">
        <f>SUMIFS(T_Sport[Temps4],T_Sport[Mois],T_recap[[#This Row],[mois]])</f>
        <v>0</v>
      </c>
    </row>
    <row r="9" spans="1:27" x14ac:dyDescent="0.25">
      <c r="A9" s="58" t="s">
        <v>33</v>
      </c>
      <c r="B9" s="50">
        <v>7</v>
      </c>
      <c r="C9" s="52">
        <f>SUMIFS(T_Sport[Kcal],T_Sport[Mois],T_recap[[#This Row],[mois]])</f>
        <v>0</v>
      </c>
      <c r="D9" s="53">
        <f>SUMIFS(T_Sport[km],T_Sport[Mois],T_recap[[#This Row],[mois]])</f>
        <v>0</v>
      </c>
      <c r="E9" s="53">
        <f>SUMIFS(T_Sport[resist],T_Sport[Mois],T_recap[[#This Row],[mois]])</f>
        <v>0</v>
      </c>
      <c r="F9" s="53">
        <f>SUMIFS(T_Sport[km/h],T_Sport[Mois],T_recap[[#This Row],[mois]])</f>
        <v>0</v>
      </c>
      <c r="G9" s="53">
        <f>SUMIFS(T_Sport[rpm2],T_Sport[Mois],T_recap[[#This Row],[mois]])</f>
        <v>0</v>
      </c>
      <c r="H9" s="53">
        <f>SUMIFS(T_Sport[bpm],T_Sport[Mois],T_recap[[#This Row],[mois]])</f>
        <v>0</v>
      </c>
      <c r="I9" s="75">
        <f>SUMIFS(T_Sport[Temps],T_Sport[Mois],T_recap[[#This Row],[mois]])</f>
        <v>0</v>
      </c>
      <c r="J9" s="57"/>
      <c r="K9" s="57"/>
      <c r="L9" s="57"/>
      <c r="M9" s="57"/>
      <c r="N9" s="57"/>
      <c r="O9" s="57"/>
      <c r="P9" s="54"/>
      <c r="Q9" s="57"/>
      <c r="R9" s="57"/>
      <c r="S9" s="57"/>
      <c r="T9" s="57"/>
      <c r="U9" s="57"/>
      <c r="V9" s="57"/>
      <c r="W9" s="54"/>
      <c r="X9" s="53">
        <f>SUMIFS(T_Sport[km],T_Sport[Mois],T_recap[[#This Row],[mois]])</f>
        <v>0</v>
      </c>
      <c r="Y9" s="53">
        <f>SUMIFS(T_Sport[[Calories ]],T_Sport[Mois],T_recap[[#This Row],[mois]])</f>
        <v>0</v>
      </c>
      <c r="Z9" s="75">
        <f>SUMIFS(T_Sport[Temps4],T_Sport[Mois],T_recap[[#This Row],[mois]])</f>
        <v>0</v>
      </c>
    </row>
    <row r="10" spans="1:27" ht="15.75" thickBot="1" x14ac:dyDescent="0.3">
      <c r="A10" s="58" t="s">
        <v>34</v>
      </c>
      <c r="B10" s="51">
        <v>8</v>
      </c>
      <c r="C10" s="52">
        <f>SUMIFS(T_Sport[Kcal],T_Sport[Mois],T_recap[[#This Row],[mois]])</f>
        <v>0</v>
      </c>
      <c r="D10" s="53">
        <f>SUMIFS(T_Sport[km],T_Sport[Mois],T_recap[[#This Row],[mois]])</f>
        <v>0</v>
      </c>
      <c r="E10" s="53">
        <f>SUMIFS(T_Sport[resist],T_Sport[Mois],T_recap[[#This Row],[mois]])</f>
        <v>0</v>
      </c>
      <c r="F10" s="53">
        <f>SUMIFS(T_Sport[km/h],T_Sport[Mois],T_recap[[#This Row],[mois]])</f>
        <v>0</v>
      </c>
      <c r="G10" s="53">
        <f>SUMIFS(T_Sport[rpm2],T_Sport[Mois],T_recap[[#This Row],[mois]])</f>
        <v>0</v>
      </c>
      <c r="H10" s="53">
        <f>SUMIFS(T_Sport[bpm],T_Sport[Mois],T_recap[[#This Row],[mois]])</f>
        <v>0</v>
      </c>
      <c r="I10" s="75">
        <f>SUMIFS(T_Sport[Temps],T_Sport[Mois],T_recap[[#This Row],[mois]])</f>
        <v>0</v>
      </c>
      <c r="J10" s="57"/>
      <c r="K10" s="57"/>
      <c r="L10" s="57"/>
      <c r="M10" s="57"/>
      <c r="N10" s="57"/>
      <c r="O10" s="57"/>
      <c r="P10" s="54"/>
      <c r="Q10" s="57"/>
      <c r="R10" s="57"/>
      <c r="S10" s="57"/>
      <c r="T10" s="57"/>
      <c r="U10" s="57"/>
      <c r="V10" s="57"/>
      <c r="W10" s="54"/>
      <c r="X10" s="53">
        <f>SUMIFS(T_Sport[km],T_Sport[Mois],T_recap[[#This Row],[mois]])</f>
        <v>0</v>
      </c>
      <c r="Y10" s="53">
        <f>SUMIFS(T_Sport[[Calories ]],T_Sport[Mois],T_recap[[#This Row],[mois]])</f>
        <v>0</v>
      </c>
      <c r="Z10" s="75">
        <f>SUMIFS(T_Sport[Temps4],T_Sport[Mois],T_recap[[#This Row],[mois]])</f>
        <v>0</v>
      </c>
    </row>
    <row r="11" spans="1:27" x14ac:dyDescent="0.25">
      <c r="A11" s="58" t="s">
        <v>35</v>
      </c>
      <c r="B11" s="50">
        <v>9</v>
      </c>
      <c r="C11" s="52">
        <f>SUMIFS(T_Sport[Kcal],T_Sport[Mois],T_recap[[#This Row],[mois]])</f>
        <v>887</v>
      </c>
      <c r="D11" s="53">
        <f>SUMIFS(T_Sport[km],T_Sport[Mois],T_recap[[#This Row],[mois]])</f>
        <v>8.6000000000000014</v>
      </c>
      <c r="E11" s="53">
        <f>SUMIFS(T_Sport[resist],T_Sport[Mois],T_recap[[#This Row],[mois]])</f>
        <v>18</v>
      </c>
      <c r="F11" s="53">
        <f>SUMIFS(T_Sport[km/h],T_Sport[Mois],T_recap[[#This Row],[mois]])</f>
        <v>74.099999999999994</v>
      </c>
      <c r="G11" s="53">
        <f>SUMIFS(T_Sport[rpm2],T_Sport[Mois],T_recap[[#This Row],[mois]])</f>
        <v>0</v>
      </c>
      <c r="H11" s="53">
        <f>SUMIFS(T_Sport[bpm],T_Sport[Mois],T_recap[[#This Row],[mois]])</f>
        <v>0</v>
      </c>
      <c r="I11" s="75">
        <f>SUMIFS(T_Sport[Temps],T_Sport[Mois],T_recap[[#This Row],[mois]])</f>
        <v>0.11805555555555554</v>
      </c>
      <c r="J11" s="57"/>
      <c r="K11" s="57"/>
      <c r="L11" s="57"/>
      <c r="M11" s="57"/>
      <c r="N11" s="57"/>
      <c r="O11" s="57"/>
      <c r="P11" s="54"/>
      <c r="Q11" s="57"/>
      <c r="R11" s="57"/>
      <c r="S11" s="57"/>
      <c r="T11" s="57"/>
      <c r="U11" s="57"/>
      <c r="V11" s="57"/>
      <c r="W11" s="54"/>
      <c r="X11" s="53">
        <f>SUMIFS(T_Sport[km],T_Sport[Mois],T_recap[[#This Row],[mois]])</f>
        <v>8.6000000000000014</v>
      </c>
      <c r="Y11" s="53">
        <f>SUMIFS(T_Sport[[Calories ]],T_Sport[Mois],T_recap[[#This Row],[mois]])</f>
        <v>6208</v>
      </c>
      <c r="Z11" s="75">
        <f>SUMIFS(T_Sport[Temps4],T_Sport[Mois],T_recap[[#This Row],[mois]])</f>
        <v>0.87777777777777766</v>
      </c>
    </row>
    <row r="12" spans="1:27" ht="15.75" thickBot="1" x14ac:dyDescent="0.3">
      <c r="A12" s="58" t="s">
        <v>36</v>
      </c>
      <c r="B12" s="51">
        <v>10</v>
      </c>
      <c r="C12" s="52">
        <f>SUMIFS(T_Sport[Kcal],T_Sport[Mois],T_recap[[#This Row],[mois]])</f>
        <v>0</v>
      </c>
      <c r="D12" s="53">
        <f>SUMIFS(T_Sport[km],T_Sport[Mois],T_recap[[#This Row],[mois]])</f>
        <v>0</v>
      </c>
      <c r="E12" s="53">
        <f>SUMIFS(T_Sport[resist],T_Sport[Mois],T_recap[[#This Row],[mois]])</f>
        <v>0</v>
      </c>
      <c r="F12" s="53">
        <f>SUMIFS(T_Sport[km/h],T_Sport[Mois],T_recap[[#This Row],[mois]])</f>
        <v>0</v>
      </c>
      <c r="G12" s="53">
        <f>SUMIFS(T_Sport[rpm2],T_Sport[Mois],T_recap[[#This Row],[mois]])</f>
        <v>0</v>
      </c>
      <c r="H12" s="53">
        <f>SUMIFS(T_Sport[bpm],T_Sport[Mois],T_recap[[#This Row],[mois]])</f>
        <v>0</v>
      </c>
      <c r="I12" s="75">
        <f>SUMIFS(T_Sport[Temps],T_Sport[Mois],T_recap[[#This Row],[mois]])</f>
        <v>0</v>
      </c>
      <c r="J12" s="57"/>
      <c r="K12" s="57"/>
      <c r="L12" s="57"/>
      <c r="M12" s="57"/>
      <c r="N12" s="57"/>
      <c r="O12" s="57"/>
      <c r="P12" s="54"/>
      <c r="Q12" s="57"/>
      <c r="R12" s="57"/>
      <c r="S12" s="57"/>
      <c r="T12" s="57"/>
      <c r="U12" s="57"/>
      <c r="V12" s="57"/>
      <c r="W12" s="54"/>
      <c r="X12" s="53">
        <f>SUMIFS(T_Sport[km],T_Sport[Mois],T_recap[[#This Row],[mois]])</f>
        <v>0</v>
      </c>
      <c r="Y12" s="53">
        <f>SUMIFS(T_Sport[[Calories ]],T_Sport[Mois],T_recap[[#This Row],[mois]])</f>
        <v>0</v>
      </c>
      <c r="Z12" s="75">
        <f>SUMIFS(T_Sport[Temps4],T_Sport[Mois],T_recap[[#This Row],[mois]])</f>
        <v>0</v>
      </c>
    </row>
    <row r="13" spans="1:27" x14ac:dyDescent="0.25">
      <c r="A13" s="58" t="s">
        <v>37</v>
      </c>
      <c r="B13" s="50">
        <v>11</v>
      </c>
      <c r="C13" s="52">
        <f>SUMIFS(T_Sport[Kcal],T_Sport[Mois],T_recap[[#This Row],[mois]])</f>
        <v>0</v>
      </c>
      <c r="D13" s="53">
        <f>SUMIFS(T_Sport[km],T_Sport[Mois],T_recap[[#This Row],[mois]])</f>
        <v>0</v>
      </c>
      <c r="E13" s="53">
        <f>SUMIFS(T_Sport[resist],T_Sport[Mois],T_recap[[#This Row],[mois]])</f>
        <v>0</v>
      </c>
      <c r="F13" s="53">
        <f>SUMIFS(T_Sport[km/h],T_Sport[Mois],T_recap[[#This Row],[mois]])</f>
        <v>0</v>
      </c>
      <c r="G13" s="53">
        <f>SUMIFS(T_Sport[rpm2],T_Sport[Mois],T_recap[[#This Row],[mois]])</f>
        <v>0</v>
      </c>
      <c r="H13" s="53">
        <f>SUMIFS(T_Sport[bpm],T_Sport[Mois],T_recap[[#This Row],[mois]])</f>
        <v>0</v>
      </c>
      <c r="I13" s="75">
        <f>SUMIFS(T_Sport[Temps],T_Sport[Mois],T_recap[[#This Row],[mois]])</f>
        <v>0</v>
      </c>
      <c r="J13" s="57"/>
      <c r="K13" s="57"/>
      <c r="L13" s="57"/>
      <c r="M13" s="57"/>
      <c r="N13" s="57"/>
      <c r="O13" s="57"/>
      <c r="P13" s="54"/>
      <c r="Q13" s="57"/>
      <c r="R13" s="57"/>
      <c r="S13" s="57"/>
      <c r="T13" s="57"/>
      <c r="U13" s="57"/>
      <c r="V13" s="57"/>
      <c r="W13" s="54"/>
      <c r="X13" s="53">
        <f>SUMIFS(T_Sport[km],T_Sport[Mois],T_recap[[#This Row],[mois]])</f>
        <v>0</v>
      </c>
      <c r="Y13" s="53">
        <f>SUMIFS(T_Sport[[Calories ]],T_Sport[Mois],T_recap[[#This Row],[mois]])</f>
        <v>0</v>
      </c>
      <c r="Z13" s="75">
        <f>SUMIFS(T_Sport[Temps4],T_Sport[Mois],T_recap[[#This Row],[mois]])</f>
        <v>0</v>
      </c>
    </row>
    <row r="14" spans="1:27" x14ac:dyDescent="0.25">
      <c r="A14" s="59" t="s">
        <v>38</v>
      </c>
      <c r="B14" s="51">
        <v>12</v>
      </c>
      <c r="C14" s="52">
        <f>SUMIFS(T_Sport[Kcal],T_Sport[Mois],T_recap[[#This Row],[mois]])</f>
        <v>0</v>
      </c>
      <c r="D14" s="53">
        <f>SUMIFS(T_Sport[km],T_Sport[Mois],T_recap[[#This Row],[mois]])</f>
        <v>0</v>
      </c>
      <c r="E14" s="53">
        <f>SUMIFS(T_Sport[resist],T_Sport[Mois],T_recap[[#This Row],[mois]])</f>
        <v>0</v>
      </c>
      <c r="F14" s="53">
        <f>SUMIFS(T_Sport[km/h],T_Sport[Mois],T_recap[[#This Row],[mois]])</f>
        <v>0</v>
      </c>
      <c r="G14" s="53">
        <f>SUMIFS(T_Sport[rpm2],T_Sport[Mois],T_recap[[#This Row],[mois]])</f>
        <v>0</v>
      </c>
      <c r="H14" s="53">
        <f>SUMIFS(T_Sport[bpm],T_Sport[Mois],T_recap[[#This Row],[mois]])</f>
        <v>0</v>
      </c>
      <c r="I14" s="75">
        <f>SUMIFS(T_Sport[Temps],T_Sport[Mois],T_recap[[#This Row],[mois]])</f>
        <v>0</v>
      </c>
      <c r="J14" s="53"/>
      <c r="K14" s="53"/>
      <c r="L14" s="53"/>
      <c r="M14" s="53"/>
      <c r="N14" s="53"/>
      <c r="O14" s="53"/>
      <c r="P14" s="54"/>
      <c r="Q14" s="53"/>
      <c r="R14" s="53"/>
      <c r="S14" s="53"/>
      <c r="T14" s="53"/>
      <c r="U14" s="53"/>
      <c r="V14" s="53"/>
      <c r="W14" s="54"/>
      <c r="X14" s="53">
        <f>SUMIFS(T_Sport[km],T_Sport[Mois],T_recap[[#This Row],[mois]])</f>
        <v>0</v>
      </c>
      <c r="Y14" s="53">
        <f>SUMIFS(T_Sport[[Calories ]],T_Sport[Mois],T_recap[[#This Row],[mois]])</f>
        <v>0</v>
      </c>
      <c r="Z14" s="75">
        <f>SUMIFS(T_Sport[Temps4],T_Sport[Mois],T_recap[[#This Row],[mois]])</f>
        <v>0</v>
      </c>
    </row>
    <row r="15" spans="1:27" x14ac:dyDescent="0.25">
      <c r="A15" t="s">
        <v>88</v>
      </c>
      <c r="C15" s="47">
        <f>SUBTOTAL(109,T_recap[Kcal])</f>
        <v>887</v>
      </c>
      <c r="D15" s="47">
        <f>SUBTOTAL(109,T_recap[km])</f>
        <v>8.6000000000000014</v>
      </c>
      <c r="E15" s="47">
        <f>SUBTOTAL(109,T_recap[resist])</f>
        <v>18</v>
      </c>
      <c r="F15" s="48">
        <f>SUBTOTAL(109,T_recap[km/h])</f>
        <v>74.099999999999994</v>
      </c>
      <c r="G15" s="48">
        <f>SUBTOTAL(109,T_recap[rpm])</f>
        <v>0</v>
      </c>
      <c r="H15" s="48">
        <f>SUBTOTAL(109,T_recap[bpm])</f>
        <v>0</v>
      </c>
      <c r="I15" s="49">
        <f>SUBTOTAL(109,T_recap[Temps])</f>
        <v>0.11805555555555554</v>
      </c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7">
        <f>SUBTOTAL(109,T_recap[[Km ]])</f>
        <v>8.6000000000000014</v>
      </c>
      <c r="Y15" s="47">
        <f>SUBTOTAL(109,T_recap[[Calories ]])</f>
        <v>6208</v>
      </c>
      <c r="Z15" s="76">
        <f>SUBTOTAL(109,T_recap[Temps6])</f>
        <v>0.87777777777777766</v>
      </c>
    </row>
    <row r="16" spans="1:27" x14ac:dyDescent="0.25">
      <c r="A16" s="9" t="s">
        <v>39</v>
      </c>
      <c r="B16" s="46"/>
      <c r="C16" s="10">
        <f>T_recap[[#Totals],[Kcal]]/12</f>
        <v>73.916666666666671</v>
      </c>
      <c r="D16" s="10">
        <f>T_recap[[#Totals],[km]]/12</f>
        <v>0.71666666666666679</v>
      </c>
      <c r="E16" s="10">
        <f>T_recap[[#Totals],[resist]]/12</f>
        <v>1.5</v>
      </c>
      <c r="F16" s="10">
        <f>T_recap[[#Totals],[km/h]]/12</f>
        <v>6.1749999999999998</v>
      </c>
      <c r="G16" s="10">
        <f>T_recap[[#Totals],[rpm]]/12</f>
        <v>0</v>
      </c>
      <c r="H16" s="10">
        <f>T_recap[[#Totals],[bpm]]/12</f>
        <v>0</v>
      </c>
      <c r="I16" s="72">
        <f>T_recap[[#Totals],[Temps]]/12</f>
        <v>9.8379629629629615E-3</v>
      </c>
      <c r="J16" s="10">
        <f>T_recap[[#Totals],[500 gr]]/12</f>
        <v>0</v>
      </c>
      <c r="K16" s="10">
        <f>T_recap[[#Totals],[1 kg]]/12</f>
        <v>0</v>
      </c>
      <c r="L16" s="10">
        <f>T_recap[[#Totals],[2 kg]]/12</f>
        <v>0</v>
      </c>
      <c r="M16" s="10">
        <f>T_recap[[#Totals],[3 kg]]/12</f>
        <v>0</v>
      </c>
      <c r="N16" s="10">
        <f>T_recap[[#Totals],[4 kg]]/12</f>
        <v>0</v>
      </c>
      <c r="O16" s="10">
        <f>T_recap[[#Totals],[5 kg]]/12</f>
        <v>0</v>
      </c>
      <c r="P16" s="72">
        <f>T_recap[[#Totals],[Temps2]]/12</f>
        <v>0</v>
      </c>
      <c r="Q16" s="10">
        <f>T_recap[[#Totals],[Abdos]]/12</f>
        <v>0</v>
      </c>
      <c r="R16" s="10">
        <f>T_recap[[#Totals],[Séries]]/12</f>
        <v>0</v>
      </c>
      <c r="S16" s="10">
        <f>T_recap[[#Totals],[Pompes]]/12</f>
        <v>0</v>
      </c>
      <c r="T16" s="10">
        <f>T_recap[[#Totals],[Séries3]]/12</f>
        <v>0</v>
      </c>
      <c r="U16" s="10">
        <f>T_recap[[#Totals],[Etirement]]/12</f>
        <v>0</v>
      </c>
      <c r="V16" s="10">
        <f>T_recap[[#Totals],[Séries4]]/12</f>
        <v>0</v>
      </c>
      <c r="W16" s="72">
        <f>T_recap[[#Totals],[Temps5]]/12</f>
        <v>0</v>
      </c>
      <c r="X16" s="10">
        <f>T_recap[[#Totals],[Km ]]/12</f>
        <v>0.71666666666666679</v>
      </c>
      <c r="Y16" s="10">
        <f>T_recap[[#Totals],[Calories ]]/12</f>
        <v>517.33333333333337</v>
      </c>
      <c r="Z16" s="71">
        <f>T_recap[[#Totals],[Temps6]]/12</f>
        <v>7.3148148148148143E-2</v>
      </c>
    </row>
  </sheetData>
  <mergeCells count="4">
    <mergeCell ref="A1:I1"/>
    <mergeCell ref="J1:P1"/>
    <mergeCell ref="Q1:W1"/>
    <mergeCell ref="X1:Z1"/>
  </mergeCells>
  <phoneticPr fontId="8" type="noConversion"/>
  <pageMargins left="0.7" right="0.7" top="0.75" bottom="0.75" header="0.3" footer="0.3"/>
  <pageSetup paperSize="9" orientation="portrait" horizontalDpi="4294967292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Recap 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Henri</cp:lastModifiedBy>
  <dcterms:created xsi:type="dcterms:W3CDTF">2024-08-14T08:55:22Z</dcterms:created>
  <dcterms:modified xsi:type="dcterms:W3CDTF">2026-09-24T10:35:19Z</dcterms:modified>
</cp:coreProperties>
</file>