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3.xml" ContentType="application/vnd.openxmlformats-officedocument.drawing+xml"/>
  <Override PartName="/xl/tables/table12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9408" tabRatio="783"/>
  </bookViews>
  <sheets>
    <sheet name="Accueil" sheetId="4" r:id="rId1"/>
    <sheet name="listes" sheetId="1" r:id="rId2"/>
    <sheet name="à remplir" sheetId="3" r:id="rId3"/>
    <sheet name="Fiche_Type" sheetId="2" r:id="rId4"/>
  </sheets>
  <definedNames>
    <definedName name="Cat">T_Cat[Catégorie :]</definedName>
    <definedName name="Dosi">T_Dosi[[Dosimétrie ]]</definedName>
    <definedName name="Fre_Exp">T_Fre_Expo[Fréquence exposition]</definedName>
    <definedName name="Nat_Inc">T_Nat_Inc[Nature incident pouvant aboutir à une exposition anormale]</definedName>
    <definedName name="Nat_RI">T_Nat_RI[Nature des rayonnements ionisants :]</definedName>
    <definedName name="Nat_TE">T_Nat_TE[Nature du travail effectué]</definedName>
    <definedName name="No_Fiche">T_Base[Colonne1]</definedName>
    <definedName name="Per_Expo">T_Per_Expo[Périodes d''exposition : description des postes 1, 2,3 et 4]</definedName>
    <definedName name="Profession">T_Prof[Profession]</definedName>
    <definedName name="Quest">T_Quest[question ?]</definedName>
    <definedName name="Serv_UF">T_Serv_UF[Service / unité fonctionnelle]</definedName>
    <definedName name="Sources_RI">T_Sources_RI[sources RI]</definedName>
    <definedName name="_xlnm.Print_Area" localSheetId="3">Fiche_Type!$B$1:$P$75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2" i="2" l="1"/>
  <c r="M61" i="2"/>
  <c r="M58" i="2"/>
  <c r="M55" i="2"/>
  <c r="M52" i="2"/>
  <c r="M48" i="2"/>
  <c r="M45" i="2"/>
  <c r="J45" i="2"/>
  <c r="D45" i="2"/>
  <c r="D43" i="2"/>
  <c r="M40" i="2"/>
  <c r="D40" i="2"/>
  <c r="K38" i="2"/>
  <c r="D38" i="2"/>
  <c r="J34" i="2"/>
  <c r="G34" i="2"/>
  <c r="B34" i="2"/>
  <c r="J32" i="2"/>
  <c r="G32" i="2"/>
  <c r="B32" i="2"/>
  <c r="J30" i="2"/>
  <c r="G30" i="2"/>
  <c r="B30" i="2"/>
  <c r="J24" i="2"/>
  <c r="G24" i="2"/>
  <c r="D24" i="2"/>
  <c r="D22" i="2"/>
  <c r="D21" i="2"/>
  <c r="D20" i="2"/>
  <c r="D18" i="2"/>
  <c r="D17" i="2"/>
  <c r="D16" i="2"/>
  <c r="D14" i="2"/>
  <c r="D12" i="2"/>
  <c r="J9" i="2"/>
  <c r="D9" i="2"/>
  <c r="D8" i="2"/>
  <c r="J7" i="2"/>
  <c r="D7" i="2"/>
  <c r="V12" i="3" l="1"/>
  <c r="W12" i="3" s="1"/>
  <c r="AB12" i="3"/>
  <c r="AC12" i="3" s="1"/>
  <c r="AH12" i="3"/>
  <c r="AI12" i="3" s="1"/>
  <c r="V13" i="3"/>
  <c r="W13" i="3" s="1"/>
  <c r="AB13" i="3"/>
  <c r="AC13" i="3" s="1"/>
  <c r="AH13" i="3"/>
  <c r="AI13" i="3" s="1"/>
  <c r="V14" i="3"/>
  <c r="W14" i="3" s="1"/>
  <c r="AB14" i="3"/>
  <c r="AC14" i="3" s="1"/>
  <c r="AH14" i="3"/>
  <c r="AI14" i="3" s="1"/>
  <c r="V9" i="3"/>
  <c r="W9" i="3" s="1"/>
  <c r="AB9" i="3"/>
  <c r="AC9" i="3" s="1"/>
  <c r="AH9" i="3"/>
  <c r="AI9" i="3" s="1"/>
  <c r="V10" i="3"/>
  <c r="W10" i="3" s="1"/>
  <c r="AB10" i="3"/>
  <c r="AC10" i="3" s="1"/>
  <c r="AH10" i="3"/>
  <c r="AI10" i="3" s="1"/>
  <c r="AH8" i="3"/>
  <c r="AI8" i="3" s="1"/>
  <c r="AB8" i="3"/>
  <c r="AC8" i="3" s="1"/>
  <c r="V8" i="3"/>
  <c r="W8" i="3" s="1"/>
  <c r="AH6" i="3"/>
  <c r="AI6" i="3" s="1"/>
  <c r="AB6" i="3"/>
  <c r="AC6" i="3" s="1"/>
  <c r="V6" i="3"/>
  <c r="W6" i="3" s="1"/>
  <c r="AH5" i="3"/>
  <c r="AI5" i="3" s="1"/>
  <c r="M34" i="2" s="1"/>
  <c r="AB5" i="3"/>
  <c r="AC5" i="3" s="1"/>
  <c r="M32" i="2" s="1"/>
  <c r="V5" i="3"/>
  <c r="W5" i="3" s="1"/>
  <c r="M30" i="2" s="1"/>
  <c r="M65" i="2"/>
  <c r="AJ13" i="3" l="1"/>
  <c r="AJ9" i="3"/>
  <c r="AJ14" i="3"/>
  <c r="AJ12" i="3"/>
  <c r="AJ8" i="3"/>
  <c r="AJ6" i="3"/>
  <c r="AJ10" i="3"/>
  <c r="AJ5" i="3"/>
  <c r="G36" i="2" s="1"/>
</calcChain>
</file>

<file path=xl/sharedStrings.xml><?xml version="1.0" encoding="utf-8"?>
<sst xmlns="http://schemas.openxmlformats.org/spreadsheetml/2006/main" count="577" uniqueCount="232">
  <si>
    <t>Utilisation d'accélérateurs à visée thérapeutique</t>
  </si>
  <si>
    <t>Nature des rayonnements ionisants :</t>
  </si>
  <si>
    <t>Profession</t>
  </si>
  <si>
    <t>Nature du travail effectué</t>
  </si>
  <si>
    <t>Electrons</t>
  </si>
  <si>
    <t>Neutrons</t>
  </si>
  <si>
    <t>Anesthésiste</t>
  </si>
  <si>
    <t>Aide-soignante</t>
  </si>
  <si>
    <t>Cadre de santé</t>
  </si>
  <si>
    <t>Chirurgien cardiologie</t>
  </si>
  <si>
    <t>Chirurgien générale</t>
  </si>
  <si>
    <t>Chirurgien orthopédique</t>
  </si>
  <si>
    <t>Chirurgien viscéral</t>
  </si>
  <si>
    <t>Dosimétrie</t>
  </si>
  <si>
    <t>Radiothérapeute</t>
  </si>
  <si>
    <t>Radiophysicienne</t>
  </si>
  <si>
    <t>Radiologue</t>
  </si>
  <si>
    <t>Manipulateur en électroradiologie médicale</t>
  </si>
  <si>
    <t>Personne compétente en radioprotection</t>
  </si>
  <si>
    <t>Infirmière de bloc opératoire diplômée d'état</t>
  </si>
  <si>
    <t>Infirmière de bloc opératoire</t>
  </si>
  <si>
    <t>Infirmière anesthésiste diplômée d'état</t>
  </si>
  <si>
    <t>Infirmière diplômée d'état</t>
  </si>
  <si>
    <t>Scanner</t>
  </si>
  <si>
    <t>Accélérateurs d'électrons</t>
  </si>
  <si>
    <t>Pratique interventionnelle radioguidée</t>
  </si>
  <si>
    <t>Radiodiagnostic</t>
  </si>
  <si>
    <t>Prénom</t>
  </si>
  <si>
    <t>date de naissance</t>
  </si>
  <si>
    <t>N°SS</t>
  </si>
  <si>
    <t xml:space="preserve">fiche </t>
  </si>
  <si>
    <t>Nature des rayonnements ionisants</t>
  </si>
  <si>
    <t>-</t>
  </si>
  <si>
    <t>description</t>
  </si>
  <si>
    <t>Incident pouvant aboutir à une exposition anormale</t>
  </si>
  <si>
    <t>autres risques potentiellement liés au poste</t>
  </si>
  <si>
    <t>OUI</t>
  </si>
  <si>
    <t>NON</t>
  </si>
  <si>
    <t>Nom de naissance</t>
  </si>
  <si>
    <t>Nom d'usage</t>
  </si>
  <si>
    <t>Catégorie :</t>
  </si>
  <si>
    <t>A</t>
  </si>
  <si>
    <t>B</t>
  </si>
  <si>
    <t>NC</t>
  </si>
  <si>
    <t>Rayons X (faible énergie &lt; 120 keV)</t>
  </si>
  <si>
    <t>Rayons X (Haute énergie en MeV)</t>
  </si>
  <si>
    <t>Date de naissance</t>
  </si>
  <si>
    <t>N° SS</t>
  </si>
  <si>
    <t>Sources RI</t>
  </si>
  <si>
    <t>Natures des rayonnements ionisants</t>
  </si>
  <si>
    <t>Catégorie (A/B/NC)</t>
  </si>
  <si>
    <t>Exposition Radon</t>
  </si>
  <si>
    <t>Non contributive (Zone 1) &lt; 100 bq/m3</t>
  </si>
  <si>
    <t>+</t>
  </si>
  <si>
    <t>Autres risques professionnels</t>
  </si>
  <si>
    <t>Risques Physiques</t>
  </si>
  <si>
    <t>Manutention de personnes - Port de charge - Posture de travail - Travail sur écran - Ambiance lumineuse - Ambiance sonore</t>
  </si>
  <si>
    <t>Risques Chimiques</t>
  </si>
  <si>
    <t>Utilisation de produits de désinfection, de laboratoire (produits de contrastes)</t>
  </si>
  <si>
    <t>Risques biologiques</t>
  </si>
  <si>
    <t>Risques organisationnels</t>
  </si>
  <si>
    <t>Coactivité - Gardes et astreintes - Travail de nuit</t>
  </si>
  <si>
    <t>Exposition au sang et/ou liquides biologiques - Réalisation de points de tatouage</t>
  </si>
  <si>
    <t>Autres risques</t>
  </si>
  <si>
    <t>Stress de l'urgence - Agression verbales et/ou physique</t>
  </si>
  <si>
    <t>Doses extrémités (mSv/an)</t>
  </si>
  <si>
    <t>Doses cristallin (mSv/an)</t>
  </si>
  <si>
    <t>Observations</t>
  </si>
  <si>
    <t xml:space="preserve">Coordonnées Personne Compétente en Radioprotection CHIPS </t>
  </si>
  <si>
    <t>Signature PCR/CRP</t>
  </si>
  <si>
    <t>Date</t>
  </si>
  <si>
    <t>Service / unité fonctionnelle</t>
  </si>
  <si>
    <t>Entrée en zone contrôlée</t>
  </si>
  <si>
    <t>Dose efficace prévisionnelle total (mSv/an)</t>
  </si>
  <si>
    <t>Radioprotection</t>
  </si>
  <si>
    <t>sources RI</t>
  </si>
  <si>
    <t>Arceau bloc / Salle interventionnelle</t>
  </si>
  <si>
    <t>Générateurs de rayons X (table radio, mobile, panoramique, rétroalvéolaire)</t>
  </si>
  <si>
    <t>Anesthésie</t>
  </si>
  <si>
    <t>Bloc opératoire</t>
  </si>
  <si>
    <t>Cardiologie</t>
  </si>
  <si>
    <t>Endoscopie</t>
  </si>
  <si>
    <t>Radiologie</t>
  </si>
  <si>
    <t>Radiothérapie</t>
  </si>
  <si>
    <t>Périodes d'exposition : description des postes 1, 2,3 et 4</t>
  </si>
  <si>
    <t>Au pupitre, derrière vitre plombée (scanner)</t>
  </si>
  <si>
    <t>Au pupitre, derrière vitre plombée (salle radio)</t>
  </si>
  <si>
    <t>Au pupitre, derrière vitre plombée (panoramique)</t>
  </si>
  <si>
    <t>Au poste de commande (accélérateur radiothérapie)</t>
  </si>
  <si>
    <t>Au pupitre, derrière vitre plombée (salle interventionnelle)</t>
  </si>
  <si>
    <t>Arceau de bloc / Salle interventionnelle</t>
  </si>
  <si>
    <t>Radiodiagnostic (rétroalvéolaire)</t>
  </si>
  <si>
    <t>interventionnel : à 50 cm du diffuseur (arceau de bloc)</t>
  </si>
  <si>
    <t>interventionnel : à 50 cm du diffuseur (salle interventionnelle)</t>
  </si>
  <si>
    <t>interventionnel : à 100 cm du diffuseur (scanner)</t>
  </si>
  <si>
    <t>Radio au lit (mobile de radiologie, à 2 m)</t>
  </si>
  <si>
    <t>interventionnel : à 50 cm du diffuseur (salle radio)</t>
  </si>
  <si>
    <t>Au pupitre, derrière arceau de bloc</t>
  </si>
  <si>
    <t>Poste 1 (accélérateur Halcyon)</t>
  </si>
  <si>
    <t>Poste 2 (accélérateur True Beam)</t>
  </si>
  <si>
    <t>Poste 3 (scanner)</t>
  </si>
  <si>
    <t>valeur EDP débit de dose (µSv/h)</t>
  </si>
  <si>
    <t>Calculs dose efficace prévisionnelle par an (rappel règlementation =&gt; 160h/mois + 22j/an + 11 mois/an)</t>
  </si>
  <si>
    <t>débit de dose/an (µSv/an)</t>
  </si>
  <si>
    <t>Dose efficace (mSv/an)</t>
  </si>
  <si>
    <t>Fréquence expo</t>
  </si>
  <si>
    <t>Fréquence exposition</t>
  </si>
  <si>
    <t>quotidienne</t>
  </si>
  <si>
    <t>hebdomadaire</t>
  </si>
  <si>
    <t>mensuel</t>
  </si>
  <si>
    <t>trimestrielle</t>
  </si>
  <si>
    <t>semestrielle</t>
  </si>
  <si>
    <t>1/an</t>
  </si>
  <si>
    <t>Tps annuel estimé (h/an)</t>
  </si>
  <si>
    <t>Dose eff prév (mSv/an)</t>
  </si>
  <si>
    <t>Dose cristallin</t>
  </si>
  <si>
    <t>par an (mSv/an)</t>
  </si>
  <si>
    <t>Dose extrémités</t>
  </si>
  <si>
    <t>Catégorie</t>
  </si>
  <si>
    <t>Entrée en zone contrôlée ?</t>
  </si>
  <si>
    <t>question ?</t>
  </si>
  <si>
    <t xml:space="preserve">Dosimétrie </t>
  </si>
  <si>
    <t>à lecture différée</t>
  </si>
  <si>
    <t>opérationnelle</t>
  </si>
  <si>
    <t>h/an</t>
  </si>
  <si>
    <t>débit de dose/an (mSv/an)</t>
  </si>
  <si>
    <t>physiques</t>
  </si>
  <si>
    <t>chimiques</t>
  </si>
  <si>
    <t>biologiques</t>
  </si>
  <si>
    <t>organistionnels</t>
  </si>
  <si>
    <t>autres</t>
  </si>
  <si>
    <t>manutention, port de charge, posture, écran, lumière, sonore</t>
  </si>
  <si>
    <t>produits de désinfection, lproduits labo, contraste</t>
  </si>
  <si>
    <t>expo au sg et/ou liquides bio</t>
  </si>
  <si>
    <t>coactivité, gardes et astreintes, travail de nuit</t>
  </si>
  <si>
    <t>stress urg, agression</t>
  </si>
  <si>
    <t>observations</t>
  </si>
  <si>
    <t>test texte …..kfjfjfjfjf</t>
  </si>
  <si>
    <t>Nature/durée/description</t>
  </si>
  <si>
    <t>Dose incident prévisible avec son unité</t>
  </si>
  <si>
    <t>Nature incident pouvant aboutir à une exposition anormale</t>
  </si>
  <si>
    <t>Hélice de scanner de 10 sec,sans protection</t>
  </si>
  <si>
    <t>Scopie de 10 sec, sans protection à 1m du diffuseur</t>
  </si>
  <si>
    <t>Cliché, sans protection à 1m du diffuseur</t>
  </si>
  <si>
    <t>Coordonnées service de santé au travail</t>
  </si>
  <si>
    <t>Doe</t>
  </si>
  <si>
    <t>John</t>
  </si>
  <si>
    <t>Noémie</t>
  </si>
  <si>
    <t>Arc</t>
  </si>
  <si>
    <t>Toto</t>
  </si>
  <si>
    <t>Jean</t>
  </si>
  <si>
    <t>Antoine</t>
  </si>
  <si>
    <t>Marc</t>
  </si>
  <si>
    <t>Legrand</t>
  </si>
  <si>
    <t>Alexandre</t>
  </si>
  <si>
    <t>Parker</t>
  </si>
  <si>
    <t>Peter</t>
  </si>
  <si>
    <t>Bruce</t>
  </si>
  <si>
    <t>Kent</t>
  </si>
  <si>
    <t>Wayne</t>
  </si>
  <si>
    <t>Clark</t>
  </si>
  <si>
    <t>Wonder</t>
  </si>
  <si>
    <t>Woman</t>
  </si>
  <si>
    <t>DeRiv</t>
  </si>
  <si>
    <t>Geralt</t>
  </si>
  <si>
    <t>Ligne tél XXXXX</t>
  </si>
  <si>
    <t>Ligne tél XXXX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</si>
  <si>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</si>
  <si>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</si>
  <si>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</si>
  <si>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</si>
  <si>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</si>
  <si>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</si>
  <si>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</si>
  <si>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</si>
  <si>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</si>
  <si>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</si>
  <si>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</si>
  <si>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</si>
  <si>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</si>
  <si>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</si>
  <si>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</si>
  <si>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</si>
  <si>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</si>
  <si>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</si>
  <si>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</si>
  <si>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</si>
  <si>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</si>
  <si>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</si>
  <si>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</si>
  <si>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</si>
  <si>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</si>
  <si>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</si>
  <si>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</si>
  <si>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</si>
  <si>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</si>
  <si>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</si>
  <si>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</si>
  <si>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</si>
  <si>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</si>
  <si>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</si>
  <si>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</si>
  <si>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</si>
  <si>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</si>
  <si>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</si>
  <si>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</si>
  <si>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</si>
  <si>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</si>
  <si>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</si>
  <si>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</si>
  <si>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</si>
  <si>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</si>
  <si>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</si>
  <si>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</si>
  <si>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</si>
  <si>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</si>
  <si>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</si>
  <si>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</si>
  <si>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</si>
  <si>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F001</t>
  </si>
  <si>
    <t>F002</t>
  </si>
  <si>
    <t>F003</t>
  </si>
  <si>
    <t>F004</t>
  </si>
  <si>
    <t>F005</t>
  </si>
  <si>
    <t>F006</t>
  </si>
  <si>
    <t>F007</t>
  </si>
  <si>
    <t>F008</t>
  </si>
  <si>
    <t>F009</t>
  </si>
  <si>
    <t>F010</t>
  </si>
  <si>
    <t>1 29 78 00 000 000 | 00</t>
  </si>
  <si>
    <t/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</si>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</sst>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0" fontId="2" fillId="0" borderId="0" xfId="0" applyFont="1" applyFill="1"/>
    <xf numFmtId="0" fontId="2" fillId="0" borderId="0" xfId="0" applyFont="1"/>
    <xf numFmtId="164" fontId="2" fillId="3" borderId="0" xfId="0" applyNumberFormat="1" applyFont="1" applyFill="1" applyBorder="1" applyAlignment="1">
      <alignment horizontal="center"/>
    </xf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2" fillId="4" borderId="10" xfId="0" applyFont="1" applyFill="1" applyBorder="1"/>
    <xf numFmtId="0" fontId="2" fillId="4" borderId="11" xfId="0" applyFont="1" applyFill="1" applyBorder="1"/>
    <xf numFmtId="0" fontId="2" fillId="4" borderId="0" xfId="0" applyFont="1" applyFill="1" applyBorder="1"/>
    <xf numFmtId="0" fontId="2" fillId="4" borderId="12" xfId="0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3" fillId="4" borderId="11" xfId="0" applyFont="1" applyFill="1" applyBorder="1" applyAlignment="1"/>
    <xf numFmtId="0" fontId="3" fillId="4" borderId="10" xfId="0" applyFont="1" applyFill="1" applyBorder="1" applyAlignment="1"/>
    <xf numFmtId="14" fontId="2" fillId="4" borderId="0" xfId="0" applyNumberFormat="1" applyFont="1" applyFill="1" applyBorder="1"/>
    <xf numFmtId="0" fontId="2" fillId="3" borderId="10" xfId="0" applyFont="1" applyFill="1" applyBorder="1"/>
    <xf numFmtId="0" fontId="2" fillId="3" borderId="11" xfId="0" applyFont="1" applyFill="1" applyBorder="1"/>
    <xf numFmtId="0" fontId="2" fillId="3" borderId="0" xfId="0" applyFont="1" applyFill="1" applyBorder="1"/>
    <xf numFmtId="0" fontId="2" fillId="3" borderId="12" xfId="0" applyFont="1" applyFill="1" applyBorder="1"/>
    <xf numFmtId="0" fontId="3" fillId="3" borderId="14" xfId="0" applyFont="1" applyFill="1" applyBorder="1" applyAlignment="1">
      <alignment horizontal="right"/>
    </xf>
    <xf numFmtId="0" fontId="2" fillId="3" borderId="14" xfId="0" applyFont="1" applyFill="1" applyBorder="1"/>
    <xf numFmtId="14" fontId="2" fillId="3" borderId="14" xfId="0" applyNumberFormat="1" applyFont="1" applyFill="1" applyBorder="1" applyAlignment="1">
      <alignment horizontal="center"/>
    </xf>
    <xf numFmtId="164" fontId="2" fillId="3" borderId="14" xfId="0" applyNumberFormat="1" applyFont="1" applyFill="1" applyBorder="1" applyAlignment="1">
      <alignment horizontal="center"/>
    </xf>
    <xf numFmtId="0" fontId="2" fillId="3" borderId="15" xfId="0" applyFont="1" applyFill="1" applyBorder="1"/>
    <xf numFmtId="0" fontId="3" fillId="3" borderId="0" xfId="0" applyFont="1" applyFill="1" applyBorder="1"/>
    <xf numFmtId="0" fontId="2" fillId="3" borderId="14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0" borderId="22" xfId="0" quotePrefix="1" applyFill="1" applyBorder="1" applyAlignment="1">
      <alignment horizontal="center" vertical="center" wrapText="1"/>
    </xf>
    <xf numFmtId="14" fontId="0" fillId="0" borderId="22" xfId="0" applyNumberFormat="1" applyFill="1" applyBorder="1" applyAlignment="1">
      <alignment horizontal="center" vertical="center" wrapText="1"/>
    </xf>
    <xf numFmtId="164" fontId="0" fillId="0" borderId="22" xfId="0" applyNumberForma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5" borderId="19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/>
    <xf numFmtId="0" fontId="3" fillId="4" borderId="0" xfId="0" applyFont="1" applyFill="1" applyBorder="1" applyAlignment="1">
      <alignment vertical="center"/>
    </xf>
    <xf numFmtId="0" fontId="3" fillId="4" borderId="12" xfId="0" applyFont="1" applyFill="1" applyBorder="1" applyAlignment="1">
      <alignment horizontal="left"/>
    </xf>
    <xf numFmtId="0" fontId="2" fillId="4" borderId="12" xfId="0" applyFont="1" applyFill="1" applyBorder="1" applyAlignment="1"/>
    <xf numFmtId="0" fontId="2" fillId="2" borderId="0" xfId="0" applyFont="1" applyFill="1"/>
    <xf numFmtId="0" fontId="1" fillId="0" borderId="50" xfId="0" applyFont="1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0" borderId="51" xfId="0" quotePrefix="1" applyFill="1" applyBorder="1" applyAlignment="1">
      <alignment horizontal="center" vertical="center" wrapText="1"/>
    </xf>
    <xf numFmtId="14" fontId="0" fillId="0" borderId="51" xfId="0" applyNumberFormat="1" applyFill="1" applyBorder="1" applyAlignment="1">
      <alignment horizontal="center" vertical="center" wrapText="1"/>
    </xf>
    <xf numFmtId="164" fontId="0" fillId="0" borderId="51" xfId="0" applyNumberFormat="1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0" fillId="0" borderId="50" xfId="0" applyFill="1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0" fontId="0" fillId="2" borderId="55" xfId="0" applyFill="1" applyBorder="1" applyAlignment="1">
      <alignment horizontal="center" vertical="center" wrapText="1"/>
    </xf>
    <xf numFmtId="0" fontId="0" fillId="2" borderId="56" xfId="0" applyFill="1" applyBorder="1" applyAlignment="1">
      <alignment horizontal="center" vertical="center" wrapText="1"/>
    </xf>
    <xf numFmtId="0" fontId="0" fillId="2" borderId="53" xfId="0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6" xfId="0" quotePrefix="1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2" borderId="49" xfId="0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 wrapText="1"/>
    </xf>
    <xf numFmtId="165" fontId="1" fillId="0" borderId="26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10" xfId="0" applyBorder="1"/>
    <xf numFmtId="0" fontId="0" fillId="0" borderId="10" xfId="0" applyFill="1" applyBorder="1"/>
    <xf numFmtId="0" fontId="0" fillId="0" borderId="3" xfId="0" applyBorder="1" applyAlignment="1"/>
    <xf numFmtId="0" fontId="0" fillId="0" borderId="10" xfId="0" applyBorder="1" applyAlignment="1"/>
    <xf numFmtId="0" fontId="0" fillId="0" borderId="3" xfId="0" applyFill="1" applyBorder="1" applyAlignment="1"/>
    <xf numFmtId="0" fontId="0" fillId="0" borderId="10" xfId="0" applyFill="1" applyBorder="1" applyAlignment="1"/>
    <xf numFmtId="0" fontId="0" fillId="0" borderId="0" xfId="0" applyFill="1" applyBorder="1"/>
    <xf numFmtId="0" fontId="0" fillId="0" borderId="14" xfId="0" applyFill="1" applyBorder="1"/>
    <xf numFmtId="0" fontId="0" fillId="0" borderId="14" xfId="0" applyFill="1" applyBorder="1" applyAlignment="1"/>
    <xf numFmtId="0" fontId="3" fillId="4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right"/>
    </xf>
    <xf numFmtId="0" fontId="0" fillId="0" borderId="0" xfId="0" applyBorder="1"/>
    <xf numFmtId="0" fontId="2" fillId="4" borderId="57" xfId="0" applyFont="1" applyFill="1" applyBorder="1"/>
    <xf numFmtId="0" fontId="2" fillId="4" borderId="58" xfId="0" applyFont="1" applyFill="1" applyBorder="1"/>
    <xf numFmtId="0" fontId="2" fillId="0" borderId="59" xfId="0" applyFont="1" applyFill="1" applyBorder="1"/>
    <xf numFmtId="0" fontId="2" fillId="4" borderId="60" xfId="0" applyFont="1" applyFill="1" applyBorder="1"/>
    <xf numFmtId="0" fontId="2" fillId="0" borderId="61" xfId="0" applyFont="1" applyFill="1" applyBorder="1"/>
    <xf numFmtId="0" fontId="2" fillId="3" borderId="62" xfId="0" applyFont="1" applyFill="1" applyBorder="1"/>
    <xf numFmtId="0" fontId="2" fillId="3" borderId="60" xfId="0" applyFont="1" applyFill="1" applyBorder="1"/>
    <xf numFmtId="0" fontId="2" fillId="3" borderId="63" xfId="0" applyFont="1" applyFill="1" applyBorder="1"/>
    <xf numFmtId="0" fontId="2" fillId="4" borderId="60" xfId="0" applyFont="1" applyFill="1" applyBorder="1" applyAlignment="1"/>
    <xf numFmtId="0" fontId="2" fillId="4" borderId="0" xfId="0" applyFont="1" applyFill="1" applyBorder="1" applyAlignment="1">
      <alignment vertical="center"/>
    </xf>
    <xf numFmtId="0" fontId="2" fillId="0" borderId="61" xfId="0" applyFont="1" applyBorder="1"/>
    <xf numFmtId="0" fontId="3" fillId="4" borderId="60" xfId="0" applyFont="1" applyFill="1" applyBorder="1" applyAlignment="1"/>
    <xf numFmtId="0" fontId="2" fillId="4" borderId="64" xfId="0" applyFont="1" applyFill="1" applyBorder="1"/>
    <xf numFmtId="0" fontId="2" fillId="4" borderId="65" xfId="0" applyFont="1" applyFill="1" applyBorder="1"/>
    <xf numFmtId="0" fontId="2" fillId="0" borderId="66" xfId="0" applyFont="1" applyBorder="1"/>
    <xf numFmtId="0" fontId="1" fillId="5" borderId="40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5" borderId="38" xfId="0" applyFont="1" applyFill="1" applyBorder="1" applyAlignment="1">
      <alignment horizontal="center" vertical="center" wrapText="1"/>
    </xf>
    <xf numFmtId="0" fontId="1" fillId="5" borderId="41" xfId="0" applyFont="1" applyFill="1" applyBorder="1" applyAlignment="1">
      <alignment horizontal="center" vertical="center" wrapText="1"/>
    </xf>
    <xf numFmtId="0" fontId="1" fillId="5" borderId="43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5" borderId="42" xfId="0" applyFont="1" applyFill="1" applyBorder="1" applyAlignment="1">
      <alignment horizontal="center" vertical="center" wrapText="1"/>
    </xf>
    <xf numFmtId="14" fontId="1" fillId="5" borderId="40" xfId="0" applyNumberFormat="1" applyFont="1" applyFill="1" applyBorder="1" applyAlignment="1">
      <alignment horizontal="center" vertical="center" wrapText="1"/>
    </xf>
    <xf numFmtId="14" fontId="1" fillId="5" borderId="8" xfId="0" applyNumberFormat="1" applyFont="1" applyFill="1" applyBorder="1" applyAlignment="1">
      <alignment horizontal="center" vertical="center" wrapText="1"/>
    </xf>
    <xf numFmtId="14" fontId="1" fillId="5" borderId="7" xfId="0" applyNumberFormat="1" applyFont="1" applyFill="1" applyBorder="1" applyAlignment="1">
      <alignment horizontal="center" vertical="center" wrapText="1"/>
    </xf>
    <xf numFmtId="164" fontId="1" fillId="5" borderId="40" xfId="0" applyNumberFormat="1" applyFont="1" applyFill="1" applyBorder="1" applyAlignment="1">
      <alignment horizontal="center" vertical="center" wrapText="1"/>
    </xf>
    <xf numFmtId="164" fontId="1" fillId="5" borderId="8" xfId="0" applyNumberFormat="1" applyFont="1" applyFill="1" applyBorder="1" applyAlignment="1">
      <alignment horizontal="center" vertical="center" wrapText="1"/>
    </xf>
    <xf numFmtId="164" fontId="1" fillId="5" borderId="7" xfId="0" applyNumberFormat="1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29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5" borderId="44" xfId="0" applyFont="1" applyFill="1" applyBorder="1" applyAlignment="1">
      <alignment horizontal="center" vertical="center" wrapText="1"/>
    </xf>
    <xf numFmtId="0" fontId="1" fillId="5" borderId="45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/>
    </xf>
    <xf numFmtId="0" fontId="3" fillId="4" borderId="10" xfId="0" applyFont="1" applyFill="1" applyBorder="1" applyAlignment="1">
      <alignment horizontal="left"/>
    </xf>
    <xf numFmtId="0" fontId="2" fillId="4" borderId="13" xfId="0" applyFont="1" applyFill="1" applyBorder="1" applyAlignment="1">
      <alignment horizontal="left" wrapText="1"/>
    </xf>
    <xf numFmtId="0" fontId="2" fillId="4" borderId="14" xfId="0" applyFont="1" applyFill="1" applyBorder="1" applyAlignment="1">
      <alignment horizontal="left" wrapText="1"/>
    </xf>
    <xf numFmtId="0" fontId="2" fillId="4" borderId="15" xfId="0" applyFont="1" applyFill="1" applyBorder="1" applyAlignment="1">
      <alignment horizontal="left" wrapText="1"/>
    </xf>
    <xf numFmtId="0" fontId="3" fillId="4" borderId="0" xfId="0" applyFont="1" applyFill="1" applyBorder="1" applyAlignment="1">
      <alignment horizontal="right"/>
    </xf>
    <xf numFmtId="0" fontId="2" fillId="4" borderId="13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left" wrapText="1"/>
    </xf>
    <xf numFmtId="0" fontId="2" fillId="4" borderId="0" xfId="0" applyFont="1" applyFill="1" applyBorder="1" applyAlignment="1">
      <alignment horizontal="left" wrapText="1"/>
    </xf>
    <xf numFmtId="0" fontId="2" fillId="4" borderId="12" xfId="0" applyFont="1" applyFill="1" applyBorder="1" applyAlignment="1">
      <alignment horizontal="left" wrapText="1"/>
    </xf>
    <xf numFmtId="0" fontId="0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/>
    </xf>
    <xf numFmtId="14" fontId="2" fillId="4" borderId="4" xfId="0" applyNumberFormat="1" applyFont="1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left"/>
    </xf>
    <xf numFmtId="0" fontId="3" fillId="3" borderId="60" xfId="0" applyFont="1" applyFill="1" applyBorder="1" applyAlignment="1">
      <alignment horizontal="right"/>
    </xf>
    <xf numFmtId="0" fontId="3" fillId="3" borderId="63" xfId="0" applyFont="1" applyFill="1" applyBorder="1" applyAlignment="1">
      <alignment horizontal="right"/>
    </xf>
    <xf numFmtId="0" fontId="3" fillId="4" borderId="60" xfId="0" applyFont="1" applyFill="1" applyBorder="1" applyAlignment="1">
      <alignment horizontal="right"/>
    </xf>
    <xf numFmtId="0" fontId="2" fillId="4" borderId="60" xfId="0" applyFont="1" applyFill="1" applyBorder="1" applyAlignment="1">
      <alignment horizontal="right"/>
    </xf>
    <xf numFmtId="0" fontId="2" fillId="0" borderId="60" xfId="0" applyFont="1" applyFill="1" applyBorder="1"/>
    <xf numFmtId="0" fontId="3" fillId="4" borderId="60" xfId="0" applyFont="1" applyFill="1" applyBorder="1" applyAlignment="1">
      <alignment horizontal="right" vertical="center" wrapText="1"/>
    </xf>
    <xf numFmtId="0" fontId="0" fillId="6" borderId="67" xfId="0" applyFont="1" applyFill="1" applyBorder="1" applyAlignment="1">
      <alignment horizontal="center"/>
    </xf>
    <xf numFmtId="0" fontId="3" fillId="4" borderId="60" xfId="0" applyFont="1" applyFill="1" applyBorder="1" applyAlignment="1">
      <alignment horizontal="right"/>
    </xf>
    <xf numFmtId="0" fontId="3" fillId="4" borderId="68" xfId="0" applyFont="1" applyFill="1" applyBorder="1"/>
    <xf numFmtId="0" fontId="0" fillId="4" borderId="69" xfId="0" applyFont="1" applyFill="1" applyBorder="1" applyAlignment="1">
      <alignment horizontal="center" vertical="center"/>
    </xf>
    <xf numFmtId="0" fontId="2" fillId="4" borderId="69" xfId="0" applyFont="1" applyFill="1" applyBorder="1" applyAlignment="1">
      <alignment horizontal="center" vertical="center"/>
    </xf>
    <xf numFmtId="0" fontId="2" fillId="4" borderId="70" xfId="0" applyFont="1" applyFill="1" applyBorder="1" applyAlignment="1">
      <alignment horizontal="center" vertical="center"/>
    </xf>
    <xf numFmtId="0" fontId="3" fillId="4" borderId="62" xfId="0" applyFont="1" applyFill="1" applyBorder="1" applyAlignment="1">
      <alignment horizontal="left"/>
    </xf>
    <xf numFmtId="0" fontId="3" fillId="4" borderId="60" xfId="0" applyFont="1" applyFill="1" applyBorder="1" applyAlignment="1">
      <alignment horizontal="left"/>
    </xf>
    <xf numFmtId="0" fontId="0" fillId="4" borderId="60" xfId="0" applyFill="1" applyBorder="1"/>
    <xf numFmtId="0" fontId="3" fillId="4" borderId="60" xfId="0" applyFont="1" applyFill="1" applyBorder="1" applyAlignment="1">
      <alignment horizontal="left"/>
    </xf>
    <xf numFmtId="0" fontId="3" fillId="4" borderId="60" xfId="0" applyFont="1" applyFill="1" applyBorder="1"/>
    <xf numFmtId="0" fontId="2" fillId="4" borderId="63" xfId="0" applyFont="1" applyFill="1" applyBorder="1"/>
  </cellXfs>
  <cellStyles count="1">
    <cellStyle name="Normal" xfId="0" builtinId="0"/>
  </cellStyles>
  <dxfs count="125"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746760</xdr:colOff>
      <xdr:row>1</xdr:row>
      <xdr:rowOff>175260</xdr:rowOff>
    </xdr:from>
    <xdr:to>
      <xdr:col>8</xdr:col>
      <xdr:colOff>220980</xdr:colOff>
      <xdr:row>8</xdr:row>
      <xdr:rowOff>91440</xdr:rowOff>
    </xdr:to>
    <xdr:sp macro="[0]!Appel_Usf" textlink="">
      <xdr:nvSpPr>
        <xdr:cNvPr id="2" name="Organigramme : Alternative 1"/>
        <xdr:cNvSpPr/>
      </xdr:nvSpPr>
      <xdr:spPr>
        <a:xfrm>
          <a:off x="3124200" y="358140"/>
          <a:ext cx="3436620" cy="119634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Formulaire de gestion</a:t>
          </a:r>
        </a:p>
      </xdr:txBody>
    </xdr:sp>
    <xdr:clientData/>
  </xdr:twoCellAnchor>
  <xdr:twoCellAnchor>
    <xdr:from>
      <xdr:col>9</xdr:col>
      <xdr:colOff>99060</xdr:colOff>
      <xdr:row>3</xdr:row>
      <xdr:rowOff>137160</xdr:rowOff>
    </xdr:from>
    <xdr:to>
      <xdr:col>10</xdr:col>
      <xdr:colOff>701040</xdr:colOff>
      <xdr:row>7</xdr:row>
      <xdr:rowOff>175260</xdr:rowOff>
    </xdr:to>
    <xdr:sp macro="[0]!Va_listes" textlink="">
      <xdr:nvSpPr>
        <xdr:cNvPr id="4" name="Flèche droite 3"/>
        <xdr:cNvSpPr/>
      </xdr:nvSpPr>
      <xdr:spPr>
        <a:xfrm>
          <a:off x="7231380" y="685800"/>
          <a:ext cx="1394460" cy="7696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</a:t>
          </a:r>
          <a:r>
            <a:rPr lang="fr-FR" sz="1100" baseline="0"/>
            <a:t> Listes</a:t>
          </a:r>
          <a:endParaRPr lang="fr-FR" sz="1100"/>
        </a:p>
      </xdr:txBody>
    </xdr:sp>
    <xdr:clientData/>
  </xdr:twoCellAnchor>
  <xdr:twoCellAnchor>
    <xdr:from>
      <xdr:col>9</xdr:col>
      <xdr:colOff>685800</xdr:colOff>
      <xdr:row>8</xdr:row>
      <xdr:rowOff>137160</xdr:rowOff>
    </xdr:from>
    <xdr:to>
      <xdr:col>11</xdr:col>
      <xdr:colOff>495300</xdr:colOff>
      <xdr:row>12</xdr:row>
      <xdr:rowOff>175260</xdr:rowOff>
    </xdr:to>
    <xdr:sp macro="[0]!va_Base" textlink="">
      <xdr:nvSpPr>
        <xdr:cNvPr id="6" name="Flèche droite 5"/>
        <xdr:cNvSpPr/>
      </xdr:nvSpPr>
      <xdr:spPr>
        <a:xfrm>
          <a:off x="7818120" y="1600200"/>
          <a:ext cx="1394460" cy="7696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</a:t>
          </a:r>
          <a:r>
            <a:rPr lang="fr-FR" sz="1100" baseline="0"/>
            <a:t> à remplir</a:t>
          </a:r>
          <a:endParaRPr lang="fr-FR" sz="1100"/>
        </a:p>
      </xdr:txBody>
    </xdr:sp>
    <xdr:clientData/>
  </xdr:twoCellAnchor>
  <xdr:twoCellAnchor>
    <xdr:from>
      <xdr:col>10</xdr:col>
      <xdr:colOff>502920</xdr:colOff>
      <xdr:row>13</xdr:row>
      <xdr:rowOff>137160</xdr:rowOff>
    </xdr:from>
    <xdr:to>
      <xdr:col>12</xdr:col>
      <xdr:colOff>312420</xdr:colOff>
      <xdr:row>17</xdr:row>
      <xdr:rowOff>175260</xdr:rowOff>
    </xdr:to>
    <xdr:sp macro="[0]!va_Fiche" textlink="">
      <xdr:nvSpPr>
        <xdr:cNvPr id="9" name="Flèche droite 8"/>
        <xdr:cNvSpPr/>
      </xdr:nvSpPr>
      <xdr:spPr>
        <a:xfrm>
          <a:off x="8427720" y="2514600"/>
          <a:ext cx="1394460" cy="7696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</a:t>
          </a:r>
          <a:r>
            <a:rPr lang="fr-FR" sz="1100" baseline="0"/>
            <a:t> Fiche type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1440180</xdr:colOff>
      <xdr:row>18</xdr:row>
      <xdr:rowOff>68580</xdr:rowOff>
    </xdr:from>
    <xdr:to>
      <xdr:col>1</xdr:col>
      <xdr:colOff>2644140</xdr:colOff>
      <xdr:row>21</xdr:row>
      <xdr:rowOff>4572</xdr:rowOff>
    </xdr:to>
    <xdr:sp macro="[0]!Va_Accueil" textlink="">
      <xdr:nvSpPr>
        <xdr:cNvPr id="3" name="Flèche gauche 2"/>
        <xdr:cNvSpPr/>
      </xdr:nvSpPr>
      <xdr:spPr>
        <a:xfrm>
          <a:off x="4221480" y="3360420"/>
          <a:ext cx="1203960" cy="484632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457200</xdr:colOff>
      <xdr:row>1</xdr:row>
      <xdr:rowOff>57912</xdr:rowOff>
    </xdr:to>
    <xdr:sp macro="[0]!Va_Accueil" textlink="">
      <xdr:nvSpPr>
        <xdr:cNvPr id="4" name="Flèche gauche 3"/>
        <xdr:cNvSpPr/>
      </xdr:nvSpPr>
      <xdr:spPr>
        <a:xfrm>
          <a:off x="0" y="0"/>
          <a:ext cx="1203960" cy="484632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324635</xdr:colOff>
      <xdr:row>0</xdr:row>
      <xdr:rowOff>110068</xdr:rowOff>
    </xdr:from>
    <xdr:ext cx="5443282" cy="765466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B3350B67-BDAF-4C5D-8D61-F00E330C66A5}"/>
            </a:ext>
          </a:extLst>
        </xdr:cNvPr>
        <xdr:cNvSpPr txBox="1"/>
      </xdr:nvSpPr>
      <xdr:spPr>
        <a:xfrm>
          <a:off x="3753635" y="110068"/>
          <a:ext cx="5443282" cy="765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600" b="1"/>
            <a:t>FICHE</a:t>
          </a:r>
          <a:r>
            <a:rPr lang="fr-FR" sz="1600" b="1" baseline="0"/>
            <a:t> D'EXPOSITION INDIVIDUELLE D'EXPOSITION AUX RAYONNEMENTS IONISANTS</a:t>
          </a:r>
        </a:p>
        <a:p>
          <a:pPr algn="ctr"/>
          <a:r>
            <a:rPr lang="fr-FR" sz="1100" b="1" baseline="0"/>
            <a:t>Article R4451-52 à 55 du code du travail modifié par le décret n°2018-437 du 4 juin 2018</a:t>
          </a:r>
          <a:endParaRPr lang="fr-FR" sz="1100" b="1"/>
        </a:p>
      </xdr:txBody>
    </xdr:sp>
    <xdr:clientData/>
  </xdr:oneCellAnchor>
  <xdr:twoCellAnchor>
    <xdr:from>
      <xdr:col>17</xdr:col>
      <xdr:colOff>335280</xdr:colOff>
      <xdr:row>0</xdr:row>
      <xdr:rowOff>76200</xdr:rowOff>
    </xdr:from>
    <xdr:to>
      <xdr:col>19</xdr:col>
      <xdr:colOff>281940</xdr:colOff>
      <xdr:row>4</xdr:row>
      <xdr:rowOff>38100</xdr:rowOff>
    </xdr:to>
    <xdr:sp macro="[0]!SaveAllAsPDF" textlink="">
      <xdr:nvSpPr>
        <xdr:cNvPr id="2" name="Organigramme : Alternative 1"/>
        <xdr:cNvSpPr/>
      </xdr:nvSpPr>
      <xdr:spPr>
        <a:xfrm>
          <a:off x="10538460" y="76200"/>
          <a:ext cx="1516380" cy="75438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SAUVEGARDE</a:t>
          </a:r>
        </a:p>
        <a:p>
          <a:pPr algn="ctr"/>
          <a:r>
            <a:rPr lang="fr-FR" sz="1200"/>
            <a:t>EN PDF</a:t>
          </a:r>
        </a:p>
      </xdr:txBody>
    </xdr:sp>
    <xdr:clientData/>
  </xdr:twoCellAnchor>
  <xdr:twoCellAnchor>
    <xdr:from>
      <xdr:col>17</xdr:col>
      <xdr:colOff>533400</xdr:colOff>
      <xdr:row>5</xdr:row>
      <xdr:rowOff>60960</xdr:rowOff>
    </xdr:from>
    <xdr:to>
      <xdr:col>19</xdr:col>
      <xdr:colOff>167640</xdr:colOff>
      <xdr:row>7</xdr:row>
      <xdr:rowOff>149352</xdr:rowOff>
    </xdr:to>
    <xdr:sp macro="[0]!Va_Accueil" textlink="">
      <xdr:nvSpPr>
        <xdr:cNvPr id="4" name="Flèche gauche 3"/>
        <xdr:cNvSpPr/>
      </xdr:nvSpPr>
      <xdr:spPr>
        <a:xfrm>
          <a:off x="10736580" y="1051560"/>
          <a:ext cx="1203960" cy="484632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_Prof" displayName="T_Prof" ref="A1:A18" totalsRowShown="0" headerRowDxfId="124" headerRowBorderDxfId="123" tableBorderDxfId="122" totalsRowBorderDxfId="121">
  <autoFilter ref="A1:A18"/>
  <tableColumns count="1">
    <tableColumn id="1" name="Profession" dataDxfId="1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Nat_TE" displayName="T_Nat_TE" ref="B1:B4" totalsRowShown="0" headerRowDxfId="119" headerRowBorderDxfId="118" tableBorderDxfId="117" totalsRowBorderDxfId="116">
  <autoFilter ref="B1:B4"/>
  <tableColumns count="1">
    <tableColumn id="1" name="Nature du travail effectu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Per_Expo" displayName="T_Per_Expo" ref="C1:C13" totalsRowShown="0" headerRowDxfId="115" dataDxfId="113" headerRowBorderDxfId="114" tableBorderDxfId="112" totalsRowBorderDxfId="111">
  <autoFilter ref="C1:C13"/>
  <tableColumns count="1">
    <tableColumn id="1" name="Périodes d'exposition : description des postes 1, 2,3 et 4" dataDxfId="1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_Sources_RI" displayName="T_Sources_RI" ref="D1:D5" totalsRowShown="0" headerRowDxfId="109" headerRowBorderDxfId="108" tableBorderDxfId="107" totalsRowBorderDxfId="106">
  <autoFilter ref="D1:D5"/>
  <tableColumns count="1">
    <tableColumn id="1" name="sources RI" dataDxfId="10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_Serv_UF" displayName="T_Serv_UF" ref="F1:F8" totalsRowShown="0" headerRowDxfId="104" headerRowBorderDxfId="103" tableBorderDxfId="102" totalsRowBorderDxfId="101">
  <autoFilter ref="F1:F8"/>
  <tableColumns count="1">
    <tableColumn id="1" name="Service / unité fonctionnelle" dataDxfId="10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_Dosi" displayName="T_Dosi" ref="H1:H3" totalsRowShown="0" headerRowDxfId="99" dataDxfId="97" headerRowBorderDxfId="98" tableBorderDxfId="96" totalsRowBorderDxfId="95">
  <autoFilter ref="H1:H3"/>
  <tableColumns count="1">
    <tableColumn id="1" name="Dosimétrie " dataDxfId="9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_Nat_Inc" displayName="T_Nat_Inc" ref="J1:J4" totalsRowShown="0" headerRowDxfId="93" dataDxfId="91" headerRowBorderDxfId="92" tableBorderDxfId="90" totalsRowBorderDxfId="89">
  <autoFilter ref="J1:J4"/>
  <tableColumns count="1">
    <tableColumn id="1" name="Nature incident pouvant aboutir à une exposition anormale" dataDxfId="8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_Fre_Expo" displayName="T_Fre_Expo" ref="L1:L7" totalsRowShown="0" headerRowDxfId="87" headerRowBorderDxfId="86" tableBorderDxfId="85" totalsRowBorderDxfId="84">
  <autoFilter ref="L1:L7"/>
  <tableColumns count="1">
    <tableColumn id="1" name="Fréquence exposition" dataDxfId="8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_Nat_RI" displayName="T_Nat_RI" ref="N1:N5" totalsRowShown="0" headerRowDxfId="82" headerRowBorderDxfId="81" tableBorderDxfId="80" totalsRowBorderDxfId="79">
  <autoFilter ref="N1:N5"/>
  <tableColumns count="1">
    <tableColumn id="1" name="Nature des rayonnements ionisants :" dataDxfId="7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_Cat" displayName="T_Cat" ref="P1:P4" totalsRowShown="0" headerRowDxfId="77" headerRowBorderDxfId="76" tableBorderDxfId="75">
  <autoFilter ref="P1:P4"/>
  <tableColumns count="1">
    <tableColumn id="1" name="Catégorie :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_Quest" displayName="T_Quest" ref="R1:R3" totalsRowShown="0" headerRowDxfId="74" headerRowBorderDxfId="73" tableBorderDxfId="72">
  <autoFilter ref="R1:R3"/>
  <tableColumns count="1">
    <tableColumn id="1" name="question ?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" name="T_Base" displayName="T_Base" ref="A4:AZ14" totalsRowShown="0" headerRowDxfId="56" dataDxfId="54" headerRowBorderDxfId="55" tableBorderDxfId="53" totalsRowBorderDxfId="52">
  <autoFilter ref="A4:AZ14"/>
  <tableColumns count="52">
    <tableColumn id="1" name="Colonne1" dataDxfId="51"/>
    <tableColumn id="2" name="Colonne2" dataDxfId="50"/>
    <tableColumn id="3" name="Colonne3" dataDxfId="49"/>
    <tableColumn id="4" name="Colonne4" dataDxfId="48"/>
    <tableColumn id="5" name="Colonne5" dataDxfId="47"/>
    <tableColumn id="6" name="Colonne6" dataDxfId="46"/>
    <tableColumn id="7" name="Colonne7" dataDxfId="45"/>
    <tableColumn id="8" name="Colonne8" dataDxfId="44"/>
    <tableColumn id="9" name="Colonne9" dataDxfId="43"/>
    <tableColumn id="10" name="Colonne10" dataDxfId="42"/>
    <tableColumn id="11" name="Colonne11" dataDxfId="41"/>
    <tableColumn id="12" name="Colonne12" dataDxfId="40"/>
    <tableColumn id="13" name="Colonne13" dataDxfId="39"/>
    <tableColumn id="14" name="Colonne14" dataDxfId="38"/>
    <tableColumn id="15" name="Colonne15" dataDxfId="37"/>
    <tableColumn id="16" name="Colonne16" dataDxfId="36"/>
    <tableColumn id="17" name="Colonne17" dataDxfId="35"/>
    <tableColumn id="18" name="Colonne18" dataDxfId="34"/>
    <tableColumn id="19" name="Colonne19" dataDxfId="33"/>
    <tableColumn id="20" name="Colonne20" dataDxfId="32"/>
    <tableColumn id="21" name="Colonne21" dataDxfId="31"/>
    <tableColumn id="22" name="Colonne22" dataDxfId="30">
      <calculatedColumnFormula>T5*U5</calculatedColumnFormula>
    </tableColumn>
    <tableColumn id="23" name="Colonne23" dataDxfId="29">
      <calculatedColumnFormula>V5/1000</calculatedColumnFormula>
    </tableColumn>
    <tableColumn id="24" name="Colonne24" dataDxfId="28"/>
    <tableColumn id="25" name="Colonne25" dataDxfId="27"/>
    <tableColumn id="26" name="Colonne26" dataDxfId="26"/>
    <tableColumn id="27" name="Colonne27" dataDxfId="25"/>
    <tableColumn id="28" name="Colonne28" dataDxfId="24">
      <calculatedColumnFormula>Z5*AA5</calculatedColumnFormula>
    </tableColumn>
    <tableColumn id="29" name="Colonne29" dataDxfId="23">
      <calculatedColumnFormula>AB5/1000</calculatedColumnFormula>
    </tableColumn>
    <tableColumn id="30" name="Colonne30" dataDxfId="22"/>
    <tableColumn id="31" name="Colonne31" dataDxfId="21"/>
    <tableColumn id="32" name="Colonne32" dataDxfId="20"/>
    <tableColumn id="33" name="Colonne33" dataDxfId="19"/>
    <tableColumn id="34" name="Colonne34" dataDxfId="18">
      <calculatedColumnFormula>AF5*AG5</calculatedColumnFormula>
    </tableColumn>
    <tableColumn id="35" name="Colonne35" dataDxfId="17">
      <calculatedColumnFormula>AH5/1000</calculatedColumnFormula>
    </tableColumn>
    <tableColumn id="36" name="Colonne36" dataDxfId="16">
      <calculatedColumnFormula>(W5+AC5+AI5)/1000</calculatedColumnFormula>
    </tableColumn>
    <tableColumn id="37" name="Colonne37" dataDxfId="15"/>
    <tableColumn id="38" name="Colonne38" dataDxfId="14"/>
    <tableColumn id="39" name="Colonne39" dataDxfId="13"/>
    <tableColumn id="40" name="Colonne40" dataDxfId="12"/>
    <tableColumn id="41" name="Colonne41" dataDxfId="11"/>
    <tableColumn id="42" name="Colonne42" dataDxfId="10"/>
    <tableColumn id="43" name="Colonne43" dataDxfId="9"/>
    <tableColumn id="44" name="Colonne44" dataDxfId="8"/>
    <tableColumn id="45" name="Colonne45" dataDxfId="7"/>
    <tableColumn id="46" name="Colonne46" dataDxfId="6"/>
    <tableColumn id="47" name="Colonne47" dataDxfId="5"/>
    <tableColumn id="48" name="Colonne48" dataDxfId="4"/>
    <tableColumn id="49" name="Colonne49" dataDxfId="3"/>
    <tableColumn id="50" name="Colonne50" dataDxfId="2"/>
    <tableColumn id="51" name="Colonne51" dataDxfId="1"/>
    <tableColumn id="52" name="Colonne5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F23" sqref="F23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8"/>
  <sheetViews>
    <sheetView workbookViewId="0">
      <selection activeCell="A5" sqref="A5"/>
    </sheetView>
  </sheetViews>
  <sheetFormatPr baseColWidth="10" defaultRowHeight="14.4" x14ac:dyDescent="0.3"/>
  <cols>
    <col min="1" max="1" width="40.5546875" customWidth="1"/>
    <col min="2" max="2" width="44.33203125" customWidth="1"/>
    <col min="3" max="3" width="52.6640625" customWidth="1"/>
    <col min="4" max="4" width="62.33203125" customWidth="1"/>
    <col min="5" max="5" width="2.77734375" customWidth="1"/>
    <col min="6" max="6" width="26.5546875" customWidth="1"/>
    <col min="7" max="7" width="2.21875" customWidth="1"/>
    <col min="8" max="8" width="15.44140625" customWidth="1"/>
    <col min="9" max="9" width="1.44140625" customWidth="1"/>
    <col min="10" max="10" width="52.6640625" customWidth="1"/>
    <col min="11" max="11" width="1.44140625" customWidth="1"/>
    <col min="12" max="12" width="20.77734375" customWidth="1"/>
    <col min="13" max="13" width="1.6640625" customWidth="1"/>
    <col min="14" max="14" width="33.5546875" customWidth="1"/>
    <col min="15" max="15" width="2" customWidth="1"/>
    <col min="16" max="16" width="11.88671875" customWidth="1"/>
    <col min="17" max="17" width="1.88671875" customWidth="1"/>
  </cols>
  <sheetData>
    <row r="1" spans="1:18" x14ac:dyDescent="0.3">
      <c r="A1" s="90" t="s">
        <v>2</v>
      </c>
      <c r="B1" s="90" t="s">
        <v>3</v>
      </c>
      <c r="C1" s="91" t="s">
        <v>84</v>
      </c>
      <c r="D1" s="90" t="s">
        <v>75</v>
      </c>
      <c r="E1" s="90"/>
      <c r="F1" s="90" t="s">
        <v>71</v>
      </c>
      <c r="G1" s="90"/>
      <c r="H1" s="91" t="s">
        <v>121</v>
      </c>
      <c r="I1" s="91"/>
      <c r="J1" s="91" t="s">
        <v>140</v>
      </c>
      <c r="K1" s="91"/>
      <c r="L1" s="90" t="s">
        <v>106</v>
      </c>
      <c r="M1" s="90"/>
      <c r="N1" s="90" t="s">
        <v>1</v>
      </c>
      <c r="O1" s="90"/>
      <c r="P1" s="90" t="s">
        <v>40</v>
      </c>
      <c r="Q1" s="90"/>
      <c r="R1" s="90" t="s">
        <v>120</v>
      </c>
    </row>
    <row r="2" spans="1:18" x14ac:dyDescent="0.3">
      <c r="A2" s="82" t="s">
        <v>6</v>
      </c>
      <c r="B2" s="82" t="s">
        <v>0</v>
      </c>
      <c r="C2" s="85" t="s">
        <v>85</v>
      </c>
      <c r="D2" s="82" t="s">
        <v>23</v>
      </c>
      <c r="E2" s="82"/>
      <c r="F2" s="82" t="s">
        <v>78</v>
      </c>
      <c r="G2" s="82"/>
      <c r="H2" s="87" t="s">
        <v>122</v>
      </c>
      <c r="I2" s="87"/>
      <c r="J2" s="87" t="s">
        <v>141</v>
      </c>
      <c r="K2" s="87"/>
      <c r="L2" s="82" t="s">
        <v>107</v>
      </c>
      <c r="M2" s="82"/>
      <c r="N2" s="82" t="s">
        <v>44</v>
      </c>
      <c r="O2" s="82"/>
      <c r="P2" s="82" t="s">
        <v>41</v>
      </c>
      <c r="Q2" s="82"/>
      <c r="R2" s="82" t="s">
        <v>36</v>
      </c>
    </row>
    <row r="3" spans="1:18" x14ac:dyDescent="0.3">
      <c r="A3" s="82" t="s">
        <v>7</v>
      </c>
      <c r="B3" s="82" t="s">
        <v>25</v>
      </c>
      <c r="C3" s="85" t="s">
        <v>86</v>
      </c>
      <c r="D3" s="82" t="s">
        <v>24</v>
      </c>
      <c r="E3" s="82"/>
      <c r="F3" s="82" t="s">
        <v>79</v>
      </c>
      <c r="G3" s="83"/>
      <c r="H3" s="88" t="s">
        <v>123</v>
      </c>
      <c r="I3" s="88"/>
      <c r="J3" s="87" t="s">
        <v>142</v>
      </c>
      <c r="K3" s="87"/>
      <c r="L3" s="82" t="s">
        <v>108</v>
      </c>
      <c r="M3" s="82"/>
      <c r="N3" s="82" t="s">
        <v>45</v>
      </c>
      <c r="O3" s="82"/>
      <c r="P3" s="82" t="s">
        <v>42</v>
      </c>
      <c r="Q3" s="94"/>
      <c r="R3" s="89" t="s">
        <v>37</v>
      </c>
    </row>
    <row r="4" spans="1:18" x14ac:dyDescent="0.3">
      <c r="A4" s="82" t="s">
        <v>8</v>
      </c>
      <c r="B4" s="84" t="s">
        <v>26</v>
      </c>
      <c r="C4" s="85" t="s">
        <v>87</v>
      </c>
      <c r="D4" s="82" t="s">
        <v>90</v>
      </c>
      <c r="E4" s="82"/>
      <c r="F4" s="82" t="s">
        <v>80</v>
      </c>
      <c r="G4" s="94"/>
      <c r="J4" s="88" t="s">
        <v>143</v>
      </c>
      <c r="K4" s="88"/>
      <c r="L4" s="82" t="s">
        <v>109</v>
      </c>
      <c r="M4" s="82"/>
      <c r="N4" s="82" t="s">
        <v>4</v>
      </c>
      <c r="O4" s="94"/>
      <c r="P4" s="89" t="s">
        <v>43</v>
      </c>
      <c r="Q4" s="89"/>
    </row>
    <row r="5" spans="1:18" x14ac:dyDescent="0.3">
      <c r="A5" s="82" t="s">
        <v>9</v>
      </c>
      <c r="C5" s="85" t="s">
        <v>89</v>
      </c>
      <c r="D5" s="84" t="s">
        <v>77</v>
      </c>
      <c r="E5" s="84"/>
      <c r="F5" s="82" t="s">
        <v>81</v>
      </c>
      <c r="G5" s="94"/>
      <c r="L5" s="82" t="s">
        <v>110</v>
      </c>
      <c r="M5" s="83"/>
      <c r="N5" s="83" t="s">
        <v>5</v>
      </c>
      <c r="O5" s="94"/>
    </row>
    <row r="6" spans="1:18" x14ac:dyDescent="0.3">
      <c r="A6" s="82" t="s">
        <v>10</v>
      </c>
      <c r="C6" s="82" t="s">
        <v>97</v>
      </c>
      <c r="F6" s="82" t="s">
        <v>82</v>
      </c>
      <c r="G6" s="94"/>
      <c r="L6" s="82" t="s">
        <v>111</v>
      </c>
      <c r="M6" s="94"/>
    </row>
    <row r="7" spans="1:18" x14ac:dyDescent="0.3">
      <c r="A7" s="82" t="s">
        <v>11</v>
      </c>
      <c r="C7" s="85" t="s">
        <v>88</v>
      </c>
      <c r="F7" s="82" t="s">
        <v>83</v>
      </c>
      <c r="G7" s="94"/>
      <c r="L7" s="83" t="s">
        <v>112</v>
      </c>
      <c r="M7" s="94"/>
    </row>
    <row r="8" spans="1:18" x14ac:dyDescent="0.3">
      <c r="A8" s="82" t="s">
        <v>12</v>
      </c>
      <c r="C8" s="85" t="s">
        <v>95</v>
      </c>
      <c r="F8" s="83" t="s">
        <v>74</v>
      </c>
      <c r="G8" s="94"/>
    </row>
    <row r="9" spans="1:18" x14ac:dyDescent="0.3">
      <c r="A9" s="82" t="s">
        <v>13</v>
      </c>
      <c r="C9" s="85" t="s">
        <v>91</v>
      </c>
    </row>
    <row r="10" spans="1:18" x14ac:dyDescent="0.3">
      <c r="A10" s="82" t="s">
        <v>21</v>
      </c>
      <c r="C10" s="85" t="s">
        <v>92</v>
      </c>
    </row>
    <row r="11" spans="1:18" x14ac:dyDescent="0.3">
      <c r="A11" s="82" t="s">
        <v>20</v>
      </c>
      <c r="C11" s="85" t="s">
        <v>93</v>
      </c>
    </row>
    <row r="12" spans="1:18" x14ac:dyDescent="0.3">
      <c r="A12" s="82" t="s">
        <v>19</v>
      </c>
      <c r="C12" s="85" t="s">
        <v>96</v>
      </c>
    </row>
    <row r="13" spans="1:18" x14ac:dyDescent="0.3">
      <c r="A13" s="82" t="s">
        <v>22</v>
      </c>
      <c r="C13" s="86" t="s">
        <v>94</v>
      </c>
    </row>
    <row r="14" spans="1:18" x14ac:dyDescent="0.3">
      <c r="A14" s="82" t="s">
        <v>17</v>
      </c>
    </row>
    <row r="15" spans="1:18" x14ac:dyDescent="0.3">
      <c r="A15" s="82" t="s">
        <v>18</v>
      </c>
    </row>
    <row r="16" spans="1:18" x14ac:dyDescent="0.3">
      <c r="A16" s="82" t="s">
        <v>16</v>
      </c>
    </row>
    <row r="17" spans="1:1" x14ac:dyDescent="0.3">
      <c r="A17" s="82" t="s">
        <v>15</v>
      </c>
    </row>
    <row r="18" spans="1:1" x14ac:dyDescent="0.3">
      <c r="A18" s="83" t="s">
        <v>14</v>
      </c>
    </row>
  </sheetData>
  <pageMargins left="0.7" right="0.7" top="0.75" bottom="0.75" header="0.3" footer="0.3"/>
  <pageSetup paperSize="9" orientation="portrait" r:id="rId1"/>
  <drawing r:id="rId2"/>
  <tableParts count="11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Z14"/>
  <sheetViews>
    <sheetView zoomScaleNormal="100" workbookViewId="0">
      <pane ySplit="3" topLeftCell="A4" activePane="bottomLeft" state="frozen"/>
      <selection activeCell="G32" sqref="G32"/>
      <selection pane="bottomLeft" activeCell="G7" sqref="G7"/>
    </sheetView>
  </sheetViews>
  <sheetFormatPr baseColWidth="10" defaultColWidth="11.5546875" defaultRowHeight="14.4" x14ac:dyDescent="0.3"/>
  <cols>
    <col min="1" max="1" width="10.88671875" style="2" customWidth="1"/>
    <col min="2" max="2" width="12.44140625" style="2" customWidth="1"/>
    <col min="3" max="3" width="12.109375" style="2" customWidth="1"/>
    <col min="4" max="4" width="13.44140625" style="2" customWidth="1"/>
    <col min="5" max="5" width="11.33203125" style="3" customWidth="1"/>
    <col min="6" max="6" width="23.33203125" style="4" customWidth="1"/>
    <col min="7" max="8" width="25.44140625" style="2" customWidth="1"/>
    <col min="9" max="14" width="19.6640625" style="2" customWidth="1"/>
    <col min="15" max="17" width="11.88671875" style="2" customWidth="1"/>
    <col min="18" max="18" width="37.6640625" style="2" customWidth="1"/>
    <col min="19" max="19" width="14.109375" style="2" customWidth="1"/>
    <col min="20" max="20" width="12.5546875" style="2" customWidth="1"/>
    <col min="21" max="23" width="11.88671875" style="2" customWidth="1"/>
    <col min="24" max="24" width="37.6640625" style="2" customWidth="1"/>
    <col min="25" max="25" width="14.109375" style="2" customWidth="1"/>
    <col min="26" max="26" width="12.5546875" style="2" customWidth="1"/>
    <col min="27" max="29" width="11.88671875" style="2" customWidth="1"/>
    <col min="30" max="30" width="37.6640625" style="2" customWidth="1"/>
    <col min="31" max="31" width="14.109375" style="2" customWidth="1"/>
    <col min="32" max="32" width="12.5546875" style="2" customWidth="1"/>
    <col min="33" max="36" width="11.88671875" style="2" customWidth="1"/>
    <col min="37" max="37" width="14.6640625" style="2" customWidth="1"/>
    <col min="38" max="38" width="13.44140625" style="2" customWidth="1"/>
    <col min="39" max="39" width="14.6640625" style="2" customWidth="1"/>
    <col min="40" max="40" width="13.44140625" style="2" customWidth="1"/>
    <col min="41" max="41" width="51.109375" style="2" customWidth="1"/>
    <col min="42" max="42" width="17.109375" style="2" customWidth="1"/>
    <col min="43" max="46" width="15.33203125" style="2" customWidth="1"/>
    <col min="47" max="51" width="23.5546875" style="2" customWidth="1"/>
    <col min="52" max="52" width="58" style="2" customWidth="1"/>
    <col min="53" max="16384" width="11.5546875" style="2"/>
  </cols>
  <sheetData>
    <row r="1" spans="1:52" s="1" customFormat="1" ht="33.6" customHeight="1" thickBot="1" x14ac:dyDescent="0.35">
      <c r="A1" s="123" t="s">
        <v>30</v>
      </c>
      <c r="B1" s="110" t="s">
        <v>38</v>
      </c>
      <c r="C1" s="110" t="s">
        <v>39</v>
      </c>
      <c r="D1" s="110" t="s">
        <v>27</v>
      </c>
      <c r="E1" s="125" t="s">
        <v>28</v>
      </c>
      <c r="F1" s="128" t="s">
        <v>29</v>
      </c>
      <c r="G1" s="110" t="s">
        <v>2</v>
      </c>
      <c r="H1" s="121" t="s">
        <v>71</v>
      </c>
      <c r="I1" s="115" t="s">
        <v>3</v>
      </c>
      <c r="J1" s="116"/>
      <c r="K1" s="117"/>
      <c r="L1" s="131" t="s">
        <v>75</v>
      </c>
      <c r="M1" s="132"/>
      <c r="N1" s="133"/>
      <c r="O1" s="131" t="s">
        <v>31</v>
      </c>
      <c r="P1" s="132"/>
      <c r="Q1" s="133"/>
      <c r="R1" s="138" t="s">
        <v>102</v>
      </c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1" t="s">
        <v>115</v>
      </c>
      <c r="AL1" s="133"/>
      <c r="AM1" s="131" t="s">
        <v>117</v>
      </c>
      <c r="AN1" s="133"/>
      <c r="AO1" s="134" t="s">
        <v>34</v>
      </c>
      <c r="AP1" s="135"/>
      <c r="AQ1" s="145" t="s">
        <v>118</v>
      </c>
      <c r="AR1" s="147" t="s">
        <v>119</v>
      </c>
      <c r="AS1" s="139" t="s">
        <v>13</v>
      </c>
      <c r="AT1" s="149"/>
      <c r="AU1" s="131" t="s">
        <v>35</v>
      </c>
      <c r="AV1" s="132"/>
      <c r="AW1" s="132"/>
      <c r="AX1" s="132"/>
      <c r="AY1" s="135"/>
      <c r="AZ1" s="143" t="s">
        <v>136</v>
      </c>
    </row>
    <row r="2" spans="1:52" s="1" customFormat="1" ht="15.6" customHeight="1" x14ac:dyDescent="0.3">
      <c r="A2" s="124"/>
      <c r="B2" s="111"/>
      <c r="C2" s="111"/>
      <c r="D2" s="111"/>
      <c r="E2" s="126"/>
      <c r="F2" s="129"/>
      <c r="G2" s="111"/>
      <c r="H2" s="122"/>
      <c r="I2" s="113">
        <v>1</v>
      </c>
      <c r="J2" s="118">
        <v>2</v>
      </c>
      <c r="K2" s="119">
        <v>3</v>
      </c>
      <c r="L2" s="113">
        <v>1</v>
      </c>
      <c r="M2" s="118">
        <v>2</v>
      </c>
      <c r="N2" s="119">
        <v>3</v>
      </c>
      <c r="O2" s="113">
        <v>1</v>
      </c>
      <c r="P2" s="118">
        <v>2</v>
      </c>
      <c r="Q2" s="119">
        <v>3</v>
      </c>
      <c r="R2" s="134" t="s">
        <v>98</v>
      </c>
      <c r="S2" s="134"/>
      <c r="T2" s="132"/>
      <c r="U2" s="132"/>
      <c r="V2" s="132"/>
      <c r="W2" s="133"/>
      <c r="X2" s="131" t="s">
        <v>99</v>
      </c>
      <c r="Y2" s="134"/>
      <c r="Z2" s="132"/>
      <c r="AA2" s="132"/>
      <c r="AB2" s="132"/>
      <c r="AC2" s="133"/>
      <c r="AD2" s="131" t="s">
        <v>100</v>
      </c>
      <c r="AE2" s="134"/>
      <c r="AF2" s="132"/>
      <c r="AG2" s="132"/>
      <c r="AH2" s="132"/>
      <c r="AI2" s="135"/>
      <c r="AJ2" s="139" t="s">
        <v>104</v>
      </c>
      <c r="AK2" s="141" t="s">
        <v>101</v>
      </c>
      <c r="AL2" s="142" t="s">
        <v>116</v>
      </c>
      <c r="AM2" s="141" t="s">
        <v>101</v>
      </c>
      <c r="AN2" s="142" t="s">
        <v>116</v>
      </c>
      <c r="AO2" s="136"/>
      <c r="AP2" s="137"/>
      <c r="AQ2" s="146"/>
      <c r="AR2" s="148"/>
      <c r="AS2" s="140"/>
      <c r="AT2" s="150"/>
      <c r="AU2" s="40" t="s">
        <v>126</v>
      </c>
      <c r="AV2" s="31" t="s">
        <v>127</v>
      </c>
      <c r="AW2" s="31" t="s">
        <v>128</v>
      </c>
      <c r="AX2" s="31" t="s">
        <v>129</v>
      </c>
      <c r="AY2" s="32" t="s">
        <v>130</v>
      </c>
      <c r="AZ2" s="144"/>
    </row>
    <row r="3" spans="1:52" s="1" customFormat="1" ht="46.5" customHeight="1" x14ac:dyDescent="0.3">
      <c r="A3" s="114"/>
      <c r="B3" s="112"/>
      <c r="C3" s="112"/>
      <c r="D3" s="112"/>
      <c r="E3" s="127"/>
      <c r="F3" s="130"/>
      <c r="G3" s="112"/>
      <c r="H3" s="120"/>
      <c r="I3" s="114"/>
      <c r="J3" s="112"/>
      <c r="K3" s="120"/>
      <c r="L3" s="114"/>
      <c r="M3" s="112"/>
      <c r="N3" s="120"/>
      <c r="O3" s="114"/>
      <c r="P3" s="112"/>
      <c r="Q3" s="120"/>
      <c r="R3" s="33" t="s">
        <v>33</v>
      </c>
      <c r="S3" s="33" t="s">
        <v>105</v>
      </c>
      <c r="T3" s="31" t="s">
        <v>101</v>
      </c>
      <c r="U3" s="31" t="s">
        <v>124</v>
      </c>
      <c r="V3" s="31" t="s">
        <v>103</v>
      </c>
      <c r="W3" s="31" t="s">
        <v>125</v>
      </c>
      <c r="X3" s="40" t="s">
        <v>33</v>
      </c>
      <c r="Y3" s="33" t="s">
        <v>105</v>
      </c>
      <c r="Z3" s="31" t="s">
        <v>101</v>
      </c>
      <c r="AA3" s="31" t="s">
        <v>124</v>
      </c>
      <c r="AB3" s="31" t="s">
        <v>103</v>
      </c>
      <c r="AC3" s="31" t="s">
        <v>125</v>
      </c>
      <c r="AD3" s="40" t="s">
        <v>33</v>
      </c>
      <c r="AE3" s="33" t="s">
        <v>105</v>
      </c>
      <c r="AF3" s="31" t="s">
        <v>101</v>
      </c>
      <c r="AG3" s="31" t="s">
        <v>124</v>
      </c>
      <c r="AH3" s="31" t="s">
        <v>103</v>
      </c>
      <c r="AI3" s="31" t="s">
        <v>125</v>
      </c>
      <c r="AJ3" s="140"/>
      <c r="AK3" s="141"/>
      <c r="AL3" s="142"/>
      <c r="AM3" s="141"/>
      <c r="AN3" s="142"/>
      <c r="AO3" s="33" t="s">
        <v>138</v>
      </c>
      <c r="AP3" s="32" t="s">
        <v>139</v>
      </c>
      <c r="AQ3" s="146"/>
      <c r="AR3" s="148"/>
      <c r="AS3" s="46">
        <v>1</v>
      </c>
      <c r="AT3" s="47">
        <v>2</v>
      </c>
      <c r="AU3" s="49" t="s">
        <v>131</v>
      </c>
      <c r="AV3" s="50" t="s">
        <v>132</v>
      </c>
      <c r="AW3" s="50" t="s">
        <v>133</v>
      </c>
      <c r="AX3" s="50" t="s">
        <v>134</v>
      </c>
      <c r="AY3" s="51" t="s">
        <v>135</v>
      </c>
      <c r="AZ3" s="144"/>
    </row>
    <row r="4" spans="1:52" ht="17.399999999999999" customHeight="1" thickBot="1" x14ac:dyDescent="0.35">
      <c r="A4" s="57" t="s">
        <v>167</v>
      </c>
      <c r="B4" s="58" t="s">
        <v>168</v>
      </c>
      <c r="C4" s="59" t="s">
        <v>169</v>
      </c>
      <c r="D4" s="58" t="s">
        <v>170</v>
      </c>
      <c r="E4" s="60" t="s">
        <v>171</v>
      </c>
      <c r="F4" s="61" t="s">
        <v>172</v>
      </c>
      <c r="G4" s="58" t="s">
        <v>173</v>
      </c>
      <c r="H4" s="62" t="s">
        <v>174</v>
      </c>
      <c r="I4" s="63" t="s">
        <v>175</v>
      </c>
      <c r="J4" s="58" t="s">
        <v>176</v>
      </c>
      <c r="K4" s="62" t="s">
        <v>177</v>
      </c>
      <c r="L4" s="63" t="s">
        <v>178</v>
      </c>
      <c r="M4" s="58" t="s">
        <v>179</v>
      </c>
      <c r="N4" s="62" t="s">
        <v>180</v>
      </c>
      <c r="O4" s="63" t="s">
        <v>181</v>
      </c>
      <c r="P4" s="58" t="s">
        <v>182</v>
      </c>
      <c r="Q4" s="62" t="s">
        <v>183</v>
      </c>
      <c r="R4" s="64" t="s">
        <v>184</v>
      </c>
      <c r="S4" s="64" t="s">
        <v>185</v>
      </c>
      <c r="T4" s="58" t="s">
        <v>186</v>
      </c>
      <c r="U4" s="58" t="s">
        <v>187</v>
      </c>
      <c r="V4" s="58" t="s">
        <v>188</v>
      </c>
      <c r="W4" s="62" t="s">
        <v>189</v>
      </c>
      <c r="X4" s="63" t="s">
        <v>190</v>
      </c>
      <c r="Y4" s="64" t="s">
        <v>191</v>
      </c>
      <c r="Z4" s="58" t="s">
        <v>192</v>
      </c>
      <c r="AA4" s="58" t="s">
        <v>193</v>
      </c>
      <c r="AB4" s="58" t="s">
        <v>194</v>
      </c>
      <c r="AC4" s="62" t="s">
        <v>195</v>
      </c>
      <c r="AD4" s="63" t="s">
        <v>196</v>
      </c>
      <c r="AE4" s="64" t="s">
        <v>197</v>
      </c>
      <c r="AF4" s="58" t="s">
        <v>198</v>
      </c>
      <c r="AG4" s="58" t="s">
        <v>199</v>
      </c>
      <c r="AH4" s="58" t="s">
        <v>200</v>
      </c>
      <c r="AI4" s="65" t="s">
        <v>201</v>
      </c>
      <c r="AJ4" s="66" t="s">
        <v>202</v>
      </c>
      <c r="AK4" s="63" t="s">
        <v>203</v>
      </c>
      <c r="AL4" s="62" t="s">
        <v>204</v>
      </c>
      <c r="AM4" s="63" t="s">
        <v>205</v>
      </c>
      <c r="AN4" s="62" t="s">
        <v>206</v>
      </c>
      <c r="AO4" s="64" t="s">
        <v>207</v>
      </c>
      <c r="AP4" s="65" t="s">
        <v>208</v>
      </c>
      <c r="AQ4" s="67" t="s">
        <v>209</v>
      </c>
      <c r="AR4" s="66" t="s">
        <v>210</v>
      </c>
      <c r="AS4" s="68" t="s">
        <v>211</v>
      </c>
      <c r="AT4" s="66" t="s">
        <v>212</v>
      </c>
      <c r="AU4" s="63" t="s">
        <v>213</v>
      </c>
      <c r="AV4" s="63" t="s">
        <v>214</v>
      </c>
      <c r="AW4" s="63" t="s">
        <v>215</v>
      </c>
      <c r="AX4" s="63" t="s">
        <v>216</v>
      </c>
      <c r="AY4" s="69" t="s">
        <v>217</v>
      </c>
      <c r="AZ4" s="69" t="s">
        <v>218</v>
      </c>
    </row>
    <row r="5" spans="1:52" ht="83.25" customHeight="1" thickBot="1" x14ac:dyDescent="0.35">
      <c r="A5" s="81" t="s">
        <v>219</v>
      </c>
      <c r="B5" s="35" t="s">
        <v>148</v>
      </c>
      <c r="C5" s="43" t="s">
        <v>32</v>
      </c>
      <c r="D5" s="35" t="s">
        <v>147</v>
      </c>
      <c r="E5" s="44"/>
      <c r="F5" s="45">
        <v>285090000000000</v>
      </c>
      <c r="G5" s="35" t="s">
        <v>18</v>
      </c>
      <c r="H5" s="36" t="s">
        <v>74</v>
      </c>
      <c r="I5" s="34" t="s">
        <v>26</v>
      </c>
      <c r="J5" s="35" t="s">
        <v>25</v>
      </c>
      <c r="K5" s="36" t="s">
        <v>0</v>
      </c>
      <c r="L5" s="34" t="s">
        <v>23</v>
      </c>
      <c r="M5" s="35" t="s">
        <v>77</v>
      </c>
      <c r="N5" s="36" t="s">
        <v>76</v>
      </c>
      <c r="O5" s="34" t="s">
        <v>44</v>
      </c>
      <c r="P5" s="35" t="s">
        <v>32</v>
      </c>
      <c r="Q5" s="36" t="s">
        <v>32</v>
      </c>
      <c r="R5" s="41" t="s">
        <v>88</v>
      </c>
      <c r="S5" s="41" t="s">
        <v>108</v>
      </c>
      <c r="T5" s="35"/>
      <c r="U5" s="35"/>
      <c r="V5" s="35">
        <f>T5*U5</f>
        <v>0</v>
      </c>
      <c r="W5" s="36">
        <f>V5/1000</f>
        <v>0</v>
      </c>
      <c r="X5" s="34" t="s">
        <v>88</v>
      </c>
      <c r="Y5" s="41" t="s">
        <v>108</v>
      </c>
      <c r="Z5" s="35"/>
      <c r="AA5" s="35"/>
      <c r="AB5" s="35">
        <f>Z5*AA5</f>
        <v>0</v>
      </c>
      <c r="AC5" s="36">
        <f>AB5/1000</f>
        <v>0</v>
      </c>
      <c r="AD5" s="34" t="s">
        <v>85</v>
      </c>
      <c r="AE5" s="41" t="s">
        <v>108</v>
      </c>
      <c r="AF5" s="35"/>
      <c r="AG5" s="35"/>
      <c r="AH5" s="35">
        <f>AF5*AG5</f>
        <v>0</v>
      </c>
      <c r="AI5" s="38">
        <f>AH5/1000</f>
        <v>0</v>
      </c>
      <c r="AJ5" s="42">
        <f>(W5+AC5+AI5)/1000</f>
        <v>0</v>
      </c>
      <c r="AK5" s="34"/>
      <c r="AL5" s="36">
        <v>0</v>
      </c>
      <c r="AM5" s="34"/>
      <c r="AN5" s="36">
        <v>0</v>
      </c>
      <c r="AO5" s="41"/>
      <c r="AP5" s="38"/>
      <c r="AQ5" s="39" t="s">
        <v>42</v>
      </c>
      <c r="AR5" s="42" t="s">
        <v>36</v>
      </c>
      <c r="AS5" s="37" t="s">
        <v>122</v>
      </c>
      <c r="AT5" s="42" t="s">
        <v>123</v>
      </c>
      <c r="AU5" s="34" t="s">
        <v>37</v>
      </c>
      <c r="AV5" s="34" t="s">
        <v>36</v>
      </c>
      <c r="AW5" s="34" t="s">
        <v>37</v>
      </c>
      <c r="AX5" s="34" t="s">
        <v>36</v>
      </c>
      <c r="AY5" s="48" t="s">
        <v>37</v>
      </c>
      <c r="AZ5" s="48" t="s">
        <v>137</v>
      </c>
    </row>
    <row r="6" spans="1:52" ht="83.25" customHeight="1" thickBot="1" x14ac:dyDescent="0.35">
      <c r="A6" s="81" t="s">
        <v>220</v>
      </c>
      <c r="B6" s="35" t="s">
        <v>149</v>
      </c>
      <c r="C6" s="43" t="s">
        <v>32</v>
      </c>
      <c r="D6" s="35" t="s">
        <v>150</v>
      </c>
      <c r="E6" s="44"/>
      <c r="F6" s="45">
        <v>129780000000000</v>
      </c>
      <c r="G6" s="35" t="s">
        <v>18</v>
      </c>
      <c r="H6" s="36" t="s">
        <v>74</v>
      </c>
      <c r="I6" s="34" t="s">
        <v>26</v>
      </c>
      <c r="J6" s="35" t="s">
        <v>25</v>
      </c>
      <c r="K6" s="36" t="s">
        <v>0</v>
      </c>
      <c r="L6" s="34" t="s">
        <v>23</v>
      </c>
      <c r="M6" s="35" t="s">
        <v>77</v>
      </c>
      <c r="N6" s="36" t="s">
        <v>76</v>
      </c>
      <c r="O6" s="34" t="s">
        <v>44</v>
      </c>
      <c r="P6" s="35" t="s">
        <v>32</v>
      </c>
      <c r="Q6" s="36" t="s">
        <v>32</v>
      </c>
      <c r="R6" s="41" t="s">
        <v>88</v>
      </c>
      <c r="S6" s="41" t="s">
        <v>108</v>
      </c>
      <c r="T6" s="35"/>
      <c r="U6" s="35"/>
      <c r="V6" s="35">
        <f>T6*U6</f>
        <v>0</v>
      </c>
      <c r="W6" s="36">
        <f>V6/1000</f>
        <v>0</v>
      </c>
      <c r="X6" s="34" t="s">
        <v>88</v>
      </c>
      <c r="Y6" s="41" t="s">
        <v>108</v>
      </c>
      <c r="Z6" s="35"/>
      <c r="AA6" s="35"/>
      <c r="AB6" s="35">
        <f>Z6*AA6</f>
        <v>0</v>
      </c>
      <c r="AC6" s="36">
        <f>AB6/1000</f>
        <v>0</v>
      </c>
      <c r="AD6" s="34" t="s">
        <v>85</v>
      </c>
      <c r="AE6" s="41" t="s">
        <v>108</v>
      </c>
      <c r="AF6" s="35"/>
      <c r="AG6" s="35"/>
      <c r="AH6" s="35">
        <f>AF6*AG6</f>
        <v>0</v>
      </c>
      <c r="AI6" s="38">
        <f>AH6/1000</f>
        <v>0</v>
      </c>
      <c r="AJ6" s="42">
        <f>(W6+AC6+AI6)/1000</f>
        <v>0</v>
      </c>
      <c r="AK6" s="34"/>
      <c r="AL6" s="36">
        <v>0</v>
      </c>
      <c r="AM6" s="34"/>
      <c r="AN6" s="36">
        <v>0</v>
      </c>
      <c r="AO6" s="41"/>
      <c r="AP6" s="38"/>
      <c r="AQ6" s="39" t="s">
        <v>42</v>
      </c>
      <c r="AR6" s="42" t="s">
        <v>36</v>
      </c>
      <c r="AS6" s="37" t="s">
        <v>122</v>
      </c>
      <c r="AT6" s="42" t="s">
        <v>123</v>
      </c>
      <c r="AU6" s="34" t="s">
        <v>37</v>
      </c>
      <c r="AV6" s="34" t="s">
        <v>36</v>
      </c>
      <c r="AW6" s="34" t="s">
        <v>37</v>
      </c>
      <c r="AX6" s="34" t="s">
        <v>36</v>
      </c>
      <c r="AY6" s="48" t="s">
        <v>37</v>
      </c>
      <c r="AZ6" s="48" t="s">
        <v>137</v>
      </c>
    </row>
    <row r="7" spans="1:52" ht="83.25" customHeight="1" thickBot="1" x14ac:dyDescent="0.35">
      <c r="A7" s="81" t="s">
        <v>221</v>
      </c>
      <c r="B7" s="35" t="s">
        <v>151</v>
      </c>
      <c r="C7" s="43" t="s">
        <v>32</v>
      </c>
      <c r="D7" s="35" t="s">
        <v>152</v>
      </c>
      <c r="E7" s="44"/>
      <c r="F7" s="45" t="s">
        <v>229</v>
      </c>
      <c r="G7" s="35" t="s">
        <v>18</v>
      </c>
      <c r="H7" s="36" t="s">
        <v>74</v>
      </c>
      <c r="I7" s="34" t="s">
        <v>26</v>
      </c>
      <c r="J7" s="35" t="s">
        <v>25</v>
      </c>
      <c r="K7" s="36" t="s">
        <v>0</v>
      </c>
      <c r="L7" s="34" t="s">
        <v>23</v>
      </c>
      <c r="M7" s="35" t="s">
        <v>77</v>
      </c>
      <c r="N7" s="36" t="s">
        <v>76</v>
      </c>
      <c r="O7" s="34" t="s">
        <v>44</v>
      </c>
      <c r="P7" s="35" t="s">
        <v>32</v>
      </c>
      <c r="Q7" s="36" t="s">
        <v>32</v>
      </c>
      <c r="R7" s="41" t="s">
        <v>88</v>
      </c>
      <c r="S7" s="41" t="s">
        <v>108</v>
      </c>
      <c r="T7" s="35" t="s">
        <v>230</v>
      </c>
      <c r="U7" s="35" t="s">
        <v>230</v>
      </c>
      <c r="V7" s="35" t="s">
        <v>231</v>
      </c>
      <c r="W7" s="36" t="s">
        <v>231</v>
      </c>
      <c r="X7" s="34" t="s">
        <v>88</v>
      </c>
      <c r="Y7" s="41" t="s">
        <v>108</v>
      </c>
      <c r="Z7" s="35" t="s">
        <v>230</v>
      </c>
      <c r="AA7" s="35" t="s">
        <v>230</v>
      </c>
      <c r="AB7" s="35" t="s">
        <v>231</v>
      </c>
      <c r="AC7" s="36" t="s">
        <v>231</v>
      </c>
      <c r="AD7" s="34" t="s">
        <v>85</v>
      </c>
      <c r="AE7" s="41" t="s">
        <v>108</v>
      </c>
      <c r="AF7" s="35" t="s">
        <v>230</v>
      </c>
      <c r="AG7" s="35" t="s">
        <v>230</v>
      </c>
      <c r="AH7" s="35" t="s">
        <v>231</v>
      </c>
      <c r="AI7" s="38" t="s">
        <v>231</v>
      </c>
      <c r="AJ7" s="42" t="s">
        <v>231</v>
      </c>
      <c r="AK7" s="34" t="s">
        <v>230</v>
      </c>
      <c r="AL7" s="36" t="s">
        <v>231</v>
      </c>
      <c r="AM7" s="34" t="s">
        <v>230</v>
      </c>
      <c r="AN7" s="36" t="s">
        <v>231</v>
      </c>
      <c r="AO7" s="41" t="s">
        <v>230</v>
      </c>
      <c r="AP7" s="38" t="s">
        <v>230</v>
      </c>
      <c r="AQ7" s="39" t="s">
        <v>42</v>
      </c>
      <c r="AR7" s="42" t="s">
        <v>36</v>
      </c>
      <c r="AS7" s="37" t="s">
        <v>122</v>
      </c>
      <c r="AT7" s="42" t="s">
        <v>123</v>
      </c>
      <c r="AU7" s="34" t="s">
        <v>37</v>
      </c>
      <c r="AV7" s="34" t="s">
        <v>36</v>
      </c>
      <c r="AW7" s="34" t="s">
        <v>37</v>
      </c>
      <c r="AX7" s="34" t="s">
        <v>36</v>
      </c>
      <c r="AY7" s="48" t="s">
        <v>37</v>
      </c>
      <c r="AZ7" s="48" t="s">
        <v>137</v>
      </c>
    </row>
    <row r="8" spans="1:52" ht="83.25" customHeight="1" thickBot="1" x14ac:dyDescent="0.35">
      <c r="A8" s="81" t="s">
        <v>222</v>
      </c>
      <c r="B8" s="35" t="s">
        <v>153</v>
      </c>
      <c r="C8" s="43" t="s">
        <v>32</v>
      </c>
      <c r="D8" s="35" t="s">
        <v>154</v>
      </c>
      <c r="E8" s="44"/>
      <c r="F8" s="45">
        <v>129780000000000</v>
      </c>
      <c r="G8" s="35" t="s">
        <v>18</v>
      </c>
      <c r="H8" s="36" t="s">
        <v>74</v>
      </c>
      <c r="I8" s="34" t="s">
        <v>26</v>
      </c>
      <c r="J8" s="35" t="s">
        <v>25</v>
      </c>
      <c r="K8" s="36" t="s">
        <v>0</v>
      </c>
      <c r="L8" s="34" t="s">
        <v>23</v>
      </c>
      <c r="M8" s="35" t="s">
        <v>77</v>
      </c>
      <c r="N8" s="36" t="s">
        <v>76</v>
      </c>
      <c r="O8" s="34" t="s">
        <v>44</v>
      </c>
      <c r="P8" s="35" t="s">
        <v>32</v>
      </c>
      <c r="Q8" s="36" t="s">
        <v>32</v>
      </c>
      <c r="R8" s="41" t="s">
        <v>88</v>
      </c>
      <c r="S8" s="41" t="s">
        <v>108</v>
      </c>
      <c r="T8" s="35"/>
      <c r="U8" s="35"/>
      <c r="V8" s="35">
        <f>T8*U8</f>
        <v>0</v>
      </c>
      <c r="W8" s="36">
        <f>V8/1000</f>
        <v>0</v>
      </c>
      <c r="X8" s="34" t="s">
        <v>88</v>
      </c>
      <c r="Y8" s="41" t="s">
        <v>108</v>
      </c>
      <c r="Z8" s="35"/>
      <c r="AA8" s="35"/>
      <c r="AB8" s="35">
        <f>Z8*AA8</f>
        <v>0</v>
      </c>
      <c r="AC8" s="36">
        <f>AB8/1000</f>
        <v>0</v>
      </c>
      <c r="AD8" s="34" t="s">
        <v>85</v>
      </c>
      <c r="AE8" s="41" t="s">
        <v>108</v>
      </c>
      <c r="AF8" s="35"/>
      <c r="AG8" s="35"/>
      <c r="AH8" s="35">
        <f>AF8*AG8</f>
        <v>0</v>
      </c>
      <c r="AI8" s="38">
        <f>AH8/1000</f>
        <v>0</v>
      </c>
      <c r="AJ8" s="42">
        <f>(W8+AC8+AI8)/1000</f>
        <v>0</v>
      </c>
      <c r="AK8" s="34"/>
      <c r="AL8" s="36">
        <v>0</v>
      </c>
      <c r="AM8" s="34"/>
      <c r="AN8" s="36">
        <v>0</v>
      </c>
      <c r="AO8" s="41"/>
      <c r="AP8" s="38"/>
      <c r="AQ8" s="39" t="s">
        <v>42</v>
      </c>
      <c r="AR8" s="42" t="s">
        <v>36</v>
      </c>
      <c r="AS8" s="37" t="s">
        <v>122</v>
      </c>
      <c r="AT8" s="42" t="s">
        <v>123</v>
      </c>
      <c r="AU8" s="34" t="s">
        <v>37</v>
      </c>
      <c r="AV8" s="34" t="s">
        <v>36</v>
      </c>
      <c r="AW8" s="34" t="s">
        <v>37</v>
      </c>
      <c r="AX8" s="34" t="s">
        <v>36</v>
      </c>
      <c r="AY8" s="48" t="s">
        <v>37</v>
      </c>
      <c r="AZ8" s="48" t="s">
        <v>137</v>
      </c>
    </row>
    <row r="9" spans="1:52" ht="83.25" customHeight="1" thickBot="1" x14ac:dyDescent="0.35">
      <c r="A9" s="81" t="s">
        <v>223</v>
      </c>
      <c r="B9" s="35" t="s">
        <v>145</v>
      </c>
      <c r="C9" s="43" t="s">
        <v>32</v>
      </c>
      <c r="D9" s="35" t="s">
        <v>146</v>
      </c>
      <c r="E9" s="44"/>
      <c r="F9" s="45">
        <v>129780000000000</v>
      </c>
      <c r="G9" s="35" t="s">
        <v>18</v>
      </c>
      <c r="H9" s="36" t="s">
        <v>74</v>
      </c>
      <c r="I9" s="34" t="s">
        <v>26</v>
      </c>
      <c r="J9" s="35" t="s">
        <v>25</v>
      </c>
      <c r="K9" s="36" t="s">
        <v>0</v>
      </c>
      <c r="L9" s="34" t="s">
        <v>23</v>
      </c>
      <c r="M9" s="35" t="s">
        <v>77</v>
      </c>
      <c r="N9" s="36" t="s">
        <v>76</v>
      </c>
      <c r="O9" s="34" t="s">
        <v>44</v>
      </c>
      <c r="P9" s="35" t="s">
        <v>32</v>
      </c>
      <c r="Q9" s="36" t="s">
        <v>32</v>
      </c>
      <c r="R9" s="41" t="s">
        <v>88</v>
      </c>
      <c r="S9" s="41" t="s">
        <v>108</v>
      </c>
      <c r="T9" s="35"/>
      <c r="U9" s="35"/>
      <c r="V9" s="35">
        <f t="shared" ref="V9:V10" si="0">T9*U9</f>
        <v>0</v>
      </c>
      <c r="W9" s="36">
        <f t="shared" ref="W9:W14" si="1">V9/1000</f>
        <v>0</v>
      </c>
      <c r="X9" s="34" t="s">
        <v>88</v>
      </c>
      <c r="Y9" s="41" t="s">
        <v>108</v>
      </c>
      <c r="Z9" s="35"/>
      <c r="AA9" s="35"/>
      <c r="AB9" s="35">
        <f t="shared" ref="AB9:AB10" si="2">Z9*AA9</f>
        <v>0</v>
      </c>
      <c r="AC9" s="36">
        <f t="shared" ref="AC9:AC14" si="3">AB9/1000</f>
        <v>0</v>
      </c>
      <c r="AD9" s="34" t="s">
        <v>85</v>
      </c>
      <c r="AE9" s="41" t="s">
        <v>108</v>
      </c>
      <c r="AF9" s="35"/>
      <c r="AG9" s="35"/>
      <c r="AH9" s="35">
        <f t="shared" ref="AH9:AH10" si="4">AF9*AG9</f>
        <v>0</v>
      </c>
      <c r="AI9" s="38">
        <f t="shared" ref="AI9:AI14" si="5">AH9/1000</f>
        <v>0</v>
      </c>
      <c r="AJ9" s="42">
        <f t="shared" ref="AJ9:AJ10" si="6">(W9+AC9+AI9)/1000</f>
        <v>0</v>
      </c>
      <c r="AK9" s="34"/>
      <c r="AL9" s="36">
        <v>0</v>
      </c>
      <c r="AM9" s="34"/>
      <c r="AN9" s="36">
        <v>0</v>
      </c>
      <c r="AO9" s="41"/>
      <c r="AP9" s="38"/>
      <c r="AQ9" s="39" t="s">
        <v>42</v>
      </c>
      <c r="AR9" s="42" t="s">
        <v>36</v>
      </c>
      <c r="AS9" s="37" t="s">
        <v>122</v>
      </c>
      <c r="AT9" s="42" t="s">
        <v>123</v>
      </c>
      <c r="AU9" s="34" t="s">
        <v>37</v>
      </c>
      <c r="AV9" s="34" t="s">
        <v>36</v>
      </c>
      <c r="AW9" s="34" t="s">
        <v>37</v>
      </c>
      <c r="AX9" s="34" t="s">
        <v>36</v>
      </c>
      <c r="AY9" s="48" t="s">
        <v>37</v>
      </c>
      <c r="AZ9" s="48" t="s">
        <v>137</v>
      </c>
    </row>
    <row r="10" spans="1:52" ht="83.25" customHeight="1" thickBot="1" x14ac:dyDescent="0.35">
      <c r="A10" s="81" t="s">
        <v>224</v>
      </c>
      <c r="B10" s="35" t="s">
        <v>155</v>
      </c>
      <c r="C10" s="43" t="s">
        <v>32</v>
      </c>
      <c r="D10" s="35" t="s">
        <v>156</v>
      </c>
      <c r="E10" s="44"/>
      <c r="F10" s="45">
        <v>129780000000000</v>
      </c>
      <c r="G10" s="35" t="s">
        <v>18</v>
      </c>
      <c r="H10" s="36" t="s">
        <v>74</v>
      </c>
      <c r="I10" s="34" t="s">
        <v>26</v>
      </c>
      <c r="J10" s="35" t="s">
        <v>25</v>
      </c>
      <c r="K10" s="36" t="s">
        <v>0</v>
      </c>
      <c r="L10" s="34" t="s">
        <v>23</v>
      </c>
      <c r="M10" s="35" t="s">
        <v>77</v>
      </c>
      <c r="N10" s="36" t="s">
        <v>76</v>
      </c>
      <c r="O10" s="34" t="s">
        <v>44</v>
      </c>
      <c r="P10" s="35" t="s">
        <v>32</v>
      </c>
      <c r="Q10" s="36" t="s">
        <v>32</v>
      </c>
      <c r="R10" s="41" t="s">
        <v>88</v>
      </c>
      <c r="S10" s="41" t="s">
        <v>108</v>
      </c>
      <c r="T10" s="35"/>
      <c r="U10" s="35"/>
      <c r="V10" s="35">
        <f t="shared" si="0"/>
        <v>0</v>
      </c>
      <c r="W10" s="36">
        <f t="shared" si="1"/>
        <v>0</v>
      </c>
      <c r="X10" s="34" t="s">
        <v>88</v>
      </c>
      <c r="Y10" s="41" t="s">
        <v>108</v>
      </c>
      <c r="Z10" s="35"/>
      <c r="AA10" s="35"/>
      <c r="AB10" s="35">
        <f t="shared" si="2"/>
        <v>0</v>
      </c>
      <c r="AC10" s="36">
        <f t="shared" si="3"/>
        <v>0</v>
      </c>
      <c r="AD10" s="34" t="s">
        <v>85</v>
      </c>
      <c r="AE10" s="41" t="s">
        <v>108</v>
      </c>
      <c r="AF10" s="35"/>
      <c r="AG10" s="35"/>
      <c r="AH10" s="35">
        <f t="shared" si="4"/>
        <v>0</v>
      </c>
      <c r="AI10" s="38">
        <f t="shared" si="5"/>
        <v>0</v>
      </c>
      <c r="AJ10" s="42">
        <f t="shared" si="6"/>
        <v>0</v>
      </c>
      <c r="AK10" s="34"/>
      <c r="AL10" s="36">
        <v>0</v>
      </c>
      <c r="AM10" s="34"/>
      <c r="AN10" s="36">
        <v>0</v>
      </c>
      <c r="AO10" s="41"/>
      <c r="AP10" s="38"/>
      <c r="AQ10" s="39" t="s">
        <v>42</v>
      </c>
      <c r="AR10" s="42" t="s">
        <v>36</v>
      </c>
      <c r="AS10" s="37" t="s">
        <v>122</v>
      </c>
      <c r="AT10" s="42" t="s">
        <v>123</v>
      </c>
      <c r="AU10" s="34" t="s">
        <v>37</v>
      </c>
      <c r="AV10" s="34" t="s">
        <v>36</v>
      </c>
      <c r="AW10" s="34" t="s">
        <v>37</v>
      </c>
      <c r="AX10" s="34" t="s">
        <v>36</v>
      </c>
      <c r="AY10" s="48" t="s">
        <v>37</v>
      </c>
      <c r="AZ10" s="48" t="s">
        <v>137</v>
      </c>
    </row>
    <row r="11" spans="1:52" ht="83.25" customHeight="1" thickBot="1" x14ac:dyDescent="0.35">
      <c r="A11" s="81" t="s">
        <v>225</v>
      </c>
      <c r="B11" s="35" t="s">
        <v>159</v>
      </c>
      <c r="C11" s="43" t="s">
        <v>32</v>
      </c>
      <c r="D11" s="35" t="s">
        <v>157</v>
      </c>
      <c r="E11" s="44">
        <v>29567</v>
      </c>
      <c r="F11" s="45" t="s">
        <v>229</v>
      </c>
      <c r="G11" s="35" t="s">
        <v>18</v>
      </c>
      <c r="H11" s="36" t="s">
        <v>74</v>
      </c>
      <c r="I11" s="34" t="s">
        <v>26</v>
      </c>
      <c r="J11" s="35" t="s">
        <v>25</v>
      </c>
      <c r="K11" s="36" t="s">
        <v>0</v>
      </c>
      <c r="L11" s="34" t="s">
        <v>23</v>
      </c>
      <c r="M11" s="35" t="s">
        <v>77</v>
      </c>
      <c r="N11" s="36" t="s">
        <v>76</v>
      </c>
      <c r="O11" s="34" t="s">
        <v>44</v>
      </c>
      <c r="P11" s="35" t="s">
        <v>32</v>
      </c>
      <c r="Q11" s="36" t="s">
        <v>32</v>
      </c>
      <c r="R11" s="41" t="s">
        <v>88</v>
      </c>
      <c r="S11" s="41" t="s">
        <v>108</v>
      </c>
      <c r="T11" s="35" t="s">
        <v>230</v>
      </c>
      <c r="U11" s="35" t="s">
        <v>230</v>
      </c>
      <c r="V11" s="35" t="s">
        <v>231</v>
      </c>
      <c r="W11" s="36" t="s">
        <v>231</v>
      </c>
      <c r="X11" s="34" t="s">
        <v>88</v>
      </c>
      <c r="Y11" s="41" t="s">
        <v>108</v>
      </c>
      <c r="Z11" s="35" t="s">
        <v>230</v>
      </c>
      <c r="AA11" s="35" t="s">
        <v>230</v>
      </c>
      <c r="AB11" s="35" t="s">
        <v>231</v>
      </c>
      <c r="AC11" s="36" t="s">
        <v>231</v>
      </c>
      <c r="AD11" s="34" t="s">
        <v>85</v>
      </c>
      <c r="AE11" s="41" t="s">
        <v>108</v>
      </c>
      <c r="AF11" s="35" t="s">
        <v>230</v>
      </c>
      <c r="AG11" s="35" t="s">
        <v>230</v>
      </c>
      <c r="AH11" s="35" t="s">
        <v>231</v>
      </c>
      <c r="AI11" s="38" t="s">
        <v>231</v>
      </c>
      <c r="AJ11" s="42" t="s">
        <v>231</v>
      </c>
      <c r="AK11" s="34" t="s">
        <v>230</v>
      </c>
      <c r="AL11" s="36" t="s">
        <v>231</v>
      </c>
      <c r="AM11" s="34" t="s">
        <v>230</v>
      </c>
      <c r="AN11" s="36" t="s">
        <v>231</v>
      </c>
      <c r="AO11" s="41" t="s">
        <v>230</v>
      </c>
      <c r="AP11" s="38" t="s">
        <v>230</v>
      </c>
      <c r="AQ11" s="39" t="s">
        <v>42</v>
      </c>
      <c r="AR11" s="42" t="s">
        <v>36</v>
      </c>
      <c r="AS11" s="37" t="s">
        <v>122</v>
      </c>
      <c r="AT11" s="42" t="s">
        <v>123</v>
      </c>
      <c r="AU11" s="34" t="s">
        <v>37</v>
      </c>
      <c r="AV11" s="34" t="s">
        <v>36</v>
      </c>
      <c r="AW11" s="34" t="s">
        <v>37</v>
      </c>
      <c r="AX11" s="34" t="s">
        <v>36</v>
      </c>
      <c r="AY11" s="48" t="s">
        <v>37</v>
      </c>
      <c r="AZ11" s="48" t="s">
        <v>137</v>
      </c>
    </row>
    <row r="12" spans="1:52" ht="83.25" customHeight="1" thickBot="1" x14ac:dyDescent="0.35">
      <c r="A12" s="81" t="s">
        <v>226</v>
      </c>
      <c r="B12" s="35" t="s">
        <v>158</v>
      </c>
      <c r="C12" s="43" t="s">
        <v>32</v>
      </c>
      <c r="D12" s="35" t="s">
        <v>160</v>
      </c>
      <c r="E12" s="44"/>
      <c r="F12" s="45">
        <v>129780000000000</v>
      </c>
      <c r="G12" s="35" t="s">
        <v>18</v>
      </c>
      <c r="H12" s="36" t="s">
        <v>74</v>
      </c>
      <c r="I12" s="34" t="s">
        <v>26</v>
      </c>
      <c r="J12" s="35" t="s">
        <v>25</v>
      </c>
      <c r="K12" s="36" t="s">
        <v>0</v>
      </c>
      <c r="L12" s="34" t="s">
        <v>23</v>
      </c>
      <c r="M12" s="35" t="s">
        <v>77</v>
      </c>
      <c r="N12" s="36" t="s">
        <v>76</v>
      </c>
      <c r="O12" s="34" t="s">
        <v>44</v>
      </c>
      <c r="P12" s="35" t="s">
        <v>32</v>
      </c>
      <c r="Q12" s="36" t="s">
        <v>32</v>
      </c>
      <c r="R12" s="41" t="s">
        <v>88</v>
      </c>
      <c r="S12" s="41" t="s">
        <v>108</v>
      </c>
      <c r="T12" s="35"/>
      <c r="U12" s="35"/>
      <c r="V12" s="35">
        <f t="shared" ref="V12:V14" si="7">T12*U12</f>
        <v>0</v>
      </c>
      <c r="W12" s="36">
        <f t="shared" si="1"/>
        <v>0</v>
      </c>
      <c r="X12" s="34" t="s">
        <v>88</v>
      </c>
      <c r="Y12" s="41" t="s">
        <v>108</v>
      </c>
      <c r="Z12" s="35"/>
      <c r="AA12" s="35"/>
      <c r="AB12" s="35">
        <f t="shared" ref="AB12:AB14" si="8">Z12*AA12</f>
        <v>0</v>
      </c>
      <c r="AC12" s="36">
        <f t="shared" si="3"/>
        <v>0</v>
      </c>
      <c r="AD12" s="34" t="s">
        <v>85</v>
      </c>
      <c r="AE12" s="41" t="s">
        <v>108</v>
      </c>
      <c r="AF12" s="35"/>
      <c r="AG12" s="35"/>
      <c r="AH12" s="35">
        <f t="shared" ref="AH12:AH14" si="9">AF12*AG12</f>
        <v>0</v>
      </c>
      <c r="AI12" s="38">
        <f t="shared" si="5"/>
        <v>0</v>
      </c>
      <c r="AJ12" s="42">
        <f t="shared" ref="AJ12:AJ14" si="10">(W12+AC12+AI12)/1000</f>
        <v>0</v>
      </c>
      <c r="AK12" s="34"/>
      <c r="AL12" s="36">
        <v>0</v>
      </c>
      <c r="AM12" s="34"/>
      <c r="AN12" s="36">
        <v>0</v>
      </c>
      <c r="AO12" s="41"/>
      <c r="AP12" s="38"/>
      <c r="AQ12" s="39" t="s">
        <v>42</v>
      </c>
      <c r="AR12" s="42" t="s">
        <v>36</v>
      </c>
      <c r="AS12" s="37" t="s">
        <v>122</v>
      </c>
      <c r="AT12" s="42" t="s">
        <v>123</v>
      </c>
      <c r="AU12" s="34" t="s">
        <v>37</v>
      </c>
      <c r="AV12" s="34" t="s">
        <v>36</v>
      </c>
      <c r="AW12" s="34" t="s">
        <v>37</v>
      </c>
      <c r="AX12" s="34" t="s">
        <v>36</v>
      </c>
      <c r="AY12" s="48" t="s">
        <v>37</v>
      </c>
      <c r="AZ12" s="48" t="s">
        <v>137</v>
      </c>
    </row>
    <row r="13" spans="1:52" ht="83.25" customHeight="1" thickBot="1" x14ac:dyDescent="0.35">
      <c r="A13" s="81" t="s">
        <v>227</v>
      </c>
      <c r="B13" s="35" t="s">
        <v>161</v>
      </c>
      <c r="C13" s="43" t="s">
        <v>32</v>
      </c>
      <c r="D13" s="35" t="s">
        <v>162</v>
      </c>
      <c r="E13" s="44"/>
      <c r="F13" s="45">
        <v>129780000000000</v>
      </c>
      <c r="G13" s="35" t="s">
        <v>18</v>
      </c>
      <c r="H13" s="36" t="s">
        <v>74</v>
      </c>
      <c r="I13" s="34" t="s">
        <v>26</v>
      </c>
      <c r="J13" s="35" t="s">
        <v>25</v>
      </c>
      <c r="K13" s="36" t="s">
        <v>0</v>
      </c>
      <c r="L13" s="34" t="s">
        <v>23</v>
      </c>
      <c r="M13" s="35" t="s">
        <v>77</v>
      </c>
      <c r="N13" s="36" t="s">
        <v>76</v>
      </c>
      <c r="O13" s="34" t="s">
        <v>44</v>
      </c>
      <c r="P13" s="35" t="s">
        <v>32</v>
      </c>
      <c r="Q13" s="36" t="s">
        <v>32</v>
      </c>
      <c r="R13" s="41" t="s">
        <v>88</v>
      </c>
      <c r="S13" s="41" t="s">
        <v>108</v>
      </c>
      <c r="T13" s="35"/>
      <c r="U13" s="35"/>
      <c r="V13" s="35">
        <f t="shared" si="7"/>
        <v>0</v>
      </c>
      <c r="W13" s="36">
        <f t="shared" si="1"/>
        <v>0</v>
      </c>
      <c r="X13" s="34" t="s">
        <v>88</v>
      </c>
      <c r="Y13" s="41" t="s">
        <v>108</v>
      </c>
      <c r="Z13" s="35"/>
      <c r="AA13" s="35"/>
      <c r="AB13" s="35">
        <f t="shared" si="8"/>
        <v>0</v>
      </c>
      <c r="AC13" s="36">
        <f t="shared" si="3"/>
        <v>0</v>
      </c>
      <c r="AD13" s="34" t="s">
        <v>85</v>
      </c>
      <c r="AE13" s="41" t="s">
        <v>108</v>
      </c>
      <c r="AF13" s="35"/>
      <c r="AG13" s="35"/>
      <c r="AH13" s="35">
        <f t="shared" si="9"/>
        <v>0</v>
      </c>
      <c r="AI13" s="38">
        <f t="shared" si="5"/>
        <v>0</v>
      </c>
      <c r="AJ13" s="42">
        <f t="shared" si="10"/>
        <v>0</v>
      </c>
      <c r="AK13" s="34"/>
      <c r="AL13" s="36">
        <v>0</v>
      </c>
      <c r="AM13" s="34"/>
      <c r="AN13" s="36">
        <v>0</v>
      </c>
      <c r="AO13" s="41"/>
      <c r="AP13" s="38"/>
      <c r="AQ13" s="39" t="s">
        <v>42</v>
      </c>
      <c r="AR13" s="42" t="s">
        <v>36</v>
      </c>
      <c r="AS13" s="37" t="s">
        <v>122</v>
      </c>
      <c r="AT13" s="42" t="s">
        <v>123</v>
      </c>
      <c r="AU13" s="34" t="s">
        <v>37</v>
      </c>
      <c r="AV13" s="34" t="s">
        <v>36</v>
      </c>
      <c r="AW13" s="34" t="s">
        <v>37</v>
      </c>
      <c r="AX13" s="34" t="s">
        <v>36</v>
      </c>
      <c r="AY13" s="48" t="s">
        <v>37</v>
      </c>
      <c r="AZ13" s="48" t="s">
        <v>137</v>
      </c>
    </row>
    <row r="14" spans="1:52" ht="58.2" thickBot="1" x14ac:dyDescent="0.35">
      <c r="A14" s="81" t="s">
        <v>228</v>
      </c>
      <c r="B14" s="70" t="s">
        <v>163</v>
      </c>
      <c r="C14" s="71" t="s">
        <v>32</v>
      </c>
      <c r="D14" s="70" t="s">
        <v>164</v>
      </c>
      <c r="E14" s="72"/>
      <c r="F14" s="45">
        <v>129780000000000</v>
      </c>
      <c r="G14" s="70" t="s">
        <v>18</v>
      </c>
      <c r="H14" s="73" t="s">
        <v>74</v>
      </c>
      <c r="I14" s="74" t="s">
        <v>26</v>
      </c>
      <c r="J14" s="70" t="s">
        <v>25</v>
      </c>
      <c r="K14" s="73" t="s">
        <v>0</v>
      </c>
      <c r="L14" s="74" t="s">
        <v>23</v>
      </c>
      <c r="M14" s="70" t="s">
        <v>77</v>
      </c>
      <c r="N14" s="73" t="s">
        <v>76</v>
      </c>
      <c r="O14" s="74" t="s">
        <v>44</v>
      </c>
      <c r="P14" s="70" t="s">
        <v>32</v>
      </c>
      <c r="Q14" s="73" t="s">
        <v>32</v>
      </c>
      <c r="R14" s="75" t="s">
        <v>88</v>
      </c>
      <c r="S14" s="75" t="s">
        <v>108</v>
      </c>
      <c r="T14" s="70"/>
      <c r="U14" s="70"/>
      <c r="V14" s="70">
        <f t="shared" si="7"/>
        <v>0</v>
      </c>
      <c r="W14" s="73">
        <f t="shared" si="1"/>
        <v>0</v>
      </c>
      <c r="X14" s="74" t="s">
        <v>88</v>
      </c>
      <c r="Y14" s="75" t="s">
        <v>108</v>
      </c>
      <c r="Z14" s="70"/>
      <c r="AA14" s="70"/>
      <c r="AB14" s="70">
        <f t="shared" si="8"/>
        <v>0</v>
      </c>
      <c r="AC14" s="73">
        <f t="shared" si="3"/>
        <v>0</v>
      </c>
      <c r="AD14" s="74" t="s">
        <v>85</v>
      </c>
      <c r="AE14" s="75" t="s">
        <v>108</v>
      </c>
      <c r="AF14" s="70"/>
      <c r="AG14" s="70"/>
      <c r="AH14" s="70">
        <f t="shared" si="9"/>
        <v>0</v>
      </c>
      <c r="AI14" s="76">
        <f t="shared" si="5"/>
        <v>0</v>
      </c>
      <c r="AJ14" s="77">
        <f t="shared" si="10"/>
        <v>0</v>
      </c>
      <c r="AK14" s="74"/>
      <c r="AL14" s="73">
        <v>0</v>
      </c>
      <c r="AM14" s="74"/>
      <c r="AN14" s="73">
        <v>0</v>
      </c>
      <c r="AO14" s="75"/>
      <c r="AP14" s="76"/>
      <c r="AQ14" s="78" t="s">
        <v>42</v>
      </c>
      <c r="AR14" s="77" t="s">
        <v>36</v>
      </c>
      <c r="AS14" s="79" t="s">
        <v>122</v>
      </c>
      <c r="AT14" s="77" t="s">
        <v>123</v>
      </c>
      <c r="AU14" s="74" t="s">
        <v>37</v>
      </c>
      <c r="AV14" s="74" t="s">
        <v>36</v>
      </c>
      <c r="AW14" s="74" t="s">
        <v>37</v>
      </c>
      <c r="AX14" s="74" t="s">
        <v>36</v>
      </c>
      <c r="AY14" s="80" t="s">
        <v>37</v>
      </c>
      <c r="AZ14" s="80" t="s">
        <v>137</v>
      </c>
    </row>
  </sheetData>
  <mergeCells count="37">
    <mergeCell ref="AZ1:AZ3"/>
    <mergeCell ref="AQ1:AQ3"/>
    <mergeCell ref="AR1:AR3"/>
    <mergeCell ref="AS1:AT2"/>
    <mergeCell ref="AK1:AL1"/>
    <mergeCell ref="AM1:AN1"/>
    <mergeCell ref="AM2:AM3"/>
    <mergeCell ref="AN2:AN3"/>
    <mergeCell ref="AU1:AY1"/>
    <mergeCell ref="Q2:Q3"/>
    <mergeCell ref="L1:N1"/>
    <mergeCell ref="O1:Q1"/>
    <mergeCell ref="AO1:AP2"/>
    <mergeCell ref="X2:AC2"/>
    <mergeCell ref="L2:L3"/>
    <mergeCell ref="M2:M3"/>
    <mergeCell ref="N2:N3"/>
    <mergeCell ref="O2:O3"/>
    <mergeCell ref="P2:P3"/>
    <mergeCell ref="R1:AJ1"/>
    <mergeCell ref="AJ2:AJ3"/>
    <mergeCell ref="AK2:AK3"/>
    <mergeCell ref="R2:W2"/>
    <mergeCell ref="AD2:AI2"/>
    <mergeCell ref="AL2:AL3"/>
    <mergeCell ref="A1:A3"/>
    <mergeCell ref="B1:B3"/>
    <mergeCell ref="D1:D3"/>
    <mergeCell ref="E1:E3"/>
    <mergeCell ref="F1:F3"/>
    <mergeCell ref="C1:C3"/>
    <mergeCell ref="G1:G3"/>
    <mergeCell ref="I2:I3"/>
    <mergeCell ref="I1:K1"/>
    <mergeCell ref="J2:J3"/>
    <mergeCell ref="K2:K3"/>
    <mergeCell ref="H1:H3"/>
  </mergeCells>
  <conditionalFormatting sqref="AJ1:AJ3 AJ5 AJ15:AJ1048576">
    <cfRule type="cellIs" dxfId="71" priority="15" operator="greaterThan">
      <formula>6</formula>
    </cfRule>
  </conditionalFormatting>
  <conditionalFormatting sqref="AL1:AL3 AL5 AL15:AL1048576">
    <cfRule type="cellIs" dxfId="70" priority="14" operator="greaterThan">
      <formula>15</formula>
    </cfRule>
  </conditionalFormatting>
  <conditionalFormatting sqref="AN1:AN3 AN5 AN15:AN1048576">
    <cfRule type="cellIs" dxfId="69" priority="13" operator="greaterThan">
      <formula>150</formula>
    </cfRule>
  </conditionalFormatting>
  <conditionalFormatting sqref="AJ6">
    <cfRule type="cellIs" dxfId="68" priority="12" operator="greaterThan">
      <formula>6</formula>
    </cfRule>
  </conditionalFormatting>
  <conditionalFormatting sqref="AL6">
    <cfRule type="cellIs" dxfId="67" priority="11" operator="greaterThan">
      <formula>15</formula>
    </cfRule>
  </conditionalFormatting>
  <conditionalFormatting sqref="AN6">
    <cfRule type="cellIs" dxfId="66" priority="10" operator="greaterThan">
      <formula>150</formula>
    </cfRule>
  </conditionalFormatting>
  <conditionalFormatting sqref="AJ7">
    <cfRule type="cellIs" dxfId="65" priority="9" operator="greaterThan">
      <formula>6</formula>
    </cfRule>
  </conditionalFormatting>
  <conditionalFormatting sqref="AL7">
    <cfRule type="cellIs" dxfId="64" priority="8" operator="greaterThan">
      <formula>15</formula>
    </cfRule>
  </conditionalFormatting>
  <conditionalFormatting sqref="AN7">
    <cfRule type="cellIs" dxfId="63" priority="7" operator="greaterThan">
      <formula>150</formula>
    </cfRule>
  </conditionalFormatting>
  <conditionalFormatting sqref="AJ8:AJ14">
    <cfRule type="cellIs" dxfId="62" priority="6" operator="greaterThan">
      <formula>6</formula>
    </cfRule>
  </conditionalFormatting>
  <conditionalFormatting sqref="AL8:AL14">
    <cfRule type="cellIs" dxfId="61" priority="5" operator="greaterThan">
      <formula>15</formula>
    </cfRule>
  </conditionalFormatting>
  <conditionalFormatting sqref="AN8:AN14">
    <cfRule type="cellIs" dxfId="60" priority="4" operator="greaterThan">
      <formula>150</formula>
    </cfRule>
  </conditionalFormatting>
  <conditionalFormatting sqref="AJ4">
    <cfRule type="cellIs" dxfId="59" priority="3" operator="greaterThan">
      <formula>6</formula>
    </cfRule>
  </conditionalFormatting>
  <conditionalFormatting sqref="AL4">
    <cfRule type="cellIs" dxfId="58" priority="2" operator="greaterThan">
      <formula>15</formula>
    </cfRule>
  </conditionalFormatting>
  <conditionalFormatting sqref="AN4">
    <cfRule type="cellIs" dxfId="57" priority="1" operator="greaterThan">
      <formula>150</formula>
    </cfRule>
  </conditionalFormatting>
  <dataValidations count="13">
    <dataValidation type="list" allowBlank="1" showInputMessage="1" showErrorMessage="1" sqref="I5:K14">
      <formula1>Nat_TE</formula1>
    </dataValidation>
    <dataValidation type="list" allowBlank="1" showInputMessage="1" showErrorMessage="1" sqref="X5:X14 R5:R14">
      <formula1>Per_Expo</formula1>
    </dataValidation>
    <dataValidation type="list" allowBlank="1" showInputMessage="1" showErrorMessage="1" sqref="L5:N14">
      <formula1>Sources_RI</formula1>
    </dataValidation>
    <dataValidation type="list" allowBlank="1" showInputMessage="1" showErrorMessage="1" sqref="H5:H14">
      <formula1>Serv_UF</formula1>
    </dataValidation>
    <dataValidation type="list" allowBlank="1" showInputMessage="1" showErrorMessage="1" sqref="AS5:AT14">
      <formula1>Dosi</formula1>
    </dataValidation>
    <dataValidation type="list" allowBlank="1" showInputMessage="1" showErrorMessage="1" sqref="S5:S14 Y5:Y14">
      <formula1>Fre_Exp</formula1>
    </dataValidation>
    <dataValidation type="list" allowBlank="1" showInputMessage="1" showErrorMessage="1" sqref="O5:Q14">
      <formula1>Nat_RI</formula1>
    </dataValidation>
    <dataValidation type="list" allowBlank="1" showInputMessage="1" showErrorMessage="1" sqref="AQ5:AQ14">
      <formula1>Cat</formula1>
    </dataValidation>
    <dataValidation type="list" allowBlank="1" showInputMessage="1" showErrorMessage="1" sqref="AU5:AY14 AR5:AR14">
      <formula1>Quest</formula1>
    </dataValidation>
    <dataValidation type="list" allowBlank="1" showInputMessage="1" showErrorMessage="1" sqref="AO5:AO14">
      <formula1>Nat_Inc</formula1>
    </dataValidation>
    <dataValidation type="list" allowBlank="1" showInputMessage="1" showErrorMessage="1" sqref="AD5:AD14">
      <formula1>$A$28:$A$40</formula1>
    </dataValidation>
    <dataValidation type="list" allowBlank="1" showInputMessage="1" showErrorMessage="1" sqref="AE5:AE14">
      <formula1>$A$71:$A$77</formula1>
    </dataValidation>
    <dataValidation type="list" allowBlank="1" showInputMessage="1" showErrorMessage="1" sqref="G5:G14">
      <formula1>Profession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76"/>
  <sheetViews>
    <sheetView zoomScaleNormal="100" zoomScalePageLayoutView="90" workbookViewId="0">
      <selection activeCell="R15" sqref="R15"/>
    </sheetView>
  </sheetViews>
  <sheetFormatPr baseColWidth="10" defaultColWidth="11.44140625" defaultRowHeight="15.6" x14ac:dyDescent="0.3"/>
  <cols>
    <col min="1" max="1" width="1.6640625" style="6" customWidth="1"/>
    <col min="2" max="2" width="33" style="6" customWidth="1"/>
    <col min="3" max="3" width="1.6640625" style="6" customWidth="1"/>
    <col min="4" max="5" width="11.44140625" style="6"/>
    <col min="6" max="6" width="1.6640625" style="6" customWidth="1"/>
    <col min="7" max="8" width="11.44140625" style="6"/>
    <col min="9" max="9" width="1.6640625" style="6" customWidth="1"/>
    <col min="10" max="11" width="11.44140625" style="6"/>
    <col min="12" max="12" width="1.6640625" style="6" customWidth="1"/>
    <col min="13" max="13" width="11.88671875" style="6" bestFit="1" customWidth="1"/>
    <col min="14" max="14" width="11.33203125" style="6" customWidth="1"/>
    <col min="15" max="15" width="1.6640625" style="6" customWidth="1"/>
    <col min="16" max="16" width="2.44140625" style="6" customWidth="1"/>
    <col min="17" max="16384" width="11.44140625" style="6"/>
  </cols>
  <sheetData>
    <row r="1" spans="1:17" ht="16.2" thickTop="1" x14ac:dyDescent="0.3">
      <c r="A1" s="95"/>
      <c r="B1" s="95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7"/>
      <c r="Q1" s="56" t="s">
        <v>219</v>
      </c>
    </row>
    <row r="2" spans="1:17" x14ac:dyDescent="0.3">
      <c r="A2" s="98"/>
      <c r="B2" s="98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99"/>
      <c r="Q2" s="5"/>
    </row>
    <row r="3" spans="1:17" x14ac:dyDescent="0.3">
      <c r="A3" s="98"/>
      <c r="B3" s="98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99"/>
      <c r="Q3" s="5"/>
    </row>
    <row r="4" spans="1:17" x14ac:dyDescent="0.3">
      <c r="A4" s="98"/>
      <c r="B4" s="98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99"/>
      <c r="Q4" s="5"/>
    </row>
    <row r="5" spans="1:17" x14ac:dyDescent="0.3">
      <c r="A5" s="98"/>
      <c r="B5" s="98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99"/>
      <c r="Q5" s="5"/>
    </row>
    <row r="6" spans="1:17" x14ac:dyDescent="0.3">
      <c r="A6" s="100"/>
      <c r="B6" s="10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99"/>
      <c r="Q6" s="5"/>
    </row>
    <row r="7" spans="1:17" x14ac:dyDescent="0.3">
      <c r="A7" s="101"/>
      <c r="B7" s="187" t="s">
        <v>38</v>
      </c>
      <c r="C7" s="22"/>
      <c r="D7" s="166" t="str">
        <f>VLOOKUP(Q1,'à remplir'!A5:AZ14,2,FALSE)</f>
        <v>Arc</v>
      </c>
      <c r="E7" s="167"/>
      <c r="F7" s="22"/>
      <c r="G7" s="22"/>
      <c r="H7" s="93" t="s">
        <v>39</v>
      </c>
      <c r="I7" s="22"/>
      <c r="J7" s="166" t="str">
        <f>VLOOKUP(Q1,'à remplir'!A5:AZ14,3,FALSE)</f>
        <v>-</v>
      </c>
      <c r="K7" s="167"/>
      <c r="L7" s="22"/>
      <c r="M7" s="22"/>
      <c r="N7" s="22"/>
      <c r="O7" s="23"/>
      <c r="P7" s="99"/>
      <c r="Q7" s="5"/>
    </row>
    <row r="8" spans="1:17" x14ac:dyDescent="0.3">
      <c r="A8" s="101"/>
      <c r="B8" s="187" t="s">
        <v>27</v>
      </c>
      <c r="C8" s="22"/>
      <c r="D8" s="166" t="str">
        <f>VLOOKUP(Q1,'à remplir'!A5:AZ14,4,FALSE)</f>
        <v>Noémie</v>
      </c>
      <c r="E8" s="167"/>
      <c r="F8" s="22"/>
      <c r="G8" s="22"/>
      <c r="H8" s="22"/>
      <c r="I8" s="22"/>
      <c r="J8" s="22"/>
      <c r="K8" s="22"/>
      <c r="L8" s="22"/>
      <c r="M8" s="22"/>
      <c r="N8" s="22"/>
      <c r="O8" s="23"/>
      <c r="P8" s="99"/>
      <c r="Q8" s="5"/>
    </row>
    <row r="9" spans="1:17" x14ac:dyDescent="0.3">
      <c r="A9" s="101"/>
      <c r="B9" s="187" t="s">
        <v>46</v>
      </c>
      <c r="C9" s="22"/>
      <c r="D9" s="168">
        <f>VLOOKUP(Q1,'à remplir'!A5:AZ14,5,FALSE)</f>
        <v>0</v>
      </c>
      <c r="E9" s="169"/>
      <c r="F9" s="22"/>
      <c r="G9" s="22"/>
      <c r="H9" s="93" t="s">
        <v>47</v>
      </c>
      <c r="I9" s="22"/>
      <c r="J9" s="170">
        <f>VLOOKUP(Q1,'à remplir'!A5:AZ14,6,FALSE)</f>
        <v>285090000000000</v>
      </c>
      <c r="K9" s="171"/>
      <c r="L9" s="171"/>
      <c r="M9" s="171"/>
      <c r="N9" s="7"/>
      <c r="O9" s="23"/>
      <c r="P9" s="99"/>
      <c r="Q9" s="5"/>
    </row>
    <row r="10" spans="1:17" x14ac:dyDescent="0.3">
      <c r="A10" s="102"/>
      <c r="B10" s="188"/>
      <c r="C10" s="25"/>
      <c r="D10" s="26"/>
      <c r="E10" s="26"/>
      <c r="F10" s="25"/>
      <c r="G10" s="25"/>
      <c r="H10" s="24"/>
      <c r="I10" s="25"/>
      <c r="J10" s="27"/>
      <c r="K10" s="27"/>
      <c r="L10" s="27"/>
      <c r="M10" s="27"/>
      <c r="N10" s="27"/>
      <c r="O10" s="28"/>
      <c r="P10" s="99"/>
      <c r="Q10" s="5"/>
    </row>
    <row r="11" spans="1:17" x14ac:dyDescent="0.3">
      <c r="A11" s="98"/>
      <c r="B11" s="98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99"/>
      <c r="Q11" s="5"/>
    </row>
    <row r="12" spans="1:17" x14ac:dyDescent="0.3">
      <c r="A12" s="103"/>
      <c r="B12" s="189" t="s">
        <v>2</v>
      </c>
      <c r="C12" s="8"/>
      <c r="D12" s="172" t="str">
        <f>VLOOKUP(Q1,'à remplir'!A5:AZ14,7,FALSE)</f>
        <v>Personne compétente en radioprotection</v>
      </c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99"/>
      <c r="Q12" s="5"/>
    </row>
    <row r="13" spans="1:17" x14ac:dyDescent="0.3">
      <c r="A13" s="103"/>
      <c r="B13" s="189"/>
      <c r="C13" s="8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13"/>
      <c r="P13" s="99"/>
      <c r="Q13" s="5"/>
    </row>
    <row r="14" spans="1:17" x14ac:dyDescent="0.3">
      <c r="A14" s="103"/>
      <c r="B14" s="189" t="s">
        <v>71</v>
      </c>
      <c r="C14" s="8"/>
      <c r="D14" s="172" t="str">
        <f>VLOOKUP(Q1,'à remplir'!A5:AZ14,8,FALSE)</f>
        <v>Radioprotection</v>
      </c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99"/>
      <c r="Q14" s="5"/>
    </row>
    <row r="15" spans="1:17" x14ac:dyDescent="0.3">
      <c r="A15" s="98"/>
      <c r="B15" s="190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99"/>
      <c r="Q15" s="5"/>
    </row>
    <row r="16" spans="1:17" x14ac:dyDescent="0.3">
      <c r="A16" s="98"/>
      <c r="B16" s="189" t="s">
        <v>3</v>
      </c>
      <c r="C16" s="13"/>
      <c r="D16" s="172" t="str">
        <f>VLOOKUP(Q1,'à remplir'!A5:AZ14,9,FALSE)</f>
        <v>Radiodiagnostic</v>
      </c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99"/>
      <c r="Q16" s="5"/>
    </row>
    <row r="17" spans="1:17" x14ac:dyDescent="0.3">
      <c r="A17" s="98"/>
      <c r="B17" s="98"/>
      <c r="C17" s="13"/>
      <c r="D17" s="172" t="str">
        <f>VLOOKUP(Q1,'à remplir'!A5:AZ14,10,FALSE)</f>
        <v>Pratique interventionnelle radioguidée</v>
      </c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99"/>
      <c r="Q17" s="5"/>
    </row>
    <row r="18" spans="1:17" x14ac:dyDescent="0.3">
      <c r="A18" s="98"/>
      <c r="B18" s="189"/>
      <c r="C18" s="13"/>
      <c r="D18" s="172" t="str">
        <f>VLOOKUP(Q1,'à remplir'!A5:AZ14,11,FALSE)</f>
        <v>Utilisation d'accélérateurs à visée thérapeutique</v>
      </c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99"/>
      <c r="Q18" s="5"/>
    </row>
    <row r="19" spans="1:17" x14ac:dyDescent="0.3">
      <c r="A19" s="98"/>
      <c r="B19" s="98"/>
      <c r="C19" s="13"/>
      <c r="D19" s="8"/>
      <c r="E19" s="8"/>
      <c r="F19" s="8"/>
      <c r="G19" s="8"/>
      <c r="H19" s="8"/>
      <c r="I19" s="8"/>
      <c r="J19" s="8"/>
      <c r="K19" s="13"/>
      <c r="L19" s="13"/>
      <c r="M19" s="13"/>
      <c r="N19" s="13"/>
      <c r="O19" s="13"/>
      <c r="P19" s="99"/>
      <c r="Q19" s="5"/>
    </row>
    <row r="20" spans="1:17" x14ac:dyDescent="0.3">
      <c r="A20" s="98"/>
      <c r="B20" s="189" t="s">
        <v>48</v>
      </c>
      <c r="C20" s="13"/>
      <c r="D20" s="172" t="str">
        <f>VLOOKUP(Q1,'à remplir'!A5:AZ14,12,FALSE)</f>
        <v>Scanner</v>
      </c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99"/>
      <c r="Q20" s="5"/>
    </row>
    <row r="21" spans="1:17" x14ac:dyDescent="0.3">
      <c r="A21" s="98"/>
      <c r="B21" s="98"/>
      <c r="C21" s="13"/>
      <c r="D21" s="172" t="str">
        <f>VLOOKUP(Q1,'à remplir'!A5:AZ14,13,FALSE)</f>
        <v>Générateurs de rayons X (table radio, mobile, panoramique, rétroalvéolaire)</v>
      </c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99"/>
      <c r="Q21" s="5"/>
    </row>
    <row r="22" spans="1:17" x14ac:dyDescent="0.3">
      <c r="A22" s="98"/>
      <c r="B22" s="191"/>
      <c r="C22" s="13"/>
      <c r="D22" s="172" t="str">
        <f>VLOOKUP(Q1,'à remplir'!A5:AZ14,14,FALSE)</f>
        <v>Arceau bloc / Salle interventionnelle</v>
      </c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99"/>
      <c r="Q22" s="5"/>
    </row>
    <row r="23" spans="1:17" x14ac:dyDescent="0.3">
      <c r="A23" s="98"/>
      <c r="B23" s="98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99"/>
      <c r="Q23" s="5"/>
    </row>
    <row r="24" spans="1:17" ht="33.75" customHeight="1" x14ac:dyDescent="0.3">
      <c r="A24" s="98"/>
      <c r="B24" s="192" t="s">
        <v>49</v>
      </c>
      <c r="C24" s="13"/>
      <c r="D24" s="174" t="str">
        <f>VLOOKUP(Q1,'à remplir'!A5:AZ14,15,FALSE)</f>
        <v>Rayons X (faible énergie &lt; 120 keV)</v>
      </c>
      <c r="E24" s="175"/>
      <c r="F24" s="104"/>
      <c r="G24" s="174" t="str">
        <f>VLOOKUP(Q1,'à remplir'!A5:AZ14,16,FALSE)</f>
        <v>-</v>
      </c>
      <c r="H24" s="175"/>
      <c r="I24" s="104"/>
      <c r="J24" s="174" t="str">
        <f>VLOOKUP(Q1,'à remplir'!A5:AZ14,17,FALSE)</f>
        <v>-</v>
      </c>
      <c r="K24" s="175"/>
      <c r="L24" s="13"/>
      <c r="M24" s="13"/>
      <c r="N24" s="13"/>
      <c r="O24" s="13"/>
      <c r="P24" s="99"/>
      <c r="Q24" s="5"/>
    </row>
    <row r="25" spans="1:17" x14ac:dyDescent="0.3">
      <c r="A25" s="98"/>
      <c r="B25" s="98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05"/>
    </row>
    <row r="26" spans="1:17" x14ac:dyDescent="0.3">
      <c r="A26" s="98"/>
      <c r="B26" s="189" t="s">
        <v>51</v>
      </c>
      <c r="C26" s="13"/>
      <c r="D26" s="173" t="s">
        <v>52</v>
      </c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05"/>
    </row>
    <row r="27" spans="1:17" x14ac:dyDescent="0.3">
      <c r="A27" s="98"/>
      <c r="B27" s="98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05"/>
    </row>
    <row r="28" spans="1:17" x14ac:dyDescent="0.3">
      <c r="A28" s="98"/>
      <c r="B28" s="189"/>
      <c r="C28" s="13"/>
      <c r="D28" s="156" t="s">
        <v>33</v>
      </c>
      <c r="E28" s="156"/>
      <c r="F28" s="13"/>
      <c r="G28" s="156" t="s">
        <v>106</v>
      </c>
      <c r="H28" s="156"/>
      <c r="I28" s="8"/>
      <c r="J28" s="156" t="s">
        <v>113</v>
      </c>
      <c r="K28" s="156"/>
      <c r="L28" s="13"/>
      <c r="M28" s="156" t="s">
        <v>114</v>
      </c>
      <c r="N28" s="156"/>
      <c r="O28" s="13"/>
      <c r="P28" s="105"/>
    </row>
    <row r="29" spans="1:17" ht="6" customHeight="1" x14ac:dyDescent="0.3">
      <c r="A29" s="98"/>
      <c r="B29" s="189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05"/>
    </row>
    <row r="30" spans="1:17" x14ac:dyDescent="0.3">
      <c r="A30" s="98">
        <v>1</v>
      </c>
      <c r="B30" s="193" t="str">
        <f>VLOOKUP(Q1,'à remplir'!A5:AZ14,18,FALSE)</f>
        <v>Au poste de commande (accélérateur radiothérapie)</v>
      </c>
      <c r="C30" s="173"/>
      <c r="D30" s="173"/>
      <c r="E30" s="173"/>
      <c r="F30" s="13"/>
      <c r="G30" s="172" t="str">
        <f>VLOOKUP(Q1,'à remplir'!A5:AZ14,19,FALSE)</f>
        <v>hebdomadaire</v>
      </c>
      <c r="H30" s="173"/>
      <c r="I30" s="13"/>
      <c r="J30" s="172">
        <f>VLOOKUP(Q1,'à remplir'!A5:AZ14,21,FALSE)</f>
        <v>0</v>
      </c>
      <c r="K30" s="173"/>
      <c r="L30" s="13"/>
      <c r="M30" s="172">
        <f>VLOOKUP(Q1,'à remplir'!A5:AZ14,23,FALSE)</f>
        <v>0</v>
      </c>
      <c r="N30" s="173"/>
      <c r="O30" s="13"/>
      <c r="P30" s="105"/>
    </row>
    <row r="31" spans="1:17" ht="6.75" customHeight="1" x14ac:dyDescent="0.3">
      <c r="A31" s="98"/>
      <c r="B31" s="190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05"/>
    </row>
    <row r="32" spans="1:17" x14ac:dyDescent="0.3">
      <c r="A32" s="98">
        <v>2</v>
      </c>
      <c r="B32" s="193" t="str">
        <f>VLOOKUP(Q1,'à remplir'!A5:AZ14,24,FALSE)</f>
        <v>Au poste de commande (accélérateur radiothérapie)</v>
      </c>
      <c r="C32" s="173"/>
      <c r="D32" s="173"/>
      <c r="E32" s="173"/>
      <c r="F32" s="13"/>
      <c r="G32" s="172" t="str">
        <f>VLOOKUP(Q1,'à remplir'!A5:AZ14,25,FALSE)</f>
        <v>hebdomadaire</v>
      </c>
      <c r="H32" s="173"/>
      <c r="I32" s="13"/>
      <c r="J32" s="172">
        <f>VLOOKUP(Q1,'à remplir'!A5:AZ14,27,FALSE)</f>
        <v>0</v>
      </c>
      <c r="K32" s="173"/>
      <c r="L32" s="13"/>
      <c r="M32" s="172">
        <f>VLOOKUP(Q1,'à remplir'!A5:AZ14,29,FALSE)</f>
        <v>0</v>
      </c>
      <c r="N32" s="173"/>
      <c r="O32" s="13"/>
      <c r="P32" s="105"/>
    </row>
    <row r="33" spans="1:16" ht="6.75" customHeight="1" x14ac:dyDescent="0.3">
      <c r="A33" s="98"/>
      <c r="B33" s="190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05"/>
    </row>
    <row r="34" spans="1:16" x14ac:dyDescent="0.3">
      <c r="A34" s="98">
        <v>3</v>
      </c>
      <c r="B34" s="193" t="str">
        <f>VLOOKUP(Q1,'à remplir'!A5:AZ14,30,FALSE)</f>
        <v>Au pupitre, derrière vitre plombée (scanner)</v>
      </c>
      <c r="C34" s="173"/>
      <c r="D34" s="173"/>
      <c r="E34" s="173"/>
      <c r="F34" s="13"/>
      <c r="G34" s="172" t="str">
        <f>VLOOKUP(Q1,'à remplir'!A5:AZ14,31,FALSE)</f>
        <v>hebdomadaire</v>
      </c>
      <c r="H34" s="173"/>
      <c r="I34" s="13"/>
      <c r="J34" s="172">
        <f>VLOOKUP(Q1,'à remplir'!A5:AZ14,33,FALSE)</f>
        <v>0</v>
      </c>
      <c r="K34" s="173"/>
      <c r="L34" s="13"/>
      <c r="M34" s="172">
        <f>VLOOKUP(Q1,'à remplir'!A5:AZ14,35,FALSE)</f>
        <v>0</v>
      </c>
      <c r="N34" s="173"/>
      <c r="O34" s="13"/>
      <c r="P34" s="105"/>
    </row>
    <row r="35" spans="1:16" ht="6.75" customHeight="1" x14ac:dyDescent="0.3">
      <c r="A35" s="98"/>
      <c r="B35" s="189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05"/>
    </row>
    <row r="36" spans="1:16" x14ac:dyDescent="0.3">
      <c r="A36" s="98"/>
      <c r="B36" s="194" t="s">
        <v>73</v>
      </c>
      <c r="C36" s="156"/>
      <c r="D36" s="156"/>
      <c r="E36" s="156"/>
      <c r="F36" s="13"/>
      <c r="G36" s="176">
        <f>VLOOKUP(Q1,'à remplir'!A5:AZ14,36,FALSE)</f>
        <v>0</v>
      </c>
      <c r="H36" s="177"/>
      <c r="I36" s="177"/>
      <c r="J36" s="177"/>
      <c r="K36" s="177"/>
      <c r="L36" s="177"/>
      <c r="M36" s="177"/>
      <c r="N36" s="177"/>
      <c r="O36" s="178"/>
      <c r="P36" s="105"/>
    </row>
    <row r="37" spans="1:16" x14ac:dyDescent="0.3">
      <c r="A37" s="98"/>
      <c r="B37" s="98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05"/>
    </row>
    <row r="38" spans="1:16" x14ac:dyDescent="0.3">
      <c r="A38" s="98"/>
      <c r="B38" s="189" t="s">
        <v>66</v>
      </c>
      <c r="C38" s="13"/>
      <c r="D38" s="176">
        <f>VLOOKUP(Q1,'à remplir'!A5:AZ14,38,FALSE)</f>
        <v>0</v>
      </c>
      <c r="E38" s="177"/>
      <c r="F38" s="178"/>
      <c r="G38" s="156" t="s">
        <v>65</v>
      </c>
      <c r="H38" s="156"/>
      <c r="I38" s="156"/>
      <c r="J38" s="156"/>
      <c r="K38" s="172">
        <f>VLOOKUP(Q1,'à remplir'!A5:AZ14,40,FALSE)</f>
        <v>0</v>
      </c>
      <c r="L38" s="173"/>
      <c r="M38" s="173"/>
      <c r="N38" s="173"/>
      <c r="O38" s="173"/>
      <c r="P38" s="105"/>
    </row>
    <row r="39" spans="1:16" x14ac:dyDescent="0.3">
      <c r="A39" s="98"/>
      <c r="B39" s="98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05"/>
    </row>
    <row r="40" spans="1:16" ht="33.75" customHeight="1" x14ac:dyDescent="0.3">
      <c r="A40" s="106"/>
      <c r="B40" s="192" t="s">
        <v>34</v>
      </c>
      <c r="C40" s="52"/>
      <c r="D40" s="181">
        <f>VLOOKUP(Q1,'à remplir'!A5:AZ14,41,FALSE)</f>
        <v>0</v>
      </c>
      <c r="E40" s="182"/>
      <c r="F40" s="182"/>
      <c r="G40" s="182"/>
      <c r="H40" s="182"/>
      <c r="I40" s="182"/>
      <c r="J40" s="182"/>
      <c r="K40" s="183"/>
      <c r="L40" s="53"/>
      <c r="M40" s="181">
        <f>VLOOKUP(Q1,'à remplir'!A5:AZ14,42,FALSE)</f>
        <v>0</v>
      </c>
      <c r="N40" s="183"/>
      <c r="O40" s="52"/>
      <c r="P40" s="105"/>
    </row>
    <row r="41" spans="1:16" x14ac:dyDescent="0.3">
      <c r="A41" s="98"/>
      <c r="B41" s="192"/>
      <c r="C41" s="13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3"/>
      <c r="P41" s="105"/>
    </row>
    <row r="42" spans="1:16" x14ac:dyDescent="0.3">
      <c r="A42" s="100"/>
      <c r="B42" s="10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1"/>
      <c r="P42" s="105"/>
    </row>
    <row r="43" spans="1:16" x14ac:dyDescent="0.3">
      <c r="A43" s="101"/>
      <c r="B43" s="187" t="s">
        <v>50</v>
      </c>
      <c r="C43" s="22"/>
      <c r="D43" s="160" t="str">
        <f>VLOOKUP(Q1,'à remplir'!A5:AZ14,43,FALSE)</f>
        <v>B</v>
      </c>
      <c r="E43" s="161"/>
      <c r="F43" s="22"/>
      <c r="G43" s="22"/>
      <c r="H43" s="22"/>
      <c r="I43" s="22"/>
      <c r="J43" s="22"/>
      <c r="K43" s="22"/>
      <c r="L43" s="22"/>
      <c r="M43" s="22"/>
      <c r="N43" s="22"/>
      <c r="O43" s="23"/>
      <c r="P43" s="105"/>
    </row>
    <row r="44" spans="1:16" x14ac:dyDescent="0.3">
      <c r="A44" s="101"/>
      <c r="B44" s="10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105"/>
    </row>
    <row r="45" spans="1:16" x14ac:dyDescent="0.3">
      <c r="A45" s="101"/>
      <c r="B45" s="187" t="s">
        <v>72</v>
      </c>
      <c r="C45" s="22"/>
      <c r="D45" s="160" t="str">
        <f>VLOOKUP(Q1,'à remplir'!A5:AZ14,44,FALSE)</f>
        <v>OUI</v>
      </c>
      <c r="E45" s="161"/>
      <c r="F45" s="22"/>
      <c r="G45" s="162" t="s">
        <v>13</v>
      </c>
      <c r="H45" s="162"/>
      <c r="I45" s="22"/>
      <c r="J45" s="184" t="str">
        <f>VLOOKUP(Q1,'à remplir'!A5:AZ14,45,FALSE)</f>
        <v>à lecture différée</v>
      </c>
      <c r="K45" s="185"/>
      <c r="L45" s="29" t="s">
        <v>53</v>
      </c>
      <c r="M45" s="184" t="str">
        <f>VLOOKUP(Q1,'à remplir'!A5:AZ14,46,FALSE)</f>
        <v>opérationnelle</v>
      </c>
      <c r="N45" s="185"/>
      <c r="O45" s="23"/>
      <c r="P45" s="105"/>
    </row>
    <row r="46" spans="1:16" x14ac:dyDescent="0.3">
      <c r="A46" s="102"/>
      <c r="B46" s="188"/>
      <c r="C46" s="25"/>
      <c r="D46" s="30"/>
      <c r="E46" s="30"/>
      <c r="F46" s="25"/>
      <c r="G46" s="30"/>
      <c r="H46" s="30"/>
      <c r="I46" s="25"/>
      <c r="J46" s="25"/>
      <c r="K46" s="25"/>
      <c r="L46" s="25"/>
      <c r="M46" s="25"/>
      <c r="N46" s="25"/>
      <c r="O46" s="28"/>
      <c r="P46" s="105"/>
    </row>
    <row r="47" spans="1:16" x14ac:dyDescent="0.3">
      <c r="A47" s="98"/>
      <c r="B47" s="98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05"/>
    </row>
    <row r="48" spans="1:16" x14ac:dyDescent="0.3">
      <c r="A48" s="98"/>
      <c r="B48" s="189" t="s">
        <v>54</v>
      </c>
      <c r="C48" s="13"/>
      <c r="D48" s="151" t="s">
        <v>55</v>
      </c>
      <c r="E48" s="152"/>
      <c r="F48" s="11"/>
      <c r="G48" s="11"/>
      <c r="H48" s="11"/>
      <c r="I48" s="11"/>
      <c r="J48" s="11"/>
      <c r="K48" s="12"/>
      <c r="L48" s="13"/>
      <c r="M48" s="176" t="str">
        <f>VLOOKUP(Q1,'à remplir'!A5:AZ14,47,FALSE)</f>
        <v>NON</v>
      </c>
      <c r="N48" s="179"/>
      <c r="O48" s="180"/>
      <c r="P48" s="105"/>
    </row>
    <row r="49" spans="1:16" x14ac:dyDescent="0.3">
      <c r="A49" s="98"/>
      <c r="B49" s="98"/>
      <c r="C49" s="13"/>
      <c r="D49" s="163" t="s">
        <v>56</v>
      </c>
      <c r="E49" s="164"/>
      <c r="F49" s="164"/>
      <c r="G49" s="164"/>
      <c r="H49" s="164"/>
      <c r="I49" s="164"/>
      <c r="J49" s="164"/>
      <c r="K49" s="165"/>
      <c r="L49" s="13"/>
      <c r="M49" s="13"/>
      <c r="N49" s="13"/>
      <c r="O49" s="13"/>
      <c r="P49" s="105"/>
    </row>
    <row r="50" spans="1:16" x14ac:dyDescent="0.3">
      <c r="A50" s="98"/>
      <c r="B50" s="190"/>
      <c r="C50" s="13"/>
      <c r="D50" s="153"/>
      <c r="E50" s="154"/>
      <c r="F50" s="154"/>
      <c r="G50" s="154"/>
      <c r="H50" s="154"/>
      <c r="I50" s="154"/>
      <c r="J50" s="154"/>
      <c r="K50" s="155"/>
      <c r="L50" s="13"/>
      <c r="M50" s="13"/>
      <c r="N50" s="13"/>
      <c r="O50" s="13"/>
      <c r="P50" s="105"/>
    </row>
    <row r="51" spans="1:16" x14ac:dyDescent="0.3">
      <c r="A51" s="98"/>
      <c r="B51" s="195" t="s">
        <v>67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05"/>
    </row>
    <row r="52" spans="1:16" x14ac:dyDescent="0.3">
      <c r="A52" s="98"/>
      <c r="B52" s="196" t="str">
        <f>VLOOKUP(Q1,'à remplir'!A5:AZ14,52,FALSE)</f>
        <v>test texte …..kfjfjfjfjf</v>
      </c>
      <c r="C52" s="13"/>
      <c r="D52" s="151" t="s">
        <v>57</v>
      </c>
      <c r="E52" s="152"/>
      <c r="F52" s="11"/>
      <c r="G52" s="11"/>
      <c r="H52" s="11"/>
      <c r="I52" s="11"/>
      <c r="J52" s="11"/>
      <c r="K52" s="12"/>
      <c r="L52" s="13"/>
      <c r="M52" s="176" t="str">
        <f>VLOOKUP(Q1,'à remplir'!A5:AZ14,48,FALSE)</f>
        <v>OUI</v>
      </c>
      <c r="N52" s="179"/>
      <c r="O52" s="180"/>
      <c r="P52" s="105"/>
    </row>
    <row r="53" spans="1:16" x14ac:dyDescent="0.3">
      <c r="A53" s="98"/>
      <c r="B53" s="197"/>
      <c r="C53" s="13"/>
      <c r="D53" s="157" t="s">
        <v>58</v>
      </c>
      <c r="E53" s="158"/>
      <c r="F53" s="158"/>
      <c r="G53" s="158"/>
      <c r="H53" s="158"/>
      <c r="I53" s="158"/>
      <c r="J53" s="158"/>
      <c r="K53" s="159"/>
      <c r="L53" s="13"/>
      <c r="M53" s="13"/>
      <c r="N53" s="13"/>
      <c r="O53" s="13"/>
      <c r="P53" s="105"/>
    </row>
    <row r="54" spans="1:16" x14ac:dyDescent="0.3">
      <c r="A54" s="98"/>
      <c r="B54" s="197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05"/>
    </row>
    <row r="55" spans="1:16" x14ac:dyDescent="0.3">
      <c r="A55" s="98"/>
      <c r="B55" s="197"/>
      <c r="C55" s="13"/>
      <c r="D55" s="151" t="s">
        <v>59</v>
      </c>
      <c r="E55" s="152"/>
      <c r="F55" s="11"/>
      <c r="G55" s="11"/>
      <c r="H55" s="11"/>
      <c r="I55" s="11"/>
      <c r="J55" s="11"/>
      <c r="K55" s="12"/>
      <c r="L55" s="13"/>
      <c r="M55" s="176" t="str">
        <f>VLOOKUP(Q1,'à remplir'!A5:AZ14,49,FALSE)</f>
        <v>NON</v>
      </c>
      <c r="N55" s="179"/>
      <c r="O55" s="180"/>
      <c r="P55" s="105"/>
    </row>
    <row r="56" spans="1:16" x14ac:dyDescent="0.3">
      <c r="A56" s="98"/>
      <c r="B56" s="197"/>
      <c r="C56" s="13"/>
      <c r="D56" s="153" t="s">
        <v>62</v>
      </c>
      <c r="E56" s="154"/>
      <c r="F56" s="154"/>
      <c r="G56" s="154"/>
      <c r="H56" s="154"/>
      <c r="I56" s="154"/>
      <c r="J56" s="154"/>
      <c r="K56" s="155"/>
      <c r="L56" s="13"/>
      <c r="M56" s="13"/>
      <c r="N56" s="13"/>
      <c r="O56" s="13"/>
      <c r="P56" s="105"/>
    </row>
    <row r="57" spans="1:16" x14ac:dyDescent="0.3">
      <c r="A57" s="98"/>
      <c r="B57" s="197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05"/>
    </row>
    <row r="58" spans="1:16" x14ac:dyDescent="0.3">
      <c r="A58" s="98"/>
      <c r="B58" s="197"/>
      <c r="C58" s="13"/>
      <c r="D58" s="151" t="s">
        <v>60</v>
      </c>
      <c r="E58" s="152"/>
      <c r="F58" s="11"/>
      <c r="G58" s="11"/>
      <c r="H58" s="11"/>
      <c r="I58" s="11"/>
      <c r="J58" s="11"/>
      <c r="K58" s="12"/>
      <c r="L58" s="13"/>
      <c r="M58" s="176" t="str">
        <f>VLOOKUP(Q1,'à remplir'!A5:AZ14,50,FALSE)</f>
        <v>OUI</v>
      </c>
      <c r="N58" s="179"/>
      <c r="O58" s="180"/>
      <c r="P58" s="105"/>
    </row>
    <row r="59" spans="1:16" x14ac:dyDescent="0.3">
      <c r="A59" s="98"/>
      <c r="B59" s="197"/>
      <c r="C59" s="13"/>
      <c r="D59" s="153" t="s">
        <v>61</v>
      </c>
      <c r="E59" s="154"/>
      <c r="F59" s="154"/>
      <c r="G59" s="154"/>
      <c r="H59" s="154"/>
      <c r="I59" s="154"/>
      <c r="J59" s="154"/>
      <c r="K59" s="155"/>
      <c r="L59" s="13"/>
      <c r="M59" s="13"/>
      <c r="N59" s="13"/>
      <c r="O59" s="13"/>
      <c r="P59" s="105"/>
    </row>
    <row r="60" spans="1:16" x14ac:dyDescent="0.3">
      <c r="A60" s="98"/>
      <c r="B60" s="197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05"/>
    </row>
    <row r="61" spans="1:16" x14ac:dyDescent="0.3">
      <c r="A61" s="98"/>
      <c r="B61" s="197"/>
      <c r="C61" s="13"/>
      <c r="D61" s="151" t="s">
        <v>63</v>
      </c>
      <c r="E61" s="152"/>
      <c r="F61" s="11"/>
      <c r="G61" s="11"/>
      <c r="H61" s="11"/>
      <c r="I61" s="11"/>
      <c r="J61" s="11"/>
      <c r="K61" s="12"/>
      <c r="L61" s="13"/>
      <c r="M61" s="176" t="str">
        <f>VLOOKUP(Q1,'à remplir'!A5:AZ14,51,FALSE)</f>
        <v>NON</v>
      </c>
      <c r="N61" s="179"/>
      <c r="O61" s="180"/>
      <c r="P61" s="105"/>
    </row>
    <row r="62" spans="1:16" x14ac:dyDescent="0.3">
      <c r="A62" s="98"/>
      <c r="B62" s="198"/>
      <c r="C62" s="13"/>
      <c r="D62" s="153" t="s">
        <v>64</v>
      </c>
      <c r="E62" s="154"/>
      <c r="F62" s="154"/>
      <c r="G62" s="154"/>
      <c r="H62" s="154"/>
      <c r="I62" s="154"/>
      <c r="J62" s="154"/>
      <c r="K62" s="155"/>
      <c r="L62" s="13"/>
      <c r="M62" s="13"/>
      <c r="N62" s="13"/>
      <c r="O62" s="13"/>
      <c r="P62" s="105"/>
    </row>
    <row r="63" spans="1:16" x14ac:dyDescent="0.3">
      <c r="A63" s="98"/>
      <c r="B63" s="98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05"/>
    </row>
    <row r="64" spans="1:16" x14ac:dyDescent="0.3">
      <c r="A64" s="98"/>
      <c r="B64" s="199" t="s">
        <v>68</v>
      </c>
      <c r="C64" s="152"/>
      <c r="D64" s="152"/>
      <c r="E64" s="152"/>
      <c r="F64" s="17"/>
      <c r="G64" s="152" t="s">
        <v>69</v>
      </c>
      <c r="H64" s="152"/>
      <c r="I64" s="18"/>
      <c r="J64" s="18"/>
      <c r="K64" s="18"/>
      <c r="L64" s="18"/>
      <c r="M64" s="18" t="s">
        <v>70</v>
      </c>
      <c r="N64" s="18"/>
      <c r="O64" s="17"/>
      <c r="P64" s="105"/>
    </row>
    <row r="65" spans="1:16" x14ac:dyDescent="0.3">
      <c r="A65" s="98"/>
      <c r="B65" s="200" t="s">
        <v>166</v>
      </c>
      <c r="C65" s="92"/>
      <c r="D65" s="92"/>
      <c r="E65" s="92"/>
      <c r="F65" s="54"/>
      <c r="G65" s="92"/>
      <c r="H65" s="13"/>
      <c r="I65" s="13"/>
      <c r="J65" s="13"/>
      <c r="K65" s="13"/>
      <c r="L65" s="13"/>
      <c r="M65" s="19">
        <f ca="1">TODAY()</f>
        <v>46227</v>
      </c>
      <c r="N65" s="13"/>
      <c r="O65" s="14"/>
      <c r="P65" s="105"/>
    </row>
    <row r="66" spans="1:16" x14ac:dyDescent="0.3">
      <c r="A66" s="98"/>
      <c r="B66" s="98"/>
      <c r="C66" s="13"/>
      <c r="D66" s="8"/>
      <c r="E66" s="8"/>
      <c r="F66" s="55"/>
      <c r="G66" s="13"/>
      <c r="H66" s="13"/>
      <c r="I66" s="13"/>
      <c r="J66" s="13"/>
      <c r="K66" s="13"/>
      <c r="L66" s="13"/>
      <c r="M66" s="13"/>
      <c r="N66" s="13"/>
      <c r="O66" s="14"/>
      <c r="P66" s="105"/>
    </row>
    <row r="67" spans="1:16" x14ac:dyDescent="0.3">
      <c r="A67" s="98"/>
      <c r="B67" s="201"/>
      <c r="C67" s="13"/>
      <c r="D67" s="13"/>
      <c r="E67" s="13"/>
      <c r="F67" s="14"/>
      <c r="G67" s="13"/>
      <c r="H67" s="13"/>
      <c r="I67" s="13"/>
      <c r="J67" s="13"/>
      <c r="K67" s="13"/>
      <c r="L67" s="13"/>
      <c r="M67" s="13"/>
      <c r="N67" s="13"/>
      <c r="O67" s="14"/>
      <c r="P67" s="105"/>
    </row>
    <row r="68" spans="1:16" x14ac:dyDescent="0.3">
      <c r="A68" s="98"/>
      <c r="B68" s="98"/>
      <c r="C68" s="13"/>
      <c r="D68" s="13"/>
      <c r="E68" s="13"/>
      <c r="F68" s="14"/>
      <c r="G68" s="13"/>
      <c r="H68" s="13"/>
      <c r="I68" s="13"/>
      <c r="J68" s="13"/>
      <c r="K68" s="13"/>
      <c r="L68" s="13"/>
      <c r="M68" s="13"/>
      <c r="N68" s="13"/>
      <c r="O68" s="14"/>
      <c r="P68" s="105"/>
    </row>
    <row r="69" spans="1:16" x14ac:dyDescent="0.3">
      <c r="A69" s="98"/>
      <c r="B69" s="201"/>
      <c r="C69" s="13"/>
      <c r="D69" s="13"/>
      <c r="E69" s="13"/>
      <c r="F69" s="14"/>
      <c r="G69" s="13"/>
      <c r="H69" s="13"/>
      <c r="I69" s="13"/>
      <c r="J69" s="13"/>
      <c r="K69" s="13"/>
      <c r="L69" s="13"/>
      <c r="M69" s="13"/>
      <c r="N69" s="13"/>
      <c r="O69" s="14"/>
      <c r="P69" s="105"/>
    </row>
    <row r="70" spans="1:16" x14ac:dyDescent="0.3">
      <c r="A70" s="98"/>
      <c r="B70" s="98"/>
      <c r="C70" s="13"/>
      <c r="D70" s="13"/>
      <c r="E70" s="13"/>
      <c r="F70" s="14"/>
      <c r="G70" s="13"/>
      <c r="H70" s="13"/>
      <c r="I70" s="13"/>
      <c r="J70" s="13"/>
      <c r="K70" s="13"/>
      <c r="L70" s="13"/>
      <c r="M70" s="13"/>
      <c r="N70" s="13"/>
      <c r="O70" s="14"/>
      <c r="P70" s="105"/>
    </row>
    <row r="71" spans="1:16" x14ac:dyDescent="0.3">
      <c r="A71" s="98"/>
      <c r="B71" s="202" t="s">
        <v>144</v>
      </c>
      <c r="C71" s="186"/>
      <c r="D71" s="186"/>
      <c r="E71" s="186"/>
      <c r="F71" s="14"/>
      <c r="G71" s="13"/>
      <c r="H71" s="13"/>
      <c r="I71" s="13"/>
      <c r="J71" s="13"/>
      <c r="K71" s="13"/>
      <c r="L71" s="13"/>
      <c r="M71" s="13"/>
      <c r="N71" s="13"/>
      <c r="O71" s="14"/>
      <c r="P71" s="105"/>
    </row>
    <row r="72" spans="1:16" x14ac:dyDescent="0.3">
      <c r="A72" s="98"/>
      <c r="B72" s="203" t="s">
        <v>165</v>
      </c>
      <c r="C72" s="13"/>
      <c r="D72" s="13"/>
      <c r="E72" s="13"/>
      <c r="F72" s="14"/>
      <c r="G72" s="13"/>
      <c r="H72" s="13"/>
      <c r="I72" s="13"/>
      <c r="J72" s="13"/>
      <c r="K72" s="13"/>
      <c r="L72" s="13"/>
      <c r="M72" s="13"/>
      <c r="N72" s="13"/>
      <c r="O72" s="14"/>
      <c r="P72" s="105"/>
    </row>
    <row r="73" spans="1:16" x14ac:dyDescent="0.3">
      <c r="A73" s="98"/>
      <c r="B73" s="201"/>
      <c r="C73" s="13"/>
      <c r="D73" s="13"/>
      <c r="E73" s="13"/>
      <c r="F73" s="14"/>
      <c r="G73" s="13"/>
      <c r="H73" s="13"/>
      <c r="I73" s="13"/>
      <c r="J73" s="13"/>
      <c r="K73" s="13"/>
      <c r="L73" s="13"/>
      <c r="M73" s="13"/>
      <c r="N73" s="13"/>
      <c r="O73" s="14"/>
      <c r="P73" s="105"/>
    </row>
    <row r="74" spans="1:16" x14ac:dyDescent="0.3">
      <c r="A74" s="98"/>
      <c r="B74" s="204"/>
      <c r="C74" s="15"/>
      <c r="D74" s="15"/>
      <c r="E74" s="15"/>
      <c r="F74" s="16"/>
      <c r="G74" s="15"/>
      <c r="H74" s="15"/>
      <c r="I74" s="15"/>
      <c r="J74" s="15"/>
      <c r="K74" s="15"/>
      <c r="L74" s="15"/>
      <c r="M74" s="15"/>
      <c r="N74" s="15"/>
      <c r="O74" s="16"/>
      <c r="P74" s="105"/>
    </row>
    <row r="75" spans="1:16" ht="16.2" thickBot="1" x14ac:dyDescent="0.35">
      <c r="A75" s="107"/>
      <c r="B75" s="107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9"/>
    </row>
    <row r="76" spans="1:16" ht="16.2" thickTop="1" x14ac:dyDescent="0.3"/>
  </sheetData>
  <mergeCells count="64">
    <mergeCell ref="B71:E71"/>
    <mergeCell ref="D28:E28"/>
    <mergeCell ref="G28:H28"/>
    <mergeCell ref="J28:K28"/>
    <mergeCell ref="M28:N28"/>
    <mergeCell ref="G32:H32"/>
    <mergeCell ref="J32:K32"/>
    <mergeCell ref="M32:N32"/>
    <mergeCell ref="B30:E30"/>
    <mergeCell ref="B32:E32"/>
    <mergeCell ref="M52:O52"/>
    <mergeCell ref="M55:O55"/>
    <mergeCell ref="M58:O58"/>
    <mergeCell ref="M61:O61"/>
    <mergeCell ref="G30:H30"/>
    <mergeCell ref="J30:K30"/>
    <mergeCell ref="M30:N30"/>
    <mergeCell ref="G34:H34"/>
    <mergeCell ref="J34:K34"/>
    <mergeCell ref="M34:N34"/>
    <mergeCell ref="B34:E34"/>
    <mergeCell ref="B52:B62"/>
    <mergeCell ref="K38:O38"/>
    <mergeCell ref="G36:O36"/>
    <mergeCell ref="M48:O48"/>
    <mergeCell ref="D40:K40"/>
    <mergeCell ref="M40:N40"/>
    <mergeCell ref="J45:K45"/>
    <mergeCell ref="M45:N45"/>
    <mergeCell ref="B36:E36"/>
    <mergeCell ref="D38:F38"/>
    <mergeCell ref="D12:O12"/>
    <mergeCell ref="D14:O14"/>
    <mergeCell ref="D16:O16"/>
    <mergeCell ref="D17:O17"/>
    <mergeCell ref="D18:O18"/>
    <mergeCell ref="D20:O20"/>
    <mergeCell ref="D21:O21"/>
    <mergeCell ref="D22:O22"/>
    <mergeCell ref="D26:O26"/>
    <mergeCell ref="D24:E24"/>
    <mergeCell ref="G24:H24"/>
    <mergeCell ref="J24:K24"/>
    <mergeCell ref="D7:E7"/>
    <mergeCell ref="D8:E8"/>
    <mergeCell ref="D9:E9"/>
    <mergeCell ref="J9:M9"/>
    <mergeCell ref="J7:K7"/>
    <mergeCell ref="B64:E64"/>
    <mergeCell ref="G64:H64"/>
    <mergeCell ref="D61:E61"/>
    <mergeCell ref="D62:K62"/>
    <mergeCell ref="G38:J38"/>
    <mergeCell ref="D53:K53"/>
    <mergeCell ref="D55:E55"/>
    <mergeCell ref="D56:K56"/>
    <mergeCell ref="D58:E58"/>
    <mergeCell ref="D59:K59"/>
    <mergeCell ref="D45:E45"/>
    <mergeCell ref="G45:H45"/>
    <mergeCell ref="D48:E48"/>
    <mergeCell ref="D49:K50"/>
    <mergeCell ref="D52:E52"/>
    <mergeCell ref="D43:E43"/>
  </mergeCells>
  <dataValidations count="2">
    <dataValidation type="list" allowBlank="1" showInputMessage="1" showErrorMessage="1" sqref="Q1">
      <formula1>No_Fiche</formula1>
    </dataValidation>
    <dataValidation type="list" allowBlank="1" showInputMessage="1" showErrorMessage="1" sqref="A12:A14">
      <formula1>$A$3:$A$19</formula1>
    </dataValidation>
  </dataValidations>
  <pageMargins left="0.7" right="0.7" top="0.75" bottom="0.75" header="0.3" footer="0.3"/>
  <pageSetup paperSize="9" scale="6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listes!$A$2:$A$18</xm:f>
          </x14:formula1>
          <xm:sqref>C12:C14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Accueil</vt:lpstr>
      <vt:lpstr>listes</vt:lpstr>
      <vt:lpstr>à remplir</vt:lpstr>
      <vt:lpstr>Fiche_Type</vt:lpstr>
      <vt:lpstr>Cat</vt:lpstr>
      <vt:lpstr>Dosi</vt:lpstr>
      <vt:lpstr>Fre_Exp</vt:lpstr>
      <vt:lpstr>Nat_Inc</vt:lpstr>
      <vt:lpstr>Nat_RI</vt:lpstr>
      <vt:lpstr>Nat_TE</vt:lpstr>
      <vt:lpstr>No_Fiche</vt:lpstr>
      <vt:lpstr>Per_Expo</vt:lpstr>
      <vt:lpstr>Profession</vt:lpstr>
      <vt:lpstr>Quest</vt:lpstr>
      <vt:lpstr>Serv_UF</vt:lpstr>
      <vt:lpstr>Sources_RI</vt:lpstr>
      <vt:lpstr>Fiche_Type!Zone_d_impression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PEREIRA Jessica; Papy Henri</dc:creator>
  <cp:lastModifiedBy>HENRI</cp:lastModifiedBy>
  <cp:lastPrinted>2026-07-24T17:35:34Z</cp:lastPrinted>
  <dcterms:created xsi:type="dcterms:W3CDTF">2026-06-09T09:58:31Z</dcterms:created>
  <dcterms:modified xsi:type="dcterms:W3CDTF">2026-07-24T17:36:52Z</dcterms:modified>
</cp:coreProperties>
</file>