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Accueil" sheetId="1" r:id="rId1"/>
    <sheet name="Recap" sheetId="7" r:id="rId2"/>
    <sheet name="Histo" sheetId="6" r:id="rId3"/>
    <sheet name="Temp" sheetId="2" r:id="rId4"/>
    <sheet name="BDD" sheetId="3" r:id="rId5"/>
  </sheets>
  <definedNames>
    <definedName name="Articles">OFFSET(Histo!$C$2,1,,COUNTA(Histo!$A:$A)-1,)</definedName>
    <definedName name="bdd">OFFSET(BDD!$B$1,1,,COUNTA(BDD!$B:$B)-1,2)</definedName>
    <definedName name="Lesdates">T_Ventes[Date]</definedName>
    <definedName name="Quantite">OFFSET(Histo!$B$2,1,,COUNTA(Histo!$A:$A)-1,)</definedName>
    <definedName name="Total">OFFSET(Histo!$D$2,1,,COUNTA(Histo!$A:$A)-1,)</definedName>
  </definedNames>
  <calcPr calcId="152511"/>
</workbook>
</file>

<file path=xl/calcChain.xml><?xml version="1.0" encoding="utf-8"?>
<calcChain xmlns="http://schemas.openxmlformats.org/spreadsheetml/2006/main">
  <c r="K12" i="7" l="1"/>
  <c r="K11" i="7"/>
  <c r="K10" i="7"/>
  <c r="K9" i="7"/>
  <c r="K8" i="7"/>
  <c r="K7" i="7"/>
  <c r="K6" i="7"/>
  <c r="K5" i="7"/>
  <c r="K4" i="7"/>
  <c r="J12" i="7"/>
  <c r="J11" i="7"/>
  <c r="J10" i="7"/>
  <c r="J9" i="7"/>
  <c r="J8" i="7"/>
  <c r="J7" i="7"/>
  <c r="J6" i="7"/>
  <c r="J5" i="7"/>
  <c r="J4" i="7"/>
  <c r="I12" i="7"/>
  <c r="I11" i="7"/>
  <c r="I10" i="7"/>
  <c r="I9" i="7"/>
  <c r="I8" i="7"/>
  <c r="I7" i="7"/>
  <c r="I6" i="7"/>
  <c r="I5" i="7"/>
  <c r="I4" i="7"/>
  <c r="G12" i="7"/>
  <c r="G11" i="7"/>
  <c r="G10" i="7"/>
  <c r="G9" i="7"/>
  <c r="G8" i="7"/>
  <c r="G7" i="7"/>
  <c r="G6" i="7"/>
  <c r="G5" i="7"/>
  <c r="G4" i="7"/>
  <c r="L1" i="6" l="1"/>
  <c r="K1" i="6"/>
  <c r="J1" i="6"/>
  <c r="I1" i="6"/>
  <c r="H1" i="6"/>
  <c r="G1" i="6"/>
  <c r="F1" i="6"/>
  <c r="E1" i="6"/>
  <c r="D1" i="6"/>
  <c r="L1" i="2"/>
  <c r="K1" i="2"/>
  <c r="J1" i="2"/>
  <c r="I1" i="2"/>
  <c r="H1" i="2"/>
  <c r="G1" i="2"/>
  <c r="F1" i="2"/>
  <c r="E1" i="2"/>
  <c r="D1" i="2"/>
  <c r="M3" i="2" l="1"/>
  <c r="J3" i="7" l="1"/>
  <c r="K3" i="7"/>
  <c r="I3" i="7"/>
  <c r="F11" i="7" l="1"/>
  <c r="F12" i="7"/>
  <c r="F5" i="7" l="1"/>
  <c r="F6" i="7"/>
  <c r="F7" i="7"/>
  <c r="F8" i="7"/>
  <c r="F9" i="7"/>
  <c r="F10" i="7"/>
  <c r="F4" i="7"/>
  <c r="H4" i="7" l="1"/>
  <c r="H5" i="7" l="1"/>
  <c r="H7" i="7"/>
  <c r="H9" i="7"/>
  <c r="H11" i="7"/>
  <c r="H6" i="7"/>
  <c r="H8" i="7"/>
  <c r="H10" i="7"/>
  <c r="H12" i="7"/>
  <c r="K13" i="7"/>
  <c r="J13" i="7"/>
  <c r="G13" i="7"/>
  <c r="H13" i="7" l="1"/>
  <c r="I13" i="7"/>
</calcChain>
</file>

<file path=xl/sharedStrings.xml><?xml version="1.0" encoding="utf-8"?>
<sst xmlns="http://schemas.openxmlformats.org/spreadsheetml/2006/main" count="47" uniqueCount="25">
  <si>
    <t>Articles</t>
  </si>
  <si>
    <t>Désignation</t>
  </si>
  <si>
    <t>Prix</t>
  </si>
  <si>
    <t>Eau</t>
  </si>
  <si>
    <t>Coca</t>
  </si>
  <si>
    <t>Date</t>
  </si>
  <si>
    <t>Quantité</t>
  </si>
  <si>
    <t>Total</t>
  </si>
  <si>
    <t>Moyen de Paiement</t>
  </si>
  <si>
    <t>CB</t>
  </si>
  <si>
    <t>Client</t>
  </si>
  <si>
    <t>Paiement</t>
  </si>
  <si>
    <t>Jambon</t>
  </si>
  <si>
    <t>Végétarien</t>
  </si>
  <si>
    <t>Oasis</t>
  </si>
  <si>
    <t>Autre 1</t>
  </si>
  <si>
    <t>Gratuit</t>
  </si>
  <si>
    <t>ESP</t>
  </si>
  <si>
    <t>Salade</t>
  </si>
  <si>
    <t>Boeuf</t>
  </si>
  <si>
    <t>N°</t>
  </si>
  <si>
    <t>Autre 2</t>
  </si>
  <si>
    <t>Recette totale</t>
  </si>
  <si>
    <t>Total Cde</t>
  </si>
  <si>
    <t>CHOIX DE LA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</si>
</sst>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;\-0;;@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theme="4" tint="0.59999389629810485"/>
      </patternFill>
    </fill>
    <fill>
      <patternFill patternType="solid">
        <fgColor rgb="FFFFFF00"/>
        <bgColor theme="4" tint="0.79998168889431442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/>
    </xf>
    <xf numFmtId="44" fontId="0" fillId="0" borderId="7" xfId="1" applyFont="1" applyBorder="1" applyAlignment="1"/>
    <xf numFmtId="44" fontId="0" fillId="0" borderId="1" xfId="0" applyNumberFormat="1" applyBorder="1"/>
    <xf numFmtId="14" fontId="0" fillId="0" borderId="0" xfId="0" applyNumberFormat="1" applyAlignment="1">
      <alignment horizontal="center"/>
    </xf>
    <xf numFmtId="44" fontId="0" fillId="0" borderId="0" xfId="1" applyFont="1"/>
    <xf numFmtId="164" fontId="0" fillId="0" borderId="8" xfId="0" applyNumberFormat="1" applyBorder="1" applyAlignment="1">
      <alignment horizontal="center"/>
    </xf>
    <xf numFmtId="0" fontId="0" fillId="5" borderId="1" xfId="0" applyFill="1" applyBorder="1" applyAlignment="1">
      <alignment horizontal="center"/>
    </xf>
    <xf numFmtId="44" fontId="4" fillId="0" borderId="0" xfId="1" applyFont="1" applyAlignment="1">
      <alignment horizontal="center"/>
    </xf>
    <xf numFmtId="44" fontId="0" fillId="0" borderId="0" xfId="0" applyNumberFormat="1" applyAlignment="1">
      <alignment horizontal="center"/>
    </xf>
    <xf numFmtId="44" fontId="0" fillId="6" borderId="10" xfId="1" applyNumberFormat="1" applyFont="1" applyFill="1" applyBorder="1" applyAlignment="1">
      <alignment horizontal="center"/>
    </xf>
    <xf numFmtId="44" fontId="0" fillId="7" borderId="10" xfId="1" applyNumberFormat="1" applyFont="1" applyFill="1" applyBorder="1" applyAlignment="1">
      <alignment horizontal="center"/>
    </xf>
    <xf numFmtId="44" fontId="0" fillId="6" borderId="9" xfId="1" applyNumberFormat="1" applyFont="1" applyFill="1" applyBorder="1" applyAlignment="1">
      <alignment horizontal="center"/>
    </xf>
    <xf numFmtId="165" fontId="0" fillId="6" borderId="10" xfId="1" applyNumberFormat="1" applyFont="1" applyFill="1" applyBorder="1" applyAlignment="1">
      <alignment horizontal="center" vertical="center"/>
    </xf>
    <xf numFmtId="165" fontId="0" fillId="7" borderId="10" xfId="1" applyNumberFormat="1" applyFont="1" applyFill="1" applyBorder="1" applyAlignment="1">
      <alignment horizontal="center" vertical="center"/>
    </xf>
    <xf numFmtId="165" fontId="0" fillId="6" borderId="9" xfId="1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14" fontId="5" fillId="0" borderId="0" xfId="0" applyNumberFormat="1" applyFont="1" applyAlignment="1">
      <alignment horizontal="center"/>
    </xf>
    <xf numFmtId="0" fontId="0" fillId="3" borderId="2" xfId="0" applyFill="1" applyBorder="1" applyAlignment="1"/>
    <xf numFmtId="0" fontId="2" fillId="0" borderId="6" xfId="0" applyFont="1" applyBorder="1" applyAlignment="1"/>
    <xf numFmtId="0" fontId="3" fillId="0" borderId="2" xfId="0" applyFont="1" applyBorder="1" applyAlignment="1"/>
    <xf numFmtId="0" fontId="0" fillId="0" borderId="5" xfId="0" applyFill="1" applyBorder="1" applyAlignment="1">
      <alignment horizontal="center"/>
    </xf>
    <xf numFmtId="0" fontId="0" fillId="0" borderId="0" xfId="1" applyNumberFormat="1" applyFont="1" applyAlignment="1">
      <alignment horizontal="center"/>
    </xf>
    <xf numFmtId="14" fontId="6" fillId="4" borderId="5" xfId="0" applyNumberFormat="1" applyFont="1" applyFill="1" applyBorder="1" applyAlignment="1">
      <alignment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3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2.9380285797608631E-2"/>
          <c:y val="5.3140096618357488E-2"/>
          <c:w val="0.7610448633824618"/>
          <c:h val="0.893719806763285"/>
        </c:manualLayout>
      </c:layout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Recap!$F$4:$F$12</c:f>
              <c:strCache>
                <c:ptCount val="9"/>
                <c:pt idx="0">
                  <c:v>Boeuf</c:v>
                </c:pt>
                <c:pt idx="1">
                  <c:v>Jambon</c:v>
                </c:pt>
                <c:pt idx="2">
                  <c:v>Végétarien</c:v>
                </c:pt>
                <c:pt idx="3">
                  <c:v>Salade</c:v>
                </c:pt>
                <c:pt idx="4">
                  <c:v>Eau</c:v>
                </c:pt>
                <c:pt idx="5">
                  <c:v>Coca</c:v>
                </c:pt>
                <c:pt idx="6">
                  <c:v>Oasis</c:v>
                </c:pt>
                <c:pt idx="7">
                  <c:v>Autre 1</c:v>
                </c:pt>
                <c:pt idx="8">
                  <c:v>Autre 2</c:v>
                </c:pt>
              </c:strCache>
            </c:strRef>
          </c:cat>
          <c:val>
            <c:numRef>
              <c:f>Recap!$G$4:$G$12</c:f>
              <c:numCache>
                <c:formatCode>0;\-0;;@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38099</xdr:colOff>
      <xdr:row>3</xdr:row>
      <xdr:rowOff>114301</xdr:rowOff>
    </xdr:from>
    <xdr:to>
      <xdr:col>7</xdr:col>
      <xdr:colOff>594360</xdr:colOff>
      <xdr:row>17</xdr:row>
      <xdr:rowOff>180051</xdr:rowOff>
    </xdr:to>
    <xdr:pic macro="[0]!ouverture_caiss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15539" y="662941"/>
          <a:ext cx="3726181" cy="262607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16</xdr:row>
      <xdr:rowOff>152400</xdr:rowOff>
    </xdr:from>
    <xdr:to>
      <xdr:col>9</xdr:col>
      <xdr:colOff>419100</xdr:colOff>
      <xdr:row>31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266700</xdr:colOff>
      <xdr:row>1</xdr:row>
      <xdr:rowOff>167640</xdr:rowOff>
    </xdr:from>
    <xdr:to>
      <xdr:col>14</xdr:col>
      <xdr:colOff>495300</xdr:colOff>
      <xdr:row>6</xdr:row>
      <xdr:rowOff>83820</xdr:rowOff>
    </xdr:to>
    <xdr:sp macro="" textlink="">
      <xdr:nvSpPr>
        <xdr:cNvPr id="3" name="ZoneTexte 2"/>
        <xdr:cNvSpPr txBox="1"/>
      </xdr:nvSpPr>
      <xdr:spPr>
        <a:xfrm>
          <a:off x="9425940" y="358140"/>
          <a:ext cx="2606040" cy="868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Remarque:</a:t>
          </a:r>
        </a:p>
        <a:p>
          <a:r>
            <a:rPr lang="fr-FR" sz="1100"/>
            <a:t>Les articles gratuits (L4:L12) sont déduits des cellules I4:I12  et donc de</a:t>
          </a:r>
          <a:r>
            <a:rPr lang="fr-FR" sz="1100" baseline="0"/>
            <a:t> la recette globale.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426720</xdr:colOff>
          <xdr:row>1</xdr:row>
          <xdr:rowOff>22860</xdr:rowOff>
        </xdr:from>
        <xdr:to>
          <xdr:col>5</xdr:col>
          <xdr:colOff>777240</xdr:colOff>
          <xdr:row>1</xdr:row>
          <xdr:rowOff>396240</xdr:rowOff>
        </xdr:to>
        <xdr:sp macro="" textlink="">
          <xdr:nvSpPr>
            <xdr:cNvPr id="2053" name="SpinButton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15240</xdr:colOff>
      <xdr:row>0</xdr:row>
      <xdr:rowOff>30480</xdr:rowOff>
    </xdr:from>
    <xdr:to>
      <xdr:col>15</xdr:col>
      <xdr:colOff>175260</xdr:colOff>
      <xdr:row>0</xdr:row>
      <xdr:rowOff>419100</xdr:rowOff>
    </xdr:to>
    <xdr:sp macro="[0]!RAZ_TabVentes" textlink="">
      <xdr:nvSpPr>
        <xdr:cNvPr id="2" name="Organigramme : Alternative 1"/>
        <xdr:cNvSpPr/>
      </xdr:nvSpPr>
      <xdr:spPr>
        <a:xfrm>
          <a:off x="11887200" y="30480"/>
          <a:ext cx="2537460" cy="388620"/>
        </a:xfrm>
        <a:prstGeom prst="flowChartAlternateProcess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RAZ TABLEAU des VENTES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_Ventes" displayName="T_Ventes" ref="A2:M3" insertRow="1" totalsRowShown="0" headerRowDxfId="35" dataDxfId="34">
  <autoFilter ref="A2:M3"/>
  <tableColumns count="13">
    <tableColumn id="1" name="Date" dataDxfId="33"/>
    <tableColumn id="2" name="Client" dataDxfId="32"/>
    <tableColumn id="3" name="Paiement" dataDxfId="31"/>
    <tableColumn id="4" name="Boeuf" dataDxfId="30"/>
    <tableColumn id="7" name="Jambon" dataDxfId="29"/>
    <tableColumn id="5" name="Végétarien" dataDxfId="28"/>
    <tableColumn id="6" name="Salade" dataDxfId="27" dataCellStyle="Monétaire"/>
    <tableColumn id="8" name="Eau" dataDxfId="26"/>
    <tableColumn id="9" name="Coca" dataDxfId="25"/>
    <tableColumn id="10" name="Oasis" dataDxfId="24"/>
    <tableColumn id="11" name="Autre 1" dataDxfId="23"/>
    <tableColumn id="12" name="Autre 2" dataDxfId="22"/>
    <tableColumn id="13" name="Total Cde" dataDxfId="21">
      <calculatedColumnFormula>SUMPRODUCT(T_Ventes[[#This Row],[Boeuf]:[Autre 2]],$D$1:$L$1)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_Temp" displayName="T_Temp" ref="A2:M3" totalsRowShown="0" headerRowDxfId="20" dataDxfId="19">
  <autoFilter ref="A2:M3"/>
  <tableColumns count="13">
    <tableColumn id="1" name="Date" dataDxfId="18"/>
    <tableColumn id="2" name="Client" dataDxfId="17"/>
    <tableColumn id="3" name="Paiement" dataDxfId="16"/>
    <tableColumn id="4" name="Boeuf" dataDxfId="15"/>
    <tableColumn id="5" name="Jambon" dataDxfId="14"/>
    <tableColumn id="6" name="Végétarien" dataDxfId="13" dataCellStyle="Monétaire"/>
    <tableColumn id="7" name="Salade" dataDxfId="12"/>
    <tableColumn id="8" name="Eau" dataDxfId="11"/>
    <tableColumn id="9" name="Coca" dataDxfId="10"/>
    <tableColumn id="10" name="Oasis" dataDxfId="9"/>
    <tableColumn id="11" name="Autre 1" dataDxfId="8"/>
    <tableColumn id="12" name="Autre 2" dataDxfId="7"/>
    <tableColumn id="13" name="Total Cde" dataDxfId="6">
      <calculatedColumnFormula>SUMPRODUCT(T_Temp[[#This Row],[Boeuf]:[Autre 2]],$D$1:$L$1)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_Articles" displayName="T_Articles" ref="A1:C10" totalsRowShown="0">
  <autoFilter ref="A1:C10"/>
  <tableColumns count="3">
    <tableColumn id="4" name="N°" dataDxfId="5"/>
    <tableColumn id="2" name="Désignation" dataDxfId="4"/>
    <tableColumn id="3" name="Prix" dataDxfId="3" dataCellStyle="Monétaire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_Paiement" displayName="T_Paiement" ref="E1:E4" totalsRowShown="0" headerRowDxfId="2" dataDxfId="1">
  <autoFilter ref="E1:E4"/>
  <tableColumns count="1">
    <tableColumn id="1" name="Moyen de Paiemen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J18" sqref="J18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K13"/>
  <sheetViews>
    <sheetView showGridLines="0" zoomScaleNormal="100" workbookViewId="0">
      <selection activeCell="A7" sqref="A7"/>
    </sheetView>
  </sheetViews>
  <sheetFormatPr baseColWidth="10" defaultRowHeight="14.4" x14ac:dyDescent="0.3"/>
  <cols>
    <col min="3" max="3" width="12.44140625" customWidth="1"/>
    <col min="4" max="4" width="11.5546875" customWidth="1"/>
    <col min="5" max="5" width="5.5546875" customWidth="1"/>
    <col min="7" max="7" width="13.6640625" bestFit="1" customWidth="1"/>
  </cols>
  <sheetData>
    <row r="1" spans="1:11" ht="15" thickBot="1" x14ac:dyDescent="0.35">
      <c r="A1" s="22"/>
      <c r="B1" s="1"/>
      <c r="C1" s="1"/>
      <c r="E1" s="20"/>
      <c r="F1" s="29" t="s">
        <v>24</v>
      </c>
      <c r="G1" s="30"/>
      <c r="H1" s="31"/>
    </row>
    <row r="2" spans="1:11" ht="32.4" customHeight="1" thickBot="1" x14ac:dyDescent="0.35">
      <c r="D2" s="20"/>
      <c r="E2" s="21"/>
      <c r="F2" s="26"/>
      <c r="G2" s="28">
        <v>46063</v>
      </c>
      <c r="H2" s="4"/>
    </row>
    <row r="3" spans="1:11" ht="15" thickBot="1" x14ac:dyDescent="0.35">
      <c r="F3" s="23" t="s">
        <v>0</v>
      </c>
      <c r="G3" s="5" t="s">
        <v>6</v>
      </c>
      <c r="H3" s="5" t="s">
        <v>22</v>
      </c>
      <c r="I3" s="11" t="str">
        <f>BDD!E2</f>
        <v>CB</v>
      </c>
      <c r="J3" s="11" t="str">
        <f>BDD!E3</f>
        <v>ESP</v>
      </c>
      <c r="K3" s="11" t="str">
        <f>BDD!E4</f>
        <v>Gratuit</v>
      </c>
    </row>
    <row r="4" spans="1:11" ht="15" thickBot="1" x14ac:dyDescent="0.35">
      <c r="F4" s="24" t="str">
        <f>BDD!B2</f>
        <v>Boeuf</v>
      </c>
      <c r="G4" s="10">
        <f>SUMIF(T_Ventes[Date],$G$2,T_Ventes[Boeuf])</f>
        <v>0</v>
      </c>
      <c r="H4" s="6">
        <f>IFERROR(G4*BDD!C2,"")-K4</f>
        <v>0</v>
      </c>
      <c r="I4" s="7">
        <f>SUMIFS(T_Ventes[Boeuf],T_Ventes[Date],$G$2,T_Ventes[Paiement],Recap!$I$3)*BDD!C2</f>
        <v>0</v>
      </c>
      <c r="J4" s="7">
        <f>SUMIFS(T_Ventes[Boeuf],T_Ventes[Date],$G$2,T_Ventes[Paiement],Recap!$J$3)*BDD!C2</f>
        <v>0</v>
      </c>
      <c r="K4" s="7">
        <f>SUMIFS(T_Ventes[Boeuf],T_Ventes[Date],$G$2,T_Ventes[Paiement],Recap!$K$3)*BDD!C2</f>
        <v>0</v>
      </c>
    </row>
    <row r="5" spans="1:11" ht="15" thickBot="1" x14ac:dyDescent="0.35">
      <c r="F5" s="24" t="str">
        <f>BDD!B3</f>
        <v>Jambon</v>
      </c>
      <c r="G5" s="10">
        <f>SUMIF(T_Ventes[Date],$G$2,T_Ventes[Jambon])</f>
        <v>0</v>
      </c>
      <c r="H5" s="6">
        <f>IFERROR(G5*BDD!C3,"")-K5</f>
        <v>0</v>
      </c>
      <c r="I5" s="7">
        <f>SUMIFS(T_Ventes[Jambon],T_Ventes[Date],$G$2,T_Ventes[Paiement],Recap!$I$3)*BDD!C3</f>
        <v>0</v>
      </c>
      <c r="J5" s="7">
        <f>SUMIFS(T_Ventes[Jambon],T_Ventes[Date],$G$2,T_Ventes[Paiement],Recap!$J$3)*BDD!C3</f>
        <v>0</v>
      </c>
      <c r="K5" s="7">
        <f>SUMIFS(T_Ventes[Jambon],T_Ventes[Date],$G$2,T_Ventes[Paiement],Recap!$K$3)*BDD!C3</f>
        <v>0</v>
      </c>
    </row>
    <row r="6" spans="1:11" ht="15" thickBot="1" x14ac:dyDescent="0.35">
      <c r="F6" s="24" t="str">
        <f>BDD!B4</f>
        <v>Végétarien</v>
      </c>
      <c r="G6" s="10">
        <f>SUMIF(T_Ventes[Date],$G$2,T_Ventes[Végétarien])</f>
        <v>0</v>
      </c>
      <c r="H6" s="6">
        <f>IFERROR(G6*BDD!C4,"")-K6</f>
        <v>0</v>
      </c>
      <c r="I6" s="7">
        <f>SUMIFS(T_Ventes[Végétarien],T_Ventes[Date],$G$2,T_Ventes[Paiement],Recap!$I$3)*BDD!C4</f>
        <v>0</v>
      </c>
      <c r="J6" s="7">
        <f>SUMIFS(T_Ventes[Végétarien],T_Ventes[Date],$G$2,T_Ventes[Paiement],Recap!$J$3)*BDD!C4</f>
        <v>0</v>
      </c>
      <c r="K6" s="7">
        <f>SUMIFS(T_Ventes[Végétarien],T_Ventes[Date],$G$2,T_Ventes[Paiement],Recap!$K$3)*BDD!C4</f>
        <v>0</v>
      </c>
    </row>
    <row r="7" spans="1:11" ht="15" thickBot="1" x14ac:dyDescent="0.35">
      <c r="F7" s="24" t="str">
        <f>BDD!B5</f>
        <v>Salade</v>
      </c>
      <c r="G7" s="10">
        <f>SUMIF(T_Ventes[Date],$G$2,T_Ventes[Salade])</f>
        <v>0</v>
      </c>
      <c r="H7" s="6">
        <f>IFERROR(G7*BDD!C5,"")-K7</f>
        <v>0</v>
      </c>
      <c r="I7" s="7">
        <f>SUMIFS(T_Ventes[Salade],T_Ventes[Date],$G$2,T_Ventes[Paiement],Recap!$I$3)*BDD!C5</f>
        <v>0</v>
      </c>
      <c r="J7" s="7">
        <f>SUMIFS(T_Ventes[Salade],T_Ventes[Date],$G$2,T_Ventes[Paiement],Recap!$J$3)*BDD!C5</f>
        <v>0</v>
      </c>
      <c r="K7" s="7">
        <f>SUMIFS(T_Ventes[Salade],T_Ventes[Date],$G$2,T_Ventes[Paiement],Recap!$K$3)*BDD!C5</f>
        <v>0</v>
      </c>
    </row>
    <row r="8" spans="1:11" ht="15" thickBot="1" x14ac:dyDescent="0.35">
      <c r="F8" s="24" t="str">
        <f>BDD!B6</f>
        <v>Eau</v>
      </c>
      <c r="G8" s="10">
        <f>SUMIF(T_Ventes[Date],$G$2,T_Ventes[Eau])</f>
        <v>0</v>
      </c>
      <c r="H8" s="6">
        <f>IFERROR(G8*BDD!C6,"")-K8</f>
        <v>0</v>
      </c>
      <c r="I8" s="7">
        <f>SUMIFS(T_Ventes[Eau],T_Ventes[Date],$G$2,T_Ventes[Paiement],Recap!$I$3)*BDD!C6</f>
        <v>0</v>
      </c>
      <c r="J8" s="7">
        <f>SUMIFS(T_Ventes[Eau],T_Ventes[Date],$G$2,T_Ventes[Paiement],Recap!$J$3)*BDD!C6</f>
        <v>0</v>
      </c>
      <c r="K8" s="7">
        <f>SUMIFS(T_Ventes[Eau],T_Ventes[Date],$G$2,T_Ventes[Paiement],Recap!$K$3)*BDD!C6</f>
        <v>0</v>
      </c>
    </row>
    <row r="9" spans="1:11" ht="15" thickBot="1" x14ac:dyDescent="0.35">
      <c r="F9" s="24" t="str">
        <f>BDD!B7</f>
        <v>Coca</v>
      </c>
      <c r="G9" s="10">
        <f>SUMIF(T_Ventes[Date],$G$2,T_Ventes[Coca])</f>
        <v>0</v>
      </c>
      <c r="H9" s="6">
        <f>IFERROR(G9*BDD!C7,"")-K9</f>
        <v>0</v>
      </c>
      <c r="I9" s="7">
        <f>SUMIFS(T_Ventes[Coca],T_Ventes[Date],$G$2,T_Ventes[Paiement],Recap!$I$3)*BDD!C7</f>
        <v>0</v>
      </c>
      <c r="J9" s="7">
        <f>SUMIFS(T_Ventes[Coca],T_Ventes[Date],$G$2,T_Ventes[Paiement],Recap!$J$3)*BDD!C7</f>
        <v>0</v>
      </c>
      <c r="K9" s="7">
        <f>SUMIFS(T_Ventes[Coca],T_Ventes[Date],$G$2,T_Ventes[Paiement],Recap!$K$3)*BDD!C7</f>
        <v>0</v>
      </c>
    </row>
    <row r="10" spans="1:11" ht="15" thickBot="1" x14ac:dyDescent="0.35">
      <c r="F10" s="24" t="str">
        <f>BDD!B8</f>
        <v>Oasis</v>
      </c>
      <c r="G10" s="10">
        <f>SUMIF(T_Ventes[Date],$G$2,T_Ventes[Oasis])</f>
        <v>0</v>
      </c>
      <c r="H10" s="6">
        <f>IFERROR(G10*BDD!C8,"")-K10</f>
        <v>0</v>
      </c>
      <c r="I10" s="7">
        <f>SUMIFS(T_Ventes[Oasis],T_Ventes[Date],$G$2,T_Ventes[Paiement],Recap!$I$3)*BDD!C8</f>
        <v>0</v>
      </c>
      <c r="J10" s="7">
        <f>SUMIFS(T_Ventes[Oasis],T_Ventes[Date],$G$2,T_Ventes[Paiement],Recap!$J$3)*BDD!C8</f>
        <v>0</v>
      </c>
      <c r="K10" s="7">
        <f>SUMIFS(T_Ventes[Oasis],T_Ventes[Date],$G$2,T_Ventes[Paiement],Recap!$K$3)*BDD!C8</f>
        <v>0</v>
      </c>
    </row>
    <row r="11" spans="1:11" ht="15" thickBot="1" x14ac:dyDescent="0.35">
      <c r="F11" s="24" t="str">
        <f>BDD!B9</f>
        <v>Autre 1</v>
      </c>
      <c r="G11" s="10">
        <f>SUMIF(T_Ventes[Date],$G$2,T_Ventes[Autre 1])</f>
        <v>0</v>
      </c>
      <c r="H11" s="6">
        <f>IFERROR(G11*BDD!C9,"")-K11</f>
        <v>0</v>
      </c>
      <c r="I11" s="7">
        <f>SUMIFS(T_Ventes[Autre 1],T_Ventes[Date],$G$2,T_Ventes[Paiement],Recap!$I$3)*BDD!C9</f>
        <v>0</v>
      </c>
      <c r="J11" s="7">
        <f>SUMIFS(T_Ventes[Autre 1],T_Ventes[Date],$G$2,T_Ventes[Paiement],Recap!$J$3)*BDD!C9</f>
        <v>0</v>
      </c>
      <c r="K11" s="7">
        <f>SUMIFS(T_Ventes[Autre 1],T_Ventes[Date],$G$2,T_Ventes[Paiement],Recap!$K$3)*BDD!C9</f>
        <v>0</v>
      </c>
    </row>
    <row r="12" spans="1:11" ht="15" thickBot="1" x14ac:dyDescent="0.35">
      <c r="F12" s="24" t="str">
        <f>BDD!B10</f>
        <v>Autre 2</v>
      </c>
      <c r="G12" s="10">
        <f>SUMIF(T_Ventes[Date],$G$2,T_Ventes[Autre 2])</f>
        <v>0</v>
      </c>
      <c r="H12" s="6">
        <f>IFERROR(G12*BDD!C10,"")-K12</f>
        <v>0</v>
      </c>
      <c r="I12" s="7">
        <f>SUMIFS(T_Ventes[Autre 2],T_Ventes[Date],$G$2,T_Ventes[Paiement],Recap!$I$3)*BDD!C10</f>
        <v>0</v>
      </c>
      <c r="J12" s="7">
        <f>SUMIFS(T_Ventes[Autre 2],T_Ventes[Date],$G$2,T_Ventes[Paiement],Recap!$J$3)*BDD!C10</f>
        <v>0</v>
      </c>
      <c r="K12" s="7">
        <f>SUMIFS(T_Ventes[Autre 2],T_Ventes[Date],$G$2,T_Ventes[Paiement],Recap!$K$3)*BDD!C10</f>
        <v>0</v>
      </c>
    </row>
    <row r="13" spans="1:11" ht="26.4" thickBot="1" x14ac:dyDescent="0.55000000000000004">
      <c r="F13" s="25" t="s">
        <v>7</v>
      </c>
      <c r="G13" s="3">
        <f>SUM($G$4:$G$12)</f>
        <v>0</v>
      </c>
      <c r="H13" s="7">
        <f>SUM($H$4:$H$12)</f>
        <v>0</v>
      </c>
      <c r="I13" s="7">
        <f>SUM($I$4:$I$12)</f>
        <v>0</v>
      </c>
      <c r="J13" s="7">
        <f>SUM($J$4:$J$12)</f>
        <v>0</v>
      </c>
      <c r="K13" s="7">
        <f>SUM($K$4:$K$12)</f>
        <v>0</v>
      </c>
    </row>
  </sheetData>
  <mergeCells count="1">
    <mergeCell ref="F1:H1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53" r:id="rId4" name="SpinButton1">
          <controlPr autoLine="0" r:id="rId5">
            <anchor moveWithCells="1">
              <from>
                <xdr:col>5</xdr:col>
                <xdr:colOff>426720</xdr:colOff>
                <xdr:row>1</xdr:row>
                <xdr:rowOff>22860</xdr:rowOff>
              </from>
              <to>
                <xdr:col>5</xdr:col>
                <xdr:colOff>777240</xdr:colOff>
                <xdr:row>1</xdr:row>
                <xdr:rowOff>396240</xdr:rowOff>
              </to>
            </anchor>
          </controlPr>
        </control>
      </mc:Choice>
      <mc:Fallback>
        <control shapeId="2053" r:id="rId4" name="Spin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3"/>
  <sheetViews>
    <sheetView workbookViewId="0">
      <selection activeCell="A5" sqref="A5"/>
    </sheetView>
  </sheetViews>
  <sheetFormatPr baseColWidth="10" defaultRowHeight="14.4" x14ac:dyDescent="0.3"/>
  <cols>
    <col min="1" max="1" width="18.5546875" customWidth="1"/>
    <col min="2" max="2" width="25.77734375" customWidth="1"/>
    <col min="4" max="5" width="16.5546875" customWidth="1"/>
    <col min="7" max="7" width="14.77734375" customWidth="1"/>
  </cols>
  <sheetData>
    <row r="1" spans="1:13" ht="39.6" customHeight="1" x14ac:dyDescent="0.3">
      <c r="D1" s="17">
        <f>VLOOKUP(T_Ventes[[#Headers],[Boeuf]],T_Articles[[Désignation]:[Prix]],2,FALSE)</f>
        <v>13</v>
      </c>
      <c r="E1" s="18">
        <f>VLOOKUP(T_Ventes[[#Headers],[Jambon]],T_Articles[[Désignation]:[Prix]],2,FALSE)</f>
        <v>11</v>
      </c>
      <c r="F1" s="17">
        <f>VLOOKUP(T_Ventes[[#Headers],[Végétarien]],T_Articles[[Désignation]:[Prix]],2,FALSE)</f>
        <v>9</v>
      </c>
      <c r="G1" s="18">
        <f>VLOOKUP(T_Ventes[[#Headers],[Salade]],T_Articles[[Désignation]:[Prix]],2,FALSE)</f>
        <v>12</v>
      </c>
      <c r="H1" s="17">
        <f>VLOOKUP(T_Ventes[[#Headers],[Eau]],T_Articles[[Désignation]:[Prix]],2,FALSE)</f>
        <v>2</v>
      </c>
      <c r="I1" s="18">
        <f>VLOOKUP(T_Ventes[[#Headers],[Coca]],T_Articles[[Désignation]:[Prix]],2,FALSE)</f>
        <v>3</v>
      </c>
      <c r="J1" s="17">
        <f>VLOOKUP(T_Ventes[[#Headers],[Oasis]],T_Articles[[Désignation]:[Prix]],2,FALSE)</f>
        <v>3</v>
      </c>
      <c r="K1" s="18">
        <f>VLOOKUP(T_Ventes[[#Headers],[Autre 1]],T_Articles[[Désignation]:[Prix]],2,FALSE)</f>
        <v>2</v>
      </c>
      <c r="L1" s="19">
        <f>VLOOKUP(T_Ventes[[#Headers],[Autre 2]],T_Articles[[Désignation]:[Prix]],2,FALSE)</f>
        <v>5</v>
      </c>
    </row>
    <row r="2" spans="1:13" x14ac:dyDescent="0.3">
      <c r="A2" s="1" t="s">
        <v>5</v>
      </c>
      <c r="B2" s="1" t="s">
        <v>10</v>
      </c>
      <c r="C2" s="1" t="s">
        <v>11</v>
      </c>
      <c r="D2" s="1" t="s">
        <v>19</v>
      </c>
      <c r="E2" s="1" t="s">
        <v>12</v>
      </c>
      <c r="F2" s="1" t="s">
        <v>13</v>
      </c>
      <c r="G2" s="1" t="s">
        <v>18</v>
      </c>
      <c r="H2" s="1" t="s">
        <v>3</v>
      </c>
      <c r="I2" s="1" t="s">
        <v>4</v>
      </c>
      <c r="J2" s="1" t="s">
        <v>14</v>
      </c>
      <c r="K2" s="1" t="s">
        <v>15</v>
      </c>
      <c r="L2" s="1" t="s">
        <v>21</v>
      </c>
      <c r="M2" s="1" t="s">
        <v>23</v>
      </c>
    </row>
    <row r="3" spans="1:13" x14ac:dyDescent="0.3">
      <c r="A3" s="8"/>
      <c r="B3" s="8"/>
      <c r="C3" s="1"/>
      <c r="D3" s="1"/>
      <c r="E3" s="1"/>
      <c r="F3" s="1"/>
      <c r="G3" s="27"/>
      <c r="H3" s="1"/>
      <c r="I3" s="1"/>
      <c r="J3" s="1"/>
      <c r="K3" s="1"/>
      <c r="L3" s="1"/>
      <c r="M3" s="13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"/>
  <sheetViews>
    <sheetView workbookViewId="0">
      <selection activeCell="L1" sqref="L1"/>
    </sheetView>
  </sheetViews>
  <sheetFormatPr baseColWidth="10" defaultRowHeight="14.4" x14ac:dyDescent="0.3"/>
  <cols>
    <col min="1" max="1" width="11.44140625" style="1"/>
    <col min="2" max="2" width="21" style="1" customWidth="1"/>
    <col min="3" max="5" width="11.44140625" style="1"/>
    <col min="6" max="6" width="11.44140625" style="9"/>
  </cols>
  <sheetData>
    <row r="1" spans="1:13" x14ac:dyDescent="0.3">
      <c r="D1" s="14">
        <f>VLOOKUP(T_Temp[[#Headers],[Boeuf]],T_Articles[[Désignation]:[Prix]],2,FALSE)</f>
        <v>13</v>
      </c>
      <c r="E1" s="15">
        <f>VLOOKUP(T_Temp[[#Headers],[Jambon]],T_Articles[[Désignation]:[Prix]],2,FALSE)</f>
        <v>11</v>
      </c>
      <c r="F1" s="14">
        <f>VLOOKUP(T_Temp[[#Headers],[Végétarien]],T_Articles[[Désignation]:[Prix]],2,FALSE)</f>
        <v>9</v>
      </c>
      <c r="G1" s="15">
        <f>VLOOKUP(T_Temp[[#Headers],[Salade]],T_Articles[[Désignation]:[Prix]],2,FALSE)</f>
        <v>12</v>
      </c>
      <c r="H1" s="14">
        <f>VLOOKUP(T_Temp[[#Headers],[Eau]],T_Articles[[Désignation]:[Prix]],2,FALSE)</f>
        <v>2</v>
      </c>
      <c r="I1" s="15">
        <f>VLOOKUP(T_Temp[[#Headers],[Coca]],T_Articles[[Désignation]:[Prix]],2,FALSE)</f>
        <v>3</v>
      </c>
      <c r="J1" s="14">
        <f>VLOOKUP(T_Temp[[#Headers],[Oasis]],T_Articles[[Désignation]:[Prix]],2,FALSE)</f>
        <v>3</v>
      </c>
      <c r="K1" s="15">
        <f>VLOOKUP(T_Temp[[#Headers],[Autre 1]],T_Articles[[Désignation]:[Prix]],2,FALSE)</f>
        <v>2</v>
      </c>
      <c r="L1" s="16">
        <f>VLOOKUP(T_Temp[[#Headers],[Autre 2]],T_Articles[[Désignation]:[Prix]],2,FALSE)</f>
        <v>5</v>
      </c>
    </row>
    <row r="2" spans="1:13" x14ac:dyDescent="0.3">
      <c r="A2" s="1" t="s">
        <v>5</v>
      </c>
      <c r="B2" s="1" t="s">
        <v>10</v>
      </c>
      <c r="C2" s="1" t="s">
        <v>11</v>
      </c>
      <c r="D2" s="1" t="s">
        <v>19</v>
      </c>
      <c r="E2" s="1" t="s">
        <v>12</v>
      </c>
      <c r="F2" s="1" t="s">
        <v>13</v>
      </c>
      <c r="G2" s="1" t="s">
        <v>18</v>
      </c>
      <c r="H2" s="1" t="s">
        <v>3</v>
      </c>
      <c r="I2" s="1" t="s">
        <v>4</v>
      </c>
      <c r="J2" s="1" t="s">
        <v>14</v>
      </c>
      <c r="K2" s="1" t="s">
        <v>15</v>
      </c>
      <c r="L2" s="1" t="s">
        <v>21</v>
      </c>
      <c r="M2" s="1" t="s">
        <v>23</v>
      </c>
    </row>
    <row r="3" spans="1:13" x14ac:dyDescent="0.3">
      <c r="A3" s="8"/>
      <c r="F3" s="12"/>
      <c r="G3" s="1"/>
      <c r="H3" s="1"/>
      <c r="I3" s="1"/>
      <c r="J3" s="1"/>
      <c r="K3" s="1"/>
      <c r="L3" s="1"/>
      <c r="M3" s="13">
        <f>SUMPRODUCT(T_Temp[[#This Row],[Boeuf]:[Autre 2]],$D$1:$L$1)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"/>
  <sheetViews>
    <sheetView workbookViewId="0">
      <selection activeCell="C2" sqref="C2:C10"/>
    </sheetView>
  </sheetViews>
  <sheetFormatPr baseColWidth="10" defaultRowHeight="14.4" x14ac:dyDescent="0.3"/>
  <cols>
    <col min="1" max="1" width="13.33203125" style="1" customWidth="1"/>
    <col min="2" max="2" width="12.77734375" style="1" customWidth="1"/>
    <col min="3" max="3" width="11.44140625" style="2"/>
    <col min="5" max="5" width="19.88671875" style="1" customWidth="1"/>
  </cols>
  <sheetData>
    <row r="1" spans="1:5" x14ac:dyDescent="0.3">
      <c r="A1" s="1" t="s">
        <v>20</v>
      </c>
      <c r="B1" s="1" t="s">
        <v>1</v>
      </c>
      <c r="C1" s="2" t="s">
        <v>2</v>
      </c>
      <c r="E1" s="1" t="s">
        <v>8</v>
      </c>
    </row>
    <row r="2" spans="1:5" x14ac:dyDescent="0.3">
      <c r="A2" s="1">
        <v>1</v>
      </c>
      <c r="B2" s="1" t="s">
        <v>19</v>
      </c>
      <c r="C2" s="2">
        <v>13</v>
      </c>
      <c r="E2" s="1" t="s">
        <v>9</v>
      </c>
    </row>
    <row r="3" spans="1:5" x14ac:dyDescent="0.3">
      <c r="A3" s="1">
        <v>2</v>
      </c>
      <c r="B3" s="1" t="s">
        <v>12</v>
      </c>
      <c r="C3" s="2">
        <v>11</v>
      </c>
      <c r="E3" s="1" t="s">
        <v>17</v>
      </c>
    </row>
    <row r="4" spans="1:5" x14ac:dyDescent="0.3">
      <c r="A4" s="1">
        <v>3</v>
      </c>
      <c r="B4" s="1" t="s">
        <v>13</v>
      </c>
      <c r="C4" s="2">
        <v>9</v>
      </c>
      <c r="E4" s="1" t="s">
        <v>16</v>
      </c>
    </row>
    <row r="5" spans="1:5" x14ac:dyDescent="0.3">
      <c r="A5" s="1">
        <v>4</v>
      </c>
      <c r="B5" s="1" t="s">
        <v>18</v>
      </c>
      <c r="C5" s="2">
        <v>12</v>
      </c>
    </row>
    <row r="6" spans="1:5" x14ac:dyDescent="0.3">
      <c r="A6" s="1">
        <v>5</v>
      </c>
      <c r="B6" s="1" t="s">
        <v>3</v>
      </c>
      <c r="C6" s="2">
        <v>2</v>
      </c>
    </row>
    <row r="7" spans="1:5" x14ac:dyDescent="0.3">
      <c r="A7" s="1">
        <v>6</v>
      </c>
      <c r="B7" s="1" t="s">
        <v>4</v>
      </c>
      <c r="C7" s="2">
        <v>3</v>
      </c>
    </row>
    <row r="8" spans="1:5" x14ac:dyDescent="0.3">
      <c r="A8" s="1">
        <v>7</v>
      </c>
      <c r="B8" s="1" t="s">
        <v>14</v>
      </c>
      <c r="C8" s="2">
        <v>3</v>
      </c>
    </row>
    <row r="9" spans="1:5" x14ac:dyDescent="0.3">
      <c r="A9" s="1">
        <v>8</v>
      </c>
      <c r="B9" s="1" t="s">
        <v>15</v>
      </c>
      <c r="C9" s="2">
        <v>2</v>
      </c>
    </row>
    <row r="10" spans="1:5" x14ac:dyDescent="0.3">
      <c r="A10" s="1">
        <v>9</v>
      </c>
      <c r="B10" s="1" t="s">
        <v>21</v>
      </c>
      <c r="C10" s="2">
        <v>5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Accueil</vt:lpstr>
      <vt:lpstr>Recap</vt:lpstr>
      <vt:lpstr>Histo</vt:lpstr>
      <vt:lpstr>Temp</vt:lpstr>
      <vt:lpstr>BDD</vt:lpstr>
      <vt:lpstr>Lesdates</vt:lpstr>
    </vt:vector>
  </TitlesOfParts>
  <Company>LGCF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HENRI</cp:lastModifiedBy>
  <dcterms:created xsi:type="dcterms:W3CDTF">2016-02-08T14:41:50Z</dcterms:created>
  <dcterms:modified xsi:type="dcterms:W3CDTF">2026-02-10T15:51:31Z</dcterms:modified>
</cp:coreProperties>
</file>