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120"/>
  </bookViews>
  <sheets>
    <sheet name="Accueil" sheetId="5" r:id="rId1"/>
    <sheet name="Stock" sheetId="1" r:id="rId2"/>
    <sheet name="Dotation" sheetId="2" r:id="rId3"/>
    <sheet name="Réappro" sheetId="3" r:id="rId4"/>
    <sheet name="Listes" sheetId="4" state="hidden" r:id="rId5"/>
    <sheet name="Inventaire du 101242" sheetId="6" state="hidden" r:id="rId6"/>
  </sheets>
  <definedNames>
    <definedName name="_xleta.DATE" hidden="1" xlm="1">#NAME?</definedName>
    <definedName name="bla">Listes!#REF!</definedName>
    <definedName name="EQPMT">Listes!$B$16:$B$22</definedName>
    <definedName name="EQPMTT">Listes!#REF!</definedName>
    <definedName name="POINTURES">Listes!$G$8:$G$18</definedName>
    <definedName name="QTE">Listes!$H$8:$H$12</definedName>
    <definedName name="Tailles">Listes!$D$8:$E$22</definedName>
    <definedName name="TFR">Listes!$F$8:$F$21</definedName>
    <definedName name="TFrance">Listes!#REF!</definedName>
    <definedName name="TINTER">Listes!$E$8:$E$15</definedName>
    <definedName name="TVESTT">Listes!$D$8:$D$22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3" l="1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18" i="1" s="1"/>
  <c r="BT6" i="3"/>
  <c r="C18" i="1" s="1"/>
  <c r="BU6" i="3"/>
  <c r="D18" i="1" s="1"/>
  <c r="BV6" i="3"/>
  <c r="E18" i="1" s="1"/>
  <c r="BW6" i="3"/>
  <c r="F18" i="1" s="1"/>
  <c r="BX6" i="3"/>
  <c r="G18" i="1" s="1"/>
  <c r="BY6" i="3"/>
  <c r="H18" i="1" s="1"/>
  <c r="BZ6" i="3"/>
  <c r="I18" i="1" s="1"/>
  <c r="CA6" i="3"/>
  <c r="J18" i="1" s="1"/>
  <c r="CB6" i="3"/>
  <c r="K18" i="1" s="1"/>
  <c r="CC6" i="3"/>
  <c r="L18" i="1" s="1"/>
  <c r="CD6" i="3"/>
  <c r="CE6" i="3"/>
  <c r="CF6" i="3"/>
  <c r="CG6" i="3"/>
  <c r="CH6" i="3"/>
  <c r="CI6" i="3"/>
  <c r="CJ6" i="3"/>
  <c r="CK6" i="3"/>
  <c r="CL6" i="3"/>
  <c r="CM6" i="3"/>
  <c r="CN6" i="3"/>
  <c r="CO6" i="3"/>
  <c r="C6" i="3"/>
  <c r="B6" i="3"/>
  <c r="A3" i="1" l="1"/>
  <c r="C32" i="1"/>
  <c r="D32" i="1"/>
  <c r="E32" i="1"/>
  <c r="F32" i="1"/>
  <c r="B32" i="1"/>
  <c r="B29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B8" i="1"/>
  <c r="C8" i="1"/>
  <c r="D8" i="1"/>
  <c r="E8" i="1"/>
  <c r="F8" i="1"/>
  <c r="G8" i="1"/>
  <c r="H8" i="1"/>
  <c r="I8" i="1"/>
  <c r="B9" i="1"/>
  <c r="C9" i="1"/>
  <c r="D9" i="1"/>
  <c r="E9" i="1"/>
  <c r="F9" i="1"/>
  <c r="G9" i="1"/>
  <c r="H9" i="1"/>
  <c r="I9" i="1"/>
  <c r="B12" i="1"/>
  <c r="C12" i="1"/>
  <c r="D12" i="1"/>
  <c r="E12" i="1"/>
  <c r="F12" i="1"/>
  <c r="G12" i="1"/>
  <c r="H12" i="1"/>
  <c r="I12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B5" i="1"/>
  <c r="H10" i="1" l="1"/>
  <c r="H11" i="1"/>
  <c r="F10" i="1"/>
  <c r="F11" i="1"/>
  <c r="D11" i="1"/>
  <c r="D10" i="1"/>
  <c r="B11" i="1"/>
  <c r="B10" i="1"/>
  <c r="I10" i="1"/>
  <c r="I11" i="1"/>
  <c r="G11" i="1"/>
  <c r="G10" i="1"/>
  <c r="E11" i="1"/>
  <c r="E10" i="1"/>
  <c r="C11" i="1"/>
  <c r="C10" i="1"/>
  <c r="B22" i="1"/>
  <c r="B27" i="1"/>
  <c r="B25" i="1"/>
  <c r="B26" i="1"/>
  <c r="B23" i="1"/>
  <c r="B21" i="1"/>
  <c r="B20" i="1"/>
</calcChain>
</file>

<file path=xl/sharedStrings.xml><?xml version="1.0" encoding="utf-8"?>
<sst xmlns="http://schemas.openxmlformats.org/spreadsheetml/2006/main" count="255" uniqueCount="154">
  <si>
    <t>Nombre limite alerte</t>
  </si>
  <si>
    <t>STOCK</t>
  </si>
  <si>
    <t>Veste Treillis</t>
  </si>
  <si>
    <t>36/38</t>
  </si>
  <si>
    <t>38/40</t>
  </si>
  <si>
    <t>40/42</t>
  </si>
  <si>
    <t>42/44</t>
  </si>
  <si>
    <t>44/46</t>
  </si>
  <si>
    <t>46/48</t>
  </si>
  <si>
    <t>48/50</t>
  </si>
  <si>
    <t>50/52</t>
  </si>
  <si>
    <t>52/54</t>
  </si>
  <si>
    <t>54/56</t>
  </si>
  <si>
    <t>56/58</t>
  </si>
  <si>
    <t>58/60</t>
  </si>
  <si>
    <t>60/62</t>
  </si>
  <si>
    <t>62/64</t>
  </si>
  <si>
    <t>64/66</t>
  </si>
  <si>
    <t>S</t>
  </si>
  <si>
    <t>M</t>
  </si>
  <si>
    <t>L</t>
  </si>
  <si>
    <t>XL</t>
  </si>
  <si>
    <t>XXL</t>
  </si>
  <si>
    <t>XXXL</t>
  </si>
  <si>
    <t>XXXXL</t>
  </si>
  <si>
    <t>XXXXXL</t>
  </si>
  <si>
    <t>Parka</t>
  </si>
  <si>
    <t>Veste polaire</t>
  </si>
  <si>
    <t>Tee shirt orange</t>
  </si>
  <si>
    <t>Tee shirt bleu</t>
  </si>
  <si>
    <t>Chemise F1</t>
  </si>
  <si>
    <t>Pantalon treillis</t>
  </si>
  <si>
    <t>Chaussures d'intervention</t>
  </si>
  <si>
    <t>Casquette d'intervention</t>
  </si>
  <si>
    <t>Casquette de cérémonie</t>
  </si>
  <si>
    <t>Bonnet</t>
  </si>
  <si>
    <t>Ceinture bleue</t>
  </si>
  <si>
    <t xml:space="preserve">Cagoule feu </t>
  </si>
  <si>
    <t>Gants feu</t>
  </si>
  <si>
    <t>Ceinturon</t>
  </si>
  <si>
    <t>Pantalon pluie</t>
  </si>
  <si>
    <t>Veste pluie</t>
  </si>
  <si>
    <t>Tailles veste treillis</t>
  </si>
  <si>
    <t>Tailles internationales</t>
  </si>
  <si>
    <t>Tailles françaises</t>
  </si>
  <si>
    <t>Pointures</t>
  </si>
  <si>
    <t>Quantité</t>
  </si>
  <si>
    <t>Equipements</t>
  </si>
  <si>
    <t>Date</t>
  </si>
  <si>
    <t>Nom</t>
  </si>
  <si>
    <t>Prénom</t>
  </si>
  <si>
    <t>Totaux réapprovisionnés</t>
  </si>
  <si>
    <t>Chaussures
d'intervention</t>
  </si>
  <si>
    <t>Casquette
d'intervention</t>
  </si>
  <si>
    <t>Casquette
de cérémonie</t>
  </si>
  <si>
    <t>Veste
Polaire</t>
  </si>
  <si>
    <t>Pantalon
Treillis</t>
  </si>
  <si>
    <t>Tee Shirt 
Orange</t>
  </si>
  <si>
    <t>Tee Shirt 
Bleu</t>
  </si>
  <si>
    <t>Totaux</t>
  </si>
  <si>
    <t>Qté</t>
  </si>
  <si>
    <t>Ceinture
bleue</t>
  </si>
  <si>
    <t>Ceinture
Bleue</t>
  </si>
  <si>
    <t xml:space="preserve">Cagoule
Feu </t>
  </si>
  <si>
    <t>Gants
Feu</t>
  </si>
  <si>
    <t>Veste treillis
36/38</t>
  </si>
  <si>
    <t>Veste treillis
38/40</t>
  </si>
  <si>
    <t>Veste treillis
40/42</t>
  </si>
  <si>
    <t>Veste treillis
42/44</t>
  </si>
  <si>
    <t>Veste treillis
44/46</t>
  </si>
  <si>
    <t>Veste treillis
46/48</t>
  </si>
  <si>
    <t>Veste treillis
48/50</t>
  </si>
  <si>
    <t>Veste treillis
50/52</t>
  </si>
  <si>
    <t>Veste treillis
52/54</t>
  </si>
  <si>
    <t>Veste treillis
54/56</t>
  </si>
  <si>
    <t>Veste treillis
56/58</t>
  </si>
  <si>
    <t>Veste treillis
58/60</t>
  </si>
  <si>
    <t>Veste treillis
60/62</t>
  </si>
  <si>
    <t>Veste treillis
62/64</t>
  </si>
  <si>
    <t>Veste treillis
64/66</t>
  </si>
  <si>
    <t>Parka
S</t>
  </si>
  <si>
    <t>Parka
M</t>
  </si>
  <si>
    <t>Parka
L</t>
  </si>
  <si>
    <t>Parka
XL</t>
  </si>
  <si>
    <t>Parka
XXL</t>
  </si>
  <si>
    <t>Parka
XXXL</t>
  </si>
  <si>
    <t>Parka
XXXXL</t>
  </si>
  <si>
    <t>Parka
XXXXXL</t>
  </si>
  <si>
    <t>Veste polaire
S</t>
  </si>
  <si>
    <t>Veste polaire
M</t>
  </si>
  <si>
    <t>Veste polaire
L</t>
  </si>
  <si>
    <t>Veste polaire
XL</t>
  </si>
  <si>
    <t>Veste polaire
XXL</t>
  </si>
  <si>
    <t>Veste polaire
XXXL</t>
  </si>
  <si>
    <t>Veste polaire
XXXXL</t>
  </si>
  <si>
    <t>Veste polaire
XXXXXL</t>
  </si>
  <si>
    <t>Tee shirt
orange S</t>
  </si>
  <si>
    <t>Tee shirt
orange M</t>
  </si>
  <si>
    <t>Tee shirt
orange L</t>
  </si>
  <si>
    <t>Tee shirt
orange XL</t>
  </si>
  <si>
    <t>Tee shirt
orange XXL</t>
  </si>
  <si>
    <t>Tee shirt
orange XXXL</t>
  </si>
  <si>
    <t>Tee shirt
orange XXXXL</t>
  </si>
  <si>
    <t>Tee shirt
orange XXXXXL</t>
  </si>
  <si>
    <t>Tee shirt
bleu S</t>
  </si>
  <si>
    <t>Tee shirt
bleu M</t>
  </si>
  <si>
    <t>Tee shirt
bleu L</t>
  </si>
  <si>
    <t>Tee shirt
bleu XL</t>
  </si>
  <si>
    <t>Tee shirt
bleu XXL</t>
  </si>
  <si>
    <t>Tee shirt
bleu XXXL</t>
  </si>
  <si>
    <t>Tee shirt
bleu XXXXL</t>
  </si>
  <si>
    <t>Tee shirt
bleu XXXXXL</t>
  </si>
  <si>
    <t>Chemise
F1 S</t>
  </si>
  <si>
    <t>Chemise
F1 M</t>
  </si>
  <si>
    <t>Chemise
F1 L</t>
  </si>
  <si>
    <t>Chemise
F1 XL</t>
  </si>
  <si>
    <t>Chemise
F1 XXL</t>
  </si>
  <si>
    <t>Chemise
F1 XXXL</t>
  </si>
  <si>
    <t>Chemise
F1 XXXXL</t>
  </si>
  <si>
    <t>Chemise
F1 XXXXXL</t>
  </si>
  <si>
    <t>Pantalon
treillis 36</t>
  </si>
  <si>
    <t>Pantalon
treillis 38</t>
  </si>
  <si>
    <t>Panatalon
treillis 40</t>
  </si>
  <si>
    <t>Pantalon
treillis 42</t>
  </si>
  <si>
    <t>Pantalon
treillis 44</t>
  </si>
  <si>
    <t>Pantalon
treillis 46</t>
  </si>
  <si>
    <t>Pantalon
treillis 48</t>
  </si>
  <si>
    <t>Pantalon
treillis 50</t>
  </si>
  <si>
    <t>Panatalon
treillis 52</t>
  </si>
  <si>
    <t>Pantalon
treillis 54</t>
  </si>
  <si>
    <t>Pantalon
treillis 56</t>
  </si>
  <si>
    <t>Pantalon
treillis 58</t>
  </si>
  <si>
    <t>Pantalon
treillis 60</t>
  </si>
  <si>
    <t>Pantalon
treillis 62</t>
  </si>
  <si>
    <t>Chaussures
d'intervention
36</t>
  </si>
  <si>
    <t>Chaussures
d'intervention
37</t>
  </si>
  <si>
    <t>Chaussures
d'intervention
38</t>
  </si>
  <si>
    <t>Chaussures
d'intervention
39</t>
  </si>
  <si>
    <t>Chaussures
d'intervention
40</t>
  </si>
  <si>
    <t>Chaussures
d'intervention
41</t>
  </si>
  <si>
    <t>Chaussures
d'intervention
42</t>
  </si>
  <si>
    <t>Chaussures
d'intervention
43</t>
  </si>
  <si>
    <t>Chaussures
d'intervention
44</t>
  </si>
  <si>
    <t>Chaussures
d'intervention
45</t>
  </si>
  <si>
    <t>Cagoule
Feu</t>
  </si>
  <si>
    <t>Pantalon
Pluie</t>
  </si>
  <si>
    <t>Veste Pluie
S</t>
  </si>
  <si>
    <t>Veste pluie
M</t>
  </si>
  <si>
    <t>Veste Pluie
L</t>
  </si>
  <si>
    <t>Veste pluie
XL</t>
  </si>
  <si>
    <t>Veste pluie
XXL</t>
  </si>
  <si>
    <t>Qté2</t>
  </si>
  <si>
    <t>Qté3</t>
  </si>
  <si>
    <t>Qté4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</si>
</sst>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Aptos Narrow"/>
      <family val="2"/>
      <scheme val="minor"/>
    </font>
    <font>
      <sz val="48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48"/>
      <color rgb="FF05479B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0"/>
      <color rgb="FF333399"/>
      <name val="Aptos Narrow"/>
    </font>
    <font>
      <sz val="11"/>
      <color rgb="FF000000"/>
      <name val="Aptos Narrow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9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1" xfId="0" quotePrefix="1" applyBorder="1"/>
    <xf numFmtId="14" fontId="5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131"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29000"/>
      <color rgb="FF0547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152400</xdr:colOff>
          <xdr:row>1</xdr:row>
          <xdr:rowOff>7620</xdr:rowOff>
        </xdr:from>
        <xdr:to>
          <xdr:col>3</xdr:col>
          <xdr:colOff>746760</xdr:colOff>
          <xdr:row>8</xdr:row>
          <xdr:rowOff>114300</xdr:rowOff>
        </xdr:to>
        <xdr:sp macro="" textlink="">
          <xdr:nvSpPr>
            <xdr:cNvPr id="2049" name="BoutonStock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Consulter le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</xdr:row>
          <xdr:rowOff>7620</xdr:rowOff>
        </xdr:from>
        <xdr:to>
          <xdr:col>8</xdr:col>
          <xdr:colOff>99060</xdr:colOff>
          <xdr:row>8</xdr:row>
          <xdr:rowOff>114300</xdr:rowOff>
        </xdr:to>
        <xdr:sp macro="" textlink="">
          <xdr:nvSpPr>
            <xdr:cNvPr id="2050" name="BoutonDotation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Consulter ou saisir une DOTATION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373380</xdr:colOff>
          <xdr:row>0</xdr:row>
          <xdr:rowOff>182880</xdr:rowOff>
        </xdr:from>
        <xdr:to>
          <xdr:col>12</xdr:col>
          <xdr:colOff>198120</xdr:colOff>
          <xdr:row>8</xdr:row>
          <xdr:rowOff>99060</xdr:rowOff>
        </xdr:to>
        <xdr:sp macro="" textlink="">
          <xdr:nvSpPr>
            <xdr:cNvPr id="2051" name="BoutonReappro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Consulter ou saisir un REAPPROVISIONNEMENT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883920</xdr:colOff>
          <xdr:row>1</xdr:row>
          <xdr:rowOff>45720</xdr:rowOff>
        </xdr:from>
        <xdr:to>
          <xdr:col>3</xdr:col>
          <xdr:colOff>22860</xdr:colOff>
          <xdr:row>1</xdr:row>
          <xdr:rowOff>769620</xdr:rowOff>
        </xdr:to>
        <xdr:sp macro="" textlink="">
          <xdr:nvSpPr>
            <xdr:cNvPr id="3073" name="Retour Accueil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0</xdr:row>
          <xdr:rowOff>83820</xdr:rowOff>
        </xdr:from>
        <xdr:to>
          <xdr:col>2</xdr:col>
          <xdr:colOff>518160</xdr:colOff>
          <xdr:row>4</xdr:row>
          <xdr:rowOff>45720</xdr:rowOff>
        </xdr:to>
        <xdr:sp macro="" textlink="">
          <xdr:nvSpPr>
            <xdr:cNvPr id="4098" name="Retour Accueil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685800</xdr:colOff>
          <xdr:row>0</xdr:row>
          <xdr:rowOff>83820</xdr:rowOff>
        </xdr:from>
        <xdr:to>
          <xdr:col>6</xdr:col>
          <xdr:colOff>22860</xdr:colOff>
          <xdr:row>4</xdr:row>
          <xdr:rowOff>45720</xdr:rowOff>
        </xdr:to>
        <xdr:sp macro="" textlink="">
          <xdr:nvSpPr>
            <xdr:cNvPr id="4100" name="BoutonSaisirDotation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xmlns="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Saisir une dotation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68580</xdr:rowOff>
        </xdr:from>
        <xdr:to>
          <xdr:col>1</xdr:col>
          <xdr:colOff>426720</xdr:colOff>
          <xdr:row>4</xdr:row>
          <xdr:rowOff>68580</xdr:rowOff>
        </xdr:to>
        <xdr:sp macro="" textlink="">
          <xdr:nvSpPr>
            <xdr:cNvPr id="5122" name="Retour Accueil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Revenir à l'Accueil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556260</xdr:colOff>
          <xdr:row>0</xdr:row>
          <xdr:rowOff>60960</xdr:rowOff>
        </xdr:from>
        <xdr:to>
          <xdr:col>5</xdr:col>
          <xdr:colOff>45720</xdr:colOff>
          <xdr:row>4</xdr:row>
          <xdr:rowOff>76200</xdr:rowOff>
        </xdr:to>
        <xdr:sp macro="" textlink="">
          <xdr:nvSpPr>
            <xdr:cNvPr id="5125" name="BoutonSaisirRéappro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xmlns="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333399"/>
                  </a:solidFill>
                  <a:latin typeface="Aptos Narrow"/>
                </a:rPr>
                <a:t>Saisir Réapprovisionnement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2</xdr:row>
          <xdr:rowOff>60960</xdr:rowOff>
        </xdr:from>
        <xdr:to>
          <xdr:col>1</xdr:col>
          <xdr:colOff>487680</xdr:colOff>
          <xdr:row>4</xdr:row>
          <xdr:rowOff>152400</xdr:rowOff>
        </xdr:to>
        <xdr:sp macro="" textlink="">
          <xdr:nvSpPr>
            <xdr:cNvPr id="6146" name="Retour Accueil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xmlns="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tation" displayName="T_Dotation" ref="A8:V9" insertRow="1" insertRowShift="1" totalsRowShown="0" headerRowDxfId="130" dataDxfId="128" headerRowBorderDxfId="129" tableBorderDxfId="127" totalsRowBorderDxfId="126">
  <autoFilter ref="A8:V9"/>
  <tableColumns count="22">
    <tableColumn id="1" name="Date" dataDxfId="125"/>
    <tableColumn id="2" name="Nom" dataDxfId="124"/>
    <tableColumn id="3" name="Prénom" dataDxfId="123"/>
    <tableColumn id="4" name="Veste Treillis" dataDxfId="122"/>
    <tableColumn id="5" name="Parka" dataDxfId="121"/>
    <tableColumn id="6" name="Veste_x000a_Polaire" dataDxfId="120"/>
    <tableColumn id="7" name="Tee Shirt _x000a_Orange" dataDxfId="119"/>
    <tableColumn id="8" name="Qté" dataDxfId="118"/>
    <tableColumn id="9" name="Tee Shirt _x000a_Bleu" dataDxfId="117"/>
    <tableColumn id="10" name="Qté2" dataDxfId="116"/>
    <tableColumn id="11" name="Chemise F1" dataDxfId="115"/>
    <tableColumn id="12" name="Qté3" dataDxfId="114"/>
    <tableColumn id="13" name="Pantalon_x000a_Treillis" dataDxfId="113"/>
    <tableColumn id="14" name="Qté4" dataDxfId="112"/>
    <tableColumn id="15" name="Chaussures_x000a_d'intervention" dataDxfId="111"/>
    <tableColumn id="16" name="Casquette_x000a_d'intervention" dataDxfId="110"/>
    <tableColumn id="17" name="Casquette_x000a_de cérémonie" dataDxfId="109"/>
    <tableColumn id="18" name="Bonnet" dataDxfId="108"/>
    <tableColumn id="19" name="Ceinture_x000a_Bleue" dataDxfId="107"/>
    <tableColumn id="20" name="Cagoule_x000a_Feu " dataDxfId="106"/>
    <tableColumn id="21" name="Gants_x000a_Feu" dataDxfId="105"/>
    <tableColumn id="22" name="Ceinturon" dataDxfId="10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Reappro" displayName="T_Reappro" ref="A8:CO9" insertRow="1" totalsRowShown="0" headerRowDxfId="103" headerRowBorderDxfId="102" tableBorderDxfId="101" totalsRowBorderDxfId="100">
  <autoFilter ref="A8:CO9"/>
  <tableColumns count="93">
    <tableColumn id="1" name="Date" dataDxfId="99"/>
    <tableColumn id="2" name="Veste treillis_x000a_36/38" dataDxfId="98"/>
    <tableColumn id="3" name="Veste treillis_x000a_38/40" dataDxfId="97"/>
    <tableColumn id="4" name="Veste treillis_x000a_40/42" dataDxfId="96"/>
    <tableColumn id="5" name="Veste treillis_x000a_42/44" dataDxfId="95"/>
    <tableColumn id="6" name="Veste treillis_x000a_44/46" dataDxfId="94"/>
    <tableColumn id="7" name="Veste treillis_x000a_46/48" dataDxfId="93"/>
    <tableColumn id="8" name="Veste treillis_x000a_48/50" dataDxfId="92"/>
    <tableColumn id="9" name="Veste treillis_x000a_50/52" dataDxfId="91"/>
    <tableColumn id="10" name="Veste treillis_x000a_52/54" dataDxfId="90"/>
    <tableColumn id="11" name="Veste treillis_x000a_54/56" dataDxfId="89"/>
    <tableColumn id="12" name="Veste treillis_x000a_56/58" dataDxfId="88"/>
    <tableColumn id="13" name="Veste treillis_x000a_58/60" dataDxfId="87"/>
    <tableColumn id="14" name="Veste treillis_x000a_60/62" dataDxfId="86"/>
    <tableColumn id="15" name="Veste treillis_x000a_62/64" dataDxfId="85"/>
    <tableColumn id="16" name="Veste treillis_x000a_64/66" dataDxfId="84"/>
    <tableColumn id="17" name="Parka_x000a_S" dataDxfId="83"/>
    <tableColumn id="18" name="Parka_x000a_M" dataDxfId="82"/>
    <tableColumn id="19" name="Parka_x000a_L" dataDxfId="81"/>
    <tableColumn id="20" name="Parka_x000a_XL" dataDxfId="80"/>
    <tableColumn id="21" name="Parka_x000a_XXL" dataDxfId="79"/>
    <tableColumn id="22" name="Parka_x000a_XXXL" dataDxfId="78"/>
    <tableColumn id="23" name="Parka_x000a_XXXXL" dataDxfId="77"/>
    <tableColumn id="24" name="Parka_x000a_XXXXXL" dataDxfId="76"/>
    <tableColumn id="25" name="Veste polaire_x000a_S" dataDxfId="75"/>
    <tableColumn id="26" name="Veste polaire_x000a_M" dataDxfId="74"/>
    <tableColumn id="27" name="Veste polaire_x000a_L" dataDxfId="73"/>
    <tableColumn id="28" name="Veste polaire_x000a_XL" dataDxfId="72"/>
    <tableColumn id="29" name="Veste polaire_x000a_XXL" dataDxfId="71"/>
    <tableColumn id="30" name="Veste polaire_x000a_XXXL" dataDxfId="70"/>
    <tableColumn id="31" name="Veste polaire_x000a_XXXXL" dataDxfId="69"/>
    <tableColumn id="32" name="Veste polaire_x000a_XXXXXL" dataDxfId="68"/>
    <tableColumn id="33" name="Tee shirt_x000a_orange S" dataDxfId="67"/>
    <tableColumn id="34" name="Tee shirt_x000a_orange M" dataDxfId="66"/>
    <tableColumn id="35" name="Tee shirt_x000a_orange L" dataDxfId="65"/>
    <tableColumn id="36" name="Tee shirt_x000a_orange XL" dataDxfId="64"/>
    <tableColumn id="37" name="Tee shirt_x000a_orange XXL" dataDxfId="63"/>
    <tableColumn id="38" name="Tee shirt_x000a_orange XXXL" dataDxfId="62"/>
    <tableColumn id="39" name="Tee shirt_x000a_orange XXXXL" dataDxfId="61"/>
    <tableColumn id="40" name="Tee shirt_x000a_orange XXXXXL" dataDxfId="60"/>
    <tableColumn id="41" name="Tee shirt_x000a_bleu S" dataDxfId="59"/>
    <tableColumn id="42" name="Tee shirt_x000a_bleu M" dataDxfId="58"/>
    <tableColumn id="43" name="Tee shirt_x000a_bleu L" dataDxfId="57"/>
    <tableColumn id="44" name="Tee shirt_x000a_bleu XL" dataDxfId="56"/>
    <tableColumn id="45" name="Tee shirt_x000a_bleu XXL" dataDxfId="55"/>
    <tableColumn id="46" name="Tee shirt_x000a_bleu XXXL" dataDxfId="54"/>
    <tableColumn id="47" name="Tee shirt_x000a_bleu XXXXL" dataDxfId="53"/>
    <tableColumn id="48" name="Tee shirt_x000a_bleu XXXXXL" dataDxfId="52"/>
    <tableColumn id="49" name="Chemise_x000a_F1 S" dataDxfId="51"/>
    <tableColumn id="50" name="Chemise_x000a_F1 M" dataDxfId="50"/>
    <tableColumn id="51" name="Chemise_x000a_F1 L" dataDxfId="49"/>
    <tableColumn id="52" name="Chemise_x000a_F1 XL" dataDxfId="48"/>
    <tableColumn id="53" name="Chemise_x000a_F1 XXL" dataDxfId="47"/>
    <tableColumn id="54" name="Chemise_x000a_F1 XXXL" dataDxfId="46"/>
    <tableColumn id="55" name="Chemise_x000a_F1 XXXXL" dataDxfId="45"/>
    <tableColumn id="56" name="Chemise_x000a_F1 XXXXXL" dataDxfId="44"/>
    <tableColumn id="57" name="Pantalon_x000a_treillis 36" dataDxfId="43"/>
    <tableColumn id="58" name="Pantalon_x000a_treillis 38" dataDxfId="42"/>
    <tableColumn id="59" name="Panatalon_x000a_treillis 40" dataDxfId="41"/>
    <tableColumn id="60" name="Pantalon_x000a_treillis 42" dataDxfId="40"/>
    <tableColumn id="61" name="Pantalon_x000a_treillis 44" dataDxfId="39"/>
    <tableColumn id="62" name="Pantalon_x000a_treillis 46" dataDxfId="38"/>
    <tableColumn id="63" name="Pantalon_x000a_treillis 48" dataDxfId="37"/>
    <tableColumn id="64" name="Pantalon_x000a_treillis 50" dataDxfId="36"/>
    <tableColumn id="65" name="Panatalon_x000a_treillis 52" dataDxfId="35"/>
    <tableColumn id="66" name="Pantalon_x000a_treillis 54" dataDxfId="34"/>
    <tableColumn id="67" name="Pantalon_x000a_treillis 56" dataDxfId="33"/>
    <tableColumn id="68" name="Pantalon_x000a_treillis 58" dataDxfId="32"/>
    <tableColumn id="69" name="Pantalon_x000a_treillis 60" dataDxfId="31"/>
    <tableColumn id="70" name="Pantalon_x000a_treillis 62" dataDxfId="30"/>
    <tableColumn id="71" name="Chaussures_x000a_d'intervention_x000a_36" dataDxfId="29"/>
    <tableColumn id="72" name="Chaussures_x000a_d'intervention_x000a_37" dataDxfId="28"/>
    <tableColumn id="73" name="Chaussures_x000a_d'intervention_x000a_38" dataDxfId="27"/>
    <tableColumn id="74" name="Chaussures_x000a_d'intervention_x000a_39" dataDxfId="26"/>
    <tableColumn id="75" name="Chaussures_x000a_d'intervention_x000a_40" dataDxfId="25"/>
    <tableColumn id="76" name="Chaussures_x000a_d'intervention_x000a_41" dataDxfId="24"/>
    <tableColumn id="77" name="Chaussures_x000a_d'intervention_x000a_42" dataDxfId="23"/>
    <tableColumn id="78" name="Chaussures_x000a_d'intervention_x000a_43" dataDxfId="22"/>
    <tableColumn id="79" name="Chaussures_x000a_d'intervention_x000a_44" dataDxfId="21"/>
    <tableColumn id="80" name="Chaussures_x000a_d'intervention_x000a_45" dataDxfId="20"/>
    <tableColumn id="81" name="Casquette_x000a_d'intervention" dataDxfId="19"/>
    <tableColumn id="82" name="Casquette_x000a_de cérémonie" dataDxfId="18"/>
    <tableColumn id="83" name="Bonnet" dataDxfId="17"/>
    <tableColumn id="84" name="Ceinture_x000a_bleue" dataDxfId="16"/>
    <tableColumn id="85" name="Cagoule_x000a_Feu" dataDxfId="15"/>
    <tableColumn id="86" name="Gants_x000a_Feu" dataDxfId="14"/>
    <tableColumn id="87" name="Ceinturon" dataDxfId="13"/>
    <tableColumn id="88" name="Pantalon_x000a_Pluie" dataDxfId="12"/>
    <tableColumn id="89" name="Veste Pluie_x000a_S" dataDxfId="11"/>
    <tableColumn id="90" name="Veste pluie_x000a_M" dataDxfId="10"/>
    <tableColumn id="91" name="Veste Pluie_x000a_L" dataDxfId="9"/>
    <tableColumn id="92" name="Veste pluie_x000a_XL" dataDxfId="8"/>
    <tableColumn id="93" name="Veste pluie_x000a_XXL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9" sqref="B19"/>
    </sheetView>
  </sheetViews>
  <sheetFormatPr baseColWidth="10" defaultRowHeight="13.8"/>
  <sheetData/>
  <sheetProtection sheet="1" objects="1" scenarios="1" selectLockedCells="1" selectUnlockedCells="1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Stock">
              <controlPr defaultSize="0" print="0" autoFill="0" autoPict="0" macro="[0]!StockClic">
                <anchor>
                  <from>
                    <xdr:col>0</xdr:col>
                    <xdr:colOff>152400</xdr:colOff>
                    <xdr:row>1</xdr:row>
                    <xdr:rowOff>7620</xdr:rowOff>
                  </from>
                  <to>
                    <xdr:col>3</xdr:col>
                    <xdr:colOff>746760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outonDotation">
              <controlPr defaultSize="0" print="0" autoFill="0" autoPict="0" macro="[0]!DotationClic">
                <anchor moveWithCells="1" sizeWithCells="1">
                  <from>
                    <xdr:col>4</xdr:col>
                    <xdr:colOff>266700</xdr:colOff>
                    <xdr:row>1</xdr:row>
                    <xdr:rowOff>7620</xdr:rowOff>
                  </from>
                  <to>
                    <xdr:col>8</xdr:col>
                    <xdr:colOff>99060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outonReappro">
              <controlPr defaultSize="0" print="0" autoFill="0" autoPict="0" macro="[0]!RéapproClic">
                <anchor moveWithCells="1" sizeWithCells="1">
                  <from>
                    <xdr:col>8</xdr:col>
                    <xdr:colOff>373380</xdr:colOff>
                    <xdr:row>0</xdr:row>
                    <xdr:rowOff>182880</xdr:rowOff>
                  </from>
                  <to>
                    <xdr:col>12</xdr:col>
                    <xdr:colOff>198120</xdr:colOff>
                    <xdr:row>8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32"/>
  <sheetViews>
    <sheetView topLeftCell="A2" workbookViewId="0">
      <selection activeCell="J23" sqref="J23"/>
    </sheetView>
  </sheetViews>
  <sheetFormatPr baseColWidth="10" defaultRowHeight="13.8"/>
  <cols>
    <col min="1" max="1" width="24.09765625" bestFit="1" customWidth="1"/>
    <col min="2" max="2" width="15.59765625" bestFit="1" customWidth="1"/>
    <col min="3" max="7" width="5.69921875" bestFit="1" customWidth="1"/>
    <col min="8" max="8" width="6.3984375" bestFit="1" customWidth="1"/>
    <col min="9" max="9" width="7.59765625" bestFit="1" customWidth="1"/>
    <col min="10" max="16" width="5.69921875" bestFit="1" customWidth="1"/>
    <col min="17" max="17" width="15.296875" customWidth="1"/>
  </cols>
  <sheetData>
    <row r="1" spans="1:16" hidden="1">
      <c r="A1" s="7" t="s">
        <v>0</v>
      </c>
      <c r="B1" s="8">
        <v>0</v>
      </c>
    </row>
    <row r="2" spans="1:16" ht="60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18.75" customHeight="1">
      <c r="A3" s="13">
        <f ca="1">TODAY()</f>
        <v>45654</v>
      </c>
      <c r="F3" s="1"/>
      <c r="G3" s="1"/>
      <c r="H3" s="1"/>
      <c r="I3" s="1"/>
      <c r="J3" s="1"/>
      <c r="K3" s="1"/>
      <c r="L3" s="1"/>
      <c r="M3" s="1"/>
    </row>
    <row r="4" spans="1:16" ht="15.75" customHeight="1"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8" t="s">
        <v>15</v>
      </c>
      <c r="O4" s="8" t="s">
        <v>16</v>
      </c>
      <c r="P4" s="8" t="s">
        <v>17</v>
      </c>
    </row>
    <row r="5" spans="1:16">
      <c r="A5" s="9" t="s">
        <v>2</v>
      </c>
      <c r="B5" s="8">
        <f>'Inventaire du 101242'!B2- COUNTIF(T_Dotation[Veste Treillis],"36/38")+Réappro!B6</f>
        <v>0</v>
      </c>
      <c r="C5" s="8">
        <f>'Inventaire du 101242'!C2- COUNTIF(T_Dotation[Veste Treillis],"38/40")+Réappro!C6</f>
        <v>0</v>
      </c>
      <c r="D5" s="8">
        <f>'Inventaire du 101242'!D2- COUNTIF(T_Dotation[Veste Treillis],"40/42")+Réappro!D6</f>
        <v>0</v>
      </c>
      <c r="E5" s="8">
        <f>'Inventaire du 101242'!E2- COUNTIF(T_Dotation[Veste Treillis],"42/44")+Réappro!E6</f>
        <v>0</v>
      </c>
      <c r="F5" s="8">
        <f>'Inventaire du 101242'!F2- COUNTIF(T_Dotation[Veste Treillis],"44/46")+Réappro!F6</f>
        <v>1</v>
      </c>
      <c r="G5" s="8">
        <f>'Inventaire du 101242'!G2- COUNTIF(T_Dotation[Veste Treillis],"46/48")+Réappro!G6</f>
        <v>0</v>
      </c>
      <c r="H5" s="8">
        <f>'Inventaire du 101242'!H2- COUNTIF(T_Dotation[Veste Treillis],"48/50")+Réappro!H6</f>
        <v>1</v>
      </c>
      <c r="I5" s="8">
        <f>'Inventaire du 101242'!I2- COUNTIF(T_Dotation[Veste Treillis],"50/52")+Réappro!I6</f>
        <v>0</v>
      </c>
      <c r="J5" s="8">
        <f>'Inventaire du 101242'!J2- COUNTIF(T_Dotation[Veste Treillis],"52/54")+Réappro!J6</f>
        <v>2</v>
      </c>
      <c r="K5" s="8">
        <f>'Inventaire du 101242'!K2- COUNTIF(T_Dotation[Veste Treillis],"54/56")+Réappro!K6</f>
        <v>0</v>
      </c>
      <c r="L5" s="8">
        <f>'Inventaire du 101242'!L2- COUNTIF(T_Dotation[Veste Treillis],"56/58")+Réappro!L6</f>
        <v>4</v>
      </c>
      <c r="M5" s="8">
        <f>'Inventaire du 101242'!M2- COUNTIF(T_Dotation[Veste Treillis],"58/60")+Réappro!M6</f>
        <v>0</v>
      </c>
      <c r="N5" s="8">
        <f>'Inventaire du 101242'!N2- COUNTIF(T_Dotation[Veste Treillis],"60/62")+Réappro!N6</f>
        <v>3</v>
      </c>
      <c r="O5" s="8">
        <f>'Inventaire du 101242'!O2- COUNTIF(T_Dotation[Veste Treillis],"62/64")+Réappro!O6</f>
        <v>0</v>
      </c>
      <c r="P5" s="8">
        <f>'Inventaire du 101242'!P2- COUNTIF(T_Dotation[Veste Treillis],"64/66")+Réappro!P6</f>
        <v>5</v>
      </c>
    </row>
    <row r="6" spans="1:1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.75" customHeight="1">
      <c r="B7" s="8" t="s">
        <v>18</v>
      </c>
      <c r="C7" s="8" t="s">
        <v>19</v>
      </c>
      <c r="D7" s="8" t="s">
        <v>20</v>
      </c>
      <c r="E7" s="8" t="s">
        <v>21</v>
      </c>
      <c r="F7" s="8" t="s">
        <v>22</v>
      </c>
      <c r="G7" s="8" t="s">
        <v>23</v>
      </c>
      <c r="H7" s="8" t="s">
        <v>24</v>
      </c>
      <c r="I7" s="8" t="s">
        <v>25</v>
      </c>
    </row>
    <row r="8" spans="1:16">
      <c r="A8" s="8" t="s">
        <v>26</v>
      </c>
      <c r="B8" s="8">
        <f>'Inventaire du 101242'!B5 - COUNTIF(T_Dotation[Parka],"S")+Réappro!Q6</f>
        <v>0</v>
      </c>
      <c r="C8" s="8">
        <f>'Inventaire du 101242'!C5 - COUNTIF(T_Dotation[Parka],"M")+Réappro!R6</f>
        <v>0</v>
      </c>
      <c r="D8" s="8">
        <f>'Inventaire du 101242'!D5 - COUNTIF(T_Dotation[Parka],"L")+Réappro!S6</f>
        <v>1</v>
      </c>
      <c r="E8" s="8">
        <f>'Inventaire du 101242'!E5 - COUNTIF(T_Dotation[Parka],"XL")+Réappro!T6</f>
        <v>0</v>
      </c>
      <c r="F8" s="8">
        <f>'Inventaire du 101242'!F5 - COUNTIF(T_Dotation[Parka],"XXL")+Réappro!U6</f>
        <v>0</v>
      </c>
      <c r="G8" s="8">
        <f>'Inventaire du 101242'!G5 - COUNTIF(T_Dotation[Parka],"XXXL")+Réappro!V6</f>
        <v>0</v>
      </c>
      <c r="H8" s="8">
        <f>'Inventaire du 101242'!H5 - COUNTIF(T_Dotation[Parka],"XXXXL")+Réappro!W6</f>
        <v>0</v>
      </c>
      <c r="I8" s="8">
        <f>'Inventaire du 101242'!I5 - COUNTIF(T_Dotation[Parka],"XXXXXL")+Réappro!X6</f>
        <v>0</v>
      </c>
    </row>
    <row r="9" spans="1:16">
      <c r="A9" s="8" t="s">
        <v>27</v>
      </c>
      <c r="B9" s="8">
        <f>'Inventaire du 101242'!B6 - COUNTIF(T_Dotation[Veste
Polaire],"S")+Réappro!Y6</f>
        <v>0</v>
      </c>
      <c r="C9" s="8">
        <f>'Inventaire du 101242'!C6 - COUNTIF(T_Dotation[Veste
Polaire],"M")+Réappro!Z6</f>
        <v>0</v>
      </c>
      <c r="D9" s="8">
        <f>'Inventaire du 101242'!D6 - COUNTIF(T_Dotation[Veste
Polaire],"L")+Réappro!AA6</f>
        <v>0</v>
      </c>
      <c r="E9" s="8">
        <f>'Inventaire du 101242'!E6 - COUNTIF(T_Dotation[Veste
Polaire],"XL")+Réappro!AB6</f>
        <v>3</v>
      </c>
      <c r="F9" s="8">
        <f>'Inventaire du 101242'!F6 - COUNTIF(T_Dotation[Veste
Polaire],"XXL")+Réappro!AC6</f>
        <v>1</v>
      </c>
      <c r="G9" s="8">
        <f>'Inventaire du 101242'!G6 - COUNTIF(T_Dotation[Veste
Polaire],"XXXL")+Réappro!AD6</f>
        <v>1</v>
      </c>
      <c r="H9" s="8">
        <f>'Inventaire du 101242'!H6 - COUNTIF(T_Dotation[Veste
Polaire],"XXXXL")+Réappro!AE6</f>
        <v>0</v>
      </c>
      <c r="I9" s="8">
        <f>'Inventaire du 101242'!I6 - COUNTIF(T_Dotation[Veste
Polaire],"XXXXXL")+Réappro!AF6</f>
        <v>0</v>
      </c>
    </row>
    <row r="10" spans="1:16">
      <c r="A10" s="8" t="s">
        <v>28</v>
      </c>
      <c r="B10" s="12">
        <f>'Inventaire du 101242'!B7-SUMIF(T_Dotation[Tee Shirt 
Orange],"S",T_Dotation[Qté])+Réappro!AG6</f>
        <v>14</v>
      </c>
      <c r="C10" s="12">
        <f>'Inventaire du 101242'!C7-SUMIF(T_Dotation[Tee Shirt 
Orange],"M",T_Dotation[Qté])+Réappro!AH6</f>
        <v>1</v>
      </c>
      <c r="D10" s="12">
        <f>'Inventaire du 101242'!D7-SUMIF(T_Dotation[Tee Shirt 
Orange],"L",T_Dotation[Qté])+Réappro!AI6</f>
        <v>14</v>
      </c>
      <c r="E10" s="12">
        <f>'Inventaire du 101242'!E7-SUMIF(T_Dotation[Tee Shirt 
Orange],"XL",T_Dotation[Qté])+Réappro!AJ6</f>
        <v>13</v>
      </c>
      <c r="F10" s="12">
        <f>'Inventaire du 101242'!F7-SUMIF(T_Dotation[Tee Shirt 
Orange],"XXL",T_Dotation[Qté])+Réappro!AK6</f>
        <v>10</v>
      </c>
      <c r="G10" s="12">
        <f>'Inventaire du 101242'!G7-SUMIF(T_Dotation[Tee Shirt 
Orange],"XXXL",T_Dotation[Qté])+Réappro!AL6</f>
        <v>5</v>
      </c>
      <c r="H10" s="12">
        <f>'Inventaire du 101242'!H7-SUMIF(T_Dotation[Tee Shirt 
Orange],"XXXXL",T_Dotation[Qté])+Réappro!AM6</f>
        <v>6</v>
      </c>
      <c r="I10" s="12">
        <f>'Inventaire du 101242'!I7-SUMIF(T_Dotation[Tee Shirt 
Orange],"XXXXXL",T_Dotation[Qté])+Réappro!AN6</f>
        <v>1</v>
      </c>
    </row>
    <row r="11" spans="1:16">
      <c r="A11" s="8" t="s">
        <v>29</v>
      </c>
      <c r="B11" s="8">
        <f>'Inventaire du 101242'!B8-SUMIF(T_Dotation[Tee Shirt 
Bleu],"S",T_Dotation[Qté2])+Réappro!AG6</f>
        <v>4</v>
      </c>
      <c r="C11" s="8">
        <f>'Inventaire du 101242'!C8-SUMIF(T_Dotation[Tee Shirt 
Bleu],"M",T_Dotation[Qté2])+Réappro!AH6</f>
        <v>8</v>
      </c>
      <c r="D11" s="8">
        <f>'Inventaire du 101242'!D8-SUMIF(T_Dotation[Tee Shirt 
Bleu],"L",T_Dotation[Qté2])+Réappro!AI6</f>
        <v>6</v>
      </c>
      <c r="E11" s="8">
        <f>'Inventaire du 101242'!E8-SUMIF(T_Dotation[Tee Shirt 
Bleu],"XL",T_Dotation[Qté2])+Réappro!AJ6</f>
        <v>15</v>
      </c>
      <c r="F11" s="8">
        <f>'Inventaire du 101242'!F8-SUMIF(T_Dotation[Tee Shirt 
Bleu],"XXL",T_Dotation[Qté2])+Réappro!AK6</f>
        <v>11</v>
      </c>
      <c r="G11" s="8">
        <f>'Inventaire du 101242'!G8-SUMIF(T_Dotation[Tee Shirt 
Bleu],"XXXL",T_Dotation[Qté2])+Réappro!AL6</f>
        <v>16</v>
      </c>
      <c r="H11" s="8">
        <f>'Inventaire du 101242'!H8-SUMIF(T_Dotation[Tee Shirt 
Bleu],"XXXXL",T_Dotation[Qté2])+Réappro!AM6</f>
        <v>1</v>
      </c>
      <c r="I11" s="8">
        <f>'Inventaire du 101242'!I8-SUMIF(T_Dotation[Tee Shirt 
Bleu],"XXXXXL",T_Dotation[Qté2])+Réappro!AN6</f>
        <v>0</v>
      </c>
    </row>
    <row r="12" spans="1:16">
      <c r="A12" s="8" t="s">
        <v>30</v>
      </c>
      <c r="B12" s="8">
        <f>'Inventaire du 101242'!B9-SUMIF(T_Dotation[Chemise F1],"S",T_Dotation[Qté3])+Réappro!AW6</f>
        <v>5</v>
      </c>
      <c r="C12" s="8">
        <f>'Inventaire du 101242'!C9-SUMIF(T_Dotation[Chemise F1],"M",T_Dotation[Qté3])+Réappro!AX6</f>
        <v>0</v>
      </c>
      <c r="D12" s="8">
        <f>'Inventaire du 101242'!D9-SUMIF(T_Dotation[Chemise F1],"L",T_Dotation[Qté3])+Réappro!AY6</f>
        <v>0</v>
      </c>
      <c r="E12" s="8">
        <f>'Inventaire du 101242'!E9-SUMIF(T_Dotation[Chemise F1],"XL",T_Dotation[Qté3])+Réappro!AZ6</f>
        <v>8</v>
      </c>
      <c r="F12" s="8">
        <f>'Inventaire du 101242'!F9-SUMIF(T_Dotation[Chemise F1],"XXL",T_Dotation[Qté3])+Réappro!BA6</f>
        <v>2</v>
      </c>
      <c r="G12" s="8">
        <f>'Inventaire du 101242'!G9-SUMIF(T_Dotation[Chemise F1],"XXXL",T_Dotation[Qté3])+Réappro!BB6</f>
        <v>0</v>
      </c>
      <c r="H12" s="8">
        <f>'Inventaire du 101242'!H9-SUMIF(T_Dotation[Chemise F1],"XXXXL",T_Dotation[Qté3])+Réappro!BC6</f>
        <v>0</v>
      </c>
      <c r="I12" s="8">
        <f>'Inventaire du 101242'!I9-SUMIF(T_Dotation[Chemise F1],"XXXXXL",T_Dotation[Qté3])+Réappro!BD6</f>
        <v>0</v>
      </c>
    </row>
    <row r="13" spans="1:16" ht="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" customHeight="1">
      <c r="B14" s="8">
        <v>36</v>
      </c>
      <c r="C14" s="8">
        <v>38</v>
      </c>
      <c r="D14" s="8">
        <v>40</v>
      </c>
      <c r="E14" s="8">
        <v>42</v>
      </c>
      <c r="F14" s="8">
        <v>44</v>
      </c>
      <c r="G14" s="8">
        <v>46</v>
      </c>
      <c r="H14" s="8">
        <v>48</v>
      </c>
      <c r="I14" s="8">
        <v>50</v>
      </c>
      <c r="J14" s="8">
        <v>52</v>
      </c>
      <c r="K14" s="8">
        <v>54</v>
      </c>
      <c r="L14" s="8">
        <v>56</v>
      </c>
      <c r="M14" s="8">
        <v>58</v>
      </c>
      <c r="N14" s="8">
        <v>60</v>
      </c>
      <c r="O14" s="8">
        <v>62</v>
      </c>
    </row>
    <row r="15" spans="1:16" ht="15.9" customHeight="1">
      <c r="A15" s="8" t="s">
        <v>31</v>
      </c>
      <c r="B15" s="8">
        <f>'Inventaire du 101242'!B12-SUMIF(T_Dotation[Pantalon
Treillis],"36",T_Dotation[Qté4])+Réappro!BE6</f>
        <v>0</v>
      </c>
      <c r="C15" s="8">
        <f>'Inventaire du 101242'!C12-SUMIF(T_Dotation[Pantalon
Treillis],"38",T_Dotation[Qté4])+Réappro!BF6</f>
        <v>0</v>
      </c>
      <c r="D15" s="8">
        <f>'Inventaire du 101242'!D12-SUMIF(T_Dotation[Pantalon
Treillis],"40",T_Dotation[Qté4])+Réappro!BG6</f>
        <v>0</v>
      </c>
      <c r="E15" s="8">
        <f>'Inventaire du 101242'!E12-SUMIF(T_Dotation[Pantalon
Treillis],"42",T_Dotation[Qté4])+Réappro!BH6</f>
        <v>2</v>
      </c>
      <c r="F15" s="8">
        <f>'Inventaire du 101242'!F12-SUMIF(T_Dotation[Pantalon
Treillis],"44",T_Dotation[Qté4])+Réappro!BI6</f>
        <v>1</v>
      </c>
      <c r="G15" s="8">
        <f>'Inventaire du 101242'!G12-SUMIF(T_Dotation[Pantalon
Treillis],"46",T_Dotation[Qté4])+Réappro!BJ6</f>
        <v>3</v>
      </c>
      <c r="H15" s="8">
        <f>'Inventaire du 101242'!H12-SUMIF(T_Dotation[Pantalon
Treillis],"48",T_Dotation[Qté4])+Réappro!BK6</f>
        <v>0</v>
      </c>
      <c r="I15" s="8">
        <f>'Inventaire du 101242'!I12-SUMIF(T_Dotation[Pantalon
Treillis],"50",T_Dotation[Qté4])+Réappro!BL6</f>
        <v>3</v>
      </c>
      <c r="J15" s="8">
        <f>'Inventaire du 101242'!J12-SUMIF(T_Dotation[Pantalon
Treillis],"52",T_Dotation[Qté4])+Réappro!BM6</f>
        <v>0</v>
      </c>
      <c r="K15" s="8">
        <f>'Inventaire du 101242'!K12-SUMIF(T_Dotation[Pantalon
Treillis],"54",T_Dotation[Qté4])+Réappro!BN6</f>
        <v>5</v>
      </c>
      <c r="L15" s="8">
        <f>'Inventaire du 101242'!L12-SUMIF(T_Dotation[Pantalon
Treillis],"56",T_Dotation[Qté4])+Réappro!BO6</f>
        <v>0</v>
      </c>
      <c r="M15" s="8">
        <f>'Inventaire du 101242'!M12-SUMIF(T_Dotation[Pantalon
Treillis],"58",T_Dotation[Qté4])+Réappro!BP6</f>
        <v>1</v>
      </c>
      <c r="N15" s="8">
        <f>'Inventaire du 101242'!N12-SUMIF(T_Dotation[Pantalon
Treillis],"60",T_Dotation[Qté4])+Réappro!BQ6</f>
        <v>0</v>
      </c>
      <c r="O15" s="8">
        <f>'Inventaire du 101242'!O12-SUMIF(T_Dotation[Pantalon
Treillis],"62",T_Dotation[Qté4])+Réappro!BR6</f>
        <v>4</v>
      </c>
    </row>
    <row r="17" spans="1:12" ht="15.9" customHeight="1">
      <c r="B17" s="8">
        <v>36</v>
      </c>
      <c r="C17" s="8">
        <v>37</v>
      </c>
      <c r="D17" s="8">
        <v>38</v>
      </c>
      <c r="E17" s="8">
        <v>39</v>
      </c>
      <c r="F17" s="8">
        <v>40</v>
      </c>
      <c r="G17" s="8">
        <v>41</v>
      </c>
      <c r="H17" s="8">
        <v>42</v>
      </c>
      <c r="I17" s="8">
        <v>43</v>
      </c>
      <c r="J17" s="8">
        <v>44</v>
      </c>
      <c r="K17" s="8">
        <v>45</v>
      </c>
      <c r="L17" s="8">
        <v>46</v>
      </c>
    </row>
    <row r="18" spans="1:12">
      <c r="A18" s="8" t="s">
        <v>32</v>
      </c>
      <c r="B18" s="8">
        <f>'Inventaire du 101242'!B15- COUNTIF(T_Dotation[Chaussures
d''intervention],"36")+Réappro!BS6</f>
        <v>0</v>
      </c>
      <c r="C18" s="8">
        <f>'Inventaire du 101242'!C15- COUNTIF(T_Dotation[Chaussures
d''intervention],"37")+Réappro!BT6</f>
        <v>0</v>
      </c>
      <c r="D18" s="8">
        <f>'Inventaire du 101242'!D15- COUNTIF(T_Dotation[Chaussures
d''intervention],"38")+Réappro!BU6</f>
        <v>1</v>
      </c>
      <c r="E18" s="8">
        <f>'Inventaire du 101242'!E15- COUNTIF(T_Dotation[Chaussures
d''intervention],"39")+Réappro!BV6</f>
        <v>3</v>
      </c>
      <c r="F18" s="8">
        <f>'Inventaire du 101242'!F15- COUNTIF(T_Dotation[Chaussures
d''intervention],"40")+Réappro!BW6</f>
        <v>0</v>
      </c>
      <c r="G18" s="8">
        <f>'Inventaire du 101242'!G15- COUNTIF(T_Dotation[Chaussures
d''intervention],"41")+Réappro!BX6</f>
        <v>0</v>
      </c>
      <c r="H18" s="8">
        <f>'Inventaire du 101242'!H15- COUNTIF(T_Dotation[Chaussures
d''intervention],"42")+Réappro!BY6</f>
        <v>1</v>
      </c>
      <c r="I18" s="8">
        <f>'Inventaire du 101242'!I15- COUNTIF(T_Dotation[Chaussures
d''intervention],"43")+Réappro!BZ6</f>
        <v>0</v>
      </c>
      <c r="J18" s="8">
        <f>'Inventaire du 101242'!J15- COUNTIF(T_Dotation[Chaussures
d''intervention],"44")+Réappro!CA6</f>
        <v>0</v>
      </c>
      <c r="K18" s="8">
        <f>'Inventaire du 101242'!K15- COUNTIF(T_Dotation[Chaussures
d''intervention],"45")+Réappro!CB6</f>
        <v>0</v>
      </c>
      <c r="L18" s="8">
        <f>'Inventaire du 101242'!L15- COUNTIF(T_Dotation[Chaussures
d''intervention],"46")+Réappro!CC6</f>
        <v>1</v>
      </c>
    </row>
    <row r="20" spans="1:12">
      <c r="A20" s="8" t="s">
        <v>33</v>
      </c>
      <c r="B20" s="8">
        <f>'Inventaire du 101242'!B17+Dotation!P6-Réappro!CC6</f>
        <v>5</v>
      </c>
    </row>
    <row r="21" spans="1:12">
      <c r="A21" s="8" t="s">
        <v>34</v>
      </c>
      <c r="B21" s="8">
        <f>'Inventaire du 101242'!B18+Dotation!Q6-Réappro!CD6</f>
        <v>8</v>
      </c>
    </row>
    <row r="22" spans="1:12">
      <c r="A22" s="8" t="s">
        <v>35</v>
      </c>
      <c r="B22" s="8">
        <f>'Inventaire du 101242'!B19+Dotation!R6-Réappro!CE6</f>
        <v>13</v>
      </c>
    </row>
    <row r="23" spans="1:12">
      <c r="A23" s="8" t="s">
        <v>36</v>
      </c>
      <c r="B23" s="8">
        <f>'Inventaire du 101242'!B20+Dotation!S6-Réappro!CF6</f>
        <v>0</v>
      </c>
    </row>
    <row r="25" spans="1:12">
      <c r="A25" s="8" t="s">
        <v>37</v>
      </c>
      <c r="B25" s="8">
        <f>'Inventaire du 101242'!B22+Dotation!T6-Réappro!CG6</f>
        <v>0</v>
      </c>
    </row>
    <row r="26" spans="1:12">
      <c r="A26" s="8" t="s">
        <v>38</v>
      </c>
      <c r="B26" s="8">
        <f>'Inventaire du 101242'!B23+Dotation!U6-Réappro!CH6</f>
        <v>8</v>
      </c>
    </row>
    <row r="27" spans="1:12">
      <c r="A27" s="8" t="s">
        <v>39</v>
      </c>
      <c r="B27" s="8">
        <f>'Inventaire du 101242'!B24+Dotation!V6-Réappro!CI6</f>
        <v>0</v>
      </c>
    </row>
    <row r="29" spans="1:12" ht="15.9" customHeight="1">
      <c r="A29" s="8" t="s">
        <v>40</v>
      </c>
      <c r="B29" s="8">
        <f>'Inventaire du 101242'!B26</f>
        <v>29</v>
      </c>
    </row>
    <row r="30" spans="1:12" ht="15.9" customHeight="1"/>
    <row r="31" spans="1:12">
      <c r="B31" s="8" t="s">
        <v>18</v>
      </c>
      <c r="C31" s="8" t="s">
        <v>19</v>
      </c>
      <c r="D31" s="8" t="s">
        <v>20</v>
      </c>
      <c r="E31" s="8" t="s">
        <v>21</v>
      </c>
      <c r="F31" s="8" t="s">
        <v>22</v>
      </c>
    </row>
    <row r="32" spans="1:12">
      <c r="A32" s="8" t="s">
        <v>41</v>
      </c>
      <c r="B32" s="8">
        <f>'Inventaire du 101242'!B28</f>
        <v>0</v>
      </c>
      <c r="C32" s="8">
        <f>'Inventaire du 101242'!C28</f>
        <v>2</v>
      </c>
      <c r="D32" s="8">
        <f>'Inventaire du 101242'!D28</f>
        <v>3</v>
      </c>
      <c r="E32" s="8">
        <f>'Inventaire du 101242'!E28</f>
        <v>2</v>
      </c>
      <c r="F32" s="8">
        <f>'Inventaire du 101242'!F28</f>
        <v>2</v>
      </c>
    </row>
  </sheetData>
  <sheetProtection selectLockedCells="1" selectUnlockedCells="1"/>
  <mergeCells count="1">
    <mergeCell ref="A2:P2"/>
  </mergeCells>
  <conditionalFormatting sqref="B5:P5">
    <cfRule type="cellIs" dxfId="6" priority="11" operator="lessThanOrEqual">
      <formula>$B$1</formula>
    </cfRule>
  </conditionalFormatting>
  <conditionalFormatting sqref="B8:I12">
    <cfRule type="cellIs" dxfId="5" priority="10" operator="lessThanOrEqual">
      <formula>$C$1</formula>
    </cfRule>
  </conditionalFormatting>
  <conditionalFormatting sqref="B18:L18">
    <cfRule type="cellIs" dxfId="4" priority="9" operator="lessThanOrEqual">
      <formula>$C$1</formula>
    </cfRule>
  </conditionalFormatting>
  <conditionalFormatting sqref="B20:B23 B25:B27 B29">
    <cfRule type="cellIs" dxfId="3" priority="8" operator="lessThanOrEqual">
      <formula>$C$1</formula>
    </cfRule>
  </conditionalFormatting>
  <conditionalFormatting sqref="B31:D31">
    <cfRule type="cellIs" dxfId="2" priority="6" operator="lessThanOrEqual">
      <formula>$C$1</formula>
    </cfRule>
  </conditionalFormatting>
  <conditionalFormatting sqref="B32:F32">
    <cfRule type="cellIs" dxfId="1" priority="3" operator="lessThanOrEqual">
      <formula>$C$1</formula>
    </cfRule>
  </conditionalFormatting>
  <conditionalFormatting sqref="B15:O15">
    <cfRule type="cellIs" dxfId="0" priority="1" operator="lessThanOrEqual">
      <formula>$C$1</formula>
    </cfRule>
  </conditionalFormatting>
  <pageMargins left="0.98425196850393704" right="0.70866141732283472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Retour Accueil">
              <controlPr defaultSize="0" print="0" autoFill="0" autoPict="0" macro="[0]!RetourAccueil">
                <anchor>
                  <from>
                    <xdr:col>0</xdr:col>
                    <xdr:colOff>883920</xdr:colOff>
                    <xdr:row>1</xdr:row>
                    <xdr:rowOff>45720</xdr:rowOff>
                  </from>
                  <to>
                    <xdr:col>3</xdr:col>
                    <xdr:colOff>22860</xdr:colOff>
                    <xdr:row>1</xdr:row>
                    <xdr:rowOff>769620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otation"/>
  <dimension ref="A1:V9"/>
  <sheetViews>
    <sheetView workbookViewId="0">
      <selection activeCell="M21" sqref="M21"/>
    </sheetView>
  </sheetViews>
  <sheetFormatPr baseColWidth="10" defaultRowHeight="13.8"/>
  <cols>
    <col min="1" max="1" width="10.3984375" bestFit="1" customWidth="1"/>
    <col min="2" max="2" width="20.59765625" bestFit="1" customWidth="1"/>
    <col min="3" max="3" width="20.296875" bestFit="1" customWidth="1"/>
    <col min="4" max="4" width="14.09765625" customWidth="1"/>
    <col min="5" max="6" width="7.59765625" bestFit="1" customWidth="1"/>
    <col min="7" max="7" width="8.3984375" bestFit="1" customWidth="1"/>
    <col min="8" max="8" width="5.59765625" style="11" customWidth="1"/>
    <col min="9" max="9" width="8.3984375" bestFit="1" customWidth="1"/>
    <col min="10" max="10" width="6.59765625" style="11" customWidth="1"/>
    <col min="11" max="11" width="13" customWidth="1"/>
    <col min="12" max="12" width="6.59765625" style="11" customWidth="1"/>
    <col min="13" max="13" width="9" style="11" bestFit="1" customWidth="1"/>
    <col min="14" max="14" width="6.59765625" style="11" customWidth="1"/>
    <col min="15" max="15" width="13" style="11" bestFit="1" customWidth="1"/>
    <col min="16" max="16" width="13" bestFit="1" customWidth="1"/>
    <col min="17" max="17" width="12.8984375" bestFit="1" customWidth="1"/>
    <col min="18" max="18" width="8.8984375" customWidth="1"/>
    <col min="19" max="19" width="8.296875" bestFit="1" customWidth="1"/>
    <col min="20" max="20" width="8.09765625" bestFit="1" customWidth="1"/>
    <col min="21" max="21" width="6.09765625" bestFit="1" customWidth="1"/>
    <col min="22" max="22" width="11.19921875" customWidth="1"/>
  </cols>
  <sheetData>
    <row r="1" spans="1:22">
      <c r="A1" s="6"/>
    </row>
    <row r="6" spans="1:22" ht="2.4" customHeight="1">
      <c r="A6" t="s">
        <v>59</v>
      </c>
    </row>
    <row r="8" spans="1:22" s="10" customFormat="1" ht="27.6">
      <c r="A8" s="14" t="s">
        <v>48</v>
      </c>
      <c r="B8" s="15" t="s">
        <v>49</v>
      </c>
      <c r="C8" s="15" t="s">
        <v>50</v>
      </c>
      <c r="D8" s="16" t="s">
        <v>2</v>
      </c>
      <c r="E8" s="15" t="s">
        <v>26</v>
      </c>
      <c r="F8" s="16" t="s">
        <v>55</v>
      </c>
      <c r="G8" s="16" t="s">
        <v>57</v>
      </c>
      <c r="H8" s="17" t="s">
        <v>60</v>
      </c>
      <c r="I8" s="16" t="s">
        <v>58</v>
      </c>
      <c r="J8" s="17" t="s">
        <v>151</v>
      </c>
      <c r="K8" s="15" t="s">
        <v>30</v>
      </c>
      <c r="L8" s="17" t="s">
        <v>152</v>
      </c>
      <c r="M8" s="18" t="s">
        <v>56</v>
      </c>
      <c r="N8" s="17" t="s">
        <v>153</v>
      </c>
      <c r="O8" s="18" t="s">
        <v>52</v>
      </c>
      <c r="P8" s="16" t="s">
        <v>53</v>
      </c>
      <c r="Q8" s="16" t="s">
        <v>54</v>
      </c>
      <c r="R8" s="15" t="s">
        <v>35</v>
      </c>
      <c r="S8" s="16" t="s">
        <v>62</v>
      </c>
      <c r="T8" s="16" t="s">
        <v>63</v>
      </c>
      <c r="U8" s="16" t="s">
        <v>64</v>
      </c>
      <c r="V8" s="19" t="s">
        <v>39</v>
      </c>
    </row>
    <row r="9" spans="1:22">
      <c r="A9" s="25"/>
      <c r="B9" s="20"/>
      <c r="C9" s="20"/>
      <c r="D9" s="21"/>
      <c r="E9" s="20"/>
      <c r="F9" s="21"/>
      <c r="G9" s="21"/>
      <c r="H9" s="22"/>
      <c r="I9" s="21"/>
      <c r="J9" s="22"/>
      <c r="K9" s="20"/>
      <c r="L9" s="22"/>
      <c r="M9" s="23"/>
      <c r="N9" s="22"/>
      <c r="O9" s="23"/>
      <c r="P9" s="21"/>
      <c r="Q9" s="21"/>
      <c r="R9" s="20"/>
      <c r="S9" s="21"/>
      <c r="T9" s="21"/>
      <c r="U9" s="21"/>
      <c r="V9" s="24"/>
    </row>
  </sheetData>
  <sheetProtection sheet="1" objects="1" scenarios="1"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Retour Accueil">
              <controlPr defaultSize="0" print="0" autoFill="0" autoPict="0" macro="[0]!RetourAccueil">
                <anchor moveWithCells="1" sizeWithCells="1">
                  <from>
                    <xdr:col>0</xdr:col>
                    <xdr:colOff>419100</xdr:colOff>
                    <xdr:row>0</xdr:row>
                    <xdr:rowOff>83820</xdr:rowOff>
                  </from>
                  <to>
                    <xdr:col>2</xdr:col>
                    <xdr:colOff>518160</xdr:colOff>
                    <xdr:row>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4" name="BoutonSaisirDotation">
              <controlPr defaultSize="0" print="0" autoFill="0" autoPict="0" macro="[0]!SaisirDotation">
                <anchor moveWithCells="1" sizeWithCells="1">
                  <from>
                    <xdr:col>2</xdr:col>
                    <xdr:colOff>685800</xdr:colOff>
                    <xdr:row>0</xdr:row>
                    <xdr:rowOff>83820</xdr:rowOff>
                  </from>
                  <to>
                    <xdr:col>6</xdr:col>
                    <xdr:colOff>22860</xdr:colOff>
                    <xdr:row>4</xdr:row>
                    <xdr:rowOff>45720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6:CO21"/>
  <sheetViews>
    <sheetView zoomScale="96" zoomScaleNormal="70" workbookViewId="0">
      <selection activeCell="F20" sqref="F20"/>
    </sheetView>
  </sheetViews>
  <sheetFormatPr baseColWidth="10" defaultRowHeight="13.8"/>
  <cols>
    <col min="1" max="1" width="23" bestFit="1" customWidth="1"/>
    <col min="2" max="2" width="11.69921875" bestFit="1" customWidth="1"/>
    <col min="3" max="4" width="11" bestFit="1" customWidth="1"/>
    <col min="5" max="6" width="11.69921875" bestFit="1" customWidth="1"/>
    <col min="7" max="15" width="11" bestFit="1" customWidth="1"/>
    <col min="16" max="16" width="11.69921875" bestFit="1" customWidth="1"/>
    <col min="17" max="22" width="6.09765625" bestFit="1" customWidth="1"/>
    <col min="23" max="23" width="6.3984375" bestFit="1" customWidth="1"/>
    <col min="24" max="24" width="7.59765625" bestFit="1" customWidth="1"/>
    <col min="25" max="31" width="7.296875" bestFit="1" customWidth="1"/>
    <col min="32" max="32" width="7.59765625" bestFit="1" customWidth="1"/>
    <col min="33" max="33" width="8.59765625" bestFit="1" customWidth="1"/>
    <col min="34" max="34" width="9.09765625" bestFit="1" customWidth="1"/>
    <col min="35" max="35" width="8.3984375" bestFit="1" customWidth="1"/>
    <col min="36" max="36" width="9.59765625" bestFit="1" customWidth="1"/>
    <col min="37" max="37" width="10.69921875" bestFit="1" customWidth="1"/>
    <col min="38" max="38" width="11.09765625" bestFit="1" customWidth="1"/>
    <col min="39" max="45" width="8.3984375" bestFit="1" customWidth="1"/>
    <col min="46" max="46" width="9.59765625" bestFit="1" customWidth="1"/>
    <col min="47" max="47" width="10.69921875" bestFit="1" customWidth="1"/>
    <col min="48" max="48" width="11.09765625" bestFit="1" customWidth="1"/>
    <col min="49" max="54" width="8.59765625" bestFit="1" customWidth="1"/>
    <col min="55" max="55" width="8.8984375" bestFit="1" customWidth="1"/>
    <col min="56" max="56" width="10" bestFit="1" customWidth="1"/>
    <col min="57" max="58" width="9" bestFit="1" customWidth="1"/>
    <col min="59" max="59" width="10.09765625" bestFit="1" customWidth="1"/>
    <col min="60" max="64" width="9" bestFit="1" customWidth="1"/>
    <col min="65" max="65" width="10.09765625" bestFit="1" customWidth="1"/>
    <col min="66" max="70" width="9" bestFit="1" customWidth="1"/>
    <col min="71" max="80" width="13.59765625" customWidth="1"/>
    <col min="81" max="81" width="11.296875" bestFit="1" customWidth="1"/>
    <col min="82" max="82" width="10.296875" bestFit="1" customWidth="1"/>
    <col min="83" max="83" width="9.19921875" customWidth="1"/>
    <col min="84" max="84" width="8.296875" bestFit="1" customWidth="1"/>
    <col min="85" max="85" width="8.09765625" bestFit="1" customWidth="1"/>
    <col min="86" max="86" width="6.09765625" bestFit="1" customWidth="1"/>
    <col min="87" max="87" width="11.59765625" customWidth="1"/>
  </cols>
  <sheetData>
    <row r="6" spans="1:93" ht="18.600000000000001" customHeight="1">
      <c r="A6" t="s">
        <v>51</v>
      </c>
      <c r="B6">
        <f>SUM(T_Reappro[Veste treillis
36/38])</f>
        <v>0</v>
      </c>
      <c r="C6">
        <f>SUM(T_Reappro[Veste treillis
38/40])</f>
        <v>0</v>
      </c>
      <c r="D6">
        <f>SUM(T_Reappro[Veste treillis
40/42])</f>
        <v>0</v>
      </c>
      <c r="E6">
        <f>SUM(T_Reappro[Veste treillis
42/44])</f>
        <v>0</v>
      </c>
      <c r="F6">
        <f>SUM(T_Reappro[Veste treillis
44/46])</f>
        <v>0</v>
      </c>
      <c r="G6">
        <f>SUM(T_Reappro[Veste treillis
46/48])</f>
        <v>0</v>
      </c>
      <c r="H6">
        <f>SUM(T_Reappro[Veste treillis
48/50])</f>
        <v>0</v>
      </c>
      <c r="I6">
        <f>SUM(T_Reappro[Veste treillis
50/52])</f>
        <v>0</v>
      </c>
      <c r="J6">
        <f>SUM(T_Reappro[Veste treillis
52/54])</f>
        <v>0</v>
      </c>
      <c r="K6">
        <f>SUM(T_Reappro[Veste treillis
54/56])</f>
        <v>0</v>
      </c>
      <c r="L6">
        <f>SUM(T_Reappro[Veste treillis
56/58])</f>
        <v>0</v>
      </c>
      <c r="M6">
        <f>SUM(T_Reappro[Veste treillis
58/60])</f>
        <v>0</v>
      </c>
      <c r="N6">
        <f>SUM(T_Reappro[Veste treillis
60/62])</f>
        <v>0</v>
      </c>
      <c r="O6">
        <f>SUM(T_Reappro[Veste treillis
62/64])</f>
        <v>0</v>
      </c>
      <c r="P6">
        <f>SUM(T_Reappro[Veste treillis
64/66])</f>
        <v>0</v>
      </c>
      <c r="Q6">
        <f>SUM(T_Reappro[Parka
S])</f>
        <v>0</v>
      </c>
      <c r="R6">
        <f>SUM(T_Reappro[Parka
M])</f>
        <v>0</v>
      </c>
      <c r="S6">
        <f>SUM(T_Reappro[Parka
L])</f>
        <v>0</v>
      </c>
      <c r="T6">
        <f>SUM(T_Reappro[Parka
XL])</f>
        <v>0</v>
      </c>
      <c r="U6">
        <f>SUM(T_Reappro[Parka
XXL])</f>
        <v>0</v>
      </c>
      <c r="V6">
        <f>SUM(T_Reappro[Parka
XXXL])</f>
        <v>0</v>
      </c>
      <c r="W6">
        <f>SUM(T_Reappro[Parka
XXXXL])</f>
        <v>0</v>
      </c>
      <c r="X6">
        <f>SUM(T_Reappro[Parka
XXXXXL])</f>
        <v>0</v>
      </c>
      <c r="Y6">
        <f>SUM(T_Reappro[Veste polaire
S])</f>
        <v>0</v>
      </c>
      <c r="Z6">
        <f>SUM(T_Reappro[Veste polaire
M])</f>
        <v>0</v>
      </c>
      <c r="AA6">
        <f>SUM(T_Reappro[Veste polaire
L])</f>
        <v>0</v>
      </c>
      <c r="AB6">
        <f>SUM(T_Reappro[Veste polaire
XL])</f>
        <v>0</v>
      </c>
      <c r="AC6">
        <f>SUM(T_Reappro[Veste polaire
XXL])</f>
        <v>0</v>
      </c>
      <c r="AD6">
        <f>SUM(T_Reappro[Veste polaire
XXXL])</f>
        <v>0</v>
      </c>
      <c r="AE6">
        <f>SUM(T_Reappro[Veste polaire
XXXXL])</f>
        <v>0</v>
      </c>
      <c r="AF6">
        <f>SUM(T_Reappro[Veste polaire
XXXXXL])</f>
        <v>0</v>
      </c>
      <c r="AG6">
        <f>SUM(T_Reappro[Tee shirt
orange S])</f>
        <v>0</v>
      </c>
      <c r="AH6">
        <f>SUM(T_Reappro[Tee shirt
orange M])</f>
        <v>0</v>
      </c>
      <c r="AI6">
        <f>SUM(T_Reappro[Tee shirt
orange L])</f>
        <v>0</v>
      </c>
      <c r="AJ6">
        <f>SUM(T_Reappro[Tee shirt
orange XL])</f>
        <v>0</v>
      </c>
      <c r="AK6">
        <f>SUM(T_Reappro[Tee shirt
orange XXL])</f>
        <v>0</v>
      </c>
      <c r="AL6">
        <f>SUM(T_Reappro[Tee shirt
orange XXXL])</f>
        <v>0</v>
      </c>
      <c r="AM6">
        <f>SUM(T_Reappro[Tee shirt
orange XXXXL])</f>
        <v>0</v>
      </c>
      <c r="AN6">
        <f>SUM(T_Reappro[Tee shirt
orange XXXXXL])</f>
        <v>0</v>
      </c>
      <c r="AO6">
        <f>SUM(T_Reappro[Tee shirt
bleu S])</f>
        <v>0</v>
      </c>
      <c r="AP6">
        <f>SUM(T_Reappro[Tee shirt
bleu M])</f>
        <v>0</v>
      </c>
      <c r="AQ6">
        <f>SUM(T_Reappro[Tee shirt
bleu L])</f>
        <v>0</v>
      </c>
      <c r="AR6">
        <f>SUM(T_Reappro[Tee shirt
bleu XL])</f>
        <v>0</v>
      </c>
      <c r="AS6">
        <f>SUM(T_Reappro[Tee shirt
bleu XXL])</f>
        <v>0</v>
      </c>
      <c r="AT6">
        <f>SUM(T_Reappro[Tee shirt
bleu XXXL])</f>
        <v>0</v>
      </c>
      <c r="AU6">
        <f>SUM(T_Reappro[Tee shirt
bleu XXXXL])</f>
        <v>0</v>
      </c>
      <c r="AV6">
        <f>SUM(T_Reappro[Tee shirt
bleu XXXXXL])</f>
        <v>0</v>
      </c>
      <c r="AW6">
        <f>SUM(T_Reappro[Chemise
F1 S])</f>
        <v>0</v>
      </c>
      <c r="AX6">
        <f>SUM(T_Reappro[Chemise
F1 M])</f>
        <v>0</v>
      </c>
      <c r="AY6">
        <f>SUM(T_Reappro[Chemise
F1 L])</f>
        <v>0</v>
      </c>
      <c r="AZ6">
        <f>SUM(T_Reappro[Chemise
F1 XL])</f>
        <v>0</v>
      </c>
      <c r="BA6">
        <f>SUM(T_Reappro[Chemise
F1 XXL])</f>
        <v>0</v>
      </c>
      <c r="BB6">
        <f>SUM(T_Reappro[Chemise
F1 XXXL])</f>
        <v>0</v>
      </c>
      <c r="BC6">
        <f>SUM(T_Reappro[Chemise
F1 XXXXL])</f>
        <v>0</v>
      </c>
      <c r="BD6">
        <f>SUM(T_Reappro[Chemise
F1 XXXXXL])</f>
        <v>0</v>
      </c>
      <c r="BE6">
        <f>SUM(T_Reappro[Pantalon
treillis 36])</f>
        <v>0</v>
      </c>
      <c r="BF6">
        <f>SUM(T_Reappro[Pantalon
treillis 38])</f>
        <v>0</v>
      </c>
      <c r="BG6">
        <f>SUM(T_Reappro[Panatalon
treillis 40])</f>
        <v>0</v>
      </c>
      <c r="BH6">
        <f>SUM(T_Reappro[Pantalon
treillis 42])</f>
        <v>0</v>
      </c>
      <c r="BI6">
        <f>SUM(T_Reappro[Pantalon
treillis 44])</f>
        <v>0</v>
      </c>
      <c r="BJ6">
        <f>SUM(T_Reappro[Pantalon
treillis 46])</f>
        <v>0</v>
      </c>
      <c r="BK6">
        <f>SUM(T_Reappro[Pantalon
treillis 48])</f>
        <v>0</v>
      </c>
      <c r="BL6">
        <f>SUM(T_Reappro[Pantalon
treillis 50])</f>
        <v>0</v>
      </c>
      <c r="BM6">
        <f>SUM(T_Reappro[Panatalon
treillis 52])</f>
        <v>0</v>
      </c>
      <c r="BN6">
        <f>SUM(T_Reappro[Pantalon
treillis 54])</f>
        <v>0</v>
      </c>
      <c r="BO6">
        <f>SUM(T_Reappro[Pantalon
treillis 56])</f>
        <v>0</v>
      </c>
      <c r="BP6">
        <f>SUM(T_Reappro[Pantalon
treillis 58])</f>
        <v>0</v>
      </c>
      <c r="BQ6">
        <f>SUM(T_Reappro[Pantalon
treillis 60])</f>
        <v>0</v>
      </c>
      <c r="BR6">
        <f>SUM(T_Reappro[Pantalon
treillis 62])</f>
        <v>0</v>
      </c>
      <c r="BS6">
        <f>SUM(T_Reappro[Chaussures
d''intervention
36])</f>
        <v>0</v>
      </c>
      <c r="BT6">
        <f>SUM(T_Reappro[Chaussures
d''intervention
37])</f>
        <v>0</v>
      </c>
      <c r="BU6">
        <f>SUM(T_Reappro[Chaussures
d''intervention
38])</f>
        <v>0</v>
      </c>
      <c r="BV6">
        <f>SUM(T_Reappro[Chaussures
d''intervention
39])</f>
        <v>0</v>
      </c>
      <c r="BW6">
        <f>SUM(T_Reappro[Chaussures
d''intervention
40])</f>
        <v>0</v>
      </c>
      <c r="BX6">
        <f>SUM(T_Reappro[Chaussures
d''intervention
41])</f>
        <v>0</v>
      </c>
      <c r="BY6">
        <f>SUM(T_Reappro[Chaussures
d''intervention
42])</f>
        <v>0</v>
      </c>
      <c r="BZ6">
        <f>SUM(T_Reappro[Chaussures
d''intervention
43])</f>
        <v>0</v>
      </c>
      <c r="CA6">
        <f>SUM(T_Reappro[Chaussures
d''intervention
44])</f>
        <v>0</v>
      </c>
      <c r="CB6">
        <f>SUM(T_Reappro[Chaussures
d''intervention
45])</f>
        <v>0</v>
      </c>
      <c r="CC6">
        <f>SUM(T_Reappro[Casquette
d''intervention])</f>
        <v>0</v>
      </c>
      <c r="CD6">
        <f>SUM(T_Reappro[Casquette
de cérémonie])</f>
        <v>0</v>
      </c>
      <c r="CE6">
        <f>SUM(T_Reappro[Bonnet])</f>
        <v>0</v>
      </c>
      <c r="CF6">
        <f>SUM(T_Reappro[Ceinture
bleue])</f>
        <v>0</v>
      </c>
      <c r="CG6">
        <f>SUM(T_Reappro[Cagoule
Feu])</f>
        <v>0</v>
      </c>
      <c r="CH6">
        <f>SUM(T_Reappro[Gants
Feu])</f>
        <v>0</v>
      </c>
      <c r="CI6">
        <f>SUM(T_Reappro[Ceinturon])</f>
        <v>0</v>
      </c>
      <c r="CJ6">
        <f>SUM(T_Reappro[Pantalon
Pluie])</f>
        <v>0</v>
      </c>
      <c r="CK6">
        <f>SUM(T_Reappro[Veste Pluie
S])</f>
        <v>0</v>
      </c>
      <c r="CL6">
        <f>SUM(T_Reappro[Veste pluie
M])</f>
        <v>0</v>
      </c>
      <c r="CM6">
        <f>SUM(T_Reappro[Veste Pluie
L])</f>
        <v>0</v>
      </c>
      <c r="CN6">
        <f>SUM(T_Reappro[Veste pluie
XL])</f>
        <v>0</v>
      </c>
      <c r="CO6">
        <f>SUM(T_Reappro[Veste pluie
XXL])</f>
        <v>0</v>
      </c>
    </row>
    <row r="8" spans="1:93" s="10" customFormat="1" ht="41.4">
      <c r="A8" s="14" t="s">
        <v>48</v>
      </c>
      <c r="B8" s="16" t="s">
        <v>65</v>
      </c>
      <c r="C8" s="16" t="s">
        <v>66</v>
      </c>
      <c r="D8" s="16" t="s">
        <v>67</v>
      </c>
      <c r="E8" s="16" t="s">
        <v>68</v>
      </c>
      <c r="F8" s="16" t="s">
        <v>69</v>
      </c>
      <c r="G8" s="16" t="s">
        <v>70</v>
      </c>
      <c r="H8" s="16" t="s">
        <v>71</v>
      </c>
      <c r="I8" s="16" t="s">
        <v>72</v>
      </c>
      <c r="J8" s="16" t="s">
        <v>73</v>
      </c>
      <c r="K8" s="16" t="s">
        <v>74</v>
      </c>
      <c r="L8" s="16" t="s">
        <v>75</v>
      </c>
      <c r="M8" s="16" t="s">
        <v>76</v>
      </c>
      <c r="N8" s="16" t="s">
        <v>77</v>
      </c>
      <c r="O8" s="16" t="s">
        <v>78</v>
      </c>
      <c r="P8" s="16" t="s">
        <v>79</v>
      </c>
      <c r="Q8" s="16" t="s">
        <v>80</v>
      </c>
      <c r="R8" s="16" t="s">
        <v>81</v>
      </c>
      <c r="S8" s="16" t="s">
        <v>82</v>
      </c>
      <c r="T8" s="16" t="s">
        <v>83</v>
      </c>
      <c r="U8" s="16" t="s">
        <v>84</v>
      </c>
      <c r="V8" s="16" t="s">
        <v>85</v>
      </c>
      <c r="W8" s="16" t="s">
        <v>86</v>
      </c>
      <c r="X8" s="16" t="s">
        <v>87</v>
      </c>
      <c r="Y8" s="16" t="s">
        <v>88</v>
      </c>
      <c r="Z8" s="16" t="s">
        <v>89</v>
      </c>
      <c r="AA8" s="16" t="s">
        <v>90</v>
      </c>
      <c r="AB8" s="16" t="s">
        <v>91</v>
      </c>
      <c r="AC8" s="16" t="s">
        <v>92</v>
      </c>
      <c r="AD8" s="16" t="s">
        <v>93</v>
      </c>
      <c r="AE8" s="16" t="s">
        <v>94</v>
      </c>
      <c r="AF8" s="16" t="s">
        <v>95</v>
      </c>
      <c r="AG8" s="16" t="s">
        <v>96</v>
      </c>
      <c r="AH8" s="16" t="s">
        <v>97</v>
      </c>
      <c r="AI8" s="16" t="s">
        <v>98</v>
      </c>
      <c r="AJ8" s="16" t="s">
        <v>99</v>
      </c>
      <c r="AK8" s="16" t="s">
        <v>100</v>
      </c>
      <c r="AL8" s="16" t="s">
        <v>101</v>
      </c>
      <c r="AM8" s="16" t="s">
        <v>102</v>
      </c>
      <c r="AN8" s="16" t="s">
        <v>103</v>
      </c>
      <c r="AO8" s="16" t="s">
        <v>104</v>
      </c>
      <c r="AP8" s="16" t="s">
        <v>105</v>
      </c>
      <c r="AQ8" s="16" t="s">
        <v>106</v>
      </c>
      <c r="AR8" s="16" t="s">
        <v>107</v>
      </c>
      <c r="AS8" s="16" t="s">
        <v>108</v>
      </c>
      <c r="AT8" s="16" t="s">
        <v>109</v>
      </c>
      <c r="AU8" s="16" t="s">
        <v>110</v>
      </c>
      <c r="AV8" s="16" t="s">
        <v>111</v>
      </c>
      <c r="AW8" s="16" t="s">
        <v>112</v>
      </c>
      <c r="AX8" s="16" t="s">
        <v>113</v>
      </c>
      <c r="AY8" s="16" t="s">
        <v>114</v>
      </c>
      <c r="AZ8" s="16" t="s">
        <v>115</v>
      </c>
      <c r="BA8" s="16" t="s">
        <v>116</v>
      </c>
      <c r="BB8" s="16" t="s">
        <v>117</v>
      </c>
      <c r="BC8" s="16" t="s">
        <v>118</v>
      </c>
      <c r="BD8" s="16" t="s">
        <v>119</v>
      </c>
      <c r="BE8" s="16" t="s">
        <v>120</v>
      </c>
      <c r="BF8" s="16" t="s">
        <v>121</v>
      </c>
      <c r="BG8" s="16" t="s">
        <v>122</v>
      </c>
      <c r="BH8" s="16" t="s">
        <v>123</v>
      </c>
      <c r="BI8" s="16" t="s">
        <v>124</v>
      </c>
      <c r="BJ8" s="16" t="s">
        <v>125</v>
      </c>
      <c r="BK8" s="16" t="s">
        <v>126</v>
      </c>
      <c r="BL8" s="16" t="s">
        <v>127</v>
      </c>
      <c r="BM8" s="16" t="s">
        <v>128</v>
      </c>
      <c r="BN8" s="16" t="s">
        <v>129</v>
      </c>
      <c r="BO8" s="16" t="s">
        <v>130</v>
      </c>
      <c r="BP8" s="16" t="s">
        <v>131</v>
      </c>
      <c r="BQ8" s="16" t="s">
        <v>132</v>
      </c>
      <c r="BR8" s="16" t="s">
        <v>133</v>
      </c>
      <c r="BS8" s="16" t="s">
        <v>134</v>
      </c>
      <c r="BT8" s="16" t="s">
        <v>135</v>
      </c>
      <c r="BU8" s="16" t="s">
        <v>136</v>
      </c>
      <c r="BV8" s="16" t="s">
        <v>137</v>
      </c>
      <c r="BW8" s="16" t="s">
        <v>138</v>
      </c>
      <c r="BX8" s="16" t="s">
        <v>139</v>
      </c>
      <c r="BY8" s="16" t="s">
        <v>140</v>
      </c>
      <c r="BZ8" s="16" t="s">
        <v>141</v>
      </c>
      <c r="CA8" s="16" t="s">
        <v>142</v>
      </c>
      <c r="CB8" s="16" t="s">
        <v>143</v>
      </c>
      <c r="CC8" s="16" t="s">
        <v>53</v>
      </c>
      <c r="CD8" s="16" t="s">
        <v>54</v>
      </c>
      <c r="CE8" s="15" t="s">
        <v>35</v>
      </c>
      <c r="CF8" s="16" t="s">
        <v>61</v>
      </c>
      <c r="CG8" s="16" t="s">
        <v>144</v>
      </c>
      <c r="CH8" s="16" t="s">
        <v>64</v>
      </c>
      <c r="CI8" s="15" t="s">
        <v>39</v>
      </c>
      <c r="CJ8" s="16" t="s">
        <v>145</v>
      </c>
      <c r="CK8" s="16" t="s">
        <v>146</v>
      </c>
      <c r="CL8" s="16" t="s">
        <v>147</v>
      </c>
      <c r="CM8" s="16" t="s">
        <v>148</v>
      </c>
      <c r="CN8" s="16" t="s">
        <v>149</v>
      </c>
      <c r="CO8" s="26" t="s">
        <v>150</v>
      </c>
    </row>
    <row r="9" spans="1:93">
      <c r="A9" s="25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0"/>
      <c r="CF9" s="21"/>
      <c r="CG9" s="21"/>
      <c r="CH9" s="21"/>
      <c r="CI9" s="20"/>
      <c r="CJ9" s="21"/>
      <c r="CK9" s="21"/>
      <c r="CL9" s="21"/>
      <c r="CM9" s="21"/>
      <c r="CN9" s="21"/>
      <c r="CO9" s="27"/>
    </row>
    <row r="10" spans="1:93">
      <c r="A10" s="6"/>
    </row>
    <row r="11" spans="1:93">
      <c r="A11" s="6"/>
    </row>
    <row r="12" spans="1:93">
      <c r="A12" s="6"/>
    </row>
    <row r="13" spans="1:93">
      <c r="A13" s="6"/>
    </row>
    <row r="14" spans="1:93">
      <c r="A14" s="6"/>
    </row>
    <row r="15" spans="1:93">
      <c r="A15" s="6"/>
    </row>
    <row r="16" spans="1:93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</sheetData>
  <sheetProtection sheet="1" objects="1" scenarios="1" selectLockedCells="1" selectUnlockedCells="1"/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Retour Accueil">
              <controlPr defaultSize="0" print="0" autoFill="0" autoPict="0" macro="[0]!RetourAccueil">
                <anchor moveWithCells="1" sizeWithCells="1">
                  <from>
                    <xdr:col>0</xdr:col>
                    <xdr:colOff>60960</xdr:colOff>
                    <xdr:row>0</xdr:row>
                    <xdr:rowOff>68580</xdr:rowOff>
                  </from>
                  <to>
                    <xdr:col>1</xdr:col>
                    <xdr:colOff>426720</xdr:colOff>
                    <xdr:row>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4" name="BoutonSaisirRéappro">
              <controlPr defaultSize="0" print="0" autoFill="0" autoPict="0" macro="[0]!SaisirRéapproClic">
                <anchor>
                  <from>
                    <xdr:col>1</xdr:col>
                    <xdr:colOff>556260</xdr:colOff>
                    <xdr:row>0</xdr:row>
                    <xdr:rowOff>60960</xdr:rowOff>
                  </from>
                  <to>
                    <xdr:col>5</xdr:col>
                    <xdr:colOff>45720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7:H25"/>
  <sheetViews>
    <sheetView workbookViewId="0">
      <selection activeCell="G24" sqref="G24"/>
    </sheetView>
  </sheetViews>
  <sheetFormatPr baseColWidth="10" defaultRowHeight="13.8"/>
  <sheetData>
    <row r="7" spans="2:8">
      <c r="B7" t="s">
        <v>47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</row>
    <row r="8" spans="2:8" ht="15" customHeight="1">
      <c r="B8" s="5" t="s">
        <v>2</v>
      </c>
      <c r="D8" t="s">
        <v>3</v>
      </c>
      <c r="E8" t="s">
        <v>18</v>
      </c>
      <c r="F8">
        <v>36</v>
      </c>
      <c r="G8">
        <v>36</v>
      </c>
      <c r="H8">
        <v>1</v>
      </c>
    </row>
    <row r="9" spans="2:8">
      <c r="B9" t="s">
        <v>26</v>
      </c>
      <c r="D9" t="s">
        <v>4</v>
      </c>
      <c r="E9" t="s">
        <v>19</v>
      </c>
      <c r="F9">
        <v>38</v>
      </c>
      <c r="G9">
        <v>37</v>
      </c>
      <c r="H9">
        <v>2</v>
      </c>
    </row>
    <row r="10" spans="2:8">
      <c r="B10" t="s">
        <v>27</v>
      </c>
      <c r="D10" t="s">
        <v>5</v>
      </c>
      <c r="E10" t="s">
        <v>20</v>
      </c>
      <c r="F10">
        <v>40</v>
      </c>
      <c r="G10">
        <v>38</v>
      </c>
      <c r="H10">
        <v>3</v>
      </c>
    </row>
    <row r="11" spans="2:8">
      <c r="B11" t="s">
        <v>28</v>
      </c>
      <c r="D11" t="s">
        <v>6</v>
      </c>
      <c r="E11" t="s">
        <v>21</v>
      </c>
      <c r="F11">
        <v>42</v>
      </c>
      <c r="G11">
        <v>39</v>
      </c>
      <c r="H11">
        <v>4</v>
      </c>
    </row>
    <row r="12" spans="2:8">
      <c r="B12" t="s">
        <v>29</v>
      </c>
      <c r="D12" t="s">
        <v>7</v>
      </c>
      <c r="E12" t="s">
        <v>22</v>
      </c>
      <c r="F12">
        <v>44</v>
      </c>
      <c r="G12">
        <v>40</v>
      </c>
      <c r="H12">
        <v>5</v>
      </c>
    </row>
    <row r="13" spans="2:8">
      <c r="B13" t="s">
        <v>30</v>
      </c>
      <c r="D13" t="s">
        <v>8</v>
      </c>
      <c r="E13" t="s">
        <v>23</v>
      </c>
      <c r="F13">
        <v>46</v>
      </c>
      <c r="G13">
        <v>41</v>
      </c>
    </row>
    <row r="14" spans="2:8">
      <c r="B14" t="s">
        <v>31</v>
      </c>
      <c r="D14" t="s">
        <v>9</v>
      </c>
      <c r="E14" t="s">
        <v>24</v>
      </c>
      <c r="F14">
        <v>48</v>
      </c>
      <c r="G14">
        <v>42</v>
      </c>
    </row>
    <row r="15" spans="2:8">
      <c r="B15" t="s">
        <v>32</v>
      </c>
      <c r="D15" t="s">
        <v>10</v>
      </c>
      <c r="E15" t="s">
        <v>25</v>
      </c>
      <c r="F15">
        <v>50</v>
      </c>
      <c r="G15">
        <v>43</v>
      </c>
    </row>
    <row r="16" spans="2:8">
      <c r="B16" t="s">
        <v>33</v>
      </c>
      <c r="D16" t="s">
        <v>11</v>
      </c>
      <c r="F16">
        <v>52</v>
      </c>
      <c r="G16">
        <v>44</v>
      </c>
    </row>
    <row r="17" spans="2:7">
      <c r="B17" t="s">
        <v>34</v>
      </c>
      <c r="D17" t="s">
        <v>12</v>
      </c>
      <c r="F17">
        <v>54</v>
      </c>
      <c r="G17">
        <v>45</v>
      </c>
    </row>
    <row r="18" spans="2:7">
      <c r="B18" t="s">
        <v>35</v>
      </c>
      <c r="D18" t="s">
        <v>13</v>
      </c>
      <c r="F18">
        <v>56</v>
      </c>
      <c r="G18">
        <v>46</v>
      </c>
    </row>
    <row r="19" spans="2:7">
      <c r="B19" t="s">
        <v>36</v>
      </c>
      <c r="D19" t="s">
        <v>14</v>
      </c>
      <c r="F19">
        <v>58</v>
      </c>
    </row>
    <row r="20" spans="2:7">
      <c r="B20" t="s">
        <v>37</v>
      </c>
      <c r="D20" t="s">
        <v>15</v>
      </c>
      <c r="F20">
        <v>60</v>
      </c>
    </row>
    <row r="21" spans="2:7">
      <c r="B21" t="s">
        <v>38</v>
      </c>
      <c r="D21" t="s">
        <v>16</v>
      </c>
      <c r="F21">
        <v>62</v>
      </c>
    </row>
    <row r="22" spans="2:7">
      <c r="B22" t="s">
        <v>39</v>
      </c>
      <c r="D22" t="s">
        <v>17</v>
      </c>
    </row>
    <row r="24" spans="2:7">
      <c r="B24" t="s">
        <v>40</v>
      </c>
    </row>
    <row r="25" spans="2:7">
      <c r="B25" t="s">
        <v>41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Retour Accueil">
              <controlPr defaultSize="0" print="0" autoFill="0" autoPict="0" macro="[0]!RetourAccueil">
                <anchor moveWithCells="1" sizeWithCells="1">
                  <from>
                    <xdr:col>0</xdr:col>
                    <xdr:colOff>152400</xdr:colOff>
                    <xdr:row>2</xdr:row>
                    <xdr:rowOff>60960</xdr:rowOff>
                  </from>
                  <to>
                    <xdr:col>1</xdr:col>
                    <xdr:colOff>487680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8"/>
  <sheetViews>
    <sheetView workbookViewId="0">
      <selection activeCell="B20" sqref="B20"/>
    </sheetView>
  </sheetViews>
  <sheetFormatPr baseColWidth="10" defaultRowHeight="13.8"/>
  <sheetData>
    <row r="1" spans="1:16">
      <c r="A1" s="29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</row>
    <row r="2" spans="1:16">
      <c r="A2" s="30"/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1</v>
      </c>
      <c r="I2">
        <v>0</v>
      </c>
      <c r="J2">
        <v>2</v>
      </c>
      <c r="K2">
        <v>0</v>
      </c>
      <c r="L2">
        <v>4</v>
      </c>
      <c r="M2">
        <v>0</v>
      </c>
      <c r="N2">
        <v>3</v>
      </c>
      <c r="O2">
        <v>0</v>
      </c>
      <c r="P2">
        <v>5</v>
      </c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16">
      <c r="A5" t="s">
        <v>26</v>
      </c>
      <c r="B5">
        <v>0</v>
      </c>
      <c r="C5">
        <v>0</v>
      </c>
      <c r="D5">
        <v>1</v>
      </c>
      <c r="E5">
        <v>0</v>
      </c>
      <c r="F5">
        <v>0</v>
      </c>
      <c r="G5">
        <v>0</v>
      </c>
      <c r="H5">
        <v>0</v>
      </c>
      <c r="I5">
        <v>0</v>
      </c>
    </row>
    <row r="6" spans="1:16">
      <c r="A6" t="s">
        <v>27</v>
      </c>
      <c r="B6">
        <v>0</v>
      </c>
      <c r="C6">
        <v>0</v>
      </c>
      <c r="D6">
        <v>0</v>
      </c>
      <c r="E6">
        <v>3</v>
      </c>
      <c r="F6">
        <v>1</v>
      </c>
      <c r="G6">
        <v>1</v>
      </c>
      <c r="H6">
        <v>0</v>
      </c>
      <c r="I6">
        <v>0</v>
      </c>
    </row>
    <row r="7" spans="1:16">
      <c r="A7" t="s">
        <v>28</v>
      </c>
      <c r="B7">
        <v>14</v>
      </c>
      <c r="C7">
        <v>1</v>
      </c>
      <c r="D7">
        <v>14</v>
      </c>
      <c r="E7">
        <v>13</v>
      </c>
      <c r="F7">
        <v>10</v>
      </c>
      <c r="G7">
        <v>5</v>
      </c>
      <c r="H7">
        <v>6</v>
      </c>
      <c r="I7">
        <v>1</v>
      </c>
    </row>
    <row r="8" spans="1:16">
      <c r="A8" t="s">
        <v>29</v>
      </c>
      <c r="B8">
        <v>4</v>
      </c>
      <c r="C8">
        <v>8</v>
      </c>
      <c r="D8">
        <v>6</v>
      </c>
      <c r="E8">
        <v>15</v>
      </c>
      <c r="F8">
        <v>11</v>
      </c>
      <c r="G8">
        <v>16</v>
      </c>
      <c r="H8">
        <v>1</v>
      </c>
      <c r="I8">
        <v>0</v>
      </c>
    </row>
    <row r="9" spans="1:16">
      <c r="A9" t="s">
        <v>30</v>
      </c>
      <c r="B9">
        <v>5</v>
      </c>
      <c r="C9">
        <v>0</v>
      </c>
      <c r="D9">
        <v>0</v>
      </c>
      <c r="E9">
        <v>8</v>
      </c>
      <c r="F9">
        <v>2</v>
      </c>
      <c r="G9">
        <v>0</v>
      </c>
      <c r="H9">
        <v>0</v>
      </c>
      <c r="I9">
        <v>0</v>
      </c>
    </row>
    <row r="10" spans="1:16" ht="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B11">
        <v>36</v>
      </c>
      <c r="C11">
        <v>38</v>
      </c>
      <c r="D11">
        <v>40</v>
      </c>
      <c r="E11">
        <v>42</v>
      </c>
      <c r="F11">
        <v>44</v>
      </c>
      <c r="G11">
        <v>46</v>
      </c>
      <c r="H11">
        <v>48</v>
      </c>
      <c r="I11">
        <v>50</v>
      </c>
      <c r="J11">
        <v>52</v>
      </c>
      <c r="K11">
        <v>54</v>
      </c>
      <c r="L11">
        <v>56</v>
      </c>
      <c r="M11">
        <v>58</v>
      </c>
      <c r="N11">
        <v>60</v>
      </c>
      <c r="O11">
        <v>62</v>
      </c>
    </row>
    <row r="12" spans="1:16">
      <c r="A12" t="s">
        <v>31</v>
      </c>
      <c r="B12">
        <v>0</v>
      </c>
      <c r="C12">
        <v>0</v>
      </c>
      <c r="D12">
        <v>0</v>
      </c>
      <c r="E12">
        <v>2</v>
      </c>
      <c r="F12">
        <v>1</v>
      </c>
      <c r="G12">
        <v>3</v>
      </c>
      <c r="H12">
        <v>0</v>
      </c>
      <c r="I12">
        <v>3</v>
      </c>
      <c r="J12">
        <v>0</v>
      </c>
      <c r="K12">
        <v>5</v>
      </c>
      <c r="L12">
        <v>0</v>
      </c>
      <c r="M12">
        <v>1</v>
      </c>
      <c r="N12">
        <v>0</v>
      </c>
      <c r="O12">
        <v>4</v>
      </c>
    </row>
    <row r="14" spans="1:16">
      <c r="B14">
        <v>36</v>
      </c>
      <c r="C14">
        <v>37</v>
      </c>
      <c r="D14">
        <v>38</v>
      </c>
      <c r="E14">
        <v>39</v>
      </c>
      <c r="F14">
        <v>40</v>
      </c>
      <c r="G14">
        <v>41</v>
      </c>
      <c r="H14">
        <v>42</v>
      </c>
      <c r="I14">
        <v>43</v>
      </c>
      <c r="J14">
        <v>44</v>
      </c>
      <c r="K14">
        <v>45</v>
      </c>
      <c r="L14">
        <v>46</v>
      </c>
    </row>
    <row r="15" spans="1:16">
      <c r="A15" t="s">
        <v>32</v>
      </c>
      <c r="B15">
        <v>0</v>
      </c>
      <c r="C15">
        <v>0</v>
      </c>
      <c r="D15">
        <v>1</v>
      </c>
      <c r="E15">
        <v>3</v>
      </c>
      <c r="F15">
        <v>0</v>
      </c>
      <c r="G15">
        <v>0</v>
      </c>
      <c r="H15">
        <v>1</v>
      </c>
      <c r="I15">
        <v>0</v>
      </c>
      <c r="J15">
        <v>0</v>
      </c>
      <c r="K15">
        <v>0</v>
      </c>
      <c r="L15">
        <v>1</v>
      </c>
    </row>
    <row r="17" spans="1:6">
      <c r="A17" t="s">
        <v>33</v>
      </c>
      <c r="B17">
        <v>5</v>
      </c>
    </row>
    <row r="18" spans="1:6">
      <c r="A18" t="s">
        <v>34</v>
      </c>
      <c r="B18">
        <v>8</v>
      </c>
    </row>
    <row r="19" spans="1:6">
      <c r="A19" t="s">
        <v>35</v>
      </c>
      <c r="B19">
        <v>13</v>
      </c>
    </row>
    <row r="20" spans="1:6">
      <c r="A20" t="s">
        <v>36</v>
      </c>
      <c r="B20">
        <v>0</v>
      </c>
    </row>
    <row r="22" spans="1:6">
      <c r="A22" t="s">
        <v>37</v>
      </c>
      <c r="B22">
        <v>0</v>
      </c>
    </row>
    <row r="23" spans="1:6">
      <c r="A23" t="s">
        <v>38</v>
      </c>
      <c r="B23">
        <v>8</v>
      </c>
    </row>
    <row r="24" spans="1:6">
      <c r="A24" t="s">
        <v>39</v>
      </c>
      <c r="B24">
        <v>0</v>
      </c>
    </row>
    <row r="26" spans="1:6">
      <c r="A26" t="s">
        <v>40</v>
      </c>
      <c r="B26">
        <v>29</v>
      </c>
    </row>
    <row r="27" spans="1:6">
      <c r="B27" t="s">
        <v>18</v>
      </c>
      <c r="C27" t="s">
        <v>19</v>
      </c>
      <c r="D27" t="s">
        <v>20</v>
      </c>
      <c r="E27" t="s">
        <v>21</v>
      </c>
      <c r="F27" t="s">
        <v>22</v>
      </c>
    </row>
    <row r="28" spans="1:6">
      <c r="A28" t="s">
        <v>41</v>
      </c>
      <c r="B28">
        <v>0</v>
      </c>
      <c r="C28">
        <v>2</v>
      </c>
      <c r="D28">
        <v>3</v>
      </c>
      <c r="E28">
        <v>2</v>
      </c>
      <c r="F28">
        <v>2</v>
      </c>
    </row>
  </sheetData>
  <sheetProtection algorithmName="SHA-512" hashValue="g9kuc2ntYK+9COSBxNfScw3HOSLGDJ34WhyjQzPcqefgPBffRAX6CLvaScEQQhJzrSELBvx3gNqGKVw9KzTrXA==" saltValue="IR9SQdRTYCruVKBssmPJKA==" spinCount="100000" sheet="1" objects="1" scenarios="1" selectLockedCells="1" selectUnlockedCells="1"/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Accueil</vt:lpstr>
      <vt:lpstr>Stock</vt:lpstr>
      <vt:lpstr>Dotation</vt:lpstr>
      <vt:lpstr>Réappro</vt:lpstr>
      <vt:lpstr>Listes</vt:lpstr>
      <vt:lpstr>Inventaire du 101242</vt:lpstr>
      <vt:lpstr>EQPMT</vt:lpstr>
      <vt:lpstr>POINTURES</vt:lpstr>
      <vt:lpstr>QTE</vt:lpstr>
      <vt:lpstr>Tailles</vt:lpstr>
      <vt:lpstr>TFR</vt:lpstr>
      <vt:lpstr>TINTER</vt:lpstr>
      <vt:lpstr>TVESTT</vt:lpstr>
    </vt:vector>
  </TitlesOfParts>
  <Company>Departement des Bouches du Rhone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CORRAL MAUBLANC Maxandre</dc:creator>
  <cp:lastModifiedBy>HENRI</cp:lastModifiedBy>
  <cp:lastPrinted>2024-12-27T06:51:38Z</cp:lastPrinted>
  <dcterms:created xsi:type="dcterms:W3CDTF">2024-12-17T08:27:01Z</dcterms:created>
  <dcterms:modified xsi:type="dcterms:W3CDTF">2024-12-28T18:15:02Z</dcterms:modified>
</cp:coreProperties>
</file>