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20" windowWidth="18500" windowHeight="10860"/>
  </bookViews>
  <sheets>
    <sheet name="Commande" sheetId="9" r:id="rId1"/>
    <sheet name="Articles" sheetId="1" r:id="rId2"/>
    <sheet name="Reçu" sheetId="10" r:id="rId3"/>
    <sheet name="Caisse" sheetId="17" r:id="rId4"/>
  </sheets>
  <functionGroups builtInGroupCount="17"/>
  <definedNames>
    <definedName name="_xlnm._FilterDatabase" localSheetId="1" hidden="1">Articles!$A$1:$A$2</definedName>
    <definedName name="_xlnm._FilterDatabase" localSheetId="0" hidden="1">Commande!$A$1:$N$24</definedName>
    <definedName name="base">Articles!$A$1:$I$8</definedName>
    <definedName name="choix1">Commande!$A1</definedName>
    <definedName name="Moyen_paiement">Commande!$R$2:$R$4</definedName>
    <definedName name="Prix">Articles!$A$2:$D$8</definedName>
    <definedName name="références">Articles!$A$2:$A$8</definedName>
    <definedName name="_xlnm.Print_Area" localSheetId="2">Reçu!$A$1:$F$32</definedName>
  </definedNames>
  <calcPr calcId="145621"/>
</workbook>
</file>

<file path=xl/calcChain.xml><?xml version="1.0" encoding="utf-8"?>
<calcChain xmlns="http://schemas.openxmlformats.org/spreadsheetml/2006/main">
  <c r="G3" i="1" l="1"/>
  <c r="H3" i="1"/>
  <c r="I3" i="1" l="1"/>
  <c r="N3" i="17"/>
  <c r="B7" i="10" l="1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A5" i="10"/>
  <c r="E5" i="10" s="1"/>
  <c r="A6" i="10"/>
  <c r="E6" i="10" s="1"/>
  <c r="A7" i="10"/>
  <c r="E7" i="10" s="1"/>
  <c r="A8" i="10"/>
  <c r="E8" i="10" s="1"/>
  <c r="A9" i="10"/>
  <c r="E9" i="10" s="1"/>
  <c r="A10" i="10"/>
  <c r="E10" i="10" s="1"/>
  <c r="A11" i="10"/>
  <c r="E11" i="10" s="1"/>
  <c r="A12" i="10"/>
  <c r="E12" i="10" s="1"/>
  <c r="A13" i="10"/>
  <c r="E13" i="10" s="1"/>
  <c r="A14" i="10"/>
  <c r="E14" i="10" s="1"/>
  <c r="A15" i="10"/>
  <c r="E15" i="10" s="1"/>
  <c r="A16" i="10"/>
  <c r="E16" i="10" s="1"/>
  <c r="A17" i="10"/>
  <c r="E17" i="10" s="1"/>
  <c r="A18" i="10"/>
  <c r="E18" i="10" s="1"/>
  <c r="A19" i="10"/>
  <c r="E19" i="10" s="1"/>
  <c r="A20" i="10"/>
  <c r="E20" i="10" s="1"/>
  <c r="A21" i="10"/>
  <c r="E21" i="10" s="1"/>
  <c r="A22" i="10"/>
  <c r="E22" i="10" s="1"/>
  <c r="A23" i="10"/>
  <c r="E23" i="10" s="1"/>
  <c r="A24" i="10"/>
  <c r="E24" i="10" s="1"/>
  <c r="A25" i="10"/>
  <c r="E25" i="10" s="1"/>
  <c r="A26" i="10"/>
  <c r="E26" i="10" s="1"/>
  <c r="A4" i="10"/>
  <c r="E4" i="10" s="1"/>
  <c r="B24" i="9"/>
  <c r="C24" i="9"/>
  <c r="E24" i="9"/>
  <c r="F24" i="9"/>
  <c r="G24" i="9"/>
  <c r="B3" i="9" l="1"/>
  <c r="B5" i="10" s="1"/>
  <c r="B4" i="9"/>
  <c r="B6" i="10" s="1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E2" i="9"/>
  <c r="G2" i="9" s="1"/>
  <c r="F4" i="10" s="1"/>
  <c r="E3" i="9"/>
  <c r="G3" i="9" s="1"/>
  <c r="F5" i="10" s="1"/>
  <c r="E4" i="9"/>
  <c r="G4" i="9" s="1"/>
  <c r="F6" i="10" s="1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H2" i="1"/>
  <c r="G2" i="1"/>
  <c r="H8" i="1"/>
  <c r="G8" i="1"/>
  <c r="H4" i="1"/>
  <c r="G4" i="1"/>
  <c r="H5" i="1"/>
  <c r="G5" i="1"/>
  <c r="H4" i="9" l="1"/>
  <c r="H19" i="9" s="1"/>
  <c r="I2" i="1"/>
  <c r="I8" i="1"/>
  <c r="I4" i="1"/>
  <c r="I5" i="1"/>
  <c r="H6" i="1"/>
  <c r="G6" i="1"/>
  <c r="H7" i="1"/>
  <c r="G7" i="1"/>
  <c r="I7" i="1" l="1"/>
  <c r="I6" i="1"/>
  <c r="C30" i="10" l="1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C26" i="10"/>
  <c r="D26" i="10"/>
  <c r="F2" i="9"/>
  <c r="C3" i="9"/>
  <c r="C5" i="10" s="1"/>
  <c r="C4" i="9"/>
  <c r="C6" i="10" s="1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" i="9"/>
  <c r="C4" i="10" s="1"/>
  <c r="B2" i="9"/>
  <c r="B4" i="10" s="1"/>
  <c r="H1" i="9"/>
  <c r="W1" i="17"/>
  <c r="D2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F28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K1" i="9"/>
  <c r="A2" i="10" l="1"/>
  <c r="F27" i="10"/>
  <c r="J20" i="9" l="1"/>
  <c r="F29" i="10"/>
</calcChain>
</file>

<file path=xl/sharedStrings.xml><?xml version="1.0" encoding="utf-8"?>
<sst xmlns="http://schemas.openxmlformats.org/spreadsheetml/2006/main" count="92" uniqueCount="67">
  <si>
    <t>Prix</t>
  </si>
  <si>
    <t>Total Facture</t>
  </si>
  <si>
    <t>A rendre</t>
  </si>
  <si>
    <t>Somme Reçue</t>
  </si>
  <si>
    <t>Somme Rendue</t>
  </si>
  <si>
    <t>P. U.</t>
  </si>
  <si>
    <t>Qté</t>
  </si>
  <si>
    <t>date</t>
  </si>
  <si>
    <t>Heure</t>
  </si>
  <si>
    <t>N° de TK</t>
  </si>
  <si>
    <t>Caisse Départ</t>
  </si>
  <si>
    <t>Montant Caisse</t>
  </si>
  <si>
    <t>TK N°:</t>
  </si>
  <si>
    <t>Total TK</t>
  </si>
  <si>
    <t>Stock</t>
  </si>
  <si>
    <t>Espèces</t>
  </si>
  <si>
    <t>Chèques</t>
  </si>
  <si>
    <t>Cartes</t>
  </si>
  <si>
    <t>Paiement</t>
  </si>
  <si>
    <t xml:space="preserve"> Espèces</t>
  </si>
  <si>
    <t>Recettes :</t>
  </si>
  <si>
    <t>Amélioration  du fichier,</t>
  </si>
  <si>
    <t>Sorties</t>
  </si>
  <si>
    <t>Stock_Dep</t>
  </si>
  <si>
    <t>Stock_New</t>
  </si>
  <si>
    <t>Elles servent à recalculer le stock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</si>
  <si>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</si>
  <si>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</si>
  <si>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</si>
  <si>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</si>
  <si>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</si>
  <si>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 xml:space="preserve">    -Montant de la caisse en cellule M3 (somme recettes en espèces + caisse départ à initialiser en case M1).</t>
  </si>
  <si>
    <t>Référence</t>
  </si>
  <si>
    <t>Désignation</t>
  </si>
  <si>
    <t>AJOUT d'un feuillet "Caisse" permettant d'attribuer un N° de Facture  et de sauvegarder les opérations comptables.</t>
  </si>
  <si>
    <t>En cliquant sur "Fin de journée" on autorise la fermeture de la caisse (après OK).</t>
  </si>
  <si>
    <t>PRIX unitaire sur le Reçu ainsi que le N° de facture sous la forme: N°/année-mois, ainsi que le moyen de paiement.</t>
  </si>
  <si>
    <t>Visualisation stocks en col F du feuillet "Commande" (si &lt;10 se met en rouge) + gestion avec Bouton de commande MAJ.</t>
  </si>
  <si>
    <t>Paiement:</t>
  </si>
  <si>
    <t>FACTURE</t>
  </si>
  <si>
    <t>Famille</t>
  </si>
  <si>
    <t>Fournisseur</t>
  </si>
  <si>
    <t>Colonnes G, H et I masquées</t>
  </si>
  <si>
    <t>Réf.</t>
  </si>
  <si>
    <t>Soutien-Gorge</t>
  </si>
  <si>
    <t>4042SL</t>
  </si>
  <si>
    <t>3840SL</t>
  </si>
  <si>
    <t>100SG</t>
  </si>
  <si>
    <t>85SG</t>
  </si>
  <si>
    <t>90SG</t>
  </si>
  <si>
    <t>Bonnets 100 avec armatures</t>
  </si>
  <si>
    <t>Bonnets 85 Avec Armatures</t>
  </si>
  <si>
    <t>Bonnets 90 En Dentelle Sans Armatures</t>
  </si>
  <si>
    <t>Slip Taille 38-40</t>
  </si>
  <si>
    <t>Slip Taille 40-42</t>
  </si>
  <si>
    <t>40CH</t>
  </si>
  <si>
    <t>Taille 40</t>
  </si>
  <si>
    <t>Total</t>
  </si>
  <si>
    <t>Prix Unitaire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</si>
  <si>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H16 (bleue) du feuillet"Commande" par liste déroulante.</t>
    </r>
  </si>
  <si>
    <t>Si Montant Caisse &gt;2000, message en cellule H1 "Versement banque à prévoir". Voir Bouton de commande "Versement banque".</t>
  </si>
  <si>
    <t>Chemise De Nuit</t>
  </si>
  <si>
    <t>Culotte</t>
  </si>
  <si>
    <t>Dim</t>
  </si>
  <si>
    <t>10</t>
  </si>
  <si>
    <t>42CH</t>
  </si>
  <si>
    <t>Taille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</si>
</sst>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h:mm:ss;@"/>
    <numFmt numFmtId="167" formatCode="[$-F400]h:mm:ss\ AM/PM"/>
    <numFmt numFmtId="168" formatCode="#,##0.00\ &quot;€&quot;"/>
  </numFmts>
  <fonts count="41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b/>
      <sz val="20"/>
      <color indexed="12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  <font>
      <b/>
      <sz val="48"/>
      <color indexed="12"/>
      <name val="Calibri"/>
      <family val="2"/>
    </font>
    <font>
      <b/>
      <sz val="20"/>
      <color rgb="FF00B050"/>
      <name val="Calibri"/>
      <family val="2"/>
    </font>
    <font>
      <b/>
      <sz val="24"/>
      <color rgb="FFFF000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</font>
    <font>
      <b/>
      <sz val="20"/>
      <color rgb="FFFF0000"/>
      <name val="Calibri"/>
      <family val="2"/>
    </font>
    <font>
      <b/>
      <sz val="28"/>
      <color theme="1"/>
      <name val="Calibri"/>
      <family val="2"/>
    </font>
    <font>
      <b/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20"/>
      <color indexed="8"/>
      <name val="Calibri"/>
    </font>
    <font>
      <b/>
      <sz val="14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9"/>
      </right>
      <top/>
      <bottom style="medium">
        <color indexed="64"/>
      </bottom>
      <diagonal/>
    </border>
    <border>
      <left style="thin">
        <color indexed="9"/>
      </left>
      <right style="thin">
        <color indexed="9"/>
      </right>
      <top/>
      <bottom style="medium">
        <color indexed="64"/>
      </bottom>
      <diagonal/>
    </border>
    <border>
      <left style="thin">
        <color indexed="9"/>
      </left>
      <right style="medium">
        <color indexed="64"/>
      </right>
      <top/>
      <bottom style="medium">
        <color indexed="64"/>
      </bottom>
      <diagonal/>
    </border>
    <border>
      <left style="thin">
        <color indexed="9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/>
      <right style="medium">
        <color indexed="64"/>
      </right>
      <top/>
      <bottom style="thick">
        <color theme="3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5" xfId="0" applyFont="1" applyFill="1" applyBorder="1" applyAlignment="1">
      <alignment vertical="center"/>
    </xf>
    <xf numFmtId="0" fontId="11" fillId="0" borderId="0" xfId="0" applyFont="1"/>
    <xf numFmtId="0" fontId="10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3" borderId="0" xfId="1" applyFill="1" applyAlignment="1" applyProtection="1">
      <alignment vertical="center"/>
    </xf>
    <xf numFmtId="14" fontId="0" fillId="0" borderId="0" xfId="0" applyNumberFormat="1"/>
    <xf numFmtId="167" fontId="0" fillId="0" borderId="0" xfId="0" applyNumberFormat="1"/>
    <xf numFmtId="165" fontId="0" fillId="0" borderId="0" xfId="0" applyNumberFormat="1"/>
    <xf numFmtId="165" fontId="3" fillId="3" borderId="0" xfId="0" applyNumberFormat="1" applyFont="1" applyFill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165" fontId="16" fillId="4" borderId="8" xfId="0" applyNumberFormat="1" applyFont="1" applyFill="1" applyBorder="1" applyAlignment="1">
      <alignment horizontal="center" vertical="center"/>
    </xf>
    <xf numFmtId="165" fontId="28" fillId="4" borderId="8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165" fontId="0" fillId="8" borderId="0" xfId="0" applyNumberFormat="1" applyFill="1"/>
    <xf numFmtId="0" fontId="0" fillId="0" borderId="0" xfId="0" applyNumberFormat="1"/>
    <xf numFmtId="1" fontId="11" fillId="0" borderId="0" xfId="0" applyNumberFormat="1" applyFont="1" applyAlignment="1">
      <alignment horizontal="right"/>
    </xf>
    <xf numFmtId="1" fontId="3" fillId="3" borderId="0" xfId="0" applyNumberFormat="1" applyFont="1" applyFill="1" applyAlignment="1">
      <alignment vertical="center"/>
    </xf>
    <xf numFmtId="0" fontId="29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1" fontId="11" fillId="0" borderId="0" xfId="0" applyNumberFormat="1" applyFont="1"/>
    <xf numFmtId="0" fontId="20" fillId="9" borderId="0" xfId="0" applyFont="1" applyFill="1"/>
    <xf numFmtId="0" fontId="11" fillId="9" borderId="0" xfId="0" applyFont="1" applyFill="1"/>
    <xf numFmtId="0" fontId="30" fillId="10" borderId="0" xfId="0" applyFont="1" applyFill="1" applyAlignment="1">
      <alignment horizontal="left" readingOrder="1"/>
    </xf>
    <xf numFmtId="0" fontId="21" fillId="10" borderId="0" xfId="0" applyFont="1" applyFill="1" applyAlignment="1">
      <alignment vertical="center"/>
    </xf>
    <xf numFmtId="0" fontId="22" fillId="1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31" fillId="10" borderId="0" xfId="0" applyFont="1" applyFill="1" applyAlignment="1">
      <alignment horizontal="left" readingOrder="1"/>
    </xf>
    <xf numFmtId="0" fontId="32" fillId="10" borderId="0" xfId="0" applyFont="1" applyFill="1" applyAlignment="1">
      <alignment horizontal="left" readingOrder="1"/>
    </xf>
    <xf numFmtId="165" fontId="0" fillId="11" borderId="0" xfId="0" applyNumberFormat="1" applyFill="1"/>
    <xf numFmtId="165" fontId="0" fillId="12" borderId="0" xfId="0" applyNumberFormat="1" applyFill="1"/>
    <xf numFmtId="165" fontId="0" fillId="13" borderId="0" xfId="0" applyNumberFormat="1" applyFill="1" applyAlignment="1">
      <alignment horizontal="right"/>
    </xf>
    <xf numFmtId="165" fontId="0" fillId="13" borderId="0" xfId="0" applyNumberFormat="1" applyFill="1"/>
    <xf numFmtId="0" fontId="26" fillId="3" borderId="0" xfId="0" applyFont="1" applyFill="1" applyAlignment="1">
      <alignment vertical="center"/>
    </xf>
    <xf numFmtId="165" fontId="0" fillId="8" borderId="5" xfId="0" applyNumberFormat="1" applyFill="1" applyBorder="1"/>
    <xf numFmtId="165" fontId="33" fillId="14" borderId="0" xfId="0" applyNumberFormat="1" applyFont="1" applyFill="1"/>
    <xf numFmtId="165" fontId="33" fillId="14" borderId="0" xfId="0" applyNumberFormat="1" applyFont="1" applyFill="1" applyAlignment="1">
      <alignment vertical="center" wrapText="1"/>
    </xf>
    <xf numFmtId="164" fontId="0" fillId="0" borderId="0" xfId="0" applyNumberFormat="1"/>
    <xf numFmtId="168" fontId="0" fillId="0" borderId="0" xfId="0" applyNumberFormat="1"/>
    <xf numFmtId="165" fontId="0" fillId="0" borderId="0" xfId="0" applyNumberFormat="1"/>
    <xf numFmtId="168" fontId="11" fillId="0" borderId="0" xfId="0" applyNumberFormat="1" applyFont="1"/>
    <xf numFmtId="49" fontId="11" fillId="0" borderId="0" xfId="0" applyNumberFormat="1" applyFont="1"/>
    <xf numFmtId="0" fontId="12" fillId="4" borderId="11" xfId="0" applyFont="1" applyFill="1" applyBorder="1" applyAlignment="1" applyProtection="1">
      <alignment horizontal="center" vertical="center"/>
      <protection locked="0"/>
    </xf>
    <xf numFmtId="0" fontId="34" fillId="13" borderId="1" xfId="0" applyFont="1" applyFill="1" applyBorder="1" applyAlignment="1">
      <alignment horizontal="center" vertical="center"/>
    </xf>
    <xf numFmtId="0" fontId="34" fillId="13" borderId="10" xfId="0" applyFont="1" applyFill="1" applyBorder="1" applyAlignment="1">
      <alignment horizontal="center" vertical="center"/>
    </xf>
    <xf numFmtId="0" fontId="34" fillId="13" borderId="2" xfId="0" applyFont="1" applyFill="1" applyBorder="1" applyAlignment="1">
      <alignment horizontal="center" vertical="center"/>
    </xf>
    <xf numFmtId="165" fontId="34" fillId="13" borderId="12" xfId="0" applyNumberFormat="1" applyFont="1" applyFill="1" applyBorder="1" applyAlignment="1">
      <alignment horizontal="center" vertical="center"/>
    </xf>
    <xf numFmtId="165" fontId="34" fillId="13" borderId="7" xfId="0" applyNumberFormat="1" applyFont="1" applyFill="1" applyBorder="1" applyAlignment="1">
      <alignment horizontal="center" vertical="center"/>
    </xf>
    <xf numFmtId="165" fontId="35" fillId="4" borderId="8" xfId="0" applyNumberFormat="1" applyFont="1" applyFill="1" applyBorder="1" applyAlignment="1">
      <alignment horizontal="center" vertical="center"/>
    </xf>
    <xf numFmtId="2" fontId="2" fillId="4" borderId="9" xfId="0" applyNumberFormat="1" applyFont="1" applyFill="1" applyBorder="1" applyAlignment="1">
      <alignment horizontal="center" vertical="center"/>
    </xf>
    <xf numFmtId="2" fontId="11" fillId="0" borderId="0" xfId="0" applyNumberFormat="1" applyFont="1"/>
    <xf numFmtId="0" fontId="12" fillId="4" borderId="34" xfId="0" applyFont="1" applyFill="1" applyBorder="1" applyAlignment="1" applyProtection="1">
      <alignment horizontal="center" vertical="center"/>
      <protection locked="0"/>
    </xf>
    <xf numFmtId="1" fontId="3" fillId="4" borderId="35" xfId="0" applyNumberFormat="1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165" fontId="1" fillId="2" borderId="38" xfId="0" applyNumberFormat="1" applyFont="1" applyFill="1" applyBorder="1" applyAlignment="1">
      <alignment horizontal="center" vertical="center"/>
    </xf>
    <xf numFmtId="1" fontId="1" fillId="2" borderId="39" xfId="0" applyNumberFormat="1" applyFont="1" applyFill="1" applyBorder="1" applyAlignment="1">
      <alignment horizontal="center" vertical="center"/>
    </xf>
    <xf numFmtId="0" fontId="12" fillId="4" borderId="40" xfId="0" applyFont="1" applyFill="1" applyBorder="1" applyAlignment="1" applyProtection="1">
      <alignment horizontal="center" vertical="center"/>
      <protection locked="0"/>
    </xf>
    <xf numFmtId="0" fontId="39" fillId="0" borderId="0" xfId="0" applyFont="1"/>
    <xf numFmtId="49" fontId="39" fillId="0" borderId="0" xfId="0" applyNumberFormat="1" applyFont="1"/>
    <xf numFmtId="2" fontId="39" fillId="0" borderId="0" xfId="0" applyNumberFormat="1" applyFont="1"/>
    <xf numFmtId="1" fontId="39" fillId="0" borderId="0" xfId="0" applyNumberFormat="1" applyFont="1" applyAlignment="1">
      <alignment horizontal="right"/>
    </xf>
    <xf numFmtId="1" fontId="39" fillId="0" borderId="0" xfId="0" applyNumberFormat="1" applyFont="1"/>
    <xf numFmtId="1" fontId="3" fillId="4" borderId="0" xfId="0" applyNumberFormat="1" applyFont="1" applyFill="1" applyBorder="1" applyAlignment="1">
      <alignment horizontal="center" vertical="center"/>
    </xf>
    <xf numFmtId="1" fontId="1" fillId="2" borderId="15" xfId="0" applyNumberFormat="1" applyFont="1" applyFill="1" applyBorder="1" applyAlignment="1">
      <alignment horizontal="center" vertical="center"/>
    </xf>
    <xf numFmtId="2" fontId="3" fillId="4" borderId="0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 applyProtection="1">
      <alignment horizontal="center" vertical="center"/>
    </xf>
    <xf numFmtId="0" fontId="12" fillId="4" borderId="41" xfId="0" applyFont="1" applyFill="1" applyBorder="1" applyAlignment="1" applyProtection="1">
      <alignment horizontal="center" vertical="center"/>
    </xf>
    <xf numFmtId="0" fontId="12" fillId="4" borderId="45" xfId="0" applyFont="1" applyFill="1" applyBorder="1" applyAlignment="1" applyProtection="1">
      <alignment horizontal="center" vertical="center"/>
    </xf>
    <xf numFmtId="1" fontId="3" fillId="4" borderId="46" xfId="0" applyNumberFormat="1" applyFont="1" applyFill="1" applyBorder="1" applyAlignment="1">
      <alignment horizontal="center" vertical="center"/>
    </xf>
    <xf numFmtId="0" fontId="12" fillId="4" borderId="44" xfId="0" applyFont="1" applyFill="1" applyBorder="1" applyAlignment="1" applyProtection="1">
      <alignment horizontal="center" vertical="center"/>
    </xf>
    <xf numFmtId="1" fontId="3" fillId="4" borderId="47" xfId="0" applyNumberFormat="1" applyFont="1" applyFill="1" applyBorder="1" applyAlignment="1">
      <alignment horizontal="center" vertical="center"/>
    </xf>
    <xf numFmtId="2" fontId="2" fillId="4" borderId="48" xfId="0" applyNumberFormat="1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 vertical="center"/>
    </xf>
    <xf numFmtId="0" fontId="40" fillId="4" borderId="6" xfId="0" applyFont="1" applyFill="1" applyBorder="1" applyAlignment="1" applyProtection="1">
      <alignment horizontal="left" vertical="center"/>
    </xf>
    <xf numFmtId="0" fontId="40" fillId="4" borderId="11" xfId="0" applyFont="1" applyFill="1" applyBorder="1" applyAlignment="1" applyProtection="1">
      <alignment horizontal="left" vertical="center"/>
    </xf>
    <xf numFmtId="0" fontId="40" fillId="4" borderId="3" xfId="0" applyFont="1" applyFill="1" applyBorder="1" applyAlignment="1" applyProtection="1">
      <alignment horizontal="center" vertical="center"/>
    </xf>
    <xf numFmtId="2" fontId="40" fillId="4" borderId="3" xfId="0" applyNumberFormat="1" applyFont="1" applyFill="1" applyBorder="1" applyAlignment="1" applyProtection="1">
      <alignment horizontal="center" vertical="center"/>
    </xf>
    <xf numFmtId="0" fontId="3" fillId="2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Fill="1" applyAlignment="1" applyProtection="1">
      <alignment horizontal="left" vertical="center"/>
      <protection locked="0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5" fillId="5" borderId="0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65" fontId="6" fillId="4" borderId="0" xfId="0" applyNumberFormat="1" applyFont="1" applyFill="1" applyBorder="1" applyAlignment="1">
      <alignment horizontal="center" vertical="center"/>
    </xf>
    <xf numFmtId="165" fontId="6" fillId="4" borderId="17" xfId="0" applyNumberFormat="1" applyFont="1" applyFill="1" applyBorder="1" applyAlignment="1">
      <alignment horizontal="center" vertical="center"/>
    </xf>
    <xf numFmtId="165" fontId="6" fillId="4" borderId="15" xfId="0" applyNumberFormat="1" applyFont="1" applyFill="1" applyBorder="1" applyAlignment="1">
      <alignment horizontal="center" vertical="center"/>
    </xf>
    <xf numFmtId="165" fontId="6" fillId="4" borderId="16" xfId="0" applyNumberFormat="1" applyFont="1" applyFill="1" applyBorder="1" applyAlignment="1">
      <alignment horizontal="center" vertical="center"/>
    </xf>
    <xf numFmtId="165" fontId="27" fillId="4" borderId="13" xfId="0" applyNumberFormat="1" applyFont="1" applyFill="1" applyBorder="1" applyAlignment="1">
      <alignment horizontal="center" vertical="center"/>
    </xf>
    <xf numFmtId="165" fontId="27" fillId="4" borderId="14" xfId="0" applyNumberFormat="1" applyFont="1" applyFill="1" applyBorder="1" applyAlignment="1">
      <alignment horizontal="center" vertical="center"/>
    </xf>
    <xf numFmtId="165" fontId="27" fillId="4" borderId="0" xfId="0" applyNumberFormat="1" applyFont="1" applyFill="1" applyBorder="1" applyAlignment="1">
      <alignment horizontal="center" vertical="center"/>
    </xf>
    <xf numFmtId="165" fontId="27" fillId="4" borderId="17" xfId="0" applyNumberFormat="1" applyFont="1" applyFill="1" applyBorder="1" applyAlignment="1">
      <alignment horizontal="center" vertical="center"/>
    </xf>
    <xf numFmtId="165" fontId="27" fillId="4" borderId="15" xfId="0" applyNumberFormat="1" applyFont="1" applyFill="1" applyBorder="1" applyAlignment="1">
      <alignment horizontal="center" vertical="center"/>
    </xf>
    <xf numFmtId="165" fontId="27" fillId="4" borderId="16" xfId="0" applyNumberFormat="1" applyFont="1" applyFill="1" applyBorder="1" applyAlignment="1">
      <alignment horizontal="center" vertical="center"/>
    </xf>
    <xf numFmtId="14" fontId="13" fillId="2" borderId="0" xfId="0" applyNumberFormat="1" applyFont="1" applyFill="1" applyAlignment="1" applyProtection="1">
      <alignment horizontal="center" vertical="center"/>
    </xf>
    <xf numFmtId="0" fontId="8" fillId="3" borderId="0" xfId="0" applyFont="1" applyFill="1" applyAlignment="1">
      <alignment horizontal="left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165" fontId="7" fillId="4" borderId="13" xfId="0" applyNumberFormat="1" applyFont="1" applyFill="1" applyBorder="1" applyAlignment="1" applyProtection="1">
      <alignment horizontal="center" vertical="center"/>
      <protection locked="0"/>
    </xf>
    <xf numFmtId="165" fontId="7" fillId="4" borderId="14" xfId="0" applyNumberFormat="1" applyFont="1" applyFill="1" applyBorder="1" applyAlignment="1" applyProtection="1">
      <alignment horizontal="center" vertical="center"/>
      <protection locked="0"/>
    </xf>
    <xf numFmtId="165" fontId="7" fillId="4" borderId="0" xfId="0" applyNumberFormat="1" applyFont="1" applyFill="1" applyBorder="1" applyAlignment="1" applyProtection="1">
      <alignment horizontal="center" vertical="center"/>
      <protection locked="0"/>
    </xf>
    <xf numFmtId="165" fontId="7" fillId="4" borderId="17" xfId="0" applyNumberFormat="1" applyFont="1" applyFill="1" applyBorder="1" applyAlignment="1" applyProtection="1">
      <alignment horizontal="center" vertical="center"/>
      <protection locked="0"/>
    </xf>
    <xf numFmtId="165" fontId="7" fillId="4" borderId="49" xfId="0" applyNumberFormat="1" applyFont="1" applyFill="1" applyBorder="1" applyAlignment="1" applyProtection="1">
      <alignment horizontal="center" vertical="center"/>
      <protection locked="0"/>
    </xf>
    <xf numFmtId="165" fontId="7" fillId="4" borderId="50" xfId="0" applyNumberFormat="1" applyFont="1" applyFill="1" applyBorder="1" applyAlignment="1" applyProtection="1">
      <alignment horizontal="center" vertical="center"/>
      <protection locked="0"/>
    </xf>
    <xf numFmtId="166" fontId="14" fillId="4" borderId="18" xfId="0" applyNumberFormat="1" applyFont="1" applyFill="1" applyBorder="1" applyAlignment="1" applyProtection="1">
      <alignment horizontal="center" vertical="center"/>
      <protection locked="0"/>
    </xf>
    <xf numFmtId="166" fontId="14" fillId="4" borderId="19" xfId="0" applyNumberFormat="1" applyFont="1" applyFill="1" applyBorder="1" applyAlignment="1" applyProtection="1">
      <alignment horizontal="center" vertical="center"/>
      <protection locked="0"/>
    </xf>
    <xf numFmtId="166" fontId="14" fillId="4" borderId="20" xfId="0" applyNumberFormat="1" applyFont="1" applyFill="1" applyBorder="1" applyAlignment="1" applyProtection="1">
      <alignment horizontal="center" vertical="center"/>
      <protection locked="0"/>
    </xf>
    <xf numFmtId="166" fontId="14" fillId="4" borderId="21" xfId="0" applyNumberFormat="1" applyFont="1" applyFill="1" applyBorder="1" applyAlignment="1" applyProtection="1">
      <alignment horizontal="center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166" fontId="14" fillId="4" borderId="22" xfId="0" applyNumberFormat="1" applyFont="1" applyFill="1" applyBorder="1" applyAlignment="1" applyProtection="1">
      <alignment horizontal="center" vertical="center"/>
      <protection locked="0"/>
    </xf>
    <xf numFmtId="166" fontId="14" fillId="4" borderId="23" xfId="0" applyNumberFormat="1" applyFont="1" applyFill="1" applyBorder="1" applyAlignment="1" applyProtection="1">
      <alignment horizontal="center" vertical="center"/>
      <protection locked="0"/>
    </xf>
    <xf numFmtId="166" fontId="14" fillId="4" borderId="24" xfId="0" applyNumberFormat="1" applyFont="1" applyFill="1" applyBorder="1" applyAlignment="1" applyProtection="1">
      <alignment horizontal="center" vertical="center"/>
      <protection locked="0"/>
    </xf>
    <xf numFmtId="166" fontId="14" fillId="4" borderId="25" xfId="0" applyNumberFormat="1" applyFont="1" applyFill="1" applyBorder="1" applyAlignment="1" applyProtection="1">
      <alignment horizontal="center" vertical="center"/>
      <protection locked="0"/>
    </xf>
    <xf numFmtId="0" fontId="19" fillId="15" borderId="42" xfId="0" applyFont="1" applyFill="1" applyBorder="1" applyAlignment="1" applyProtection="1">
      <alignment horizontal="center" vertical="center"/>
      <protection locked="0"/>
    </xf>
    <xf numFmtId="0" fontId="19" fillId="15" borderId="43" xfId="0" applyFont="1" applyFill="1" applyBorder="1" applyAlignment="1" applyProtection="1">
      <alignment horizontal="center" vertical="center"/>
      <protection locked="0"/>
    </xf>
    <xf numFmtId="14" fontId="36" fillId="13" borderId="28" xfId="0" applyNumberFormat="1" applyFont="1" applyFill="1" applyBorder="1" applyAlignment="1">
      <alignment horizontal="center" vertical="center"/>
    </xf>
    <xf numFmtId="14" fontId="36" fillId="13" borderId="13" xfId="0" applyNumberFormat="1" applyFont="1" applyFill="1" applyBorder="1" applyAlignment="1">
      <alignment horizontal="center" vertical="center"/>
    </xf>
    <xf numFmtId="14" fontId="36" fillId="13" borderId="14" xfId="0" applyNumberFormat="1" applyFont="1" applyFill="1" applyBorder="1" applyAlignment="1">
      <alignment horizontal="center" vertical="center"/>
    </xf>
    <xf numFmtId="0" fontId="37" fillId="16" borderId="26" xfId="0" applyFont="1" applyFill="1" applyBorder="1" applyAlignment="1">
      <alignment horizontal="center" vertical="center"/>
    </xf>
    <xf numFmtId="0" fontId="37" fillId="16" borderId="29" xfId="0" applyFont="1" applyFill="1" applyBorder="1" applyAlignment="1">
      <alignment horizontal="center" vertical="center"/>
    </xf>
    <xf numFmtId="0" fontId="37" fillId="16" borderId="27" xfId="0" applyFont="1" applyFill="1" applyBorder="1" applyAlignment="1">
      <alignment horizontal="center" vertical="center"/>
    </xf>
    <xf numFmtId="0" fontId="19" fillId="17" borderId="13" xfId="0" applyFont="1" applyFill="1" applyBorder="1" applyAlignment="1">
      <alignment horizontal="center" vertical="center"/>
    </xf>
    <xf numFmtId="0" fontId="19" fillId="17" borderId="14" xfId="0" applyFont="1" applyFill="1" applyBorder="1" applyAlignment="1">
      <alignment horizontal="center" vertical="center"/>
    </xf>
    <xf numFmtId="0" fontId="19" fillId="18" borderId="0" xfId="0" applyFont="1" applyFill="1" applyAlignment="1">
      <alignment horizontal="center" vertical="center"/>
    </xf>
    <xf numFmtId="0" fontId="19" fillId="18" borderId="17" xfId="0" applyFont="1" applyFill="1" applyBorder="1" applyAlignment="1">
      <alignment horizontal="center" vertical="center"/>
    </xf>
    <xf numFmtId="14" fontId="37" fillId="13" borderId="30" xfId="0" applyNumberFormat="1" applyFont="1" applyFill="1" applyBorder="1" applyAlignment="1">
      <alignment horizontal="center" vertical="center"/>
    </xf>
    <xf numFmtId="14" fontId="37" fillId="13" borderId="15" xfId="0" applyNumberFormat="1" applyFont="1" applyFill="1" applyBorder="1" applyAlignment="1">
      <alignment horizontal="center" vertical="center"/>
    </xf>
    <xf numFmtId="167" fontId="37" fillId="13" borderId="15" xfId="0" applyNumberFormat="1" applyFont="1" applyFill="1" applyBorder="1" applyAlignment="1">
      <alignment horizontal="center" vertical="center"/>
    </xf>
    <xf numFmtId="167" fontId="37" fillId="13" borderId="16" xfId="0" applyNumberFormat="1" applyFont="1" applyFill="1" applyBorder="1" applyAlignment="1">
      <alignment horizontal="center" vertical="center"/>
    </xf>
    <xf numFmtId="165" fontId="38" fillId="19" borderId="0" xfId="0" applyNumberFormat="1" applyFont="1" applyFill="1" applyAlignment="1">
      <alignment horizontal="center" vertical="center" wrapText="1"/>
    </xf>
    <xf numFmtId="165" fontId="38" fillId="19" borderId="31" xfId="0" applyNumberFormat="1" applyFont="1" applyFill="1" applyBorder="1" applyAlignment="1">
      <alignment horizontal="center" vertical="center"/>
    </xf>
    <xf numFmtId="0" fontId="38" fillId="19" borderId="32" xfId="0" applyFont="1" applyFill="1" applyBorder="1" applyAlignment="1">
      <alignment horizontal="center" vertical="center"/>
    </xf>
    <xf numFmtId="0" fontId="38" fillId="19" borderId="3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">
    <dxf>
      <numFmt numFmtId="165" formatCode="_(&quot;€&quot;* #,##0.00_);_(&quot;€&quot;* \(#,##0.00\);_(&quot;€&quot;* &quot;-&quot;??_);_(@_)"/>
    </dxf>
    <dxf>
      <numFmt numFmtId="165" formatCode="_(&quot;€&quot;* #,##0.00_);_(&quot;€&quot;* \(#,##0.00\);_(&quot;€&quot;* &quot;-&quot;??_);_(@_)"/>
    </dxf>
    <dxf>
      <numFmt numFmtId="167" formatCode="[$-F400]h:mm:ss\ AM/PM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mbria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1588104</xdr:colOff>
      <xdr:row>12</xdr:row>
      <xdr:rowOff>182588</xdr:rowOff>
    </xdr:from>
    <xdr:to>
      <xdr:col>10</xdr:col>
      <xdr:colOff>279196</xdr:colOff>
      <xdr:row>14</xdr:row>
      <xdr:rowOff>122303</xdr:rowOff>
    </xdr:to>
    <xdr:sp macro="" textlink="">
      <xdr:nvSpPr>
        <xdr:cNvPr id="2" name="Left Arrow 1"/>
        <xdr:cNvSpPr/>
      </xdr:nvSpPr>
      <xdr:spPr>
        <a:xfrm>
          <a:off x="12618961" y="3729517"/>
          <a:ext cx="841021" cy="520286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7</xdr:col>
      <xdr:colOff>18143</xdr:colOff>
      <xdr:row>7</xdr:row>
      <xdr:rowOff>9373</xdr:rowOff>
    </xdr:from>
    <xdr:to>
      <xdr:col>8</xdr:col>
      <xdr:colOff>1669143</xdr:colOff>
      <xdr:row>9</xdr:row>
      <xdr:rowOff>264784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10160000" y="2104873"/>
          <a:ext cx="2540000" cy="835982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Imprimer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Facture</a:t>
          </a:r>
        </a:p>
      </xdr:txBody>
    </xdr:sp>
    <xdr:clientData/>
  </xdr:twoCellAnchor>
  <xdr:twoCellAnchor>
    <xdr:from>
      <xdr:col>9</xdr:col>
      <xdr:colOff>72572</xdr:colOff>
      <xdr:row>7</xdr:row>
      <xdr:rowOff>31750</xdr:rowOff>
    </xdr:from>
    <xdr:to>
      <xdr:col>11</xdr:col>
      <xdr:colOff>1079500</xdr:colOff>
      <xdr:row>10</xdr:row>
      <xdr:rowOff>3175</xdr:rowOff>
    </xdr:to>
    <xdr:sp macro="[0]!Fermeture" textlink="">
      <xdr:nvSpPr>
        <xdr:cNvPr id="6" name="Flowchart: Alternate Process 5"/>
        <xdr:cNvSpPr/>
      </xdr:nvSpPr>
      <xdr:spPr>
        <a:xfrm>
          <a:off x="12817929" y="2127250"/>
          <a:ext cx="1768928" cy="842282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/>
            <a:t>Fin de journée</a:t>
          </a:r>
        </a:p>
      </xdr:txBody>
    </xdr:sp>
    <xdr:clientData/>
  </xdr:twoCellAnchor>
  <xdr:twoCellAnchor>
    <xdr:from>
      <xdr:col>11</xdr:col>
      <xdr:colOff>1188357</xdr:colOff>
      <xdr:row>7</xdr:row>
      <xdr:rowOff>15522</xdr:rowOff>
    </xdr:from>
    <xdr:to>
      <xdr:col>13</xdr:col>
      <xdr:colOff>0</xdr:colOff>
      <xdr:row>9</xdr:row>
      <xdr:rowOff>279400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4695714" y="2111022"/>
          <a:ext cx="1669143" cy="844449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</a:rPr>
            <a:t>Effacer saisie</a:t>
          </a:r>
        </a:p>
      </xdr:txBody>
    </xdr:sp>
    <xdr:clientData/>
  </xdr:twoCellAnchor>
  <xdr:twoCellAnchor>
    <xdr:from>
      <xdr:col>11</xdr:col>
      <xdr:colOff>197555</xdr:colOff>
      <xdr:row>10</xdr:row>
      <xdr:rowOff>273048</xdr:rowOff>
    </xdr:from>
    <xdr:to>
      <xdr:col>13</xdr:col>
      <xdr:colOff>70556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10435166" y="3229326"/>
          <a:ext cx="2723446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11</xdr:col>
      <xdr:colOff>275168</xdr:colOff>
      <xdr:row>12</xdr:row>
      <xdr:rowOff>142875</xdr:rowOff>
    </xdr:from>
    <xdr:to>
      <xdr:col>12</xdr:col>
      <xdr:colOff>14111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11387668" y="3635375"/>
          <a:ext cx="1397881" cy="8413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 Consultation-</a:t>
          </a:r>
          <a:r>
            <a:rPr lang="fr-FR" sz="1400" b="1"/>
            <a:t>Ajout-Modif Articles</a:t>
          </a:r>
          <a:endParaRPr lang="fr-FR" sz="1400"/>
        </a:p>
      </xdr:txBody>
    </xdr:sp>
    <xdr:clientData/>
  </xdr:twoCellAnchor>
  <xdr:twoCellAnchor>
    <xdr:from>
      <xdr:col>12</xdr:col>
      <xdr:colOff>112889</xdr:colOff>
      <xdr:row>12</xdr:row>
      <xdr:rowOff>154213</xdr:rowOff>
    </xdr:from>
    <xdr:to>
      <xdr:col>12</xdr:col>
      <xdr:colOff>1185333</xdr:colOff>
      <xdr:row>15</xdr:row>
      <xdr:rowOff>126999</xdr:rowOff>
    </xdr:to>
    <xdr:sp macro="[0]!verst" textlink="">
      <xdr:nvSpPr>
        <xdr:cNvPr id="8" name="Rectangle à coins arrondis 7"/>
        <xdr:cNvSpPr/>
      </xdr:nvSpPr>
      <xdr:spPr>
        <a:xfrm>
          <a:off x="15280318" y="3701142"/>
          <a:ext cx="1072444" cy="843643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8</xdr:col>
      <xdr:colOff>1607758</xdr:colOff>
      <xdr:row>14</xdr:row>
      <xdr:rowOff>127000</xdr:rowOff>
    </xdr:from>
    <xdr:to>
      <xdr:col>11</xdr:col>
      <xdr:colOff>46365</xdr:colOff>
      <xdr:row>16</xdr:row>
      <xdr:rowOff>155223</xdr:rowOff>
    </xdr:to>
    <xdr:sp macro="" textlink="">
      <xdr:nvSpPr>
        <xdr:cNvPr id="9" name="Flèche gauche 8"/>
        <xdr:cNvSpPr/>
      </xdr:nvSpPr>
      <xdr:spPr>
        <a:xfrm>
          <a:off x="12638615" y="4254500"/>
          <a:ext cx="915107" cy="608794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 Paiement</a:t>
          </a:r>
        </a:p>
      </xdr:txBody>
    </xdr:sp>
    <xdr:clientData/>
  </xdr:twoCellAnchor>
  <xdr:twoCellAnchor>
    <xdr:from>
      <xdr:col>11</xdr:col>
      <xdr:colOff>1580444</xdr:colOff>
      <xdr:row>16</xdr:row>
      <xdr:rowOff>70557</xdr:rowOff>
    </xdr:from>
    <xdr:to>
      <xdr:col>13</xdr:col>
      <xdr:colOff>14112</xdr:colOff>
      <xdr:row>18</xdr:row>
      <xdr:rowOff>204612</xdr:rowOff>
    </xdr:to>
    <xdr:sp macro="[0]!Chgt_Mois" textlink="">
      <xdr:nvSpPr>
        <xdr:cNvPr id="10" name="Rectangle à coins arrondis 9"/>
        <xdr:cNvSpPr/>
      </xdr:nvSpPr>
      <xdr:spPr>
        <a:xfrm>
          <a:off x="11712222" y="4762501"/>
          <a:ext cx="1284112" cy="71261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11</xdr:col>
      <xdr:colOff>289278</xdr:colOff>
      <xdr:row>16</xdr:row>
      <xdr:rowOff>77611</xdr:rowOff>
    </xdr:from>
    <xdr:to>
      <xdr:col>11</xdr:col>
      <xdr:colOff>1509889</xdr:colOff>
      <xdr:row>18</xdr:row>
      <xdr:rowOff>211666</xdr:rowOff>
    </xdr:to>
    <xdr:sp macro="[0]!Changer_A" textlink="">
      <xdr:nvSpPr>
        <xdr:cNvPr id="12" name="Rectangle à coins arrondis 11"/>
        <xdr:cNvSpPr/>
      </xdr:nvSpPr>
      <xdr:spPr>
        <a:xfrm>
          <a:off x="10421056" y="4769555"/>
          <a:ext cx="1220611" cy="712611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4" totalsRowShown="0" headerRowBorderDxfId="21" tableBorderDxfId="20">
  <autoFilter ref="A1:G24"/>
  <tableColumns count="7">
    <tableColumn id="1" name="Référence" dataDxfId="19"/>
    <tableColumn id="2" name="Famille" dataDxfId="18">
      <calculatedColumnFormula>IF($A2="","",VLOOKUP($A2,base,2,FALSE))</calculatedColumnFormula>
    </tableColumn>
    <tableColumn id="3" name="Désignation" dataDxfId="17">
      <calculatedColumnFormula>IF($A2="","",VLOOKUP($A2,base,3,FALSE))</calculatedColumnFormula>
    </tableColumn>
    <tableColumn id="4" name="Qté" dataDxfId="16"/>
    <tableColumn id="5" name="Prix Unitaire" dataDxfId="15">
      <calculatedColumnFormula>IF($A2="","",VLOOKUP($A2,base,5,FALSE))</calculatedColumnFormula>
    </tableColumn>
    <tableColumn id="6" name="Stock" dataDxfId="14">
      <calculatedColumnFormula>IF($A2="","",VLOOKUP($A2,base,6,FALSE)-D2)</calculatedColumnFormula>
    </tableColumn>
    <tableColumn id="7" name="Total" dataDxfId="13">
      <calculatedColumnFormula>IF(Tableau1[[#This Row],[Qté]]="","",Tableau1[[#This Row],[Prix Unitaire]]*Tableau1[[#This Row],[Qté]])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8" totalsRowShown="0">
  <autoFilter ref="A1:I8"/>
  <sortState ref="A2:I24">
    <sortCondition ref="A2:A24"/>
  </sortState>
  <tableColumns count="9">
    <tableColumn id="8" name="Référence" dataDxfId="12"/>
    <tableColumn id="9" name="Famille" dataDxfId="11"/>
    <tableColumn id="1" name="Désignation" dataDxfId="10"/>
    <tableColumn id="2" name="Fournisseur" dataDxfId="9"/>
    <tableColumn id="3" name="Prix Unitaire" dataDxfId="8"/>
    <tableColumn id="4" name="Stock" dataDxfId="7"/>
    <tableColumn id="5" name="Stock_Dep" dataDxfId="6">
      <calculatedColumnFormula>F2</calculatedColumnFormula>
    </tableColumn>
    <tableColumn id="6" name="Sorties" dataDxfId="5">
      <calculatedColumnFormula>IF(ISERROR(VLOOKUP(A2,Commande!$A$2:$D$24,4,FALSE)),0,VLOOKUP(A2,Commande!$A$2:$D$24,4,FALSE))</calculatedColumnFormula>
    </tableColumn>
    <tableColumn id="7" name="Stock_New" dataDxfId="4">
      <calculatedColumnFormula>G2-H2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2" insertRow="1" totalsRowShown="0">
  <autoFilter ref="A1:E2"/>
  <tableColumns count="5">
    <tableColumn id="1" name="N° de TK" dataDxfId="3"/>
    <tableColumn id="2" name="date"/>
    <tableColumn id="3" name="Heure" dataDxfId="2"/>
    <tableColumn id="4" name="Total TK" dataDxfId="1"/>
    <tableColumn id="5" name="Paieme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R34"/>
  <sheetViews>
    <sheetView tabSelected="1" zoomScale="70" zoomScaleNormal="70" workbookViewId="0">
      <selection activeCell="D16" sqref="D16"/>
    </sheetView>
  </sheetViews>
  <sheetFormatPr baseColWidth="10" defaultColWidth="23.7265625" defaultRowHeight="25.5" customHeight="1" x14ac:dyDescent="0.35"/>
  <cols>
    <col min="1" max="1" width="16.81640625" style="2" customWidth="1"/>
    <col min="2" max="2" width="35.36328125" style="2" customWidth="1"/>
    <col min="3" max="3" width="55.36328125" style="2" customWidth="1"/>
    <col min="4" max="4" width="9.7265625" style="2" customWidth="1"/>
    <col min="5" max="5" width="17.54296875" style="17" customWidth="1"/>
    <col min="6" max="6" width="10.36328125" style="25" customWidth="1"/>
    <col min="7" max="7" width="14.26953125" style="25" hidden="1" customWidth="1"/>
    <col min="8" max="8" width="12.7265625" style="1" customWidth="1"/>
    <col min="9" max="9" width="24.54296875" style="1" customWidth="1"/>
    <col min="10" max="10" width="6.26953125" style="1" customWidth="1"/>
    <col min="11" max="11" width="4.7265625" style="1" customWidth="1"/>
    <col min="12" max="12" width="23.7265625" style="1"/>
    <col min="13" max="13" width="17.08984375" style="1" customWidth="1"/>
    <col min="14" max="18" width="23.7265625" style="1"/>
    <col min="19" max="21" width="23.7265625" style="1" customWidth="1"/>
    <col min="22" max="16384" width="23.7265625" style="1"/>
  </cols>
  <sheetData>
    <row r="1" spans="1:18" ht="27.75" customHeight="1" thickBot="1" x14ac:dyDescent="0.4">
      <c r="A1" s="61" t="s">
        <v>32</v>
      </c>
      <c r="B1" s="61" t="s">
        <v>40</v>
      </c>
      <c r="C1" s="61" t="s">
        <v>33</v>
      </c>
      <c r="D1" s="62" t="s">
        <v>6</v>
      </c>
      <c r="E1" s="63" t="s">
        <v>58</v>
      </c>
      <c r="F1" s="64" t="s">
        <v>14</v>
      </c>
      <c r="G1" s="72" t="s">
        <v>57</v>
      </c>
      <c r="H1" s="26" t="str">
        <f>IF(Caisse!N3&gt;2000,"Versement Banque à prévoir!","")</f>
        <v/>
      </c>
      <c r="I1" s="26"/>
      <c r="K1" s="104">
        <f ca="1">TODAY()</f>
        <v>44533</v>
      </c>
      <c r="L1" s="104"/>
      <c r="M1" s="104"/>
      <c r="N1" s="13"/>
      <c r="P1" s="1">
        <v>2021</v>
      </c>
      <c r="R1" s="41" t="s">
        <v>29</v>
      </c>
    </row>
    <row r="2" spans="1:18" ht="22.5" customHeight="1" x14ac:dyDescent="0.35">
      <c r="A2" s="50"/>
      <c r="B2" s="74" t="str">
        <f t="shared" ref="B2:B23" si="0">IF($A2="","",VLOOKUP($A2,base,2,FALSE))</f>
        <v/>
      </c>
      <c r="C2" s="74" t="str">
        <f t="shared" ref="C2:C23" si="1">IF($A2="","",VLOOKUP($A2,base,3,FALSE))</f>
        <v/>
      </c>
      <c r="D2" s="3"/>
      <c r="E2" s="57" t="str">
        <f t="shared" ref="E2:E23" si="2">IF($A2="","",VLOOKUP($A2,base,5,FALSE))</f>
        <v/>
      </c>
      <c r="F2" s="60" t="str">
        <f t="shared" ref="F2:F23" si="3">IF($A2="","",VLOOKUP($A2,base,6,FALSE)-D2)</f>
        <v/>
      </c>
      <c r="G2" s="73" t="str">
        <f>IF(Tableau1[[#This Row],[Qté]]="","",Tableau1[[#This Row],[Prix Unitaire]]*Tableau1[[#This Row],[Qté]])</f>
        <v/>
      </c>
      <c r="H2" s="106" t="s">
        <v>1</v>
      </c>
      <c r="I2" s="107"/>
      <c r="K2" s="104"/>
      <c r="L2" s="104"/>
      <c r="M2" s="104"/>
      <c r="R2" s="1" t="s">
        <v>15</v>
      </c>
    </row>
    <row r="3" spans="1:18" ht="22.5" customHeight="1" thickBot="1" x14ac:dyDescent="0.4">
      <c r="A3" s="59"/>
      <c r="B3" s="74" t="str">
        <f t="shared" si="0"/>
        <v/>
      </c>
      <c r="C3" s="74" t="str">
        <f t="shared" si="1"/>
        <v/>
      </c>
      <c r="D3" s="4"/>
      <c r="E3" s="57" t="str">
        <f t="shared" si="2"/>
        <v/>
      </c>
      <c r="F3" s="60" t="str">
        <f t="shared" si="3"/>
        <v/>
      </c>
      <c r="G3" s="71" t="str">
        <f>IF(Tableau1[[#This Row],[Qté]]="","",Tableau1[[#This Row],[Prix Unitaire]]*Tableau1[[#This Row],[Qté]])</f>
        <v/>
      </c>
      <c r="H3" s="108"/>
      <c r="I3" s="109"/>
      <c r="R3" s="1" t="s">
        <v>16</v>
      </c>
    </row>
    <row r="4" spans="1:18" ht="22.5" customHeight="1" thickTop="1" x14ac:dyDescent="0.35">
      <c r="A4" s="59"/>
      <c r="B4" s="74" t="str">
        <f t="shared" si="0"/>
        <v/>
      </c>
      <c r="C4" s="74" t="str">
        <f t="shared" si="1"/>
        <v/>
      </c>
      <c r="D4" s="4"/>
      <c r="E4" s="57" t="str">
        <f t="shared" si="2"/>
        <v/>
      </c>
      <c r="F4" s="60" t="str">
        <f t="shared" si="3"/>
        <v/>
      </c>
      <c r="G4" s="71" t="str">
        <f>IF(Tableau1[[#This Row],[Qté]]="","",Tableau1[[#This Row],[Prix Unitaire]]*Tableau1[[#This Row],[Qté]])</f>
        <v/>
      </c>
      <c r="H4" s="98" t="str">
        <f>IF(SUM(G2:G24)=0,"",SUM(G2:G24))</f>
        <v/>
      </c>
      <c r="I4" s="99"/>
      <c r="K4" s="120">
        <v>44533.726909722223</v>
      </c>
      <c r="L4" s="121"/>
      <c r="M4" s="122"/>
      <c r="R4" s="1" t="s">
        <v>17</v>
      </c>
    </row>
    <row r="5" spans="1:18" ht="22.5" customHeight="1" x14ac:dyDescent="0.35">
      <c r="A5" s="59"/>
      <c r="B5" s="74" t="str">
        <f t="shared" si="0"/>
        <v/>
      </c>
      <c r="C5" s="74" t="str">
        <f t="shared" si="1"/>
        <v/>
      </c>
      <c r="D5" s="4"/>
      <c r="E5" s="57" t="str">
        <f t="shared" si="2"/>
        <v/>
      </c>
      <c r="F5" s="60" t="str">
        <f t="shared" si="3"/>
        <v/>
      </c>
      <c r="G5" s="71" t="str">
        <f>IF(Tableau1[[#This Row],[Qté]]="","",Tableau1[[#This Row],[Prix Unitaire]]*Tableau1[[#This Row],[Qté]])</f>
        <v/>
      </c>
      <c r="H5" s="100"/>
      <c r="I5" s="101"/>
      <c r="K5" s="123"/>
      <c r="L5" s="124"/>
      <c r="M5" s="125"/>
    </row>
    <row r="6" spans="1:18" ht="22.5" customHeight="1" thickBot="1" x14ac:dyDescent="0.4">
      <c r="A6" s="59"/>
      <c r="B6" s="74" t="str">
        <f t="shared" si="0"/>
        <v/>
      </c>
      <c r="C6" s="74" t="str">
        <f t="shared" si="1"/>
        <v/>
      </c>
      <c r="D6" s="4"/>
      <c r="E6" s="57" t="str">
        <f t="shared" si="2"/>
        <v/>
      </c>
      <c r="F6" s="60" t="str">
        <f t="shared" si="3"/>
        <v/>
      </c>
      <c r="G6" s="71" t="str">
        <f>IF(Tableau1[[#This Row],[Qté]]="","",Tableau1[[#This Row],[Prix Unitaire]]*Tableau1[[#This Row],[Qté]])</f>
        <v/>
      </c>
      <c r="H6" s="100"/>
      <c r="I6" s="101"/>
      <c r="K6" s="126"/>
      <c r="L6" s="127"/>
      <c r="M6" s="128"/>
    </row>
    <row r="7" spans="1:18" ht="22.5" customHeight="1" thickTop="1" thickBot="1" x14ac:dyDescent="0.4">
      <c r="A7" s="50"/>
      <c r="B7" s="74" t="str">
        <f t="shared" si="0"/>
        <v/>
      </c>
      <c r="C7" s="74" t="str">
        <f t="shared" si="1"/>
        <v/>
      </c>
      <c r="D7" s="4"/>
      <c r="E7" s="57" t="str">
        <f t="shared" si="2"/>
        <v/>
      </c>
      <c r="F7" s="60" t="str">
        <f t="shared" si="3"/>
        <v/>
      </c>
      <c r="G7" s="71" t="str">
        <f>IF(Tableau1[[#This Row],[Qté]]="","",Tableau1[[#This Row],[Prix Unitaire]]*Tableau1[[#This Row],[Qté]])</f>
        <v/>
      </c>
      <c r="H7" s="102"/>
      <c r="I7" s="103"/>
    </row>
    <row r="8" spans="1:18" ht="22.5" customHeight="1" x14ac:dyDescent="0.35">
      <c r="A8" s="59"/>
      <c r="B8" s="74" t="str">
        <f t="shared" si="0"/>
        <v/>
      </c>
      <c r="C8" s="74" t="str">
        <f t="shared" si="1"/>
        <v/>
      </c>
      <c r="D8" s="4"/>
      <c r="E8" s="57" t="str">
        <f t="shared" si="2"/>
        <v/>
      </c>
      <c r="F8" s="60" t="str">
        <f t="shared" si="3"/>
        <v/>
      </c>
      <c r="G8" s="71" t="str">
        <f>IF(Tableau1[[#This Row],[Qté]]="","",Tableau1[[#This Row],[Prix Unitaire]]*Tableau1[[#This Row],[Qté]])</f>
        <v/>
      </c>
      <c r="H8" s="86"/>
      <c r="I8" s="86"/>
    </row>
    <row r="9" spans="1:18" ht="22.5" customHeight="1" x14ac:dyDescent="0.35">
      <c r="A9" s="59"/>
      <c r="B9" s="74" t="str">
        <f t="shared" si="0"/>
        <v/>
      </c>
      <c r="C9" s="74" t="str">
        <f t="shared" si="1"/>
        <v/>
      </c>
      <c r="D9" s="4"/>
      <c r="E9" s="57" t="str">
        <f t="shared" si="2"/>
        <v/>
      </c>
      <c r="F9" s="60" t="str">
        <f t="shared" si="3"/>
        <v/>
      </c>
      <c r="G9" s="71" t="str">
        <f>IF(Tableau1[[#This Row],[Qté]]="","",Tableau1[[#This Row],[Prix Unitaire]]*Tableau1[[#This Row],[Qté]])</f>
        <v/>
      </c>
      <c r="H9" s="86"/>
      <c r="I9" s="86"/>
    </row>
    <row r="10" spans="1:18" ht="22.5" customHeight="1" thickBot="1" x14ac:dyDescent="0.4">
      <c r="A10" s="50"/>
      <c r="B10" s="74" t="str">
        <f t="shared" si="0"/>
        <v/>
      </c>
      <c r="C10" s="74" t="str">
        <f t="shared" si="1"/>
        <v/>
      </c>
      <c r="D10" s="4"/>
      <c r="E10" s="57" t="str">
        <f t="shared" si="2"/>
        <v/>
      </c>
      <c r="F10" s="60" t="str">
        <f t="shared" si="3"/>
        <v/>
      </c>
      <c r="G10" s="71" t="str">
        <f>IF(Tableau1[[#This Row],[Qté]]="","",Tableau1[[#This Row],[Prix Unitaire]]*Tableau1[[#This Row],[Qté]])</f>
        <v/>
      </c>
      <c r="H10" s="86"/>
      <c r="I10" s="86"/>
    </row>
    <row r="11" spans="1:18" ht="22.5" customHeight="1" x14ac:dyDescent="0.35">
      <c r="A11" s="59"/>
      <c r="B11" s="74" t="str">
        <f t="shared" si="0"/>
        <v/>
      </c>
      <c r="C11" s="74" t="str">
        <f t="shared" si="1"/>
        <v/>
      </c>
      <c r="D11" s="4"/>
      <c r="E11" s="57" t="str">
        <f t="shared" si="2"/>
        <v/>
      </c>
      <c r="F11" s="60" t="str">
        <f t="shared" si="3"/>
        <v/>
      </c>
      <c r="G11" s="71" t="str">
        <f>IF(Tableau1[[#This Row],[Qté]]="","",Tableau1[[#This Row],[Prix Unitaire]]*Tableau1[[#This Row],[Qté]])</f>
        <v/>
      </c>
      <c r="H11" s="110" t="s">
        <v>3</v>
      </c>
      <c r="I11" s="111"/>
    </row>
    <row r="12" spans="1:18" ht="22.5" customHeight="1" thickBot="1" x14ac:dyDescent="0.4">
      <c r="A12" s="59"/>
      <c r="B12" s="74" t="str">
        <f t="shared" si="0"/>
        <v/>
      </c>
      <c r="C12" s="74" t="str">
        <f t="shared" si="1"/>
        <v/>
      </c>
      <c r="D12" s="4"/>
      <c r="E12" s="57" t="str">
        <f t="shared" si="2"/>
        <v/>
      </c>
      <c r="F12" s="60" t="str">
        <f t="shared" si="3"/>
        <v/>
      </c>
      <c r="G12" s="71" t="str">
        <f>IF(Tableau1[[#This Row],[Qté]]="","",Tableau1[[#This Row],[Prix Unitaire]]*Tableau1[[#This Row],[Qté]])</f>
        <v/>
      </c>
      <c r="H12" s="112"/>
      <c r="I12" s="113"/>
    </row>
    <row r="13" spans="1:18" ht="22.5" customHeight="1" x14ac:dyDescent="0.35">
      <c r="A13" s="59"/>
      <c r="B13" s="74" t="str">
        <f t="shared" si="0"/>
        <v/>
      </c>
      <c r="C13" s="74" t="str">
        <f t="shared" si="1"/>
        <v/>
      </c>
      <c r="D13" s="4"/>
      <c r="E13" s="57" t="str">
        <f t="shared" si="2"/>
        <v/>
      </c>
      <c r="F13" s="60" t="str">
        <f t="shared" si="3"/>
        <v/>
      </c>
      <c r="G13" s="71" t="str">
        <f>IF(Tableau1[[#This Row],[Qté]]="","",Tableau1[[#This Row],[Prix Unitaire]]*Tableau1[[#This Row],[Qté]])</f>
        <v/>
      </c>
      <c r="H13" s="114"/>
      <c r="I13" s="115"/>
      <c r="L13" s="105"/>
      <c r="M13" s="105"/>
    </row>
    <row r="14" spans="1:18" ht="22.5" customHeight="1" x14ac:dyDescent="0.35">
      <c r="A14" s="59"/>
      <c r="B14" s="74" t="str">
        <f t="shared" si="0"/>
        <v/>
      </c>
      <c r="C14" s="74" t="str">
        <f t="shared" si="1"/>
        <v/>
      </c>
      <c r="D14" s="4"/>
      <c r="E14" s="57" t="str">
        <f t="shared" si="2"/>
        <v/>
      </c>
      <c r="F14" s="60" t="str">
        <f t="shared" si="3"/>
        <v/>
      </c>
      <c r="G14" s="71" t="str">
        <f>IF(Tableau1[[#This Row],[Qté]]="","",Tableau1[[#This Row],[Prix Unitaire]]*Tableau1[[#This Row],[Qté]])</f>
        <v/>
      </c>
      <c r="H14" s="116"/>
      <c r="I14" s="117"/>
      <c r="L14" s="105"/>
      <c r="M14" s="105"/>
    </row>
    <row r="15" spans="1:18" ht="22.5" customHeight="1" thickBot="1" x14ac:dyDescent="0.4">
      <c r="A15" s="59"/>
      <c r="B15" s="74" t="str">
        <f t="shared" si="0"/>
        <v/>
      </c>
      <c r="C15" s="74" t="str">
        <f t="shared" si="1"/>
        <v/>
      </c>
      <c r="D15" s="4"/>
      <c r="E15" s="57" t="str">
        <f t="shared" si="2"/>
        <v/>
      </c>
      <c r="F15" s="60" t="str">
        <f t="shared" si="3"/>
        <v/>
      </c>
      <c r="G15" s="71" t="str">
        <f>IF(Tableau1[[#This Row],[Qté]]="","",Tableau1[[#This Row],[Prix Unitaire]]*Tableau1[[#This Row],[Qté]])</f>
        <v/>
      </c>
      <c r="H15" s="118"/>
      <c r="I15" s="119"/>
      <c r="L15" s="105"/>
      <c r="M15" s="105"/>
    </row>
    <row r="16" spans="1:18" ht="22.5" customHeight="1" thickTop="1" thickBot="1" x14ac:dyDescent="0.4">
      <c r="A16" s="59"/>
      <c r="B16" s="74" t="str">
        <f t="shared" si="0"/>
        <v/>
      </c>
      <c r="C16" s="74" t="str">
        <f t="shared" si="1"/>
        <v/>
      </c>
      <c r="D16" s="4"/>
      <c r="E16" s="57" t="str">
        <f t="shared" si="2"/>
        <v/>
      </c>
      <c r="F16" s="60" t="str">
        <f t="shared" si="3"/>
        <v/>
      </c>
      <c r="G16" s="71" t="str">
        <f>IF(Tableau1[[#This Row],[Qté]]="","",Tableau1[[#This Row],[Prix Unitaire]]*Tableau1[[#This Row],[Qté]])</f>
        <v/>
      </c>
      <c r="H16" s="129"/>
      <c r="I16" s="130"/>
    </row>
    <row r="17" spans="1:14" ht="22.5" customHeight="1" thickTop="1" x14ac:dyDescent="0.35">
      <c r="A17" s="59"/>
      <c r="B17" s="74" t="str">
        <f t="shared" si="0"/>
        <v/>
      </c>
      <c r="C17" s="74" t="str">
        <f t="shared" si="1"/>
        <v/>
      </c>
      <c r="D17" s="4"/>
      <c r="E17" s="57" t="str">
        <f t="shared" si="2"/>
        <v/>
      </c>
      <c r="F17" s="60" t="str">
        <f t="shared" si="3"/>
        <v/>
      </c>
      <c r="G17" s="71" t="str">
        <f>IF(Tableau1[[#This Row],[Qté]]="","",Tableau1[[#This Row],[Prix Unitaire]]*Tableau1[[#This Row],[Qté]])</f>
        <v/>
      </c>
      <c r="H17" s="90" t="s">
        <v>2</v>
      </c>
      <c r="I17" s="91"/>
      <c r="M17" s="27"/>
    </row>
    <row r="18" spans="1:14" ht="22.5" customHeight="1" thickBot="1" x14ac:dyDescent="0.4">
      <c r="A18" s="59"/>
      <c r="B18" s="74" t="str">
        <f t="shared" si="0"/>
        <v/>
      </c>
      <c r="C18" s="74" t="str">
        <f t="shared" si="1"/>
        <v/>
      </c>
      <c r="D18" s="4"/>
      <c r="E18" s="57" t="str">
        <f t="shared" si="2"/>
        <v/>
      </c>
      <c r="F18" s="60" t="str">
        <f t="shared" si="3"/>
        <v/>
      </c>
      <c r="G18" s="71" t="str">
        <f>IF(Tableau1[[#This Row],[Qté]]="","",Tableau1[[#This Row],[Prix Unitaire]]*Tableau1[[#This Row],[Qté]])</f>
        <v/>
      </c>
      <c r="H18" s="92"/>
      <c r="I18" s="93"/>
    </row>
    <row r="19" spans="1:14" ht="22.5" customHeight="1" x14ac:dyDescent="0.35">
      <c r="A19" s="59"/>
      <c r="B19" s="74" t="str">
        <f t="shared" si="0"/>
        <v/>
      </c>
      <c r="C19" s="74" t="str">
        <f t="shared" si="1"/>
        <v/>
      </c>
      <c r="D19" s="4"/>
      <c r="E19" s="57" t="str">
        <f t="shared" si="2"/>
        <v/>
      </c>
      <c r="F19" s="60" t="str">
        <f t="shared" si="3"/>
        <v/>
      </c>
      <c r="G19" s="71" t="str">
        <f>IF(Tableau1[[#This Row],[Qté]]="","",Tableau1[[#This Row],[Prix Unitaire]]*Tableau1[[#This Row],[Qté]])</f>
        <v/>
      </c>
      <c r="H19" s="94" t="str">
        <f>IF(H13&gt;0,H4-H13,"")</f>
        <v/>
      </c>
      <c r="I19" s="95"/>
      <c r="J19" s="7"/>
      <c r="K19" s="9"/>
      <c r="L19" s="6"/>
      <c r="M19" s="6"/>
    </row>
    <row r="20" spans="1:14" ht="22.5" customHeight="1" x14ac:dyDescent="0.35">
      <c r="A20" s="59"/>
      <c r="B20" s="74" t="str">
        <f t="shared" si="0"/>
        <v/>
      </c>
      <c r="C20" s="74" t="str">
        <f t="shared" si="1"/>
        <v/>
      </c>
      <c r="D20" s="4"/>
      <c r="E20" s="57" t="str">
        <f t="shared" si="2"/>
        <v/>
      </c>
      <c r="F20" s="60" t="str">
        <f t="shared" si="3"/>
        <v/>
      </c>
      <c r="G20" s="71" t="str">
        <f>IF(Tableau1[[#This Row],[Qté]]="","",Tableau1[[#This Row],[Prix Unitaire]]*Tableau1[[#This Row],[Qté]])</f>
        <v/>
      </c>
      <c r="H20" s="94"/>
      <c r="I20" s="95"/>
      <c r="J20" s="7" t="str">
        <f>IF(H13="","",IF(H13&lt;H4,"Somme reçue insuffisante!!!",""))</f>
        <v/>
      </c>
      <c r="K20" s="9"/>
      <c r="L20" s="6"/>
      <c r="M20" s="6"/>
    </row>
    <row r="21" spans="1:14" ht="22.5" customHeight="1" thickBot="1" x14ac:dyDescent="0.4">
      <c r="A21" s="59"/>
      <c r="B21" s="74" t="str">
        <f t="shared" si="0"/>
        <v/>
      </c>
      <c r="C21" s="74" t="str">
        <f t="shared" si="1"/>
        <v/>
      </c>
      <c r="D21" s="4"/>
      <c r="E21" s="57" t="str">
        <f t="shared" si="2"/>
        <v/>
      </c>
      <c r="F21" s="60" t="str">
        <f t="shared" si="3"/>
        <v/>
      </c>
      <c r="G21" s="71" t="str">
        <f>IF(Tableau1[[#This Row],[Qté]]="","",Tableau1[[#This Row],[Prix Unitaire]]*Tableau1[[#This Row],[Qté]])</f>
        <v/>
      </c>
      <c r="H21" s="96"/>
      <c r="I21" s="97"/>
      <c r="J21" s="5"/>
      <c r="K21" s="10"/>
      <c r="L21" s="6"/>
      <c r="M21" s="6"/>
    </row>
    <row r="22" spans="1:14" ht="22.5" customHeight="1" x14ac:dyDescent="0.35">
      <c r="A22" s="59"/>
      <c r="B22" s="74" t="str">
        <f t="shared" si="0"/>
        <v/>
      </c>
      <c r="C22" s="74" t="str">
        <f t="shared" si="1"/>
        <v/>
      </c>
      <c r="D22" s="4"/>
      <c r="E22" s="80" t="str">
        <f t="shared" si="2"/>
        <v/>
      </c>
      <c r="F22" s="60" t="str">
        <f t="shared" si="3"/>
        <v/>
      </c>
      <c r="G22" s="71" t="str">
        <f>IF(Tableau1[[#This Row],[Qté]]="","",Tableau1[[#This Row],[Prix Unitaire]]*Tableau1[[#This Row],[Qté]])</f>
        <v/>
      </c>
    </row>
    <row r="23" spans="1:14" ht="22.5" customHeight="1" x14ac:dyDescent="0.3">
      <c r="A23" s="65"/>
      <c r="B23" s="74" t="str">
        <f t="shared" si="0"/>
        <v/>
      </c>
      <c r="C23" s="76" t="str">
        <f t="shared" si="1"/>
        <v/>
      </c>
      <c r="D23" s="4"/>
      <c r="E23" s="81" t="str">
        <f t="shared" si="2"/>
        <v/>
      </c>
      <c r="F23" s="77" t="str">
        <f t="shared" si="3"/>
        <v/>
      </c>
      <c r="G23" s="71" t="str">
        <f>IF(Tableau1[[#This Row],[Qté]]="","",Tableau1[[#This Row],[Prix Unitaire]]*Tableau1[[#This Row],[Qté]])</f>
        <v/>
      </c>
      <c r="H23" s="36" t="s">
        <v>21</v>
      </c>
      <c r="I23" s="31"/>
      <c r="J23" s="31"/>
      <c r="K23" s="31"/>
      <c r="L23" s="31"/>
      <c r="M23" s="32"/>
      <c r="N23" s="32"/>
    </row>
    <row r="24" spans="1:14" ht="22.5" customHeight="1" x14ac:dyDescent="0.3">
      <c r="A24" s="65"/>
      <c r="B24" s="75" t="str">
        <f>IF($A24="","",VLOOKUP($A24,base,2,FALSE))</f>
        <v/>
      </c>
      <c r="C24" s="78" t="str">
        <f>IF($A24="","",VLOOKUP($A24,base,3,FALSE))</f>
        <v/>
      </c>
      <c r="D24" s="4"/>
      <c r="E24" s="81" t="str">
        <f>IF($A24="","",VLOOKUP($A24,base,5,FALSE))</f>
        <v/>
      </c>
      <c r="F24" s="79" t="str">
        <f>IF($A24="","",VLOOKUP($A24,base,6,FALSE)-D24)</f>
        <v/>
      </c>
      <c r="G24" s="73" t="str">
        <f>IF(Tableau1[[#This Row],[Qté]]="","",Tableau1[[#This Row],[Prix Unitaire]]*Tableau1[[#This Row],[Qté]])</f>
        <v/>
      </c>
      <c r="H24" s="31" t="s">
        <v>34</v>
      </c>
      <c r="I24" s="31"/>
      <c r="J24" s="31"/>
      <c r="K24" s="31"/>
      <c r="L24" s="31"/>
      <c r="M24" s="32"/>
      <c r="N24" s="32"/>
    </row>
    <row r="25" spans="1:14" ht="25.5" customHeight="1" x14ac:dyDescent="0.3">
      <c r="H25" s="31" t="s">
        <v>35</v>
      </c>
      <c r="I25" s="31"/>
      <c r="J25" s="31"/>
      <c r="K25" s="31"/>
      <c r="L25" s="31"/>
      <c r="M25" s="32"/>
      <c r="N25" s="32"/>
    </row>
    <row r="26" spans="1:14" ht="25.5" customHeight="1" x14ac:dyDescent="0.3">
      <c r="H26" s="35" t="s">
        <v>27</v>
      </c>
      <c r="I26" s="31"/>
      <c r="J26" s="31"/>
      <c r="K26" s="31"/>
      <c r="L26" s="31"/>
      <c r="M26" s="32"/>
      <c r="N26" s="32"/>
    </row>
    <row r="27" spans="1:14" ht="25.5" customHeight="1" x14ac:dyDescent="0.3">
      <c r="H27" s="35" t="s">
        <v>31</v>
      </c>
      <c r="I27" s="31"/>
      <c r="J27" s="31"/>
      <c r="K27" s="31"/>
      <c r="L27" s="31"/>
      <c r="M27" s="32"/>
      <c r="N27" s="32"/>
    </row>
    <row r="28" spans="1:14" ht="25.5" customHeight="1" x14ac:dyDescent="0.3">
      <c r="H28" s="31" t="s">
        <v>36</v>
      </c>
      <c r="I28" s="31"/>
      <c r="J28" s="31"/>
      <c r="K28" s="31"/>
      <c r="L28" s="31"/>
      <c r="M28" s="32"/>
      <c r="N28" s="32"/>
    </row>
    <row r="29" spans="1:14" ht="25.5" customHeight="1" x14ac:dyDescent="0.35">
      <c r="H29" s="33"/>
      <c r="I29" s="33"/>
      <c r="J29" s="32"/>
      <c r="K29" s="32"/>
      <c r="L29" s="32"/>
      <c r="M29" s="32"/>
      <c r="N29" s="32"/>
    </row>
    <row r="30" spans="1:14" ht="25.5" customHeight="1" x14ac:dyDescent="0.35">
      <c r="H30" s="33" t="s">
        <v>59</v>
      </c>
      <c r="I30" s="33"/>
      <c r="J30" s="32"/>
      <c r="K30" s="32"/>
      <c r="L30" s="32"/>
      <c r="M30" s="32"/>
      <c r="N30" s="32"/>
    </row>
    <row r="31" spans="1:14" ht="25.5" customHeight="1" x14ac:dyDescent="0.35">
      <c r="H31" s="33" t="s">
        <v>37</v>
      </c>
      <c r="I31" s="33"/>
      <c r="J31" s="32"/>
      <c r="K31" s="32"/>
      <c r="L31" s="32"/>
      <c r="M31" s="32"/>
      <c r="N31" s="32"/>
    </row>
    <row r="32" spans="1:14" ht="25.5" customHeight="1" x14ac:dyDescent="0.35">
      <c r="H32" s="33" t="s">
        <v>60</v>
      </c>
      <c r="I32" s="33"/>
      <c r="J32" s="32"/>
      <c r="K32" s="32"/>
      <c r="L32" s="32"/>
      <c r="M32" s="32"/>
      <c r="N32" s="32"/>
    </row>
    <row r="33" spans="8:14" ht="25.5" customHeight="1" x14ac:dyDescent="0.35">
      <c r="H33" s="33" t="s">
        <v>28</v>
      </c>
      <c r="I33" s="33"/>
      <c r="J33" s="32"/>
      <c r="K33" s="32"/>
      <c r="L33" s="32"/>
      <c r="M33" s="32"/>
      <c r="N33" s="32"/>
    </row>
    <row r="34" spans="8:14" ht="25.5" customHeight="1" x14ac:dyDescent="0.35">
      <c r="H34" s="33" t="s">
        <v>26</v>
      </c>
      <c r="I34" s="33"/>
      <c r="J34" s="32"/>
      <c r="K34" s="32"/>
      <c r="L34" s="32"/>
      <c r="M34" s="32"/>
      <c r="N34" s="32"/>
    </row>
  </sheetData>
  <sheetProtection sheet="1" objects="1" scenarios="1" selectLockedCells="1"/>
  <mergeCells count="10">
    <mergeCell ref="H17:I18"/>
    <mergeCell ref="H19:I21"/>
    <mergeCell ref="H4:I7"/>
    <mergeCell ref="K1:M2"/>
    <mergeCell ref="L13:M15"/>
    <mergeCell ref="H2:I3"/>
    <mergeCell ref="H11:I12"/>
    <mergeCell ref="H13:I15"/>
    <mergeCell ref="K4:M6"/>
    <mergeCell ref="H16:I16"/>
  </mergeCells>
  <phoneticPr fontId="15" type="noConversion"/>
  <conditionalFormatting sqref="F2:G24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H16:I16 H19:I21">
      <formula1>Moyen_paiement</formula1>
    </dataValidation>
    <dataValidation type="list" allowBlank="1" showInputMessage="1" showErrorMessage="1" sqref="A2:A24">
      <formula1>références</formula1>
    </dataValidation>
  </dataValidations>
  <pageMargins left="0.25" right="0.25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98"/>
  <sheetViews>
    <sheetView zoomScale="76" zoomScaleNormal="76" workbookViewId="0">
      <selection activeCell="E16" sqref="E16"/>
    </sheetView>
  </sheetViews>
  <sheetFormatPr baseColWidth="10" defaultColWidth="11.453125" defaultRowHeight="26" x14ac:dyDescent="0.6"/>
  <cols>
    <col min="1" max="1" width="21.36328125" style="8" customWidth="1"/>
    <col min="2" max="2" width="25.1796875" style="49" customWidth="1"/>
    <col min="3" max="3" width="47.81640625" style="49" customWidth="1"/>
    <col min="4" max="4" width="25.08984375" style="49" customWidth="1"/>
    <col min="5" max="5" width="22.90625" style="58" customWidth="1"/>
    <col min="6" max="6" width="11.08984375" style="24" customWidth="1"/>
    <col min="7" max="7" width="20" style="8" hidden="1" customWidth="1"/>
    <col min="8" max="8" width="12.54296875" style="8" hidden="1" customWidth="1"/>
    <col min="9" max="9" width="17.26953125" style="8" hidden="1" customWidth="1"/>
    <col min="10" max="12" width="11.453125" style="8"/>
    <col min="13" max="13" width="22.81640625" style="8" customWidth="1"/>
    <col min="14" max="14" width="12.08984375" style="8" bestFit="1" customWidth="1"/>
    <col min="15" max="15" width="19.54296875" style="8" customWidth="1"/>
    <col min="16" max="16" width="11.453125" style="8"/>
    <col min="17" max="17" width="12" style="48" bestFit="1" customWidth="1"/>
    <col min="18" max="16384" width="11.453125" style="8"/>
  </cols>
  <sheetData>
    <row r="1" spans="1:12" x14ac:dyDescent="0.6">
      <c r="A1" s="8" t="s">
        <v>32</v>
      </c>
      <c r="B1" s="49" t="s">
        <v>40</v>
      </c>
      <c r="C1" s="49" t="s">
        <v>33</v>
      </c>
      <c r="D1" s="49" t="s">
        <v>41</v>
      </c>
      <c r="E1" s="58" t="s">
        <v>58</v>
      </c>
      <c r="F1" s="24" t="s">
        <v>14</v>
      </c>
      <c r="G1" s="24" t="s">
        <v>23</v>
      </c>
      <c r="H1" s="8" t="s">
        <v>22</v>
      </c>
      <c r="I1" s="8" t="s">
        <v>24</v>
      </c>
    </row>
    <row r="2" spans="1:12" x14ac:dyDescent="0.6">
      <c r="A2" s="66" t="s">
        <v>55</v>
      </c>
      <c r="B2" s="49" t="s">
        <v>61</v>
      </c>
      <c r="C2" s="67" t="s">
        <v>56</v>
      </c>
      <c r="D2" s="67" t="s">
        <v>63</v>
      </c>
      <c r="E2" s="68">
        <v>10.5</v>
      </c>
      <c r="F2" s="69" t="s">
        <v>64</v>
      </c>
      <c r="G2" s="69" t="str">
        <f>F2</f>
        <v>10</v>
      </c>
      <c r="H2" s="66">
        <f>IF(ISERROR(VLOOKUP(A2,Commande!$A$2:$D$24,4,FALSE)),0,VLOOKUP(A2,Commande!$A$2:$D$24,4,FALSE))</f>
        <v>0</v>
      </c>
      <c r="I2" s="70">
        <f>G2-H2</f>
        <v>10</v>
      </c>
    </row>
    <row r="3" spans="1:12" x14ac:dyDescent="0.6">
      <c r="A3" s="8" t="s">
        <v>65</v>
      </c>
      <c r="B3" s="49" t="s">
        <v>61</v>
      </c>
      <c r="C3" s="49" t="s">
        <v>66</v>
      </c>
      <c r="D3" s="49" t="s">
        <v>63</v>
      </c>
      <c r="E3" s="58">
        <v>10.5</v>
      </c>
      <c r="F3" s="24" t="s">
        <v>64</v>
      </c>
      <c r="G3" s="24" t="str">
        <f>F3</f>
        <v>10</v>
      </c>
      <c r="H3" s="8">
        <f>IF(ISERROR(VLOOKUP(A3,Commande!$A$2:$D$24,4,FALSE)),0,VLOOKUP(A3,Commande!$A$2:$D$24,4,FALSE))</f>
        <v>0</v>
      </c>
      <c r="I3" s="28">
        <f>G3-H3</f>
        <v>10</v>
      </c>
      <c r="J3" s="29" t="s">
        <v>42</v>
      </c>
      <c r="K3" s="30"/>
      <c r="L3" s="30"/>
    </row>
    <row r="4" spans="1:12" x14ac:dyDescent="0.6">
      <c r="A4" s="66" t="s">
        <v>46</v>
      </c>
      <c r="B4" s="49" t="s">
        <v>62</v>
      </c>
      <c r="C4" s="67" t="s">
        <v>53</v>
      </c>
      <c r="D4" s="67" t="s">
        <v>63</v>
      </c>
      <c r="E4" s="68">
        <v>8.5</v>
      </c>
      <c r="F4" s="69">
        <v>10</v>
      </c>
      <c r="G4" s="69">
        <f>F4</f>
        <v>10</v>
      </c>
      <c r="H4" s="66">
        <f>IF(ISERROR(VLOOKUP(A4,Commande!$A$2:$D$24,4,FALSE)),0,VLOOKUP(A4,Commande!$A$2:$D$24,4,FALSE))</f>
        <v>0</v>
      </c>
      <c r="I4" s="70">
        <f>G4-H4</f>
        <v>10</v>
      </c>
      <c r="J4" s="29" t="s">
        <v>25</v>
      </c>
      <c r="K4" s="30"/>
      <c r="L4" s="30"/>
    </row>
    <row r="5" spans="1:12" x14ac:dyDescent="0.6">
      <c r="A5" s="8" t="s">
        <v>45</v>
      </c>
      <c r="B5" s="49" t="s">
        <v>62</v>
      </c>
      <c r="C5" s="49" t="s">
        <v>54</v>
      </c>
      <c r="D5" s="49" t="s">
        <v>63</v>
      </c>
      <c r="E5" s="58">
        <v>8.5</v>
      </c>
      <c r="F5" s="24" t="s">
        <v>64</v>
      </c>
      <c r="G5" s="24" t="str">
        <f>F5</f>
        <v>10</v>
      </c>
      <c r="H5" s="8">
        <f>IF(ISERROR(VLOOKUP(A5,Commande!$A$2:$D$24,4,FALSE)),0,VLOOKUP(A5,Commande!$A$2:$D$24,4,FALSE))</f>
        <v>0</v>
      </c>
      <c r="I5" s="28">
        <f>G5-H5</f>
        <v>10</v>
      </c>
    </row>
    <row r="6" spans="1:12" x14ac:dyDescent="0.6">
      <c r="A6" s="66" t="s">
        <v>47</v>
      </c>
      <c r="B6" s="67" t="s">
        <v>44</v>
      </c>
      <c r="C6" s="67" t="s">
        <v>50</v>
      </c>
      <c r="D6" s="67" t="s">
        <v>63</v>
      </c>
      <c r="E6" s="68">
        <v>12.9</v>
      </c>
      <c r="F6" s="69">
        <v>10</v>
      </c>
      <c r="G6" s="69">
        <f>F6</f>
        <v>10</v>
      </c>
      <c r="H6" s="66">
        <f>IF(ISERROR(VLOOKUP(A6,Commande!$A$2:$D$24,4,FALSE)),0,VLOOKUP(A6,Commande!$A$2:$D$24,4,FALSE))</f>
        <v>0</v>
      </c>
      <c r="I6" s="70">
        <f>G6-H6</f>
        <v>10</v>
      </c>
    </row>
    <row r="7" spans="1:12" x14ac:dyDescent="0.6">
      <c r="A7" s="66" t="s">
        <v>48</v>
      </c>
      <c r="B7" s="67" t="s">
        <v>44</v>
      </c>
      <c r="C7" s="67" t="s">
        <v>51</v>
      </c>
      <c r="D7" s="67" t="s">
        <v>63</v>
      </c>
      <c r="E7" s="68">
        <v>12.9</v>
      </c>
      <c r="F7" s="69">
        <v>10</v>
      </c>
      <c r="G7" s="69">
        <f>F7</f>
        <v>10</v>
      </c>
      <c r="H7" s="66">
        <f>IF(ISERROR(VLOOKUP(A7,Commande!$A$2:$D$24,4,FALSE)),0,VLOOKUP(A7,Commande!$A$2:$D$24,4,FALSE))</f>
        <v>0</v>
      </c>
      <c r="I7" s="70">
        <f>G7-H7</f>
        <v>10</v>
      </c>
    </row>
    <row r="8" spans="1:12" x14ac:dyDescent="0.6">
      <c r="A8" s="66" t="s">
        <v>49</v>
      </c>
      <c r="B8" s="67" t="s">
        <v>44</v>
      </c>
      <c r="C8" s="67" t="s">
        <v>52</v>
      </c>
      <c r="D8" s="67" t="s">
        <v>63</v>
      </c>
      <c r="E8" s="68">
        <v>22</v>
      </c>
      <c r="F8" s="69" t="s">
        <v>64</v>
      </c>
      <c r="G8" s="69" t="str">
        <f>F8</f>
        <v>10</v>
      </c>
      <c r="H8" s="66">
        <f>IF(ISERROR(VLOOKUP(A8,Commande!$A$2:$D$24,4,FALSE)),0,VLOOKUP(A8,Commande!$A$2:$D$24,4,FALSE))</f>
        <v>0</v>
      </c>
      <c r="I8" s="70">
        <f>G8-H8</f>
        <v>10</v>
      </c>
    </row>
    <row r="9" spans="1:12" x14ac:dyDescent="0.6">
      <c r="G9" s="24"/>
      <c r="I9" s="28"/>
    </row>
    <row r="10" spans="1:12" x14ac:dyDescent="0.6">
      <c r="G10" s="24"/>
      <c r="I10" s="28"/>
    </row>
    <row r="11" spans="1:12" x14ac:dyDescent="0.6">
      <c r="G11" s="24"/>
      <c r="I11" s="28"/>
    </row>
    <row r="12" spans="1:12" x14ac:dyDescent="0.6">
      <c r="G12" s="24"/>
      <c r="I12" s="28"/>
    </row>
    <row r="13" spans="1:12" x14ac:dyDescent="0.6">
      <c r="G13" s="24"/>
      <c r="I13" s="28"/>
    </row>
    <row r="14" spans="1:12" x14ac:dyDescent="0.6">
      <c r="G14" s="24"/>
      <c r="I14" s="28"/>
    </row>
    <row r="15" spans="1:12" x14ac:dyDescent="0.6">
      <c r="G15" s="24"/>
      <c r="I15" s="28"/>
    </row>
    <row r="16" spans="1:12" x14ac:dyDescent="0.6">
      <c r="G16" s="24"/>
      <c r="I16" s="28"/>
    </row>
    <row r="17" spans="7:9" x14ac:dyDescent="0.6">
      <c r="G17" s="24"/>
      <c r="I17" s="28"/>
    </row>
    <row r="18" spans="7:9" x14ac:dyDescent="0.6">
      <c r="G18" s="24"/>
      <c r="I18" s="28"/>
    </row>
    <row r="19" spans="7:9" x14ac:dyDescent="0.6">
      <c r="G19" s="24"/>
      <c r="I19" s="28"/>
    </row>
    <row r="20" spans="7:9" x14ac:dyDescent="0.6">
      <c r="G20" s="24"/>
      <c r="I20" s="28"/>
    </row>
    <row r="21" spans="7:9" x14ac:dyDescent="0.6">
      <c r="G21" s="24"/>
      <c r="I21" s="28"/>
    </row>
    <row r="22" spans="7:9" x14ac:dyDescent="0.6">
      <c r="G22" s="24"/>
      <c r="I22" s="28"/>
    </row>
    <row r="23" spans="7:9" x14ac:dyDescent="0.6">
      <c r="G23" s="24"/>
      <c r="I23" s="28"/>
    </row>
    <row r="24" spans="7:9" x14ac:dyDescent="0.6">
      <c r="G24" s="24"/>
      <c r="I24" s="28"/>
    </row>
    <row r="25" spans="7:9" x14ac:dyDescent="0.6">
      <c r="G25" s="24"/>
      <c r="I25" s="28"/>
    </row>
    <row r="26" spans="7:9" x14ac:dyDescent="0.6">
      <c r="G26" s="24"/>
      <c r="I26" s="28"/>
    </row>
    <row r="27" spans="7:9" x14ac:dyDescent="0.6">
      <c r="G27" s="24"/>
      <c r="I27" s="28"/>
    </row>
    <row r="28" spans="7:9" x14ac:dyDescent="0.6">
      <c r="G28" s="24"/>
      <c r="I28" s="28"/>
    </row>
    <row r="29" spans="7:9" x14ac:dyDescent="0.6">
      <c r="G29" s="24"/>
      <c r="I29" s="28"/>
    </row>
    <row r="30" spans="7:9" x14ac:dyDescent="0.6">
      <c r="G30" s="24"/>
      <c r="I30" s="28"/>
    </row>
    <row r="31" spans="7:9" x14ac:dyDescent="0.6">
      <c r="G31" s="24"/>
      <c r="I31" s="28"/>
    </row>
    <row r="32" spans="7:9" x14ac:dyDescent="0.6">
      <c r="G32" s="24"/>
      <c r="I32" s="28"/>
    </row>
    <row r="33" spans="7:9" x14ac:dyDescent="0.6">
      <c r="G33" s="24"/>
      <c r="I33" s="28"/>
    </row>
    <row r="34" spans="7:9" x14ac:dyDescent="0.6">
      <c r="G34" s="24"/>
      <c r="I34" s="28"/>
    </row>
    <row r="35" spans="7:9" x14ac:dyDescent="0.6">
      <c r="G35" s="24"/>
      <c r="I35" s="28"/>
    </row>
    <row r="36" spans="7:9" x14ac:dyDescent="0.6">
      <c r="G36" s="24"/>
      <c r="I36" s="28"/>
    </row>
    <row r="37" spans="7:9" x14ac:dyDescent="0.6">
      <c r="G37" s="24"/>
      <c r="I37" s="28"/>
    </row>
    <row r="38" spans="7:9" x14ac:dyDescent="0.6">
      <c r="G38" s="24"/>
      <c r="I38" s="28"/>
    </row>
    <row r="39" spans="7:9" x14ac:dyDescent="0.6">
      <c r="G39" s="24"/>
      <c r="I39" s="28"/>
    </row>
    <row r="40" spans="7:9" x14ac:dyDescent="0.6">
      <c r="G40" s="24"/>
      <c r="I40" s="28"/>
    </row>
    <row r="41" spans="7:9" x14ac:dyDescent="0.6">
      <c r="G41" s="24"/>
      <c r="I41" s="28"/>
    </row>
    <row r="42" spans="7:9" x14ac:dyDescent="0.6">
      <c r="G42" s="24"/>
      <c r="I42" s="28"/>
    </row>
    <row r="43" spans="7:9" x14ac:dyDescent="0.6">
      <c r="G43" s="24"/>
      <c r="I43" s="28"/>
    </row>
    <row r="44" spans="7:9" x14ac:dyDescent="0.6">
      <c r="G44" s="24"/>
      <c r="I44" s="28"/>
    </row>
    <row r="45" spans="7:9" x14ac:dyDescent="0.6">
      <c r="G45" s="24"/>
      <c r="I45" s="28"/>
    </row>
    <row r="46" spans="7:9" x14ac:dyDescent="0.6">
      <c r="G46" s="24"/>
      <c r="I46" s="28"/>
    </row>
    <row r="47" spans="7:9" x14ac:dyDescent="0.6">
      <c r="G47" s="24"/>
      <c r="I47" s="28"/>
    </row>
    <row r="48" spans="7:9" x14ac:dyDescent="0.6">
      <c r="G48" s="24"/>
      <c r="I48" s="28"/>
    </row>
    <row r="49" spans="7:9" x14ac:dyDescent="0.6">
      <c r="G49" s="24"/>
      <c r="I49" s="28"/>
    </row>
    <row r="50" spans="7:9" x14ac:dyDescent="0.6">
      <c r="G50" s="24"/>
      <c r="I50" s="28"/>
    </row>
    <row r="51" spans="7:9" x14ac:dyDescent="0.6">
      <c r="G51" s="24"/>
      <c r="I51" s="28"/>
    </row>
    <row r="52" spans="7:9" x14ac:dyDescent="0.6">
      <c r="G52" s="24"/>
      <c r="I52" s="28"/>
    </row>
    <row r="53" spans="7:9" x14ac:dyDescent="0.6">
      <c r="G53" s="24"/>
      <c r="I53" s="28"/>
    </row>
    <row r="54" spans="7:9" x14ac:dyDescent="0.6">
      <c r="G54" s="24"/>
      <c r="I54" s="28"/>
    </row>
    <row r="55" spans="7:9" x14ac:dyDescent="0.6">
      <c r="G55" s="24"/>
      <c r="I55" s="28"/>
    </row>
    <row r="56" spans="7:9" x14ac:dyDescent="0.6">
      <c r="G56" s="24"/>
      <c r="I56" s="28"/>
    </row>
    <row r="57" spans="7:9" x14ac:dyDescent="0.6">
      <c r="G57" s="24"/>
      <c r="I57" s="28"/>
    </row>
    <row r="58" spans="7:9" x14ac:dyDescent="0.6">
      <c r="G58" s="24"/>
      <c r="I58" s="28"/>
    </row>
    <row r="59" spans="7:9" x14ac:dyDescent="0.6">
      <c r="G59" s="24"/>
      <c r="I59" s="28"/>
    </row>
    <row r="60" spans="7:9" x14ac:dyDescent="0.6">
      <c r="G60" s="24"/>
      <c r="I60" s="28"/>
    </row>
    <row r="61" spans="7:9" x14ac:dyDescent="0.6">
      <c r="G61" s="24"/>
      <c r="I61" s="28"/>
    </row>
    <row r="62" spans="7:9" x14ac:dyDescent="0.6">
      <c r="G62" s="24"/>
      <c r="I62" s="28"/>
    </row>
    <row r="63" spans="7:9" x14ac:dyDescent="0.6">
      <c r="G63" s="24"/>
      <c r="I63" s="28"/>
    </row>
    <row r="64" spans="7:9" x14ac:dyDescent="0.6">
      <c r="G64" s="24"/>
      <c r="I64" s="28"/>
    </row>
    <row r="65" spans="7:9" x14ac:dyDescent="0.6">
      <c r="G65" s="24"/>
      <c r="I65" s="28"/>
    </row>
    <row r="66" spans="7:9" x14ac:dyDescent="0.6">
      <c r="G66" s="24"/>
      <c r="I66" s="28"/>
    </row>
    <row r="67" spans="7:9" x14ac:dyDescent="0.6">
      <c r="G67" s="24"/>
      <c r="I67" s="28"/>
    </row>
    <row r="68" spans="7:9" x14ac:dyDescent="0.6">
      <c r="G68" s="24"/>
      <c r="I68" s="28"/>
    </row>
    <row r="69" spans="7:9" x14ac:dyDescent="0.6">
      <c r="G69" s="24"/>
      <c r="I69" s="28"/>
    </row>
    <row r="70" spans="7:9" x14ac:dyDescent="0.6">
      <c r="G70" s="24"/>
      <c r="I70" s="28"/>
    </row>
    <row r="71" spans="7:9" x14ac:dyDescent="0.6">
      <c r="G71" s="24"/>
      <c r="I71" s="28"/>
    </row>
    <row r="72" spans="7:9" x14ac:dyDescent="0.6">
      <c r="G72" s="24"/>
      <c r="I72" s="28"/>
    </row>
    <row r="73" spans="7:9" x14ac:dyDescent="0.6">
      <c r="G73" s="24"/>
      <c r="I73" s="28"/>
    </row>
    <row r="74" spans="7:9" x14ac:dyDescent="0.6">
      <c r="G74" s="24"/>
      <c r="I74" s="28"/>
    </row>
    <row r="75" spans="7:9" x14ac:dyDescent="0.6">
      <c r="G75" s="24"/>
      <c r="I75" s="28"/>
    </row>
    <row r="76" spans="7:9" x14ac:dyDescent="0.6">
      <c r="G76" s="24"/>
      <c r="I76" s="28"/>
    </row>
    <row r="77" spans="7:9" x14ac:dyDescent="0.6">
      <c r="G77" s="24"/>
      <c r="I77" s="28"/>
    </row>
    <row r="78" spans="7:9" x14ac:dyDescent="0.6">
      <c r="G78" s="24"/>
      <c r="I78" s="28"/>
    </row>
    <row r="79" spans="7:9" x14ac:dyDescent="0.6">
      <c r="G79" s="24"/>
      <c r="I79" s="28"/>
    </row>
    <row r="80" spans="7:9" x14ac:dyDescent="0.6">
      <c r="G80" s="24"/>
      <c r="I80" s="28"/>
    </row>
    <row r="81" spans="7:9" x14ac:dyDescent="0.6">
      <c r="G81" s="24"/>
      <c r="I81" s="28"/>
    </row>
    <row r="82" spans="7:9" x14ac:dyDescent="0.6">
      <c r="G82" s="24"/>
      <c r="I82" s="28"/>
    </row>
    <row r="83" spans="7:9" x14ac:dyDescent="0.6">
      <c r="G83" s="24"/>
      <c r="I83" s="28"/>
    </row>
    <row r="84" spans="7:9" x14ac:dyDescent="0.6">
      <c r="G84" s="24"/>
      <c r="I84" s="28"/>
    </row>
    <row r="85" spans="7:9" x14ac:dyDescent="0.6">
      <c r="G85" s="24"/>
      <c r="I85" s="28"/>
    </row>
    <row r="86" spans="7:9" x14ac:dyDescent="0.6">
      <c r="G86" s="24"/>
      <c r="I86" s="28"/>
    </row>
    <row r="87" spans="7:9" x14ac:dyDescent="0.6">
      <c r="G87" s="24"/>
      <c r="I87" s="28"/>
    </row>
    <row r="88" spans="7:9" x14ac:dyDescent="0.6">
      <c r="G88" s="24"/>
      <c r="I88" s="28"/>
    </row>
    <row r="89" spans="7:9" x14ac:dyDescent="0.6">
      <c r="G89" s="24"/>
      <c r="I89" s="28"/>
    </row>
    <row r="90" spans="7:9" x14ac:dyDescent="0.6">
      <c r="G90" s="24"/>
      <c r="I90" s="28"/>
    </row>
    <row r="91" spans="7:9" x14ac:dyDescent="0.6">
      <c r="G91" s="24"/>
      <c r="I91" s="28"/>
    </row>
    <row r="92" spans="7:9" x14ac:dyDescent="0.6">
      <c r="G92" s="24"/>
      <c r="I92" s="28"/>
    </row>
    <row r="93" spans="7:9" x14ac:dyDescent="0.6">
      <c r="G93" s="24"/>
      <c r="I93" s="28"/>
    </row>
    <row r="94" spans="7:9" x14ac:dyDescent="0.6">
      <c r="G94" s="24"/>
      <c r="I94" s="28"/>
    </row>
    <row r="95" spans="7:9" x14ac:dyDescent="0.6">
      <c r="G95" s="24"/>
      <c r="I95" s="28"/>
    </row>
    <row r="96" spans="7:9" x14ac:dyDescent="0.6">
      <c r="G96" s="24"/>
      <c r="I96" s="28"/>
    </row>
    <row r="97" spans="7:9" x14ac:dyDescent="0.6">
      <c r="G97" s="24"/>
      <c r="I97" s="28"/>
    </row>
    <row r="98" spans="7:9" x14ac:dyDescent="0.6">
      <c r="G98" s="24"/>
      <c r="I98" s="28"/>
    </row>
  </sheetData>
  <sortState ref="A2:I8">
    <sortCondition ref="B2"/>
    <sortCondition ref="A2"/>
  </sortState>
  <phoneticPr fontId="1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FF"/>
  </sheetPr>
  <dimension ref="A1:F30"/>
  <sheetViews>
    <sheetView view="pageLayout" zoomScaleNormal="100" workbookViewId="0">
      <selection activeCell="E30" sqref="E30"/>
    </sheetView>
  </sheetViews>
  <sheetFormatPr baseColWidth="10" defaultColWidth="23.7265625" defaultRowHeight="25.5" customHeight="1" x14ac:dyDescent="0.35"/>
  <cols>
    <col min="1" max="1" width="8.7265625" style="11" customWidth="1"/>
    <col min="2" max="2" width="15.90625" style="11" customWidth="1"/>
    <col min="3" max="3" width="36.1796875" style="11" customWidth="1"/>
    <col min="4" max="4" width="8.453125" style="11" customWidth="1"/>
    <col min="5" max="5" width="10.81640625" style="18" customWidth="1"/>
    <col min="6" max="6" width="17.54296875" style="21" customWidth="1"/>
    <col min="7" max="16384" width="23.7265625" style="12"/>
  </cols>
  <sheetData>
    <row r="1" spans="1:6" ht="25.5" customHeight="1" x14ac:dyDescent="0.35">
      <c r="A1" s="131" t="s">
        <v>39</v>
      </c>
      <c r="B1" s="132"/>
      <c r="C1" s="132"/>
      <c r="D1" s="132"/>
      <c r="E1" s="132"/>
      <c r="F1" s="133"/>
    </row>
    <row r="2" spans="1:6" ht="25.5" customHeight="1" thickBot="1" x14ac:dyDescent="0.4">
      <c r="A2" s="141">
        <f ca="1">Commande!K1</f>
        <v>44533</v>
      </c>
      <c r="B2" s="142"/>
      <c r="C2" s="142"/>
      <c r="D2" s="143">
        <f>Commande!K4</f>
        <v>44533.726909722223</v>
      </c>
      <c r="E2" s="143"/>
      <c r="F2" s="144"/>
    </row>
    <row r="3" spans="1:6" ht="25.5" customHeight="1" thickBot="1" x14ac:dyDescent="0.4">
      <c r="A3" s="51" t="s">
        <v>43</v>
      </c>
      <c r="B3" s="52" t="s">
        <v>40</v>
      </c>
      <c r="C3" s="52" t="s">
        <v>33</v>
      </c>
      <c r="D3" s="53" t="s">
        <v>6</v>
      </c>
      <c r="E3" s="54" t="s">
        <v>5</v>
      </c>
      <c r="F3" s="55" t="s">
        <v>0</v>
      </c>
    </row>
    <row r="4" spans="1:6" ht="22.5" customHeight="1" x14ac:dyDescent="0.35">
      <c r="A4" s="82" t="str">
        <f>IF(Commande!A2&lt;&gt;"",Commande!A2,"")</f>
        <v/>
      </c>
      <c r="B4" s="83" t="str">
        <f>IF(Commande!A2&lt;&gt;"",Commande!B2,"")</f>
        <v/>
      </c>
      <c r="C4" s="83" t="str">
        <f>IF(Commande!A2&lt;&gt;"",Commande!C2,"")</f>
        <v/>
      </c>
      <c r="D4" s="84" t="str">
        <f>IF(Commande!D2&lt;&gt;"",Commande!D2,"")</f>
        <v/>
      </c>
      <c r="E4" s="85" t="str">
        <f>IF(A4="","",VLOOKUP(A4,Tableau2[],5,FALSE))</f>
        <v/>
      </c>
      <c r="F4" s="85" t="str">
        <f>IF(Commande!A2&lt;&gt;"",Commande!G2,"")</f>
        <v/>
      </c>
    </row>
    <row r="5" spans="1:6" ht="22.5" customHeight="1" x14ac:dyDescent="0.35">
      <c r="A5" s="82" t="str">
        <f>IF(Commande!A3&lt;&gt;"",Commande!A3,"")</f>
        <v/>
      </c>
      <c r="B5" s="83" t="str">
        <f>IF(Commande!A3&lt;&gt;"",Commande!B3,"")</f>
        <v/>
      </c>
      <c r="C5" s="83" t="str">
        <f>IF(Commande!A3&lt;&gt;"",Commande!C3,"")</f>
        <v/>
      </c>
      <c r="D5" s="84" t="str">
        <f>IF(Commande!D3&lt;&gt;"",Commande!D3,"")</f>
        <v/>
      </c>
      <c r="E5" s="85" t="str">
        <f>IF(A5="","",VLOOKUP(A5,Tableau2[],5,FALSE))</f>
        <v/>
      </c>
      <c r="F5" s="85" t="str">
        <f>IF(Commande!A3&lt;&gt;"",Commande!G3,"")</f>
        <v/>
      </c>
    </row>
    <row r="6" spans="1:6" ht="22.5" customHeight="1" x14ac:dyDescent="0.35">
      <c r="A6" s="82" t="str">
        <f>IF(Commande!A4&lt;&gt;"",Commande!A4,"")</f>
        <v/>
      </c>
      <c r="B6" s="83" t="str">
        <f>IF(Commande!A4&lt;&gt;"",Commande!B4,"")</f>
        <v/>
      </c>
      <c r="C6" s="83" t="str">
        <f>IF(Commande!A4&lt;&gt;"",Commande!C4,"")</f>
        <v/>
      </c>
      <c r="D6" s="84" t="str">
        <f>IF(Commande!D4&lt;&gt;"",Commande!D4,"")</f>
        <v/>
      </c>
      <c r="E6" s="85" t="str">
        <f>IF(A6="","",VLOOKUP(A6,Tableau2[],5,FALSE))</f>
        <v/>
      </c>
      <c r="F6" s="85" t="str">
        <f>IF(Commande!A4&lt;&gt;"",Commande!G4,"")</f>
        <v/>
      </c>
    </row>
    <row r="7" spans="1:6" ht="22.5" customHeight="1" x14ac:dyDescent="0.35">
      <c r="A7" s="82" t="str">
        <f>IF(Commande!A5&lt;&gt;"",Commande!A5,"")</f>
        <v/>
      </c>
      <c r="B7" s="83" t="str">
        <f>IF(Commande!A5&lt;&gt;"",Commande!B5,"")</f>
        <v/>
      </c>
      <c r="C7" s="83" t="str">
        <f>IF(Commande!A5&lt;&gt;"",Commande!C5,"")</f>
        <v/>
      </c>
      <c r="D7" s="84" t="str">
        <f>IF(Commande!D5&lt;&gt;"",Commande!D5,"")</f>
        <v/>
      </c>
      <c r="E7" s="85" t="str">
        <f>IF(A7="","",VLOOKUP(A7,Tableau2[],5,FALSE))</f>
        <v/>
      </c>
      <c r="F7" s="85" t="str">
        <f>IF(Commande!A5&lt;&gt;"",Commande!G5,"")</f>
        <v/>
      </c>
    </row>
    <row r="8" spans="1:6" ht="22.5" customHeight="1" x14ac:dyDescent="0.35">
      <c r="A8" s="82" t="str">
        <f>IF(Commande!A6&lt;&gt;"",Commande!A6,"")</f>
        <v/>
      </c>
      <c r="B8" s="83" t="str">
        <f>IF(Commande!A6&lt;&gt;"",Commande!B6,"")</f>
        <v/>
      </c>
      <c r="C8" s="83" t="str">
        <f>IF(Commande!A6&lt;&gt;"",Commande!C6,"")</f>
        <v/>
      </c>
      <c r="D8" s="84" t="str">
        <f>IF(Commande!D6&lt;&gt;"",Commande!D6,"")</f>
        <v/>
      </c>
      <c r="E8" s="85" t="str">
        <f>IF(A8="","",VLOOKUP(A8,Tableau2[],5,FALSE))</f>
        <v/>
      </c>
      <c r="F8" s="85" t="str">
        <f>IF(Commande!A6&lt;&gt;"",Commande!G6,"")</f>
        <v/>
      </c>
    </row>
    <row r="9" spans="1:6" ht="22.5" customHeight="1" x14ac:dyDescent="0.35">
      <c r="A9" s="82" t="str">
        <f>IF(Commande!A7&lt;&gt;"",Commande!A7,"")</f>
        <v/>
      </c>
      <c r="B9" s="83" t="str">
        <f>IF(Commande!A7&lt;&gt;"",Commande!B7,"")</f>
        <v/>
      </c>
      <c r="C9" s="83" t="str">
        <f>IF(Commande!A7&lt;&gt;"",Commande!C7,"")</f>
        <v/>
      </c>
      <c r="D9" s="84" t="str">
        <f>IF(Commande!D7&lt;&gt;"",Commande!D7,"")</f>
        <v/>
      </c>
      <c r="E9" s="85" t="str">
        <f>IF(A9="","",VLOOKUP(A9,Tableau2[],5,FALSE))</f>
        <v/>
      </c>
      <c r="F9" s="85" t="str">
        <f>IF(Commande!A7&lt;&gt;"",Commande!G7,"")</f>
        <v/>
      </c>
    </row>
    <row r="10" spans="1:6" ht="22.5" customHeight="1" x14ac:dyDescent="0.35">
      <c r="A10" s="82" t="str">
        <f>IF(Commande!A8&lt;&gt;"",Commande!A8,"")</f>
        <v/>
      </c>
      <c r="B10" s="83" t="str">
        <f>IF(Commande!A8&lt;&gt;"",Commande!B8,"")</f>
        <v/>
      </c>
      <c r="C10" s="83" t="str">
        <f>IF(Commande!A8&lt;&gt;"",Commande!C8,"")</f>
        <v/>
      </c>
      <c r="D10" s="84" t="str">
        <f>IF(Commande!D8&lt;&gt;"",Commande!D8,"")</f>
        <v/>
      </c>
      <c r="E10" s="85" t="str">
        <f>IF(A10="","",VLOOKUP(A10,Tableau2[],5,FALSE))</f>
        <v/>
      </c>
      <c r="F10" s="85" t="str">
        <f>IF(Commande!A8&lt;&gt;"",Commande!G8,"")</f>
        <v/>
      </c>
    </row>
    <row r="11" spans="1:6" ht="22.5" customHeight="1" x14ac:dyDescent="0.35">
      <c r="A11" s="82" t="str">
        <f>IF(Commande!A9&lt;&gt;"",Commande!A9,"")</f>
        <v/>
      </c>
      <c r="B11" s="83" t="str">
        <f>IF(Commande!A9&lt;&gt;"",Commande!B9,"")</f>
        <v/>
      </c>
      <c r="C11" s="83" t="str">
        <f>IF(Commande!A9&lt;&gt;"",Commande!C9,"")</f>
        <v/>
      </c>
      <c r="D11" s="84" t="str">
        <f>IF(Commande!D9&lt;&gt;"",Commande!D9,"")</f>
        <v/>
      </c>
      <c r="E11" s="85" t="str">
        <f>IF(A11="","",VLOOKUP(A11,Tableau2[],5,FALSE))</f>
        <v/>
      </c>
      <c r="F11" s="85" t="str">
        <f>IF(Commande!A9&lt;&gt;"",Commande!G9,"")</f>
        <v/>
      </c>
    </row>
    <row r="12" spans="1:6" ht="22.5" customHeight="1" x14ac:dyDescent="0.35">
      <c r="A12" s="82" t="str">
        <f>IF(Commande!A10&lt;&gt;"",Commande!A10,"")</f>
        <v/>
      </c>
      <c r="B12" s="83" t="str">
        <f>IF(Commande!A10&lt;&gt;"",Commande!B10,"")</f>
        <v/>
      </c>
      <c r="C12" s="83" t="str">
        <f>IF(Commande!A10&lt;&gt;"",Commande!C10,"")</f>
        <v/>
      </c>
      <c r="D12" s="84" t="str">
        <f>IF(Commande!D10&lt;&gt;"",Commande!D10,"")</f>
        <v/>
      </c>
      <c r="E12" s="85" t="str">
        <f>IF(A12="","",VLOOKUP(A12,Tableau2[],5,FALSE))</f>
        <v/>
      </c>
      <c r="F12" s="85" t="str">
        <f>IF(Commande!A10&lt;&gt;"",Commande!G10,"")</f>
        <v/>
      </c>
    </row>
    <row r="13" spans="1:6" ht="22.5" customHeight="1" x14ac:dyDescent="0.35">
      <c r="A13" s="82" t="str">
        <f>IF(Commande!A11&lt;&gt;"",Commande!A11,"")</f>
        <v/>
      </c>
      <c r="B13" s="83" t="str">
        <f>IF(Commande!A11&lt;&gt;"",Commande!B11,"")</f>
        <v/>
      </c>
      <c r="C13" s="83" t="str">
        <f>IF(Commande!A11&lt;&gt;"",Commande!C11,"")</f>
        <v/>
      </c>
      <c r="D13" s="84" t="str">
        <f>IF(Commande!D11&lt;&gt;"",Commande!D11,"")</f>
        <v/>
      </c>
      <c r="E13" s="85" t="str">
        <f>IF(A13="","",VLOOKUP(A13,Tableau2[],5,FALSE))</f>
        <v/>
      </c>
      <c r="F13" s="85" t="str">
        <f>IF(Commande!A11&lt;&gt;"",Commande!G11,"")</f>
        <v/>
      </c>
    </row>
    <row r="14" spans="1:6" ht="22.5" customHeight="1" x14ac:dyDescent="0.35">
      <c r="A14" s="82" t="str">
        <f>IF(Commande!A12&lt;&gt;"",Commande!A12,"")</f>
        <v/>
      </c>
      <c r="B14" s="83" t="str">
        <f>IF(Commande!A12&lt;&gt;"",Commande!B12,"")</f>
        <v/>
      </c>
      <c r="C14" s="83" t="str">
        <f>IF(Commande!A12&lt;&gt;"",Commande!C12,"")</f>
        <v/>
      </c>
      <c r="D14" s="84" t="str">
        <f>IF(Commande!D12&lt;&gt;"",Commande!D12,"")</f>
        <v/>
      </c>
      <c r="E14" s="85" t="str">
        <f>IF(A14="","",VLOOKUP(A14,Tableau2[],5,FALSE))</f>
        <v/>
      </c>
      <c r="F14" s="85" t="str">
        <f>IF(Commande!A12&lt;&gt;"",Commande!G12,"")</f>
        <v/>
      </c>
    </row>
    <row r="15" spans="1:6" ht="22.5" customHeight="1" x14ac:dyDescent="0.35">
      <c r="A15" s="82" t="str">
        <f>IF(Commande!A13&lt;&gt;"",Commande!A13,"")</f>
        <v/>
      </c>
      <c r="B15" s="83" t="str">
        <f>IF(Commande!A13&lt;&gt;"",Commande!B13,"")</f>
        <v/>
      </c>
      <c r="C15" s="83" t="str">
        <f>IF(Commande!A13&lt;&gt;"",Commande!C13,"")</f>
        <v/>
      </c>
      <c r="D15" s="84" t="str">
        <f>IF(Commande!D13&lt;&gt;"",Commande!D13,"")</f>
        <v/>
      </c>
      <c r="E15" s="85" t="str">
        <f>IF(A15="","",VLOOKUP(A15,Tableau2[],5,FALSE))</f>
        <v/>
      </c>
      <c r="F15" s="85" t="str">
        <f>IF(Commande!A13&lt;&gt;"",Commande!G13,"")</f>
        <v/>
      </c>
    </row>
    <row r="16" spans="1:6" ht="22.5" customHeight="1" x14ac:dyDescent="0.35">
      <c r="A16" s="82" t="str">
        <f>IF(Commande!A14&lt;&gt;"",Commande!A14,"")</f>
        <v/>
      </c>
      <c r="B16" s="83" t="str">
        <f>IF(Commande!A14&lt;&gt;"",Commande!B14,"")</f>
        <v/>
      </c>
      <c r="C16" s="83" t="str">
        <f>IF(Commande!A14&lt;&gt;"",Commande!C14,"")</f>
        <v/>
      </c>
      <c r="D16" s="84" t="str">
        <f>IF(Commande!D14&lt;&gt;"",Commande!D14,"")</f>
        <v/>
      </c>
      <c r="E16" s="85" t="str">
        <f>IF(A16="","",VLOOKUP(A16,Tableau2[],5,FALSE))</f>
        <v/>
      </c>
      <c r="F16" s="85" t="str">
        <f>IF(Commande!A14&lt;&gt;"",Commande!G14,"")</f>
        <v/>
      </c>
    </row>
    <row r="17" spans="1:6" ht="22.5" customHeight="1" x14ac:dyDescent="0.35">
      <c r="A17" s="82" t="str">
        <f>IF(Commande!A15&lt;&gt;"",Commande!A15,"")</f>
        <v/>
      </c>
      <c r="B17" s="83" t="str">
        <f>IF(Commande!A15&lt;&gt;"",Commande!B15,"")</f>
        <v/>
      </c>
      <c r="C17" s="83" t="str">
        <f>IF(Commande!A15&lt;&gt;"",Commande!C15,"")</f>
        <v/>
      </c>
      <c r="D17" s="84" t="str">
        <f>IF(Commande!D15&lt;&gt;"",Commande!D15,"")</f>
        <v/>
      </c>
      <c r="E17" s="85" t="str">
        <f>IF(A17="","",VLOOKUP(A17,Tableau2[],5,FALSE))</f>
        <v/>
      </c>
      <c r="F17" s="85" t="str">
        <f>IF(Commande!A15&lt;&gt;"",Commande!G15,"")</f>
        <v/>
      </c>
    </row>
    <row r="18" spans="1:6" ht="22.5" customHeight="1" x14ac:dyDescent="0.35">
      <c r="A18" s="82" t="str">
        <f>IF(Commande!A16&lt;&gt;"",Commande!A16,"")</f>
        <v/>
      </c>
      <c r="B18" s="83" t="str">
        <f>IF(Commande!A16&lt;&gt;"",Commande!B16,"")</f>
        <v/>
      </c>
      <c r="C18" s="83" t="str">
        <f>IF(Commande!A16&lt;&gt;"",Commande!C16,"")</f>
        <v/>
      </c>
      <c r="D18" s="84" t="str">
        <f>IF(Commande!D16&lt;&gt;"",Commande!D16,"")</f>
        <v/>
      </c>
      <c r="E18" s="85" t="str">
        <f>IF(A18="","",VLOOKUP(A18,Tableau2[],5,FALSE))</f>
        <v/>
      </c>
      <c r="F18" s="85" t="str">
        <f>IF(Commande!A16&lt;&gt;"",Commande!G16,"")</f>
        <v/>
      </c>
    </row>
    <row r="19" spans="1:6" ht="22.5" customHeight="1" x14ac:dyDescent="0.35">
      <c r="A19" s="82" t="str">
        <f>IF(Commande!A17&lt;&gt;"",Commande!A17,"")</f>
        <v/>
      </c>
      <c r="B19" s="83" t="str">
        <f>IF(Commande!A17&lt;&gt;"",Commande!B17,"")</f>
        <v/>
      </c>
      <c r="C19" s="83" t="str">
        <f>IF(Commande!A17&lt;&gt;"",Commande!C17,"")</f>
        <v/>
      </c>
      <c r="D19" s="84" t="str">
        <f>IF(Commande!D17&lt;&gt;"",Commande!D17,"")</f>
        <v/>
      </c>
      <c r="E19" s="85" t="str">
        <f>IF(A19="","",VLOOKUP(A19,Tableau2[],5,FALSE))</f>
        <v/>
      </c>
      <c r="F19" s="85" t="str">
        <f>IF(Commande!A17&lt;&gt;"",Commande!G17,"")</f>
        <v/>
      </c>
    </row>
    <row r="20" spans="1:6" ht="22.5" customHeight="1" x14ac:dyDescent="0.35">
      <c r="A20" s="82" t="str">
        <f>IF(Commande!A18&lt;&gt;"",Commande!A18,"")</f>
        <v/>
      </c>
      <c r="B20" s="83" t="str">
        <f>IF(Commande!A18&lt;&gt;"",Commande!B18,"")</f>
        <v/>
      </c>
      <c r="C20" s="83" t="str">
        <f>IF(Commande!A18&lt;&gt;"",Commande!C18,"")</f>
        <v/>
      </c>
      <c r="D20" s="84" t="str">
        <f>IF(Commande!D18&lt;&gt;"",Commande!D18,"")</f>
        <v/>
      </c>
      <c r="E20" s="85" t="str">
        <f>IF(A20="","",VLOOKUP(A20,Tableau2[],5,FALSE))</f>
        <v/>
      </c>
      <c r="F20" s="85" t="str">
        <f>IF(Commande!A18&lt;&gt;"",Commande!G18,"")</f>
        <v/>
      </c>
    </row>
    <row r="21" spans="1:6" ht="22.5" customHeight="1" x14ac:dyDescent="0.35">
      <c r="A21" s="82" t="str">
        <f>IF(Commande!A19&lt;&gt;"",Commande!A19,"")</f>
        <v/>
      </c>
      <c r="B21" s="83" t="str">
        <f>IF(Commande!A19&lt;&gt;"",Commande!B19,"")</f>
        <v/>
      </c>
      <c r="C21" s="83" t="str">
        <f>IF(Commande!A19&lt;&gt;"",Commande!C19,"")</f>
        <v/>
      </c>
      <c r="D21" s="84" t="str">
        <f>IF(Commande!D19&lt;&gt;"",Commande!D19,"")</f>
        <v/>
      </c>
      <c r="E21" s="85" t="str">
        <f>IF(A21="","",VLOOKUP(A21,Tableau2[],5,FALSE))</f>
        <v/>
      </c>
      <c r="F21" s="85" t="str">
        <f>IF(Commande!A19&lt;&gt;"",Commande!G19,"")</f>
        <v/>
      </c>
    </row>
    <row r="22" spans="1:6" ht="22.5" customHeight="1" x14ac:dyDescent="0.35">
      <c r="A22" s="82" t="str">
        <f>IF(Commande!A20&lt;&gt;"",Commande!A20,"")</f>
        <v/>
      </c>
      <c r="B22" s="83" t="str">
        <f>IF(Commande!A20&lt;&gt;"",Commande!B20,"")</f>
        <v/>
      </c>
      <c r="C22" s="83" t="str">
        <f>IF(Commande!A20&lt;&gt;"",Commande!C20,"")</f>
        <v/>
      </c>
      <c r="D22" s="84" t="str">
        <f>IF(Commande!D20&lt;&gt;"",Commande!D20,"")</f>
        <v/>
      </c>
      <c r="E22" s="85" t="str">
        <f>IF(A22="","",VLOOKUP(A22,Tableau2[],5,FALSE))</f>
        <v/>
      </c>
      <c r="F22" s="85" t="str">
        <f>IF(Commande!A20&lt;&gt;"",Commande!G20,"")</f>
        <v/>
      </c>
    </row>
    <row r="23" spans="1:6" ht="22.5" customHeight="1" x14ac:dyDescent="0.35">
      <c r="A23" s="82" t="str">
        <f>IF(Commande!A21&lt;&gt;"",Commande!A21,"")</f>
        <v/>
      </c>
      <c r="B23" s="83" t="str">
        <f>IF(Commande!A21&lt;&gt;"",Commande!B21,"")</f>
        <v/>
      </c>
      <c r="C23" s="83" t="str">
        <f>IF(Commande!A21&lt;&gt;"",Commande!C21,"")</f>
        <v/>
      </c>
      <c r="D23" s="84" t="str">
        <f>IF(Commande!D21&lt;&gt;"",Commande!D21,"")</f>
        <v/>
      </c>
      <c r="E23" s="85" t="str">
        <f>IF(A23="","",VLOOKUP(A23,Tableau2[],5,FALSE))</f>
        <v/>
      </c>
      <c r="F23" s="85" t="str">
        <f>IF(Commande!A21&lt;&gt;"",Commande!G21,"")</f>
        <v/>
      </c>
    </row>
    <row r="24" spans="1:6" ht="22.5" customHeight="1" x14ac:dyDescent="0.35">
      <c r="A24" s="82" t="str">
        <f>IF(Commande!A22&lt;&gt;"",Commande!A22,"")</f>
        <v/>
      </c>
      <c r="B24" s="83" t="str">
        <f>IF(Commande!A22&lt;&gt;"",Commande!B22,"")</f>
        <v/>
      </c>
      <c r="C24" s="83" t="str">
        <f>IF(Commande!A22&lt;&gt;"",Commande!C22,"")</f>
        <v/>
      </c>
      <c r="D24" s="84" t="str">
        <f>IF(Commande!D22&lt;&gt;"",Commande!D22,"")</f>
        <v/>
      </c>
      <c r="E24" s="85" t="str">
        <f>IF(A24="","",VLOOKUP(A24,Tableau2[],5,FALSE))</f>
        <v/>
      </c>
      <c r="F24" s="85" t="str">
        <f>IF(Commande!A22&lt;&gt;"",Commande!G22,"")</f>
        <v/>
      </c>
    </row>
    <row r="25" spans="1:6" ht="22.5" customHeight="1" x14ac:dyDescent="0.35">
      <c r="A25" s="82" t="str">
        <f>IF(Commande!A23&lt;&gt;"",Commande!A23,"")</f>
        <v/>
      </c>
      <c r="B25" s="83" t="str">
        <f>IF(Commande!A23&lt;&gt;"",Commande!B23,"")</f>
        <v/>
      </c>
      <c r="C25" s="83" t="str">
        <f>IF(Commande!A23&lt;&gt;"",Commande!C23,"")</f>
        <v/>
      </c>
      <c r="D25" s="84" t="str">
        <f>IF(Commande!D23&lt;&gt;"",Commande!D23,"")</f>
        <v/>
      </c>
      <c r="E25" s="85" t="str">
        <f>IF(A25="","",VLOOKUP(A25,Tableau2[],5,FALSE))</f>
        <v/>
      </c>
      <c r="F25" s="85" t="str">
        <f>IF(Commande!A23&lt;&gt;"",Commande!G23,"")</f>
        <v/>
      </c>
    </row>
    <row r="26" spans="1:6" ht="22.5" customHeight="1" thickBot="1" x14ac:dyDescent="0.4">
      <c r="A26" s="82" t="str">
        <f>IF(Commande!A24&lt;&gt;"",Commande!A24,"")</f>
        <v/>
      </c>
      <c r="B26" s="83" t="str">
        <f>IF(Commande!A24&lt;&gt;"",Commande!B24,"")</f>
        <v/>
      </c>
      <c r="C26" s="83" t="str">
        <f>IF(Commande!A24&lt;&gt;"",Commande!C24,"")</f>
        <v/>
      </c>
      <c r="D26" s="84" t="str">
        <f>IF(Commande!D24&lt;&gt;"",Commande!D24,"")</f>
        <v/>
      </c>
      <c r="E26" s="85" t="str">
        <f>IF(A26="","",VLOOKUP(A26,Tableau2[],5,FALSE))</f>
        <v/>
      </c>
      <c r="F26" s="85" t="str">
        <f>IF(Commande!A24&lt;&gt;"",Commande!G24,"")</f>
        <v/>
      </c>
    </row>
    <row r="27" spans="1:6" ht="37.5" customHeight="1" thickBot="1" x14ac:dyDescent="0.4">
      <c r="A27" s="134" t="s">
        <v>1</v>
      </c>
      <c r="B27" s="135"/>
      <c r="C27" s="135"/>
      <c r="D27" s="135"/>
      <c r="E27" s="136"/>
      <c r="F27" s="19" t="str">
        <f>Commande!H4</f>
        <v/>
      </c>
    </row>
    <row r="28" spans="1:6" ht="25.5" customHeight="1" thickBot="1" x14ac:dyDescent="0.4">
      <c r="A28" s="137" t="s">
        <v>3</v>
      </c>
      <c r="B28" s="137"/>
      <c r="C28" s="137"/>
      <c r="D28" s="137"/>
      <c r="E28" s="138"/>
      <c r="F28" s="20">
        <f>Commande!H13</f>
        <v>0</v>
      </c>
    </row>
    <row r="29" spans="1:6" ht="25.5" customHeight="1" thickBot="1" x14ac:dyDescent="0.4">
      <c r="A29" s="139" t="s">
        <v>4</v>
      </c>
      <c r="B29" s="139"/>
      <c r="C29" s="139"/>
      <c r="D29" s="139"/>
      <c r="E29" s="140"/>
      <c r="F29" s="56">
        <f>IF(Commande!H19&lt;0,Commande!H19,0)</f>
        <v>0</v>
      </c>
    </row>
    <row r="30" spans="1:6" ht="25.5" customHeight="1" x14ac:dyDescent="0.35">
      <c r="A30" s="34"/>
      <c r="B30" s="34" t="s">
        <v>38</v>
      </c>
      <c r="C30" s="88" t="str">
        <f>IF(Commande!H16="","",Commande!H16)</f>
        <v/>
      </c>
      <c r="D30" s="11" t="s">
        <v>12</v>
      </c>
      <c r="E30" s="89"/>
    </row>
  </sheetData>
  <sheetProtection sheet="1" objects="1" scenarios="1" selectLockedCells="1"/>
  <mergeCells count="6">
    <mergeCell ref="A1:F1"/>
    <mergeCell ref="A27:E27"/>
    <mergeCell ref="A28:E28"/>
    <mergeCell ref="A29:E29"/>
    <mergeCell ref="A2:C2"/>
    <mergeCell ref="D2:F2"/>
  </mergeCells>
  <phoneticPr fontId="15" type="noConversion"/>
  <pageMargins left="0.25" right="0.25" top="0.75" bottom="0.75" header="0.3" footer="0.3"/>
  <pageSetup paperSize="9" orientation="portrait" horizontalDpi="360" verticalDpi="360" r:id="rId1"/>
  <headerFooter alignWithMargins="0">
    <oddHeader>&amp;C&amp;"-,Italique"&amp;12Animalerie
1 rue Bleue 75001 PARIS Tél: 01 01 01 01 01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30"/>
  <sheetViews>
    <sheetView workbookViewId="0">
      <pane ySplit="5" topLeftCell="A6" activePane="bottomLeft" state="frozen"/>
      <selection pane="bottomLeft" activeCell="E14" sqref="E14"/>
    </sheetView>
  </sheetViews>
  <sheetFormatPr baseColWidth="10" defaultRowHeight="14.5" x14ac:dyDescent="0.35"/>
  <cols>
    <col min="1" max="1" width="9.90625" customWidth="1"/>
    <col min="3" max="3" width="10.90625" style="15"/>
    <col min="4" max="4" width="10.90625" style="16"/>
    <col min="5" max="5" width="11.7265625" style="16" customWidth="1"/>
    <col min="6" max="6" width="0.81640625" style="47" hidden="1" customWidth="1"/>
    <col min="7" max="7" width="16.54296875" customWidth="1"/>
    <col min="8" max="8" width="10.90625" style="40"/>
    <col min="9" max="9" width="10.90625" style="22"/>
    <col min="10" max="10" width="10.90625" style="38"/>
    <col min="11" max="11" width="10.90625" style="37"/>
    <col min="12" max="12" width="13.26953125" style="43" customWidth="1"/>
    <col min="13" max="13" width="14.1796875" style="16" customWidth="1"/>
    <col min="14" max="14" width="16.1796875" customWidth="1"/>
    <col min="15" max="15" width="9" style="46" customWidth="1"/>
    <col min="16" max="16" width="10.26953125" customWidth="1"/>
    <col min="17" max="17" width="9.81640625" style="46" customWidth="1"/>
  </cols>
  <sheetData>
    <row r="1" spans="1:23" ht="15" customHeight="1" x14ac:dyDescent="0.35">
      <c r="A1" t="s">
        <v>9</v>
      </c>
      <c r="B1" t="s">
        <v>7</v>
      </c>
      <c r="C1" s="15" t="s">
        <v>8</v>
      </c>
      <c r="D1" s="16" t="s">
        <v>13</v>
      </c>
      <c r="E1" s="16" t="s">
        <v>18</v>
      </c>
      <c r="H1" s="39" t="s">
        <v>20</v>
      </c>
      <c r="I1" s="22" t="s">
        <v>19</v>
      </c>
      <c r="J1" s="38" t="s">
        <v>16</v>
      </c>
      <c r="K1" s="37" t="s">
        <v>17</v>
      </c>
      <c r="L1" s="44" t="s">
        <v>30</v>
      </c>
      <c r="M1" s="22" t="s">
        <v>10</v>
      </c>
      <c r="N1" s="42">
        <v>100</v>
      </c>
      <c r="W1" s="14">
        <f ca="1">TODAY()</f>
        <v>44533</v>
      </c>
    </row>
    <row r="2" spans="1:23" ht="16" customHeight="1" thickBot="1" x14ac:dyDescent="0.4">
      <c r="A2" s="87"/>
      <c r="B2" s="14"/>
    </row>
    <row r="3" spans="1:23" ht="15" thickTop="1" x14ac:dyDescent="0.35">
      <c r="B3" s="14"/>
      <c r="M3" s="145" t="s">
        <v>11</v>
      </c>
      <c r="N3" s="146">
        <f>SUMPRODUCT((Tableau3[Paiement]="Espèces")*Tableau3[Total TK])+$N$1-SUM($L$2:$L$65000)</f>
        <v>100</v>
      </c>
    </row>
    <row r="4" spans="1:23" x14ac:dyDescent="0.35">
      <c r="B4" s="14"/>
      <c r="M4" s="145"/>
      <c r="N4" s="147"/>
    </row>
    <row r="5" spans="1:23" ht="15" thickBot="1" x14ac:dyDescent="0.4">
      <c r="B5" s="14"/>
      <c r="M5" s="145"/>
      <c r="N5" s="148"/>
    </row>
    <row r="6" spans="1:23" ht="15" thickTop="1" x14ac:dyDescent="0.35">
      <c r="B6" s="14"/>
      <c r="P6" s="45"/>
    </row>
    <row r="7" spans="1:23" x14ac:dyDescent="0.35">
      <c r="B7" s="14"/>
      <c r="P7" s="45"/>
    </row>
    <row r="8" spans="1:23" x14ac:dyDescent="0.35">
      <c r="B8" s="14"/>
      <c r="P8" s="45"/>
    </row>
    <row r="9" spans="1:23" x14ac:dyDescent="0.35">
      <c r="B9" s="14"/>
      <c r="P9" s="45"/>
    </row>
    <row r="10" spans="1:23" x14ac:dyDescent="0.35">
      <c r="B10" s="14"/>
    </row>
    <row r="11" spans="1:23" x14ac:dyDescent="0.35">
      <c r="B11" s="14"/>
      <c r="E11" s="47"/>
      <c r="P11" s="16"/>
    </row>
    <row r="12" spans="1:23" x14ac:dyDescent="0.35">
      <c r="B12" s="14"/>
    </row>
    <row r="13" spans="1:23" x14ac:dyDescent="0.35">
      <c r="B13" s="14"/>
      <c r="P13" s="45"/>
    </row>
    <row r="14" spans="1:23" x14ac:dyDescent="0.35">
      <c r="B14" s="14"/>
    </row>
    <row r="15" spans="1:23" x14ac:dyDescent="0.35">
      <c r="B15" s="14"/>
      <c r="P15" s="45"/>
    </row>
    <row r="16" spans="1:23" x14ac:dyDescent="0.35">
      <c r="B16" s="14"/>
      <c r="R16" s="47"/>
    </row>
    <row r="17" spans="2:18" x14ac:dyDescent="0.35">
      <c r="B17" s="14"/>
    </row>
    <row r="18" spans="2:18" x14ac:dyDescent="0.35">
      <c r="B18" s="14"/>
      <c r="R18" s="47"/>
    </row>
    <row r="19" spans="2:18" x14ac:dyDescent="0.35">
      <c r="B19" s="14"/>
    </row>
    <row r="20" spans="2:18" x14ac:dyDescent="0.35">
      <c r="G20" s="23"/>
    </row>
    <row r="21" spans="2:18" x14ac:dyDescent="0.35">
      <c r="P21" s="45"/>
    </row>
    <row r="23" spans="2:18" x14ac:dyDescent="0.35">
      <c r="P23" s="45"/>
    </row>
    <row r="29" spans="2:18" x14ac:dyDescent="0.35">
      <c r="G29" s="16"/>
    </row>
    <row r="30" spans="2:18" x14ac:dyDescent="0.35">
      <c r="P30" s="45"/>
    </row>
  </sheetData>
  <mergeCells count="2">
    <mergeCell ref="M3:M5"/>
    <mergeCell ref="N3:N5"/>
  </mergeCells>
  <pageMargins left="0.7" right="0.7" top="0.75" bottom="0.75" header="0.3" footer="0.3"/>
  <pageSetup paperSize="9" orientation="portrait" horizontalDpi="0" verticalDpi="0" r:id="rId1"/>
  <ignoredErrors>
    <ignoredError sqref="N3" emptyCellReference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Commande</vt:lpstr>
      <vt:lpstr>Articles</vt:lpstr>
      <vt:lpstr>Reçu</vt:lpstr>
      <vt:lpstr>Caisse</vt:lpstr>
      <vt:lpstr>base</vt:lpstr>
      <vt:lpstr>choix1</vt:lpstr>
      <vt:lpstr>Moyen_paiement</vt:lpstr>
      <vt:lpstr>Prix</vt:lpstr>
      <vt:lpstr>références</vt:lpstr>
      <vt:lpstr>Reçu!Zone_d_impression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2021-12-03T16:25:23Z</cp:lastPrinted>
  <dcterms:created xsi:type="dcterms:W3CDTF">2009-07-12T14:21:39Z</dcterms:created>
  <dcterms:modified xsi:type="dcterms:W3CDTF">2021-12-03T17:47:10Z</dcterms:modified>
</cp:coreProperties>
</file>