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360" windowWidth="18500" windowHeight="10920"/>
  </bookViews>
  <sheets>
    <sheet name="Commande" sheetId="9" r:id="rId1"/>
    <sheet name="Articles" sheetId="1" r:id="rId2"/>
    <sheet name="Reçu" sheetId="10" state="hidden" r:id="rId3"/>
    <sheet name="Caisse" sheetId="17" r:id="rId4"/>
    <sheet name="Caisse_08" sheetId="16" r:id="rId5"/>
  </sheets>
  <functionGroups/>
  <definedNames>
    <definedName name="_xlnm._FilterDatabase" localSheetId="1" hidden="1">Articles!$A$1:$A$16</definedName>
    <definedName name="_xlnm._FilterDatabase" localSheetId="0" hidden="1">Commande!$A$1:$M$24</definedName>
    <definedName name="base">Articles!$A$1:$H$16</definedName>
    <definedName name="base2">Articles!$B$2:$E$16</definedName>
    <definedName name="choix1">Commande!$A1</definedName>
    <definedName name="choix2">Commande!$B1</definedName>
    <definedName name="Design">OFFSET(Articles!$C$1,MATCH(choix2,Articles!$B:$B,0)-1,,COUNTIF(Articles!$B:$B,choix2),)</definedName>
    <definedName name="_xlnm.Extract" localSheetId="1">Articles!$X$1</definedName>
    <definedName name="Marques">Articles!$X$1:$X$7</definedName>
    <definedName name="Moyen_paiement">Commande!$Q$2:$Q$4</definedName>
    <definedName name="Prix">Articles!$B$2:$D$16</definedName>
    <definedName name="Ref">OFFSET(Articles!$B$1,MATCH(choix1,Articles!$A:$A,0)-1,,COUNTIF(Articles!$A:$A,choix1),)</definedName>
    <definedName name="_xlnm.Print_Area" localSheetId="2">Reçu!$A$1:$F$32</definedName>
  </definedNames>
  <calcPr calcId="125725"/>
</workbook>
</file>

<file path=xl/calcChain.xml><?xml version="1.0" encoding="utf-8"?>
<calcChain xmlns="http://schemas.openxmlformats.org/spreadsheetml/2006/main">
  <c r="F23" i="9"/>
  <c r="F3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"/>
  <c r="G1"/>
  <c r="J21" i="17"/>
  <c r="I21"/>
  <c r="H21"/>
  <c r="G21"/>
  <c r="J17"/>
  <c r="I17"/>
  <c r="H17"/>
  <c r="G17"/>
  <c r="J13"/>
  <c r="I13"/>
  <c r="H13"/>
  <c r="G13"/>
  <c r="M3"/>
  <c r="A2"/>
  <c r="V1"/>
  <c r="M3" i="16"/>
  <c r="D2" i="10"/>
  <c r="E11" i="9"/>
  <c r="G16" i="1"/>
  <c r="F16"/>
  <c r="E3" i="9"/>
  <c r="F5" i="10" s="1"/>
  <c r="E4" i="9"/>
  <c r="F6" i="10" s="1"/>
  <c r="E5" i="9"/>
  <c r="E6"/>
  <c r="F8" i="10" s="1"/>
  <c r="E7" i="9"/>
  <c r="E8"/>
  <c r="E9"/>
  <c r="E10"/>
  <c r="E12"/>
  <c r="E13"/>
  <c r="E14"/>
  <c r="E15"/>
  <c r="E16"/>
  <c r="E17"/>
  <c r="E18"/>
  <c r="E19"/>
  <c r="E20"/>
  <c r="E21"/>
  <c r="E22"/>
  <c r="E23"/>
  <c r="E2"/>
  <c r="F4" i="10" s="1"/>
  <c r="B30"/>
  <c r="A5"/>
  <c r="A6"/>
  <c r="B6"/>
  <c r="C6"/>
  <c r="A7"/>
  <c r="E7" s="1"/>
  <c r="B7"/>
  <c r="C7"/>
  <c r="A8"/>
  <c r="E8" s="1"/>
  <c r="B8"/>
  <c r="C8"/>
  <c r="A9"/>
  <c r="E9" s="1"/>
  <c r="B9"/>
  <c r="C9"/>
  <c r="A10"/>
  <c r="E10" s="1"/>
  <c r="B10"/>
  <c r="C10"/>
  <c r="A11"/>
  <c r="E11" s="1"/>
  <c r="B11"/>
  <c r="C11"/>
  <c r="A12"/>
  <c r="E12" s="1"/>
  <c r="B12"/>
  <c r="C12"/>
  <c r="A13"/>
  <c r="E13" s="1"/>
  <c r="B13"/>
  <c r="C13"/>
  <c r="A14"/>
  <c r="E14" s="1"/>
  <c r="B14"/>
  <c r="C14"/>
  <c r="A15"/>
  <c r="E15" s="1"/>
  <c r="B15"/>
  <c r="C15"/>
  <c r="A16"/>
  <c r="E16" s="1"/>
  <c r="B16"/>
  <c r="C16"/>
  <c r="A17"/>
  <c r="E17" s="1"/>
  <c r="B17"/>
  <c r="C17"/>
  <c r="A18"/>
  <c r="E18" s="1"/>
  <c r="B18"/>
  <c r="C18"/>
  <c r="A19"/>
  <c r="E19" s="1"/>
  <c r="B19"/>
  <c r="C19"/>
  <c r="A20"/>
  <c r="E20" s="1"/>
  <c r="B20"/>
  <c r="C20"/>
  <c r="A21"/>
  <c r="E21" s="1"/>
  <c r="B21"/>
  <c r="C21"/>
  <c r="A22"/>
  <c r="E22" s="1"/>
  <c r="B22"/>
  <c r="C22"/>
  <c r="A23"/>
  <c r="E23" s="1"/>
  <c r="B23"/>
  <c r="C23"/>
  <c r="A24"/>
  <c r="E24" s="1"/>
  <c r="B24"/>
  <c r="C24"/>
  <c r="A25"/>
  <c r="E25" s="1"/>
  <c r="B25"/>
  <c r="C25"/>
  <c r="A4"/>
  <c r="E4" s="1"/>
  <c r="E5"/>
  <c r="E6"/>
  <c r="F7"/>
  <c r="F9"/>
  <c r="F10"/>
  <c r="F11"/>
  <c r="F12"/>
  <c r="F13"/>
  <c r="F14"/>
  <c r="F15"/>
  <c r="F16"/>
  <c r="F17"/>
  <c r="F18"/>
  <c r="F19"/>
  <c r="F20"/>
  <c r="F21"/>
  <c r="F22"/>
  <c r="F23"/>
  <c r="F24"/>
  <c r="F25"/>
  <c r="B5"/>
  <c r="C5"/>
  <c r="C4"/>
  <c r="B4"/>
  <c r="J8" i="16"/>
  <c r="I8"/>
  <c r="J7"/>
  <c r="I7"/>
  <c r="H7"/>
  <c r="H8"/>
  <c r="G9"/>
  <c r="G8"/>
  <c r="G7"/>
  <c r="A2"/>
  <c r="V1"/>
  <c r="G13" i="1"/>
  <c r="G12"/>
  <c r="G14"/>
  <c r="G10"/>
  <c r="G15"/>
  <c r="G8"/>
  <c r="G2"/>
  <c r="G6"/>
  <c r="G3"/>
  <c r="G9"/>
  <c r="G4"/>
  <c r="G5"/>
  <c r="G7"/>
  <c r="G11"/>
  <c r="H16" l="1"/>
  <c r="J9" i="16"/>
  <c r="I9"/>
  <c r="H9"/>
  <c r="F28" i="10" l="1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D7"/>
  <c r="D6"/>
  <c r="D5"/>
  <c r="D4"/>
  <c r="F7" i="1" l="1"/>
  <c r="F5"/>
  <c r="F4"/>
  <c r="F9"/>
  <c r="F3"/>
  <c r="F6"/>
  <c r="F2"/>
  <c r="F8"/>
  <c r="F15"/>
  <c r="F10"/>
  <c r="F11"/>
  <c r="F12"/>
  <c r="H12" s="1"/>
  <c r="F14"/>
  <c r="F13"/>
  <c r="H13" s="1"/>
  <c r="H14" l="1"/>
  <c r="H10"/>
  <c r="H15"/>
  <c r="H8"/>
  <c r="H2"/>
  <c r="H6"/>
  <c r="H3"/>
  <c r="H9"/>
  <c r="H4"/>
  <c r="H5"/>
  <c r="H7"/>
  <c r="H11"/>
  <c r="J1" i="9" l="1"/>
  <c r="A2" i="10" l="1"/>
  <c r="G4" i="9"/>
  <c r="I20" l="1"/>
  <c r="G19"/>
  <c r="F26" i="10" s="1"/>
  <c r="F27" s="1"/>
  <c r="F29" l="1"/>
</calcChain>
</file>

<file path=xl/sharedStrings.xml><?xml version="1.0" encoding="utf-8"?>
<sst xmlns="http://schemas.openxmlformats.org/spreadsheetml/2006/main" count="160" uniqueCount="85">
  <si>
    <t>Prix</t>
  </si>
  <si>
    <t>Total Facture</t>
  </si>
  <si>
    <t>A rendre</t>
  </si>
  <si>
    <t>Somme Reçue</t>
  </si>
  <si>
    <t>Somme Rendue</t>
  </si>
  <si>
    <t>Tarif Unitaire</t>
  </si>
  <si>
    <t>P. U.</t>
  </si>
  <si>
    <t>Qté</t>
  </si>
  <si>
    <t>date</t>
  </si>
  <si>
    <t>Heure</t>
  </si>
  <si>
    <t>N° de TK</t>
  </si>
  <si>
    <t>TOTAL JOURNEE</t>
  </si>
  <si>
    <t>Caisse Départ</t>
  </si>
  <si>
    <t>Montant Caisse</t>
  </si>
  <si>
    <t>TK N°:</t>
  </si>
  <si>
    <t>Total TK</t>
  </si>
  <si>
    <t>Stock</t>
  </si>
  <si>
    <t>Espèces</t>
  </si>
  <si>
    <t>Chèques</t>
  </si>
  <si>
    <t>Cartes</t>
  </si>
  <si>
    <t>Paiement</t>
  </si>
  <si>
    <t xml:space="preserve"> Espèces</t>
  </si>
  <si>
    <t>Recettes :</t>
  </si>
  <si>
    <t>Amélioration  du fichier,</t>
  </si>
  <si>
    <t>Sorties</t>
  </si>
  <si>
    <t>Stock_Dep</t>
  </si>
  <si>
    <t>Stock_New</t>
  </si>
  <si>
    <t>Elles servent à recalculer le stock</t>
  </si>
  <si>
    <t>Fin d'année. Sauvegarde de l'année écoulée et création d'un nouveau fichier pour la nouvelle année. Voir Bouton de commande"Changement d'année".</t>
  </si>
  <si>
    <t xml:space="preserve">    -Total  recette de la journée en colonne G (dont Espèces col H, Chèques col I, Cartes col J).</t>
  </si>
  <si>
    <r>
      <t xml:space="preserve">Fin de mois. Copie de la caisse vers une nouvelle feuille Caisse_N°mois. </t>
    </r>
    <r>
      <rPr>
        <i/>
        <sz val="10"/>
        <color indexed="8"/>
        <rFont val="Times New Roman"/>
        <family val="1"/>
      </rPr>
      <t>Calcul recettes espèces, chèques, cartes</t>
    </r>
    <r>
      <rPr>
        <sz val="10"/>
        <color indexed="8"/>
        <rFont val="Times New Roman"/>
        <family val="1"/>
      </rPr>
      <t>. Voir Bouton de commande "Changement de mois".</t>
    </r>
  </si>
  <si>
    <t>Moyen de paiement</t>
  </si>
  <si>
    <t>Vrst Banque</t>
  </si>
  <si>
    <t xml:space="preserve">    -Montant de la caisse en cellule M3 (somme recettes en espèces + caisse départ à initialiser en case M1).</t>
  </si>
  <si>
    <t>Marques</t>
  </si>
  <si>
    <t>Référence</t>
  </si>
  <si>
    <t>Désignation</t>
  </si>
  <si>
    <t>Colonnes F,G et H masquées</t>
  </si>
  <si>
    <t>S123458</t>
  </si>
  <si>
    <t>Marque du Tél.</t>
  </si>
  <si>
    <t>AJOUT d'un feuillet "Caisse" permettant d'attribuer un N° de Facture  et de sauvegarder les opérations comptables.</t>
  </si>
  <si>
    <t>En cliquant sur "Fin de journée" on autorise la fermeture de la caisse (après OK).</t>
  </si>
  <si>
    <t>PRIX unitaire sur le Reçu ainsi que le N° de facture sous la forme: N°/année-mois, ainsi que le moyen de paiement.</t>
  </si>
  <si>
    <r>
      <t xml:space="preserve">Moyen de paiement </t>
    </r>
    <r>
      <rPr>
        <b/>
        <u/>
        <sz val="10"/>
        <color indexed="8"/>
        <rFont val="Times New Roman"/>
        <family val="1"/>
      </rPr>
      <t>obligatoire</t>
    </r>
    <r>
      <rPr>
        <sz val="10"/>
        <color indexed="8"/>
        <rFont val="Times New Roman"/>
        <family val="1"/>
      </rPr>
      <t xml:space="preserve"> en cellule G16 (bleue) du feuillet"Commande" par liste déroulante.</t>
    </r>
  </si>
  <si>
    <t>Visualisation stocks en col F du feuillet "Commande" (si &lt;10 se met en rouge) + gestion avec Bouton de commande MAJ.</t>
  </si>
  <si>
    <t>Si Montant Caisse &gt;2000, message en cellule G1 "Versement banque à prévoir". Voir Bouton de commande "Versement banque".</t>
  </si>
  <si>
    <t>Noir</t>
  </si>
  <si>
    <t>TOTAL MOIS</t>
  </si>
  <si>
    <t>Rouge</t>
  </si>
  <si>
    <t>Argent</t>
  </si>
  <si>
    <t>Blanc</t>
  </si>
  <si>
    <t>Tactile</t>
  </si>
  <si>
    <t>GALAXY Y</t>
  </si>
  <si>
    <t>XPERIA E</t>
  </si>
  <si>
    <t>C2-05</t>
  </si>
  <si>
    <t>IPHONE 4</t>
  </si>
  <si>
    <t>Ristourne sur ancien appareil restitué</t>
  </si>
  <si>
    <t>Références</t>
  </si>
  <si>
    <t>Paiement:</t>
  </si>
  <si>
    <t>T385</t>
  </si>
  <si>
    <t>Wifi</t>
  </si>
  <si>
    <t>Gestion des ventes et des stocks : Excel - VBA</t>
  </si>
  <si>
    <t>Si Récup ancien Appareil, le valoriser lors de la facturation en encaissant seulement la différence. Notification de la ristourne sur le Reçu,</t>
  </si>
  <si>
    <t>IPHONE 4S</t>
  </si>
  <si>
    <t>ASHA 302</t>
  </si>
  <si>
    <t>CURVE</t>
  </si>
  <si>
    <t>Z10</t>
  </si>
  <si>
    <t>OPTIMUS</t>
  </si>
  <si>
    <t>L3</t>
  </si>
  <si>
    <t>XPERIA M</t>
  </si>
  <si>
    <t>Graphite</t>
  </si>
  <si>
    <t>16 Go</t>
  </si>
  <si>
    <t>SOLID B2710</t>
  </si>
  <si>
    <t>GT-C3595</t>
  </si>
  <si>
    <t>E 1190</t>
  </si>
  <si>
    <t xml:space="preserve">8 Go </t>
  </si>
  <si>
    <t>Clapet</t>
  </si>
  <si>
    <t>FACTURE</t>
  </si>
  <si>
    <t>17/2013-9</t>
  </si>
  <si>
    <t>APPLE</t>
  </si>
  <si>
    <t>BLACKBERRY</t>
  </si>
  <si>
    <t>LG</t>
  </si>
  <si>
    <t>NOKIA</t>
  </si>
  <si>
    <t>SAMSUNG</t>
  </si>
  <si>
    <t>SONY</t>
  </si>
</sst>
</file>

<file path=xl/styles.xml><?xml version="1.0" encoding="utf-8"?>
<styleSheet xmlns="http://schemas.openxmlformats.org/spreadsheetml/2006/main">
  <numFmts count="5">
    <numFmt numFmtId="164" formatCode="&quot;€&quot;#,##0.00_);\(&quot;€&quot;#,##0.00\)"/>
    <numFmt numFmtId="165" formatCode="_(&quot;€&quot;* #,##0.00_);_(&quot;€&quot;* \(#,##0.00\);_(&quot;€&quot;* &quot;-&quot;??_);_(@_)"/>
    <numFmt numFmtId="166" formatCode="h:mm:ss;@"/>
    <numFmt numFmtId="167" formatCode="[$-F400]h:mm:ss\ AM/PM"/>
    <numFmt numFmtId="168" formatCode="#,##0.00\ &quot;€&quot;"/>
  </numFmts>
  <fonts count="39">
    <font>
      <sz val="11"/>
      <color theme="1"/>
      <name val="Calibri"/>
      <family val="2"/>
      <scheme val="minor"/>
    </font>
    <font>
      <b/>
      <sz val="18"/>
      <color indexed="9"/>
      <name val="Calibri"/>
      <family val="2"/>
    </font>
    <font>
      <b/>
      <sz val="18"/>
      <color indexed="8"/>
      <name val="Cambria"/>
      <family val="1"/>
    </font>
    <font>
      <b/>
      <sz val="18"/>
      <color indexed="8"/>
      <name val="Calibri"/>
      <family val="2"/>
    </font>
    <font>
      <b/>
      <sz val="28"/>
      <color indexed="9"/>
      <name val="Calibri"/>
      <family val="2"/>
    </font>
    <font>
      <b/>
      <sz val="28"/>
      <name val="Calibri"/>
      <family val="2"/>
    </font>
    <font>
      <b/>
      <sz val="48"/>
      <color indexed="10"/>
      <name val="Calibri"/>
      <family val="2"/>
    </font>
    <font>
      <b/>
      <sz val="48"/>
      <color indexed="17"/>
      <name val="Calibri"/>
      <family val="2"/>
    </font>
    <font>
      <b/>
      <sz val="26"/>
      <name val="Calibri"/>
      <family val="2"/>
    </font>
    <font>
      <b/>
      <sz val="30"/>
      <color indexed="10"/>
      <name val="Calibri"/>
      <family val="2"/>
    </font>
    <font>
      <b/>
      <sz val="20"/>
      <color indexed="10"/>
      <name val="Calibri"/>
      <family val="2"/>
    </font>
    <font>
      <sz val="20"/>
      <color indexed="8"/>
      <name val="Calibri"/>
      <family val="2"/>
    </font>
    <font>
      <b/>
      <sz val="16"/>
      <color indexed="8"/>
      <name val="Calibri"/>
      <family val="2"/>
    </font>
    <font>
      <b/>
      <sz val="36"/>
      <color indexed="9"/>
      <name val="Calibri"/>
      <family val="2"/>
    </font>
    <font>
      <b/>
      <sz val="28"/>
      <color indexed="8"/>
      <name val="Calibri"/>
      <family val="2"/>
    </font>
    <font>
      <sz val="8"/>
      <name val="Calibri"/>
      <family val="2"/>
    </font>
    <font>
      <b/>
      <sz val="20"/>
      <color indexed="12"/>
      <name val="Calibri"/>
      <family val="2"/>
    </font>
    <font>
      <sz val="18"/>
      <color indexed="8"/>
      <name val="Calibri"/>
      <family val="2"/>
    </font>
    <font>
      <u/>
      <sz val="11"/>
      <color indexed="12"/>
      <name val="Calibri"/>
      <family val="2"/>
    </font>
    <font>
      <b/>
      <sz val="20"/>
      <color rgb="FF00B050"/>
      <name val="Calibri"/>
      <family val="2"/>
    </font>
    <font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24"/>
      <color rgb="FFFF0000"/>
      <name val="Calibri"/>
      <family val="2"/>
    </font>
    <font>
      <b/>
      <sz val="20"/>
      <color indexed="8"/>
      <name val="Calibri"/>
      <family val="2"/>
    </font>
    <font>
      <sz val="10"/>
      <color indexed="8"/>
      <name val="Calibri"/>
      <family val="2"/>
    </font>
    <font>
      <sz val="10"/>
      <color rgb="FF000000"/>
      <name val="Times New Roman"/>
      <family val="1"/>
    </font>
    <font>
      <b/>
      <sz val="10"/>
      <color indexed="8"/>
      <name val="Times New Roman"/>
      <family val="1"/>
    </font>
    <font>
      <sz val="10"/>
      <color indexed="8"/>
      <name val="Times New Roman"/>
      <family val="1"/>
    </font>
    <font>
      <i/>
      <sz val="18"/>
      <color indexed="8"/>
      <name val="Calibri"/>
      <family val="2"/>
    </font>
    <font>
      <i/>
      <sz val="10"/>
      <color rgb="FF000000"/>
      <name val="Times New Roman"/>
      <family val="1"/>
    </font>
    <font>
      <b/>
      <u/>
      <sz val="12"/>
      <color rgb="FF000000"/>
      <name val="Times New Roman"/>
      <family val="1"/>
    </font>
    <font>
      <b/>
      <u/>
      <sz val="10"/>
      <color indexed="8"/>
      <name val="Times New Roman"/>
      <family val="1"/>
    </font>
    <font>
      <i/>
      <sz val="10"/>
      <color indexed="8"/>
      <name val="Times New Roman"/>
      <family val="1"/>
    </font>
    <font>
      <b/>
      <sz val="10"/>
      <color indexed="8"/>
      <name val="Calibri"/>
      <family val="2"/>
    </font>
    <font>
      <b/>
      <sz val="48"/>
      <color indexed="12"/>
      <name val="Calibri"/>
      <family val="2"/>
    </font>
    <font>
      <b/>
      <sz val="20"/>
      <color theme="1"/>
      <name val="Calibri"/>
      <family val="2"/>
    </font>
    <font>
      <b/>
      <sz val="18"/>
      <color theme="1"/>
      <name val="Calibri"/>
      <family val="2"/>
    </font>
    <font>
      <b/>
      <sz val="28"/>
      <color theme="1"/>
      <name val="Calibri"/>
      <family val="2"/>
    </font>
    <font>
      <b/>
      <sz val="20"/>
      <color rgb="FFFF0000"/>
      <name val="Calibri"/>
      <family val="2"/>
    </font>
  </fonts>
  <fills count="21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 tint="-0.249977111117893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 style="thin">
        <color indexed="9"/>
      </right>
      <top style="medium">
        <color indexed="64"/>
      </top>
      <bottom style="medium">
        <color indexed="64"/>
      </bottom>
      <diagonal/>
    </border>
    <border>
      <left style="thin">
        <color indexed="9"/>
      </left>
      <right style="thin">
        <color indexed="9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9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9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thick">
        <color rgb="FFFF0000"/>
      </right>
      <top/>
      <bottom/>
      <diagonal/>
    </border>
    <border>
      <left style="thick">
        <color rgb="FFFF0000"/>
      </left>
      <right style="thick">
        <color rgb="FFFF0000"/>
      </right>
      <top/>
      <bottom style="thick">
        <color rgb="FFFF0000"/>
      </bottom>
      <diagonal/>
    </border>
    <border>
      <left/>
      <right style="thin">
        <color indexed="9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8" fillId="0" borderId="0" applyNumberFormat="0" applyFill="0" applyBorder="0" applyAlignment="0" applyProtection="0">
      <alignment vertical="top"/>
      <protection locked="0"/>
    </xf>
  </cellStyleXfs>
  <cellXfs count="131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3" fillId="4" borderId="0" xfId="0" applyFont="1" applyFill="1" applyAlignment="1">
      <alignment vertical="center"/>
    </xf>
    <xf numFmtId="0" fontId="3" fillId="4" borderId="0" xfId="0" applyFont="1" applyFill="1" applyAlignment="1">
      <alignment horizontal="center" vertical="center"/>
    </xf>
    <xf numFmtId="0" fontId="3" fillId="3" borderId="3" xfId="0" applyFont="1" applyFill="1" applyBorder="1" applyAlignment="1" applyProtection="1">
      <alignment horizontal="center" vertical="center"/>
      <protection locked="0"/>
    </xf>
    <xf numFmtId="0" fontId="3" fillId="3" borderId="4" xfId="0" applyFont="1" applyFill="1" applyBorder="1" applyAlignment="1" applyProtection="1">
      <alignment horizontal="center" vertical="center"/>
      <protection locked="0"/>
    </xf>
    <xf numFmtId="0" fontId="9" fillId="4" borderId="5" xfId="0" applyFont="1" applyFill="1" applyBorder="1" applyAlignment="1">
      <alignment vertical="center"/>
    </xf>
    <xf numFmtId="0" fontId="9" fillId="4" borderId="0" xfId="0" applyFont="1" applyFill="1" applyAlignment="1">
      <alignment vertical="center"/>
    </xf>
    <xf numFmtId="0" fontId="10" fillId="4" borderId="5" xfId="0" applyFont="1" applyFill="1" applyBorder="1" applyAlignment="1">
      <alignment vertical="center"/>
    </xf>
    <xf numFmtId="0" fontId="11" fillId="0" borderId="0" xfId="0" applyFont="1"/>
    <xf numFmtId="0" fontId="10" fillId="4" borderId="0" xfId="0" applyFont="1" applyFill="1" applyBorder="1" applyAlignment="1">
      <alignment vertical="center"/>
    </xf>
    <xf numFmtId="0" fontId="9" fillId="4" borderId="0" xfId="0" applyFont="1" applyFill="1" applyBorder="1" applyAlignment="1">
      <alignment vertical="center"/>
    </xf>
    <xf numFmtId="0" fontId="3" fillId="0" borderId="0" xfId="0" applyFont="1" applyFill="1" applyAlignment="1">
      <alignment vertical="center"/>
    </xf>
    <xf numFmtId="0" fontId="17" fillId="0" borderId="0" xfId="0" applyFont="1" applyFill="1" applyAlignment="1">
      <alignment vertical="center"/>
    </xf>
    <xf numFmtId="0" fontId="12" fillId="3" borderId="6" xfId="0" applyFont="1" applyFill="1" applyBorder="1" applyAlignment="1" applyProtection="1">
      <alignment horizontal="left" vertical="center"/>
    </xf>
    <xf numFmtId="0" fontId="3" fillId="3" borderId="3" xfId="0" applyFont="1" applyFill="1" applyBorder="1" applyAlignment="1" applyProtection="1">
      <alignment horizontal="center" vertical="center"/>
    </xf>
    <xf numFmtId="0" fontId="18" fillId="4" borderId="0" xfId="1" applyFill="1" applyAlignment="1" applyProtection="1">
      <alignment vertical="center"/>
    </xf>
    <xf numFmtId="14" fontId="0" fillId="0" borderId="0" xfId="0" applyNumberFormat="1"/>
    <xf numFmtId="167" fontId="0" fillId="0" borderId="0" xfId="0" applyNumberFormat="1"/>
    <xf numFmtId="165" fontId="0" fillId="0" borderId="0" xfId="0" applyNumberFormat="1"/>
    <xf numFmtId="165" fontId="1" fillId="2" borderId="8" xfId="0" applyNumberFormat="1" applyFont="1" applyFill="1" applyBorder="1" applyAlignment="1">
      <alignment horizontal="center" vertical="center"/>
    </xf>
    <xf numFmtId="165" fontId="3" fillId="4" borderId="0" xfId="0" applyNumberFormat="1" applyFont="1" applyFill="1" applyAlignment="1">
      <alignment horizontal="center" vertical="center"/>
    </xf>
    <xf numFmtId="165" fontId="3" fillId="3" borderId="3" xfId="0" applyNumberFormat="1" applyFont="1" applyFill="1" applyBorder="1" applyAlignment="1" applyProtection="1">
      <alignment horizontal="center" vertical="center"/>
    </xf>
    <xf numFmtId="165" fontId="3" fillId="0" borderId="0" xfId="0" applyNumberFormat="1" applyFont="1" applyFill="1" applyAlignment="1">
      <alignment vertical="center"/>
    </xf>
    <xf numFmtId="165" fontId="16" fillId="3" borderId="11" xfId="0" applyNumberFormat="1" applyFont="1" applyFill="1" applyBorder="1" applyAlignment="1">
      <alignment horizontal="center" vertical="center"/>
    </xf>
    <xf numFmtId="165" fontId="19" fillId="3" borderId="11" xfId="0" applyNumberFormat="1" applyFont="1" applyFill="1" applyBorder="1" applyAlignment="1">
      <alignment horizontal="center" vertical="center"/>
    </xf>
    <xf numFmtId="165" fontId="3" fillId="0" borderId="0" xfId="0" applyNumberFormat="1" applyFont="1" applyFill="1" applyAlignment="1">
      <alignment horizontal="center" vertical="center"/>
    </xf>
    <xf numFmtId="165" fontId="0" fillId="8" borderId="0" xfId="0" applyNumberFormat="1" applyFill="1"/>
    <xf numFmtId="165" fontId="11" fillId="0" borderId="0" xfId="0" applyNumberFormat="1" applyFont="1"/>
    <xf numFmtId="0" fontId="0" fillId="0" borderId="0" xfId="0" applyNumberFormat="1"/>
    <xf numFmtId="1" fontId="11" fillId="0" borderId="0" xfId="0" applyNumberFormat="1" applyFont="1" applyAlignment="1">
      <alignment horizontal="right"/>
    </xf>
    <xf numFmtId="1" fontId="1" fillId="2" borderId="8" xfId="0" applyNumberFormat="1" applyFont="1" applyFill="1" applyBorder="1" applyAlignment="1">
      <alignment horizontal="center" vertical="center"/>
    </xf>
    <xf numFmtId="1" fontId="3" fillId="3" borderId="9" xfId="0" applyNumberFormat="1" applyFont="1" applyFill="1" applyBorder="1" applyAlignment="1">
      <alignment horizontal="center" vertical="center"/>
    </xf>
    <xf numFmtId="1" fontId="3" fillId="4" borderId="0" xfId="0" applyNumberFormat="1" applyFont="1" applyFill="1" applyAlignment="1">
      <alignment vertical="center"/>
    </xf>
    <xf numFmtId="165" fontId="2" fillId="3" borderId="9" xfId="0" applyNumberFormat="1" applyFont="1" applyFill="1" applyBorder="1" applyAlignment="1">
      <alignment horizontal="center" vertical="center"/>
    </xf>
    <xf numFmtId="0" fontId="22" fillId="4" borderId="0" xfId="0" applyFont="1" applyFill="1" applyAlignment="1">
      <alignment vertical="center"/>
    </xf>
    <xf numFmtId="0" fontId="3" fillId="4" borderId="0" xfId="0" applyFont="1" applyFill="1" applyAlignment="1">
      <alignment horizontal="right" vertical="center"/>
    </xf>
    <xf numFmtId="0" fontId="3" fillId="0" borderId="0" xfId="0" applyNumberFormat="1" applyFont="1" applyFill="1" applyAlignment="1">
      <alignment horizontal="left" vertical="center"/>
    </xf>
    <xf numFmtId="1" fontId="11" fillId="0" borderId="0" xfId="0" applyNumberFormat="1" applyFont="1"/>
    <xf numFmtId="0" fontId="24" fillId="11" borderId="0" xfId="0" applyFont="1" applyFill="1"/>
    <xf numFmtId="0" fontId="11" fillId="11" borderId="0" xfId="0" applyFont="1" applyFill="1"/>
    <xf numFmtId="0" fontId="25" fillId="12" borderId="0" xfId="0" applyFont="1" applyFill="1" applyAlignment="1">
      <alignment horizontal="left" readingOrder="1"/>
    </xf>
    <xf numFmtId="0" fontId="26" fillId="12" borderId="0" xfId="0" applyFont="1" applyFill="1" applyAlignment="1">
      <alignment vertical="center"/>
    </xf>
    <xf numFmtId="0" fontId="27" fillId="12" borderId="0" xfId="0" applyFont="1" applyFill="1" applyAlignment="1">
      <alignment vertical="center"/>
    </xf>
    <xf numFmtId="0" fontId="28" fillId="0" borderId="0" xfId="0" applyFont="1" applyFill="1" applyAlignment="1">
      <alignment horizontal="center" vertical="center"/>
    </xf>
    <xf numFmtId="0" fontId="29" fillId="12" borderId="0" xfId="0" applyFont="1" applyFill="1" applyAlignment="1">
      <alignment horizontal="left" readingOrder="1"/>
    </xf>
    <xf numFmtId="0" fontId="30" fillId="12" borderId="0" xfId="0" applyFont="1" applyFill="1" applyAlignment="1">
      <alignment horizontal="left" readingOrder="1"/>
    </xf>
    <xf numFmtId="165" fontId="0" fillId="13" borderId="0" xfId="0" applyNumberFormat="1" applyFill="1"/>
    <xf numFmtId="165" fontId="0" fillId="14" borderId="0" xfId="0" applyNumberFormat="1" applyFill="1"/>
    <xf numFmtId="165" fontId="0" fillId="15" borderId="0" xfId="0" applyNumberFormat="1" applyFill="1" applyAlignment="1">
      <alignment horizontal="right"/>
    </xf>
    <xf numFmtId="165" fontId="0" fillId="15" borderId="0" xfId="0" applyNumberFormat="1" applyFill="1"/>
    <xf numFmtId="0" fontId="33" fillId="4" borderId="0" xfId="0" applyFont="1" applyFill="1" applyAlignment="1">
      <alignment vertical="center"/>
    </xf>
    <xf numFmtId="165" fontId="0" fillId="8" borderId="5" xfId="0" applyNumberFormat="1" applyFill="1" applyBorder="1"/>
    <xf numFmtId="165" fontId="21" fillId="16" borderId="0" xfId="0" applyNumberFormat="1" applyFont="1" applyFill="1"/>
    <xf numFmtId="165" fontId="21" fillId="16" borderId="0" xfId="0" applyNumberFormat="1" applyFont="1" applyFill="1" applyAlignment="1">
      <alignment vertical="center" wrapText="1"/>
    </xf>
    <xf numFmtId="164" fontId="0" fillId="0" borderId="0" xfId="0" applyNumberFormat="1"/>
    <xf numFmtId="168" fontId="0" fillId="0" borderId="0" xfId="0" applyNumberFormat="1"/>
    <xf numFmtId="165" fontId="0" fillId="0" borderId="0" xfId="0" applyNumberFormat="1"/>
    <xf numFmtId="168" fontId="11" fillId="0" borderId="0" xfId="0" applyNumberFormat="1" applyFont="1"/>
    <xf numFmtId="0" fontId="1" fillId="2" borderId="33" xfId="0" applyFont="1" applyFill="1" applyBorder="1" applyAlignment="1">
      <alignment horizontal="center" vertical="center"/>
    </xf>
    <xf numFmtId="0" fontId="0" fillId="17" borderId="0" xfId="0" applyFill="1"/>
    <xf numFmtId="165" fontId="0" fillId="17" borderId="0" xfId="0" applyNumberFormat="1" applyFill="1"/>
    <xf numFmtId="0" fontId="12" fillId="3" borderId="6" xfId="0" applyFont="1" applyFill="1" applyBorder="1" applyAlignment="1" applyProtection="1">
      <alignment horizontal="center" vertical="center"/>
      <protection locked="0"/>
    </xf>
    <xf numFmtId="0" fontId="12" fillId="3" borderId="7" xfId="0" applyFont="1" applyFill="1" applyBorder="1" applyAlignment="1" applyProtection="1">
      <alignment horizontal="center" vertical="center"/>
      <protection locked="0"/>
    </xf>
    <xf numFmtId="0" fontId="12" fillId="3" borderId="34" xfId="0" applyFont="1" applyFill="1" applyBorder="1" applyAlignment="1" applyProtection="1">
      <alignment horizontal="left" vertical="center"/>
    </xf>
    <xf numFmtId="49" fontId="11" fillId="0" borderId="0" xfId="0" applyNumberFormat="1" applyFont="1"/>
    <xf numFmtId="0" fontId="12" fillId="3" borderId="34" xfId="0" applyFont="1" applyFill="1" applyBorder="1" applyAlignment="1" applyProtection="1">
      <alignment horizontal="center" vertical="center"/>
      <protection locked="0"/>
    </xf>
    <xf numFmtId="0" fontId="36" fillId="15" borderId="1" xfId="0" applyFont="1" applyFill="1" applyBorder="1" applyAlignment="1">
      <alignment horizontal="center" vertical="center"/>
    </xf>
    <xf numFmtId="0" fontId="36" fillId="15" borderId="33" xfId="0" applyFont="1" applyFill="1" applyBorder="1" applyAlignment="1">
      <alignment horizontal="center" vertical="center"/>
    </xf>
    <xf numFmtId="0" fontId="36" fillId="15" borderId="2" xfId="0" applyFont="1" applyFill="1" applyBorder="1" applyAlignment="1">
      <alignment horizontal="center" vertical="center"/>
    </xf>
    <xf numFmtId="165" fontId="36" fillId="15" borderId="10" xfId="0" applyNumberFormat="1" applyFont="1" applyFill="1" applyBorder="1" applyAlignment="1">
      <alignment horizontal="center" vertical="center"/>
    </xf>
    <xf numFmtId="165" fontId="36" fillId="15" borderId="8" xfId="0" applyNumberFormat="1" applyFont="1" applyFill="1" applyBorder="1" applyAlignment="1">
      <alignment horizontal="center" vertical="center"/>
    </xf>
    <xf numFmtId="165" fontId="38" fillId="3" borderId="11" xfId="0" applyNumberFormat="1" applyFont="1" applyFill="1" applyBorder="1" applyAlignment="1">
      <alignment horizontal="center" vertical="center"/>
    </xf>
    <xf numFmtId="0" fontId="5" fillId="5" borderId="24" xfId="0" applyFont="1" applyFill="1" applyBorder="1" applyAlignment="1">
      <alignment horizontal="center" vertical="center"/>
    </xf>
    <xf numFmtId="0" fontId="5" fillId="5" borderId="12" xfId="0" applyFont="1" applyFill="1" applyBorder="1" applyAlignment="1">
      <alignment horizontal="center" vertical="center"/>
    </xf>
    <xf numFmtId="0" fontId="5" fillId="5" borderId="26" xfId="0" applyFont="1" applyFill="1" applyBorder="1" applyAlignment="1">
      <alignment horizontal="center" vertical="center"/>
    </xf>
    <xf numFmtId="0" fontId="5" fillId="5" borderId="13" xfId="0" applyFont="1" applyFill="1" applyBorder="1" applyAlignment="1">
      <alignment horizontal="center" vertical="center"/>
    </xf>
    <xf numFmtId="165" fontId="6" fillId="3" borderId="0" xfId="0" applyNumberFormat="1" applyFont="1" applyFill="1" applyBorder="1" applyAlignment="1">
      <alignment horizontal="center" vertical="center"/>
    </xf>
    <xf numFmtId="165" fontId="6" fillId="3" borderId="14" xfId="0" applyNumberFormat="1" applyFont="1" applyFill="1" applyBorder="1" applyAlignment="1">
      <alignment horizontal="center" vertical="center"/>
    </xf>
    <xf numFmtId="165" fontId="6" fillId="3" borderId="26" xfId="0" applyNumberFormat="1" applyFont="1" applyFill="1" applyBorder="1" applyAlignment="1">
      <alignment horizontal="center" vertical="center"/>
    </xf>
    <xf numFmtId="165" fontId="6" fillId="3" borderId="13" xfId="0" applyNumberFormat="1" applyFont="1" applyFill="1" applyBorder="1" applyAlignment="1">
      <alignment horizontal="center" vertical="center"/>
    </xf>
    <xf numFmtId="165" fontId="34" fillId="3" borderId="24" xfId="0" applyNumberFormat="1" applyFont="1" applyFill="1" applyBorder="1" applyAlignment="1">
      <alignment horizontal="center" vertical="center"/>
    </xf>
    <xf numFmtId="165" fontId="34" fillId="3" borderId="12" xfId="0" applyNumberFormat="1" applyFont="1" applyFill="1" applyBorder="1" applyAlignment="1">
      <alignment horizontal="center" vertical="center"/>
    </xf>
    <xf numFmtId="165" fontId="34" fillId="3" borderId="0" xfId="0" applyNumberFormat="1" applyFont="1" applyFill="1" applyBorder="1" applyAlignment="1">
      <alignment horizontal="center" vertical="center"/>
    </xf>
    <xf numFmtId="165" fontId="34" fillId="3" borderId="14" xfId="0" applyNumberFormat="1" applyFont="1" applyFill="1" applyBorder="1" applyAlignment="1">
      <alignment horizontal="center" vertical="center"/>
    </xf>
    <xf numFmtId="165" fontId="34" fillId="3" borderId="26" xfId="0" applyNumberFormat="1" applyFont="1" applyFill="1" applyBorder="1" applyAlignment="1">
      <alignment horizontal="center" vertical="center"/>
    </xf>
    <xf numFmtId="165" fontId="34" fillId="3" borderId="13" xfId="0" applyNumberFormat="1" applyFont="1" applyFill="1" applyBorder="1" applyAlignment="1">
      <alignment horizontal="center" vertical="center"/>
    </xf>
    <xf numFmtId="14" fontId="13" fillId="2" borderId="0" xfId="0" applyNumberFormat="1" applyFont="1" applyFill="1" applyAlignment="1" applyProtection="1">
      <alignment horizontal="center" vertical="center"/>
    </xf>
    <xf numFmtId="0" fontId="8" fillId="4" borderId="0" xfId="0" applyFont="1" applyFill="1" applyAlignment="1">
      <alignment horizontal="left" vertical="center"/>
    </xf>
    <xf numFmtId="0" fontId="4" fillId="6" borderId="24" xfId="0" applyFont="1" applyFill="1" applyBorder="1" applyAlignment="1">
      <alignment horizontal="center" vertical="center"/>
    </xf>
    <xf numFmtId="0" fontId="4" fillId="6" borderId="12" xfId="0" applyFont="1" applyFill="1" applyBorder="1" applyAlignment="1">
      <alignment horizontal="center" vertical="center"/>
    </xf>
    <xf numFmtId="0" fontId="4" fillId="6" borderId="26" xfId="0" applyFont="1" applyFill="1" applyBorder="1" applyAlignment="1">
      <alignment horizontal="center" vertical="center"/>
    </xf>
    <xf numFmtId="0" fontId="4" fillId="6" borderId="13" xfId="0" applyFont="1" applyFill="1" applyBorder="1" applyAlignment="1">
      <alignment horizontal="center" vertical="center"/>
    </xf>
    <xf numFmtId="0" fontId="5" fillId="7" borderId="24" xfId="0" applyFont="1" applyFill="1" applyBorder="1" applyAlignment="1">
      <alignment horizontal="center" vertical="center"/>
    </xf>
    <xf numFmtId="0" fontId="5" fillId="7" borderId="12" xfId="0" applyFont="1" applyFill="1" applyBorder="1" applyAlignment="1">
      <alignment horizontal="center" vertical="center"/>
    </xf>
    <xf numFmtId="0" fontId="5" fillId="7" borderId="26" xfId="0" applyFont="1" applyFill="1" applyBorder="1" applyAlignment="1">
      <alignment horizontal="center" vertical="center"/>
    </xf>
    <xf numFmtId="0" fontId="5" fillId="7" borderId="13" xfId="0" applyFont="1" applyFill="1" applyBorder="1" applyAlignment="1">
      <alignment horizontal="center" vertical="center"/>
    </xf>
    <xf numFmtId="165" fontId="7" fillId="3" borderId="0" xfId="0" applyNumberFormat="1" applyFont="1" applyFill="1" applyBorder="1" applyAlignment="1" applyProtection="1">
      <alignment horizontal="center" vertical="center"/>
      <protection locked="0"/>
    </xf>
    <xf numFmtId="165" fontId="7" fillId="3" borderId="14" xfId="0" applyNumberFormat="1" applyFont="1" applyFill="1" applyBorder="1" applyAlignment="1" applyProtection="1">
      <alignment horizontal="center" vertical="center"/>
      <protection locked="0"/>
    </xf>
    <xf numFmtId="165" fontId="7" fillId="3" borderId="26" xfId="0" applyNumberFormat="1" applyFont="1" applyFill="1" applyBorder="1" applyAlignment="1" applyProtection="1">
      <alignment horizontal="center" vertical="center"/>
      <protection locked="0"/>
    </xf>
    <xf numFmtId="165" fontId="7" fillId="3" borderId="13" xfId="0" applyNumberFormat="1" applyFont="1" applyFill="1" applyBorder="1" applyAlignment="1" applyProtection="1">
      <alignment horizontal="center" vertical="center"/>
      <protection locked="0"/>
    </xf>
    <xf numFmtId="166" fontId="14" fillId="3" borderId="15" xfId="0" applyNumberFormat="1" applyFont="1" applyFill="1" applyBorder="1" applyAlignment="1" applyProtection="1">
      <alignment horizontal="center" vertical="center"/>
      <protection locked="0"/>
    </xf>
    <xf numFmtId="166" fontId="14" fillId="3" borderId="16" xfId="0" applyNumberFormat="1" applyFont="1" applyFill="1" applyBorder="1" applyAlignment="1" applyProtection="1">
      <alignment horizontal="center" vertical="center"/>
      <protection locked="0"/>
    </xf>
    <xf numFmtId="166" fontId="14" fillId="3" borderId="17" xfId="0" applyNumberFormat="1" applyFont="1" applyFill="1" applyBorder="1" applyAlignment="1" applyProtection="1">
      <alignment horizontal="center" vertical="center"/>
      <protection locked="0"/>
    </xf>
    <xf numFmtId="166" fontId="14" fillId="3" borderId="18" xfId="0" applyNumberFormat="1" applyFont="1" applyFill="1" applyBorder="1" applyAlignment="1" applyProtection="1">
      <alignment horizontal="center" vertical="center"/>
      <protection locked="0"/>
    </xf>
    <xf numFmtId="166" fontId="14" fillId="3" borderId="0" xfId="0" applyNumberFormat="1" applyFont="1" applyFill="1" applyBorder="1" applyAlignment="1" applyProtection="1">
      <alignment horizontal="center" vertical="center"/>
      <protection locked="0"/>
    </xf>
    <xf numFmtId="166" fontId="14" fillId="3" borderId="19" xfId="0" applyNumberFormat="1" applyFont="1" applyFill="1" applyBorder="1" applyAlignment="1" applyProtection="1">
      <alignment horizontal="center" vertical="center"/>
      <protection locked="0"/>
    </xf>
    <xf numFmtId="166" fontId="14" fillId="3" borderId="20" xfId="0" applyNumberFormat="1" applyFont="1" applyFill="1" applyBorder="1" applyAlignment="1" applyProtection="1">
      <alignment horizontal="center" vertical="center"/>
      <protection locked="0"/>
    </xf>
    <xf numFmtId="166" fontId="14" fillId="3" borderId="21" xfId="0" applyNumberFormat="1" applyFont="1" applyFill="1" applyBorder="1" applyAlignment="1" applyProtection="1">
      <alignment horizontal="center" vertical="center"/>
      <protection locked="0"/>
    </xf>
    <xf numFmtId="166" fontId="14" fillId="3" borderId="22" xfId="0" applyNumberFormat="1" applyFont="1" applyFill="1" applyBorder="1" applyAlignment="1" applyProtection="1">
      <alignment horizontal="center" vertical="center"/>
      <protection locked="0"/>
    </xf>
    <xf numFmtId="0" fontId="23" fillId="10" borderId="27" xfId="0" applyFont="1" applyFill="1" applyBorder="1" applyAlignment="1" applyProtection="1">
      <alignment horizontal="center" vertical="center"/>
      <protection locked="0"/>
    </xf>
    <xf numFmtId="0" fontId="23" fillId="10" borderId="29" xfId="0" applyFont="1" applyFill="1" applyBorder="1" applyAlignment="1" applyProtection="1">
      <alignment horizontal="center" vertical="center"/>
      <protection locked="0"/>
    </xf>
    <xf numFmtId="14" fontId="37" fillId="15" borderId="23" xfId="0" applyNumberFormat="1" applyFont="1" applyFill="1" applyBorder="1" applyAlignment="1">
      <alignment horizontal="center" vertical="center"/>
    </xf>
    <xf numFmtId="14" fontId="37" fillId="15" borderId="24" xfId="0" applyNumberFormat="1" applyFont="1" applyFill="1" applyBorder="1" applyAlignment="1">
      <alignment horizontal="center" vertical="center"/>
    </xf>
    <xf numFmtId="14" fontId="37" fillId="15" borderId="12" xfId="0" applyNumberFormat="1" applyFont="1" applyFill="1" applyBorder="1" applyAlignment="1">
      <alignment horizontal="center" vertical="center"/>
    </xf>
    <xf numFmtId="0" fontId="35" fillId="18" borderId="27" xfId="0" applyFont="1" applyFill="1" applyBorder="1" applyAlignment="1">
      <alignment horizontal="center" vertical="center"/>
    </xf>
    <xf numFmtId="0" fontId="35" fillId="18" borderId="28" xfId="0" applyFont="1" applyFill="1" applyBorder="1" applyAlignment="1">
      <alignment horizontal="center" vertical="center"/>
    </xf>
    <xf numFmtId="0" fontId="35" fillId="18" borderId="29" xfId="0" applyFont="1" applyFill="1" applyBorder="1" applyAlignment="1">
      <alignment horizontal="center" vertical="center"/>
    </xf>
    <xf numFmtId="0" fontId="23" fillId="19" borderId="24" xfId="0" applyFont="1" applyFill="1" applyBorder="1" applyAlignment="1">
      <alignment horizontal="center" vertical="center"/>
    </xf>
    <xf numFmtId="0" fontId="23" fillId="19" borderId="12" xfId="0" applyFont="1" applyFill="1" applyBorder="1" applyAlignment="1">
      <alignment horizontal="center" vertical="center"/>
    </xf>
    <xf numFmtId="0" fontId="23" fillId="20" borderId="0" xfId="0" applyFont="1" applyFill="1" applyAlignment="1">
      <alignment horizontal="center" vertical="center"/>
    </xf>
    <xf numFmtId="0" fontId="23" fillId="20" borderId="14" xfId="0" applyFont="1" applyFill="1" applyBorder="1" applyAlignment="1">
      <alignment horizontal="center" vertical="center"/>
    </xf>
    <xf numFmtId="14" fontId="35" fillId="15" borderId="25" xfId="0" applyNumberFormat="1" applyFont="1" applyFill="1" applyBorder="1" applyAlignment="1">
      <alignment horizontal="center" vertical="center"/>
    </xf>
    <xf numFmtId="14" fontId="35" fillId="15" borderId="26" xfId="0" applyNumberFormat="1" applyFont="1" applyFill="1" applyBorder="1" applyAlignment="1">
      <alignment horizontal="center" vertical="center"/>
    </xf>
    <xf numFmtId="167" fontId="35" fillId="15" borderId="26" xfId="0" applyNumberFormat="1" applyFont="1" applyFill="1" applyBorder="1" applyAlignment="1">
      <alignment horizontal="center" vertical="center"/>
    </xf>
    <xf numFmtId="167" fontId="35" fillId="15" borderId="13" xfId="0" applyNumberFormat="1" applyFont="1" applyFill="1" applyBorder="1" applyAlignment="1">
      <alignment horizontal="center" vertical="center"/>
    </xf>
    <xf numFmtId="165" fontId="20" fillId="9" borderId="0" xfId="0" applyNumberFormat="1" applyFont="1" applyFill="1" applyAlignment="1">
      <alignment horizontal="center" vertical="center" wrapText="1"/>
    </xf>
    <xf numFmtId="165" fontId="20" fillId="9" borderId="30" xfId="0" applyNumberFormat="1" applyFont="1" applyFill="1" applyBorder="1" applyAlignment="1">
      <alignment horizontal="center" vertical="center"/>
    </xf>
    <xf numFmtId="0" fontId="20" fillId="9" borderId="31" xfId="0" applyFont="1" applyFill="1" applyBorder="1" applyAlignment="1">
      <alignment horizontal="center" vertical="center"/>
    </xf>
    <xf numFmtId="0" fontId="20" fillId="9" borderId="32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55033</xdr:colOff>
      <xdr:row>12</xdr:row>
      <xdr:rowOff>200731</xdr:rowOff>
    </xdr:from>
    <xdr:to>
      <xdr:col>10</xdr:col>
      <xdr:colOff>134054</xdr:colOff>
      <xdr:row>14</xdr:row>
      <xdr:rowOff>140446</xdr:rowOff>
    </xdr:to>
    <xdr:sp macro="" textlink="">
      <xdr:nvSpPr>
        <xdr:cNvPr id="2" name="Left Arrow 1"/>
        <xdr:cNvSpPr/>
      </xdr:nvSpPr>
      <xdr:spPr>
        <a:xfrm>
          <a:off x="7484533" y="3735564"/>
          <a:ext cx="1320799" cy="518271"/>
        </a:xfrm>
        <a:prstGeom prst="leftArrow">
          <a:avLst/>
        </a:prstGeom>
        <a:solidFill>
          <a:srgbClr val="00B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r>
            <a:rPr lang="fr-FR">
              <a:solidFill>
                <a:sysClr val="windowText" lastClr="000000"/>
              </a:solidFill>
            </a:rPr>
            <a:t>Montant Reçu</a:t>
          </a:r>
        </a:p>
      </xdr:txBody>
    </xdr:sp>
    <xdr:clientData/>
  </xdr:twoCellAnchor>
  <xdr:twoCellAnchor>
    <xdr:from>
      <xdr:col>7</xdr:col>
      <xdr:colOff>1312334</xdr:colOff>
      <xdr:row>7</xdr:row>
      <xdr:rowOff>27516</xdr:rowOff>
    </xdr:from>
    <xdr:to>
      <xdr:col>10</xdr:col>
      <xdr:colOff>183444</xdr:colOff>
      <xdr:row>9</xdr:row>
      <xdr:rowOff>289277</xdr:rowOff>
    </xdr:to>
    <xdr:sp macro="[0]!Imprime" textlink="">
      <xdr:nvSpPr>
        <xdr:cNvPr id="2099" name="Flowchart: Alternate Process 4"/>
        <xdr:cNvSpPr>
          <a:spLocks noChangeArrowheads="1"/>
        </xdr:cNvSpPr>
      </xdr:nvSpPr>
      <xdr:spPr bwMode="auto">
        <a:xfrm>
          <a:off x="9306278" y="2115960"/>
          <a:ext cx="1460499" cy="840317"/>
        </a:xfrm>
        <a:prstGeom prst="flowChartAlternateProcess">
          <a:avLst/>
        </a:prstGeom>
        <a:solidFill>
          <a:srgbClr val="FFFF00"/>
        </a:solidFill>
        <a:ln w="25400" algn="ctr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73152" tIns="77724" rIns="73152" bIns="77724" anchor="ctr" upright="1"/>
        <a:lstStyle/>
        <a:p>
          <a:pPr algn="ctr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Calibri"/>
            </a:rPr>
            <a:t>Imprimer</a:t>
          </a:r>
        </a:p>
        <a:p>
          <a:pPr algn="ctr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Calibri"/>
            </a:rPr>
            <a:t>Facture</a:t>
          </a:r>
        </a:p>
      </xdr:txBody>
    </xdr:sp>
    <xdr:clientData/>
  </xdr:twoCellAnchor>
  <xdr:twoCellAnchor>
    <xdr:from>
      <xdr:col>10</xdr:col>
      <xdr:colOff>225778</xdr:colOff>
      <xdr:row>7</xdr:row>
      <xdr:rowOff>31750</xdr:rowOff>
    </xdr:from>
    <xdr:to>
      <xdr:col>10</xdr:col>
      <xdr:colOff>1488722</xdr:colOff>
      <xdr:row>10</xdr:row>
      <xdr:rowOff>3175</xdr:rowOff>
    </xdr:to>
    <xdr:sp macro="[0]!Fermeture" textlink="">
      <xdr:nvSpPr>
        <xdr:cNvPr id="6" name="Flowchart: Alternate Process 5"/>
        <xdr:cNvSpPr/>
      </xdr:nvSpPr>
      <xdr:spPr>
        <a:xfrm>
          <a:off x="10809111" y="2120194"/>
          <a:ext cx="1262944" cy="839259"/>
        </a:xfrm>
        <a:prstGeom prst="flowChartAlternateProcess">
          <a:avLst/>
        </a:prstGeom>
        <a:solidFill>
          <a:srgbClr val="00B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 b="1"/>
            <a:t>Fin de journée</a:t>
          </a:r>
        </a:p>
      </xdr:txBody>
    </xdr:sp>
    <xdr:clientData/>
  </xdr:twoCellAnchor>
  <xdr:twoCellAnchor>
    <xdr:from>
      <xdr:col>10</xdr:col>
      <xdr:colOff>1605139</xdr:colOff>
      <xdr:row>7</xdr:row>
      <xdr:rowOff>15522</xdr:rowOff>
    </xdr:from>
    <xdr:to>
      <xdr:col>12</xdr:col>
      <xdr:colOff>0</xdr:colOff>
      <xdr:row>9</xdr:row>
      <xdr:rowOff>279400</xdr:rowOff>
    </xdr:to>
    <xdr:sp macro="[0]!Reset" textlink="">
      <xdr:nvSpPr>
        <xdr:cNvPr id="2101" name="Flowchart: Alternate Process 6"/>
        <xdr:cNvSpPr>
          <a:spLocks noChangeArrowheads="1"/>
        </xdr:cNvSpPr>
      </xdr:nvSpPr>
      <xdr:spPr bwMode="auto">
        <a:xfrm>
          <a:off x="12188472" y="2103966"/>
          <a:ext cx="1245306" cy="842434"/>
        </a:xfrm>
        <a:prstGeom prst="flowChartAlternateProcess">
          <a:avLst/>
        </a:prstGeom>
        <a:solidFill>
          <a:srgbClr val="FF0000"/>
        </a:solidFill>
        <a:ln w="25400" algn="ctr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73152" tIns="77724" rIns="73152" bIns="77724" anchor="ctr" upright="1"/>
        <a:lstStyle/>
        <a:p>
          <a:pPr algn="ctr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Calibri"/>
            </a:rPr>
            <a:t>Effacer saisie</a:t>
          </a:r>
        </a:p>
      </xdr:txBody>
    </xdr:sp>
    <xdr:clientData/>
  </xdr:twoCellAnchor>
  <xdr:twoCellAnchor>
    <xdr:from>
      <xdr:col>10</xdr:col>
      <xdr:colOff>197555</xdr:colOff>
      <xdr:row>10</xdr:row>
      <xdr:rowOff>273048</xdr:rowOff>
    </xdr:from>
    <xdr:to>
      <xdr:col>12</xdr:col>
      <xdr:colOff>70556</xdr:colOff>
      <xdr:row>19</xdr:row>
      <xdr:rowOff>98071</xdr:rowOff>
    </xdr:to>
    <xdr:sp macro="" textlink="">
      <xdr:nvSpPr>
        <xdr:cNvPr id="2103" name="Text Box 55"/>
        <xdr:cNvSpPr txBox="1">
          <a:spLocks noChangeArrowheads="1"/>
        </xdr:cNvSpPr>
      </xdr:nvSpPr>
      <xdr:spPr bwMode="auto">
        <a:xfrm>
          <a:off x="10435166" y="3229326"/>
          <a:ext cx="2723446" cy="2428523"/>
        </a:xfrm>
        <a:prstGeom prst="rect">
          <a:avLst/>
        </a:prstGeom>
        <a:ln>
          <a:solidFill>
            <a:srgbClr val="FF0000"/>
          </a:solidFill>
          <a:headEnd/>
          <a:tailEnd/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wrap="square" lIns="36576" tIns="36576" rIns="0" bIns="0" anchor="t" upright="1"/>
        <a:lstStyle/>
        <a:p>
          <a:pPr algn="ctr" rtl="0">
            <a:defRPr sz="1000"/>
          </a:pPr>
          <a:r>
            <a:rPr lang="fr-FR" sz="1800" b="0" i="0" u="none" strike="noStrike" baseline="0">
              <a:solidFill>
                <a:srgbClr val="FF0000"/>
              </a:solidFill>
              <a:latin typeface="Calibri"/>
            </a:rPr>
            <a:t>TABLEAU DE COMMANDES</a:t>
          </a:r>
        </a:p>
      </xdr:txBody>
    </xdr:sp>
    <xdr:clientData/>
  </xdr:twoCellAnchor>
  <xdr:twoCellAnchor>
    <xdr:from>
      <xdr:col>10</xdr:col>
      <xdr:colOff>275168</xdr:colOff>
      <xdr:row>12</xdr:row>
      <xdr:rowOff>225778</xdr:rowOff>
    </xdr:from>
    <xdr:to>
      <xdr:col>11</xdr:col>
      <xdr:colOff>14111</xdr:colOff>
      <xdr:row>15</xdr:row>
      <xdr:rowOff>127000</xdr:rowOff>
    </xdr:to>
    <xdr:sp macro="[0]!gestion" textlink="">
      <xdr:nvSpPr>
        <xdr:cNvPr id="7" name="Rectangle à coins arrondis 6"/>
        <xdr:cNvSpPr/>
      </xdr:nvSpPr>
      <xdr:spPr>
        <a:xfrm>
          <a:off x="10512779" y="3760611"/>
          <a:ext cx="1396999" cy="76905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MAJ  Articles</a:t>
          </a:r>
        </a:p>
        <a:p>
          <a:pPr algn="ctr"/>
          <a:r>
            <a:rPr lang="fr-FR" sz="1400"/>
            <a:t> (</a:t>
          </a:r>
          <a:r>
            <a:rPr lang="fr-FR" sz="1400" b="1"/>
            <a:t>Ajout-Modif</a:t>
          </a:r>
          <a:r>
            <a:rPr lang="fr-FR" sz="1400"/>
            <a:t>)</a:t>
          </a:r>
        </a:p>
      </xdr:txBody>
    </xdr:sp>
    <xdr:clientData/>
  </xdr:twoCellAnchor>
  <xdr:twoCellAnchor>
    <xdr:from>
      <xdr:col>11</xdr:col>
      <xdr:colOff>112889</xdr:colOff>
      <xdr:row>12</xdr:row>
      <xdr:rowOff>232833</xdr:rowOff>
    </xdr:from>
    <xdr:to>
      <xdr:col>11</xdr:col>
      <xdr:colOff>1185333</xdr:colOff>
      <xdr:row>15</xdr:row>
      <xdr:rowOff>77610</xdr:rowOff>
    </xdr:to>
    <xdr:sp macro="[0]!verst" textlink="">
      <xdr:nvSpPr>
        <xdr:cNvPr id="8" name="Rectangle à coins arrondis 7"/>
        <xdr:cNvSpPr/>
      </xdr:nvSpPr>
      <xdr:spPr>
        <a:xfrm>
          <a:off x="12008556" y="3767666"/>
          <a:ext cx="1072444" cy="712611"/>
        </a:xfrm>
        <a:prstGeom prst="round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Versement</a:t>
          </a:r>
        </a:p>
        <a:p>
          <a:pPr algn="ctr"/>
          <a:r>
            <a:rPr lang="fr-FR" sz="1400">
              <a:solidFill>
                <a:sysClr val="windowText" lastClr="000000"/>
              </a:solidFill>
            </a:rPr>
            <a:t>Banque</a:t>
          </a:r>
        </a:p>
      </xdr:txBody>
    </xdr:sp>
    <xdr:clientData/>
  </xdr:twoCellAnchor>
  <xdr:twoCellAnchor>
    <xdr:from>
      <xdr:col>8</xdr:col>
      <xdr:colOff>2115</xdr:colOff>
      <xdr:row>14</xdr:row>
      <xdr:rowOff>190500</xdr:rowOff>
    </xdr:from>
    <xdr:to>
      <xdr:col>10</xdr:col>
      <xdr:colOff>155222</xdr:colOff>
      <xdr:row>16</xdr:row>
      <xdr:rowOff>218723</xdr:rowOff>
    </xdr:to>
    <xdr:sp macro="" textlink="">
      <xdr:nvSpPr>
        <xdr:cNvPr id="9" name="Flèche gauche 8"/>
        <xdr:cNvSpPr/>
      </xdr:nvSpPr>
      <xdr:spPr>
        <a:xfrm>
          <a:off x="9470671" y="4303889"/>
          <a:ext cx="922162" cy="606778"/>
        </a:xfrm>
        <a:prstGeom prst="leftArrow">
          <a:avLst/>
        </a:prstGeom>
        <a:solidFill>
          <a:schemeClr val="tx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 Paiement</a:t>
          </a:r>
        </a:p>
      </xdr:txBody>
    </xdr:sp>
    <xdr:clientData/>
  </xdr:twoCellAnchor>
  <xdr:twoCellAnchor>
    <xdr:from>
      <xdr:col>10</xdr:col>
      <xdr:colOff>1580444</xdr:colOff>
      <xdr:row>16</xdr:row>
      <xdr:rowOff>70557</xdr:rowOff>
    </xdr:from>
    <xdr:to>
      <xdr:col>12</xdr:col>
      <xdr:colOff>14112</xdr:colOff>
      <xdr:row>18</xdr:row>
      <xdr:rowOff>204612</xdr:rowOff>
    </xdr:to>
    <xdr:sp macro="[0]!Chgt_Mois" textlink="">
      <xdr:nvSpPr>
        <xdr:cNvPr id="10" name="Rectangle à coins arrondis 9"/>
        <xdr:cNvSpPr/>
      </xdr:nvSpPr>
      <xdr:spPr>
        <a:xfrm>
          <a:off x="11712222" y="4762501"/>
          <a:ext cx="1284112" cy="712611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Changement de mois</a:t>
          </a:r>
        </a:p>
      </xdr:txBody>
    </xdr:sp>
    <xdr:clientData/>
  </xdr:twoCellAnchor>
  <xdr:twoCellAnchor>
    <xdr:from>
      <xdr:col>10</xdr:col>
      <xdr:colOff>289278</xdr:colOff>
      <xdr:row>16</xdr:row>
      <xdr:rowOff>77611</xdr:rowOff>
    </xdr:from>
    <xdr:to>
      <xdr:col>10</xdr:col>
      <xdr:colOff>1509889</xdr:colOff>
      <xdr:row>18</xdr:row>
      <xdr:rowOff>211666</xdr:rowOff>
    </xdr:to>
    <xdr:sp macro="[0]!Changer_A" textlink="">
      <xdr:nvSpPr>
        <xdr:cNvPr id="12" name="Rectangle à coins arrondis 11"/>
        <xdr:cNvSpPr/>
      </xdr:nvSpPr>
      <xdr:spPr>
        <a:xfrm>
          <a:off x="10421056" y="4769555"/>
          <a:ext cx="1220611" cy="712611"/>
        </a:xfrm>
        <a:prstGeom prst="roundRect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Changement d'année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gestion-des-ventes-et-des-stocks-t42883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00FF"/>
  </sheetPr>
  <dimension ref="A1:Q34"/>
  <sheetViews>
    <sheetView tabSelected="1" zoomScale="80" zoomScaleNormal="80" workbookViewId="0">
      <selection activeCell="A2" sqref="A2"/>
    </sheetView>
  </sheetViews>
  <sheetFormatPr baseColWidth="10" defaultColWidth="23.7265625" defaultRowHeight="25.5" customHeight="1"/>
  <cols>
    <col min="1" max="1" width="22.90625" style="4" customWidth="1"/>
    <col min="2" max="2" width="18.54296875" style="4" customWidth="1"/>
    <col min="3" max="3" width="21.6328125" style="4" customWidth="1"/>
    <col min="4" max="4" width="9.7265625" style="4" customWidth="1"/>
    <col min="5" max="5" width="19.6328125" style="22" customWidth="1"/>
    <col min="6" max="6" width="8.1796875" style="34" customWidth="1"/>
    <col min="7" max="7" width="12.7265625" style="3" customWidth="1"/>
    <col min="8" max="8" width="24.54296875" style="3" customWidth="1"/>
    <col min="9" max="9" width="6.26953125" style="3" customWidth="1"/>
    <col min="10" max="10" width="4.7265625" style="3" customWidth="1"/>
    <col min="11" max="11" width="23.7265625" style="3"/>
    <col min="12" max="12" width="17.08984375" style="3" customWidth="1"/>
    <col min="13" max="17" width="23.7265625" style="3"/>
    <col min="18" max="20" width="23.7265625" style="3" customWidth="1"/>
    <col min="21" max="16384" width="23.7265625" style="3"/>
  </cols>
  <sheetData>
    <row r="1" spans="1:17" ht="27.75" customHeight="1" thickBot="1">
      <c r="A1" s="1" t="s">
        <v>39</v>
      </c>
      <c r="B1" s="60" t="s">
        <v>35</v>
      </c>
      <c r="C1" s="60" t="s">
        <v>36</v>
      </c>
      <c r="D1" s="2" t="s">
        <v>7</v>
      </c>
      <c r="E1" s="21" t="s">
        <v>0</v>
      </c>
      <c r="F1" s="32" t="s">
        <v>16</v>
      </c>
      <c r="G1" s="36" t="str">
        <f>IF(Caisse!M3&gt;2000,"Versement Banque à prévoir!","")</f>
        <v/>
      </c>
      <c r="H1" s="36"/>
      <c r="J1" s="88">
        <f ca="1">TODAY()</f>
        <v>41537</v>
      </c>
      <c r="K1" s="88"/>
      <c r="L1" s="88"/>
      <c r="M1" s="17" t="s">
        <v>61</v>
      </c>
      <c r="P1" s="3">
        <v>2013</v>
      </c>
      <c r="Q1" s="52" t="s">
        <v>31</v>
      </c>
    </row>
    <row r="2" spans="1:17" ht="22.5" customHeight="1">
      <c r="A2" s="63"/>
      <c r="B2" s="67"/>
      <c r="C2" s="67"/>
      <c r="D2" s="5"/>
      <c r="E2" s="35" t="str">
        <f t="shared" ref="E2:E23" si="0">IF($B2="","",VLOOKUP($B2,Prix,3,FALSE)*D2)</f>
        <v/>
      </c>
      <c r="F2" s="33" t="str">
        <f>IF($B2="","",VLOOKUP($B2,base2,4,FALSE)-D2)</f>
        <v/>
      </c>
      <c r="G2" s="90" t="s">
        <v>1</v>
      </c>
      <c r="H2" s="91"/>
      <c r="J2" s="88"/>
      <c r="K2" s="88"/>
      <c r="L2" s="88"/>
      <c r="Q2" s="3" t="s">
        <v>17</v>
      </c>
    </row>
    <row r="3" spans="1:17" ht="22.5" customHeight="1" thickBot="1">
      <c r="A3" s="64"/>
      <c r="B3" s="67"/>
      <c r="C3" s="67"/>
      <c r="D3" s="6"/>
      <c r="E3" s="35" t="str">
        <f t="shared" si="0"/>
        <v/>
      </c>
      <c r="F3" s="33" t="str">
        <f>IF($B3="","",VLOOKUP($B3,base2,4,FALSE)-D3)</f>
        <v/>
      </c>
      <c r="G3" s="92"/>
      <c r="H3" s="93"/>
      <c r="Q3" s="3" t="s">
        <v>18</v>
      </c>
    </row>
    <row r="4" spans="1:17" ht="22.5" customHeight="1" thickTop="1">
      <c r="A4" s="64"/>
      <c r="B4" s="67"/>
      <c r="C4" s="67"/>
      <c r="D4" s="6"/>
      <c r="E4" s="35" t="str">
        <f t="shared" si="0"/>
        <v/>
      </c>
      <c r="F4" s="33" t="str">
        <f>IF($B4="","",VLOOKUP($B4,base2,4,FALSE)-D4)</f>
        <v/>
      </c>
      <c r="G4" s="82" t="str">
        <f>IF(SUM(E2:E24)=0,"",SUM(E2:E24))</f>
        <v/>
      </c>
      <c r="H4" s="83"/>
      <c r="J4" s="102">
        <v>41537.839317129627</v>
      </c>
      <c r="K4" s="103"/>
      <c r="L4" s="104"/>
      <c r="Q4" s="3" t="s">
        <v>19</v>
      </c>
    </row>
    <row r="5" spans="1:17" ht="22.5" customHeight="1">
      <c r="A5" s="64"/>
      <c r="B5" s="67"/>
      <c r="C5" s="67"/>
      <c r="D5" s="6"/>
      <c r="E5" s="35" t="str">
        <f t="shared" si="0"/>
        <v/>
      </c>
      <c r="F5" s="33" t="str">
        <f>IF($B5="","",VLOOKUP($B5,base2,4,FALSE)-D5)</f>
        <v/>
      </c>
      <c r="G5" s="84"/>
      <c r="H5" s="85"/>
      <c r="J5" s="105"/>
      <c r="K5" s="106"/>
      <c r="L5" s="107"/>
    </row>
    <row r="6" spans="1:17" ht="22.5" customHeight="1" thickBot="1">
      <c r="A6" s="64"/>
      <c r="B6" s="67"/>
      <c r="C6" s="67"/>
      <c r="D6" s="6"/>
      <c r="E6" s="35" t="str">
        <f t="shared" si="0"/>
        <v/>
      </c>
      <c r="F6" s="33" t="str">
        <f>IF($B6="","",VLOOKUP($B6,base2,4,FALSE)-D6)</f>
        <v/>
      </c>
      <c r="G6" s="84"/>
      <c r="H6" s="85"/>
      <c r="J6" s="108"/>
      <c r="K6" s="109"/>
      <c r="L6" s="110"/>
    </row>
    <row r="7" spans="1:17" ht="22.5" customHeight="1" thickTop="1" thickBot="1">
      <c r="A7" s="63"/>
      <c r="B7" s="67"/>
      <c r="C7" s="67"/>
      <c r="D7" s="6"/>
      <c r="E7" s="35" t="str">
        <f t="shared" si="0"/>
        <v/>
      </c>
      <c r="F7" s="33" t="str">
        <f>IF($B7="","",VLOOKUP($B7,base2,4,FALSE)-D7)</f>
        <v/>
      </c>
      <c r="G7" s="86"/>
      <c r="H7" s="87"/>
    </row>
    <row r="8" spans="1:17" ht="22.5" customHeight="1">
      <c r="A8" s="64"/>
      <c r="B8" s="67"/>
      <c r="C8" s="67"/>
      <c r="D8" s="6"/>
      <c r="E8" s="35" t="str">
        <f t="shared" si="0"/>
        <v/>
      </c>
      <c r="F8" s="33" t="str">
        <f>IF($B8="","",VLOOKUP($B8,base2,4,FALSE)-D8)</f>
        <v/>
      </c>
    </row>
    <row r="9" spans="1:17" ht="22.5" customHeight="1">
      <c r="A9" s="64"/>
      <c r="B9" s="67"/>
      <c r="C9" s="67"/>
      <c r="D9" s="6"/>
      <c r="E9" s="35" t="str">
        <f t="shared" si="0"/>
        <v/>
      </c>
      <c r="F9" s="33" t="str">
        <f>IF($B9="","",VLOOKUP($B9,base2,4,FALSE)-D9)</f>
        <v/>
      </c>
    </row>
    <row r="10" spans="1:17" ht="22.5" customHeight="1" thickBot="1">
      <c r="A10" s="63"/>
      <c r="B10" s="67"/>
      <c r="C10" s="67"/>
      <c r="D10" s="6"/>
      <c r="E10" s="35" t="str">
        <f t="shared" si="0"/>
        <v/>
      </c>
      <c r="F10" s="33" t="str">
        <f>IF($B10="","",VLOOKUP($B10,base2,4,FALSE)-D10)</f>
        <v/>
      </c>
    </row>
    <row r="11" spans="1:17" ht="22.5" customHeight="1">
      <c r="A11" s="64"/>
      <c r="B11" s="67"/>
      <c r="C11" s="67"/>
      <c r="D11" s="6"/>
      <c r="E11" s="35" t="str">
        <f t="shared" si="0"/>
        <v/>
      </c>
      <c r="F11" s="33" t="str">
        <f>IF($B11="","",VLOOKUP($B11,base2,4,FALSE)-D11)</f>
        <v/>
      </c>
      <c r="G11" s="94" t="s">
        <v>3</v>
      </c>
      <c r="H11" s="95"/>
    </row>
    <row r="12" spans="1:17" ht="22.5" customHeight="1" thickBot="1">
      <c r="A12" s="64"/>
      <c r="B12" s="67"/>
      <c r="C12" s="67"/>
      <c r="D12" s="6"/>
      <c r="E12" s="35" t="str">
        <f t="shared" si="0"/>
        <v/>
      </c>
      <c r="F12" s="33" t="str">
        <f>IF($B12="","",VLOOKUP($B12,base2,4,FALSE)-D12)</f>
        <v/>
      </c>
      <c r="G12" s="96"/>
      <c r="H12" s="97"/>
    </row>
    <row r="13" spans="1:17" ht="22.5" customHeight="1">
      <c r="A13" s="64"/>
      <c r="B13" s="67"/>
      <c r="C13" s="67"/>
      <c r="D13" s="6"/>
      <c r="E13" s="35" t="str">
        <f t="shared" si="0"/>
        <v/>
      </c>
      <c r="F13" s="33" t="str">
        <f>IF($B13="","",VLOOKUP($B13,base2,4,FALSE)-D13)</f>
        <v/>
      </c>
      <c r="G13" s="98"/>
      <c r="H13" s="99"/>
      <c r="K13" s="89"/>
      <c r="L13" s="89"/>
    </row>
    <row r="14" spans="1:17" ht="22.5" customHeight="1">
      <c r="A14" s="64"/>
      <c r="B14" s="67"/>
      <c r="C14" s="67"/>
      <c r="D14" s="6"/>
      <c r="E14" s="35" t="str">
        <f t="shared" si="0"/>
        <v/>
      </c>
      <c r="F14" s="33" t="str">
        <f>IF($B14="","",VLOOKUP($B14,base2,4,FALSE)-D14)</f>
        <v/>
      </c>
      <c r="G14" s="98"/>
      <c r="H14" s="99"/>
      <c r="K14" s="89"/>
      <c r="L14" s="89"/>
    </row>
    <row r="15" spans="1:17" ht="22.5" customHeight="1" thickBot="1">
      <c r="A15" s="64"/>
      <c r="B15" s="67"/>
      <c r="C15" s="67"/>
      <c r="D15" s="6"/>
      <c r="E15" s="35" t="str">
        <f t="shared" si="0"/>
        <v/>
      </c>
      <c r="F15" s="33" t="str">
        <f>IF($B15="","",VLOOKUP($B15,base2,4,FALSE)-D15)</f>
        <v/>
      </c>
      <c r="G15" s="100"/>
      <c r="H15" s="101"/>
      <c r="K15" s="89"/>
      <c r="L15" s="89"/>
    </row>
    <row r="16" spans="1:17" ht="22.5" customHeight="1" thickBot="1">
      <c r="A16" s="64"/>
      <c r="B16" s="67"/>
      <c r="C16" s="67"/>
      <c r="D16" s="6"/>
      <c r="E16" s="35" t="str">
        <f t="shared" si="0"/>
        <v/>
      </c>
      <c r="F16" s="33" t="str">
        <f>IF($B16="","",VLOOKUP($B16,base2,4,FALSE)-D16)</f>
        <v/>
      </c>
      <c r="G16" s="111"/>
      <c r="H16" s="112"/>
    </row>
    <row r="17" spans="1:13" ht="22.5" customHeight="1">
      <c r="A17" s="64"/>
      <c r="B17" s="67"/>
      <c r="C17" s="67"/>
      <c r="D17" s="6"/>
      <c r="E17" s="35" t="str">
        <f t="shared" si="0"/>
        <v/>
      </c>
      <c r="F17" s="33" t="str">
        <f>IF($B17="","",VLOOKUP($B17,base2,4,FALSE)-D17)</f>
        <v/>
      </c>
      <c r="G17" s="74" t="s">
        <v>2</v>
      </c>
      <c r="H17" s="75"/>
      <c r="L17" s="37"/>
    </row>
    <row r="18" spans="1:13" ht="22.5" customHeight="1" thickBot="1">
      <c r="A18" s="64"/>
      <c r="B18" s="67"/>
      <c r="C18" s="67"/>
      <c r="D18" s="6"/>
      <c r="E18" s="35" t="str">
        <f t="shared" si="0"/>
        <v/>
      </c>
      <c r="F18" s="33" t="str">
        <f>IF($B18="","",VLOOKUP($B18,base2,4,FALSE)-D18)</f>
        <v/>
      </c>
      <c r="G18" s="76"/>
      <c r="H18" s="77"/>
    </row>
    <row r="19" spans="1:13" ht="22.5" customHeight="1">
      <c r="A19" s="64"/>
      <c r="B19" s="67"/>
      <c r="C19" s="67"/>
      <c r="D19" s="6"/>
      <c r="E19" s="35" t="str">
        <f t="shared" si="0"/>
        <v/>
      </c>
      <c r="F19" s="33" t="str">
        <f>IF($B19="","",VLOOKUP($B19,base2,4,FALSE)-D19)</f>
        <v/>
      </c>
      <c r="G19" s="78" t="str">
        <f>IF(G13&gt;0,G4-G13,"")</f>
        <v/>
      </c>
      <c r="H19" s="79"/>
      <c r="I19" s="9"/>
      <c r="J19" s="11"/>
      <c r="K19" s="8"/>
      <c r="L19" s="8"/>
    </row>
    <row r="20" spans="1:13" ht="22.5" customHeight="1">
      <c r="A20" s="64"/>
      <c r="B20" s="67"/>
      <c r="C20" s="67"/>
      <c r="D20" s="6"/>
      <c r="E20" s="35" t="str">
        <f t="shared" si="0"/>
        <v/>
      </c>
      <c r="F20" s="33" t="str">
        <f>IF($B20="","",VLOOKUP($B20,base2,4,FALSE)-D20)</f>
        <v/>
      </c>
      <c r="G20" s="78"/>
      <c r="H20" s="79"/>
      <c r="I20" s="9" t="str">
        <f>IF(G13="","",IF(G13&lt;G4,"Somme reçue insuffisante!!!",""))</f>
        <v/>
      </c>
      <c r="J20" s="11"/>
      <c r="K20" s="8"/>
      <c r="L20" s="8"/>
    </row>
    <row r="21" spans="1:13" ht="22.5" customHeight="1" thickBot="1">
      <c r="A21" s="64"/>
      <c r="B21" s="67"/>
      <c r="C21" s="67"/>
      <c r="D21" s="6"/>
      <c r="E21" s="35" t="str">
        <f t="shared" si="0"/>
        <v/>
      </c>
      <c r="F21" s="33" t="str">
        <f>IF($B21="","",VLOOKUP($B21,base2,4,FALSE)-D21)</f>
        <v/>
      </c>
      <c r="G21" s="80"/>
      <c r="H21" s="81"/>
      <c r="I21" s="7"/>
      <c r="J21" s="12"/>
      <c r="K21" s="8"/>
      <c r="L21" s="8"/>
    </row>
    <row r="22" spans="1:13" ht="22.5" customHeight="1">
      <c r="A22" s="64"/>
      <c r="B22" s="67"/>
      <c r="C22" s="67"/>
      <c r="D22" s="6"/>
      <c r="E22" s="35" t="str">
        <f t="shared" si="0"/>
        <v/>
      </c>
      <c r="F22" s="33" t="str">
        <f>IF($B22="","",VLOOKUP($B22,base2,4,FALSE)-D22)</f>
        <v/>
      </c>
    </row>
    <row r="23" spans="1:13" ht="22.5" customHeight="1">
      <c r="A23" s="64"/>
      <c r="B23" s="67"/>
      <c r="C23" s="67"/>
      <c r="D23" s="6"/>
      <c r="E23" s="35" t="str">
        <f t="shared" si="0"/>
        <v/>
      </c>
      <c r="F23" s="33" t="str">
        <f>IF($B23="","",VLOOKUP($B23,base2,4,FALSE)-D23)</f>
        <v/>
      </c>
      <c r="G23" s="47" t="s">
        <v>23</v>
      </c>
      <c r="H23" s="42"/>
      <c r="I23" s="42"/>
      <c r="J23" s="42"/>
      <c r="K23" s="42"/>
      <c r="L23" s="43"/>
      <c r="M23" s="43"/>
    </row>
    <row r="24" spans="1:13" ht="22.5" customHeight="1">
      <c r="G24" s="42" t="s">
        <v>40</v>
      </c>
      <c r="H24" s="42"/>
      <c r="I24" s="42"/>
      <c r="J24" s="42"/>
      <c r="K24" s="42"/>
      <c r="L24" s="43"/>
      <c r="M24" s="43"/>
    </row>
    <row r="25" spans="1:13" ht="25.5" customHeight="1">
      <c r="G25" s="42" t="s">
        <v>41</v>
      </c>
      <c r="H25" s="42"/>
      <c r="I25" s="42"/>
      <c r="J25" s="42"/>
      <c r="K25" s="42"/>
      <c r="L25" s="43"/>
      <c r="M25" s="43"/>
    </row>
    <row r="26" spans="1:13" ht="25.5" customHeight="1">
      <c r="G26" s="46" t="s">
        <v>29</v>
      </c>
      <c r="H26" s="42"/>
      <c r="I26" s="42"/>
      <c r="J26" s="42"/>
      <c r="K26" s="42"/>
      <c r="L26" s="43"/>
      <c r="M26" s="43"/>
    </row>
    <row r="27" spans="1:13" ht="25.5" customHeight="1">
      <c r="G27" s="46" t="s">
        <v>33</v>
      </c>
      <c r="H27" s="42"/>
      <c r="I27" s="42"/>
      <c r="J27" s="42"/>
      <c r="K27" s="42"/>
      <c r="L27" s="43"/>
      <c r="M27" s="43"/>
    </row>
    <row r="28" spans="1:13" ht="25.5" customHeight="1">
      <c r="G28" s="42" t="s">
        <v>42</v>
      </c>
      <c r="H28" s="42"/>
      <c r="I28" s="42"/>
      <c r="J28" s="42"/>
      <c r="K28" s="42"/>
      <c r="L28" s="43"/>
      <c r="M28" s="43"/>
    </row>
    <row r="29" spans="1:13" ht="25.5" customHeight="1">
      <c r="G29" s="44" t="s">
        <v>62</v>
      </c>
      <c r="H29" s="44"/>
      <c r="I29" s="43"/>
      <c r="J29" s="43"/>
      <c r="K29" s="43"/>
      <c r="L29" s="43"/>
      <c r="M29" s="43"/>
    </row>
    <row r="30" spans="1:13" ht="25.5" customHeight="1">
      <c r="G30" s="44" t="s">
        <v>43</v>
      </c>
      <c r="H30" s="44"/>
      <c r="I30" s="43"/>
      <c r="J30" s="43"/>
      <c r="K30" s="43"/>
      <c r="L30" s="43"/>
      <c r="M30" s="43"/>
    </row>
    <row r="31" spans="1:13" ht="25.5" customHeight="1">
      <c r="G31" s="44" t="s">
        <v>44</v>
      </c>
      <c r="H31" s="44"/>
      <c r="I31" s="43"/>
      <c r="J31" s="43"/>
      <c r="K31" s="43"/>
      <c r="L31" s="43"/>
      <c r="M31" s="43"/>
    </row>
    <row r="32" spans="1:13" ht="25.5" customHeight="1">
      <c r="G32" s="44" t="s">
        <v>45</v>
      </c>
      <c r="H32" s="44"/>
      <c r="I32" s="43"/>
      <c r="J32" s="43"/>
      <c r="K32" s="43"/>
      <c r="L32" s="43"/>
      <c r="M32" s="43"/>
    </row>
    <row r="33" spans="7:13" ht="25.5" customHeight="1">
      <c r="G33" s="44" t="s">
        <v>30</v>
      </c>
      <c r="H33" s="44"/>
      <c r="I33" s="43"/>
      <c r="J33" s="43"/>
      <c r="K33" s="43"/>
      <c r="L33" s="43"/>
      <c r="M33" s="43"/>
    </row>
    <row r="34" spans="7:13" ht="25.5" customHeight="1">
      <c r="G34" s="44" t="s">
        <v>28</v>
      </c>
      <c r="H34" s="44"/>
      <c r="I34" s="43"/>
      <c r="J34" s="43"/>
      <c r="K34" s="43"/>
      <c r="L34" s="43"/>
      <c r="M34" s="43"/>
    </row>
  </sheetData>
  <sheetProtection selectLockedCells="1"/>
  <mergeCells count="10">
    <mergeCell ref="G17:H18"/>
    <mergeCell ref="G19:H21"/>
    <mergeCell ref="G4:H7"/>
    <mergeCell ref="J1:L2"/>
    <mergeCell ref="K13:L15"/>
    <mergeCell ref="G2:H3"/>
    <mergeCell ref="G11:H12"/>
    <mergeCell ref="G13:H15"/>
    <mergeCell ref="J4:L6"/>
    <mergeCell ref="G16:H16"/>
  </mergeCells>
  <phoneticPr fontId="15" type="noConversion"/>
  <conditionalFormatting sqref="F2:F23">
    <cfRule type="colorScale" priority="1">
      <colorScale>
        <cfvo type="num" val="10"/>
        <cfvo type="num" val="11"/>
        <color rgb="FFFF0000"/>
        <color rgb="FF00B0F0"/>
      </colorScale>
    </cfRule>
  </conditionalFormatting>
  <dataValidations count="4">
    <dataValidation type="list" allowBlank="1" showInputMessage="1" showErrorMessage="1" sqref="G16:H16">
      <formula1>Moyen_paiement</formula1>
    </dataValidation>
    <dataValidation type="list" allowBlank="1" showInputMessage="1" showErrorMessage="1" sqref="A2:A23">
      <formula1>Marques</formula1>
    </dataValidation>
    <dataValidation type="list" allowBlank="1" showInputMessage="1" showErrorMessage="1" sqref="B2:B23">
      <formula1>Ref</formula1>
    </dataValidation>
    <dataValidation type="list" allowBlank="1" showInputMessage="1" showErrorMessage="1" sqref="C2:C23">
      <formula1>Design</formula1>
    </dataValidation>
  </dataValidations>
  <hyperlinks>
    <hyperlink ref="M1" r:id="rId1"/>
  </hyperlinks>
  <pageMargins left="0.25" right="0.25" top="0.75" bottom="0.75" header="0.3" footer="0.3"/>
  <pageSetup paperSize="9" orientation="portrait" horizontalDpi="360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X124"/>
  <sheetViews>
    <sheetView topLeftCell="A6" workbookViewId="0">
      <selection activeCell="I8" sqref="I8"/>
    </sheetView>
  </sheetViews>
  <sheetFormatPr baseColWidth="10" defaultColWidth="11.453125" defaultRowHeight="26"/>
  <cols>
    <col min="1" max="1" width="21.36328125" style="10" customWidth="1"/>
    <col min="2" max="2" width="25.1796875" style="66" customWidth="1"/>
    <col min="3" max="3" width="47.81640625" style="66" customWidth="1"/>
    <col min="4" max="4" width="21.453125" style="29" customWidth="1"/>
    <col min="5" max="5" width="10.90625" style="31" customWidth="1"/>
    <col min="6" max="6" width="20" style="10" hidden="1" customWidth="1"/>
    <col min="7" max="7" width="12.54296875" style="10" hidden="1" customWidth="1"/>
    <col min="8" max="8" width="17.26953125" style="10" hidden="1" customWidth="1"/>
    <col min="9" max="11" width="11.453125" style="10"/>
    <col min="12" max="12" width="22.81640625" style="10" customWidth="1"/>
    <col min="13" max="13" width="12.08984375" style="10" bestFit="1" customWidth="1"/>
    <col min="14" max="14" width="19.54296875" style="10" customWidth="1"/>
    <col min="15" max="15" width="11.453125" style="10"/>
    <col min="16" max="16" width="12" style="59" bestFit="1" customWidth="1"/>
    <col min="17" max="16384" width="11.453125" style="10"/>
  </cols>
  <sheetData>
    <row r="1" spans="1:24">
      <c r="A1" s="10" t="s">
        <v>34</v>
      </c>
      <c r="B1" s="66" t="s">
        <v>35</v>
      </c>
      <c r="C1" s="66" t="s">
        <v>36</v>
      </c>
      <c r="D1" s="29" t="s">
        <v>5</v>
      </c>
      <c r="E1" s="31" t="s">
        <v>16</v>
      </c>
      <c r="F1" s="31" t="s">
        <v>25</v>
      </c>
      <c r="G1" s="10" t="s">
        <v>24</v>
      </c>
      <c r="H1" s="10" t="s">
        <v>26</v>
      </c>
      <c r="X1" s="10" t="s">
        <v>34</v>
      </c>
    </row>
    <row r="2" spans="1:24">
      <c r="A2" s="10" t="s">
        <v>79</v>
      </c>
      <c r="B2" s="66" t="s">
        <v>55</v>
      </c>
      <c r="C2" s="66" t="s">
        <v>75</v>
      </c>
      <c r="D2" s="29">
        <v>318</v>
      </c>
      <c r="E2" s="31">
        <v>18</v>
      </c>
      <c r="F2" s="31">
        <f t="shared" ref="F2:F16" si="0">E2</f>
        <v>18</v>
      </c>
      <c r="G2" s="10">
        <f>IF(ISERROR(VLOOKUP(A2,Commande!$A$2:$D$24,4,FALSE)),0,VLOOKUP(A2,Commande!$A$2:$D$24,4,FALSE))</f>
        <v>0</v>
      </c>
      <c r="H2" s="39">
        <f t="shared" ref="H2:H16" si="1">F2-G2</f>
        <v>18</v>
      </c>
      <c r="X2" s="10" t="s">
        <v>79</v>
      </c>
    </row>
    <row r="3" spans="1:24">
      <c r="A3" s="10" t="s">
        <v>79</v>
      </c>
      <c r="B3" s="66" t="s">
        <v>63</v>
      </c>
      <c r="C3" s="66" t="s">
        <v>71</v>
      </c>
      <c r="D3" s="29">
        <v>548</v>
      </c>
      <c r="E3" s="31">
        <v>20</v>
      </c>
      <c r="F3" s="31">
        <f t="shared" si="0"/>
        <v>20</v>
      </c>
      <c r="G3" s="10">
        <f>IF(ISERROR(VLOOKUP(A3,Commande!$A$2:$D$24,4,FALSE)),0,VLOOKUP(A3,Commande!$A$2:$D$24,4,FALSE))</f>
        <v>0</v>
      </c>
      <c r="H3" s="39">
        <f t="shared" si="1"/>
        <v>20</v>
      </c>
      <c r="I3" s="40" t="s">
        <v>37</v>
      </c>
      <c r="J3" s="41"/>
      <c r="K3" s="41"/>
      <c r="X3" s="10" t="s">
        <v>80</v>
      </c>
    </row>
    <row r="4" spans="1:24">
      <c r="A4" s="10" t="s">
        <v>80</v>
      </c>
      <c r="B4" s="66" t="s">
        <v>65</v>
      </c>
      <c r="C4" s="66">
        <v>9320</v>
      </c>
      <c r="D4" s="29">
        <v>158</v>
      </c>
      <c r="E4" s="31">
        <v>13</v>
      </c>
      <c r="F4" s="31">
        <f t="shared" si="0"/>
        <v>13</v>
      </c>
      <c r="G4" s="10">
        <f>IF(ISERROR(VLOOKUP(A4,Commande!$A$2:$D$24,4,FALSE)),0,VLOOKUP(A4,Commande!$A$2:$D$24,4,FALSE))</f>
        <v>0</v>
      </c>
      <c r="H4" s="39">
        <f t="shared" si="1"/>
        <v>13</v>
      </c>
      <c r="I4" s="40" t="s">
        <v>27</v>
      </c>
      <c r="J4" s="41"/>
      <c r="K4" s="41"/>
      <c r="X4" s="10" t="s">
        <v>81</v>
      </c>
    </row>
    <row r="5" spans="1:24">
      <c r="A5" s="10" t="s">
        <v>80</v>
      </c>
      <c r="B5" s="66" t="s">
        <v>66</v>
      </c>
      <c r="C5" s="66" t="s">
        <v>50</v>
      </c>
      <c r="D5" s="29">
        <v>418</v>
      </c>
      <c r="E5" s="31">
        <v>13</v>
      </c>
      <c r="F5" s="31">
        <f t="shared" si="0"/>
        <v>13</v>
      </c>
      <c r="G5" s="10">
        <f>IF(ISERROR(VLOOKUP(A5,Commande!$A$2:$D$24,4,FALSE)),0,VLOOKUP(A5,Commande!$A$2:$D$24,4,FALSE))</f>
        <v>0</v>
      </c>
      <c r="H5" s="39">
        <f t="shared" si="1"/>
        <v>13</v>
      </c>
      <c r="X5" s="10" t="s">
        <v>82</v>
      </c>
    </row>
    <row r="6" spans="1:24">
      <c r="A6" s="10" t="s">
        <v>81</v>
      </c>
      <c r="B6" s="66" t="s">
        <v>59</v>
      </c>
      <c r="C6" s="66" t="s">
        <v>60</v>
      </c>
      <c r="D6" s="29">
        <v>58</v>
      </c>
      <c r="E6" s="31">
        <v>13</v>
      </c>
      <c r="F6" s="31">
        <f t="shared" si="0"/>
        <v>13</v>
      </c>
      <c r="G6" s="10">
        <f>IF(ISERROR(VLOOKUP(A6,Commande!$A$2:$D$24,4,FALSE)),0,VLOOKUP(A6,Commande!$A$2:$D$24,4,FALSE))</f>
        <v>0</v>
      </c>
      <c r="H6" s="39">
        <f t="shared" si="1"/>
        <v>13</v>
      </c>
      <c r="X6" s="10" t="s">
        <v>83</v>
      </c>
    </row>
    <row r="7" spans="1:24">
      <c r="A7" s="10" t="s">
        <v>81</v>
      </c>
      <c r="B7" s="66" t="s">
        <v>67</v>
      </c>
      <c r="C7" s="66" t="s">
        <v>68</v>
      </c>
      <c r="D7" s="29">
        <v>98</v>
      </c>
      <c r="E7" s="31">
        <v>14</v>
      </c>
      <c r="F7" s="31">
        <f t="shared" si="0"/>
        <v>14</v>
      </c>
      <c r="G7" s="10">
        <f>IF(ISERROR(VLOOKUP(A7,Commande!$A$2:$D$24,4,FALSE)),0,VLOOKUP(A7,Commande!$A$2:$D$24,4,FALSE))</f>
        <v>0</v>
      </c>
      <c r="H7" s="39">
        <f t="shared" si="1"/>
        <v>14</v>
      </c>
      <c r="X7" s="10" t="s">
        <v>84</v>
      </c>
    </row>
    <row r="8" spans="1:24">
      <c r="A8" s="10" t="s">
        <v>82</v>
      </c>
      <c r="B8" s="66" t="s">
        <v>54</v>
      </c>
      <c r="C8" s="66" t="s">
        <v>51</v>
      </c>
      <c r="D8" s="29">
        <v>48</v>
      </c>
      <c r="E8" s="31">
        <v>12</v>
      </c>
      <c r="F8" s="31">
        <f t="shared" si="0"/>
        <v>12</v>
      </c>
      <c r="G8" s="10">
        <f>IF(ISERROR(VLOOKUP(A8,Commande!$A$2:$D$24,4,FALSE)),0,VLOOKUP(A8,Commande!$A$2:$D$24,4,FALSE))</f>
        <v>0</v>
      </c>
      <c r="H8" s="39">
        <f t="shared" si="1"/>
        <v>12</v>
      </c>
    </row>
    <row r="9" spans="1:24">
      <c r="A9" s="10" t="s">
        <v>82</v>
      </c>
      <c r="B9" s="66" t="s">
        <v>64</v>
      </c>
      <c r="C9" s="66" t="s">
        <v>76</v>
      </c>
      <c r="D9" s="29">
        <v>88</v>
      </c>
      <c r="E9" s="31">
        <v>20</v>
      </c>
      <c r="F9" s="31">
        <f t="shared" si="0"/>
        <v>20</v>
      </c>
      <c r="G9" s="10">
        <f>IF(ISERROR(VLOOKUP(A9,Commande!$A$2:$D$24,4,FALSE)),0,VLOOKUP(A9,Commande!$A$2:$D$24,4,FALSE))</f>
        <v>0</v>
      </c>
      <c r="H9" s="39">
        <f t="shared" si="1"/>
        <v>20</v>
      </c>
    </row>
    <row r="10" spans="1:24">
      <c r="A10" s="10" t="s">
        <v>83</v>
      </c>
      <c r="B10" s="66" t="s">
        <v>52</v>
      </c>
      <c r="C10" s="66" t="s">
        <v>46</v>
      </c>
      <c r="D10" s="29">
        <v>98</v>
      </c>
      <c r="E10" s="31">
        <v>13</v>
      </c>
      <c r="F10" s="31">
        <f t="shared" si="0"/>
        <v>13</v>
      </c>
      <c r="G10" s="10">
        <f>IF(ISERROR(VLOOKUP(A10,Commande!$A$2:$D$24,4,FALSE)),0,VLOOKUP(A10,Commande!$A$2:$D$24,4,FALSE))</f>
        <v>0</v>
      </c>
      <c r="H10" s="39">
        <f t="shared" si="1"/>
        <v>13</v>
      </c>
    </row>
    <row r="11" spans="1:24">
      <c r="A11" s="10" t="s">
        <v>83</v>
      </c>
      <c r="B11" s="66" t="s">
        <v>72</v>
      </c>
      <c r="C11" s="66" t="s">
        <v>50</v>
      </c>
      <c r="D11" s="29">
        <v>78</v>
      </c>
      <c r="E11" s="31">
        <v>13</v>
      </c>
      <c r="F11" s="31">
        <f t="shared" si="0"/>
        <v>13</v>
      </c>
      <c r="G11" s="10">
        <f>IF(ISERROR(VLOOKUP(A11,Commande!$A$2:$D$24,4,FALSE)),0,VLOOKUP(A11,Commande!$A$2:$D$24,4,FALSE))</f>
        <v>0</v>
      </c>
      <c r="H11" s="39">
        <f t="shared" si="1"/>
        <v>13</v>
      </c>
    </row>
    <row r="12" spans="1:24">
      <c r="A12" s="10" t="s">
        <v>83</v>
      </c>
      <c r="B12" s="66" t="s">
        <v>73</v>
      </c>
      <c r="C12" s="66" t="s">
        <v>49</v>
      </c>
      <c r="D12" s="29">
        <v>78</v>
      </c>
      <c r="E12" s="31">
        <v>13</v>
      </c>
      <c r="F12" s="31">
        <f t="shared" si="0"/>
        <v>13</v>
      </c>
      <c r="G12" s="10">
        <f>IF(ISERROR(VLOOKUP(A12,Commande!$A$2:$D$24,4,FALSE)),0,VLOOKUP(A12,Commande!$A$2:$D$24,4,FALSE))</f>
        <v>0</v>
      </c>
      <c r="H12" s="39">
        <f t="shared" si="1"/>
        <v>13</v>
      </c>
    </row>
    <row r="13" spans="1:24">
      <c r="A13" s="10" t="s">
        <v>83</v>
      </c>
      <c r="B13" s="66" t="s">
        <v>74</v>
      </c>
      <c r="C13" s="66" t="s">
        <v>48</v>
      </c>
      <c r="D13" s="29">
        <v>33</v>
      </c>
      <c r="E13" s="31">
        <v>12</v>
      </c>
      <c r="F13" s="31">
        <f t="shared" si="0"/>
        <v>12</v>
      </c>
      <c r="G13" s="10">
        <f>IF(ISERROR(VLOOKUP(A13,Commande!$A$2:$D$24,4,FALSE)),0,VLOOKUP(A13,Commande!$A$2:$D$24,4,FALSE))</f>
        <v>0</v>
      </c>
      <c r="H13" s="39">
        <f t="shared" si="1"/>
        <v>12</v>
      </c>
    </row>
    <row r="14" spans="1:24">
      <c r="A14" s="10" t="s">
        <v>83</v>
      </c>
      <c r="B14" s="66" t="s">
        <v>38</v>
      </c>
      <c r="C14" s="66" t="s">
        <v>70</v>
      </c>
      <c r="D14" s="29">
        <v>22</v>
      </c>
      <c r="E14" s="31">
        <v>93</v>
      </c>
      <c r="F14" s="31">
        <f t="shared" si="0"/>
        <v>93</v>
      </c>
      <c r="G14" s="10">
        <f>IF(ISERROR(VLOOKUP(A14,Commande!$A$2:$D$24,4,FALSE)),0,VLOOKUP(A14,Commande!$A$2:$D$24,4,FALSE))</f>
        <v>0</v>
      </c>
      <c r="H14" s="39">
        <f t="shared" si="1"/>
        <v>93</v>
      </c>
    </row>
    <row r="15" spans="1:24">
      <c r="A15" s="10" t="s">
        <v>84</v>
      </c>
      <c r="B15" s="66" t="s">
        <v>53</v>
      </c>
      <c r="C15" s="66" t="s">
        <v>51</v>
      </c>
      <c r="D15" s="29">
        <v>128</v>
      </c>
      <c r="E15" s="31">
        <v>14</v>
      </c>
      <c r="F15" s="31">
        <f t="shared" si="0"/>
        <v>14</v>
      </c>
      <c r="G15" s="10">
        <f>IF(ISERROR(VLOOKUP(A15,Commande!$A$2:$D$24,4,FALSE)),0,VLOOKUP(A15,Commande!$A$2:$D$24,4,FALSE))</f>
        <v>0</v>
      </c>
      <c r="H15" s="39">
        <f t="shared" si="1"/>
        <v>14</v>
      </c>
    </row>
    <row r="16" spans="1:24">
      <c r="A16" s="10" t="s">
        <v>84</v>
      </c>
      <c r="B16" s="66" t="s">
        <v>69</v>
      </c>
      <c r="C16" s="66" t="s">
        <v>46</v>
      </c>
      <c r="D16" s="29">
        <v>198</v>
      </c>
      <c r="E16" s="31">
        <v>13</v>
      </c>
      <c r="F16" s="31">
        <f t="shared" si="0"/>
        <v>13</v>
      </c>
      <c r="G16" s="10">
        <f>IF(ISERROR(VLOOKUP(A16,Commande!$A$2:$D$24,4,FALSE)),0,VLOOKUP(A16,Commande!$A$2:$D$24,4,FALSE))</f>
        <v>0</v>
      </c>
      <c r="H16" s="39">
        <f t="shared" si="1"/>
        <v>13</v>
      </c>
    </row>
    <row r="17" spans="6:8">
      <c r="F17" s="31"/>
      <c r="H17" s="39"/>
    </row>
    <row r="18" spans="6:8">
      <c r="F18" s="31"/>
      <c r="H18" s="39"/>
    </row>
    <row r="19" spans="6:8">
      <c r="F19" s="31"/>
      <c r="H19" s="39"/>
    </row>
    <row r="20" spans="6:8">
      <c r="F20" s="31"/>
      <c r="H20" s="39"/>
    </row>
    <row r="21" spans="6:8">
      <c r="F21" s="31"/>
      <c r="H21" s="39"/>
    </row>
    <row r="22" spans="6:8">
      <c r="F22" s="31"/>
      <c r="H22" s="39"/>
    </row>
    <row r="23" spans="6:8">
      <c r="F23" s="31"/>
      <c r="H23" s="39"/>
    </row>
    <row r="24" spans="6:8">
      <c r="F24" s="31"/>
      <c r="H24" s="39"/>
    </row>
    <row r="25" spans="6:8">
      <c r="F25" s="31"/>
      <c r="H25" s="39"/>
    </row>
    <row r="26" spans="6:8">
      <c r="F26" s="31"/>
      <c r="H26" s="39"/>
    </row>
    <row r="27" spans="6:8">
      <c r="F27" s="31"/>
      <c r="H27" s="39"/>
    </row>
    <row r="28" spans="6:8">
      <c r="F28" s="31"/>
      <c r="H28" s="39"/>
    </row>
    <row r="29" spans="6:8">
      <c r="F29" s="31"/>
      <c r="H29" s="39"/>
    </row>
    <row r="30" spans="6:8">
      <c r="F30" s="31"/>
      <c r="H30" s="39"/>
    </row>
    <row r="31" spans="6:8">
      <c r="F31" s="31"/>
      <c r="H31" s="39"/>
    </row>
    <row r="32" spans="6:8">
      <c r="F32" s="31"/>
      <c r="H32" s="39"/>
    </row>
    <row r="33" spans="6:8">
      <c r="F33" s="31"/>
      <c r="H33" s="39"/>
    </row>
    <row r="34" spans="6:8">
      <c r="F34" s="31"/>
      <c r="H34" s="39"/>
    </row>
    <row r="35" spans="6:8">
      <c r="F35" s="31"/>
      <c r="H35" s="39"/>
    </row>
    <row r="36" spans="6:8">
      <c r="F36" s="31"/>
      <c r="H36" s="39"/>
    </row>
    <row r="37" spans="6:8">
      <c r="F37" s="31"/>
      <c r="H37" s="39"/>
    </row>
    <row r="38" spans="6:8">
      <c r="F38" s="31"/>
      <c r="H38" s="39"/>
    </row>
    <row r="39" spans="6:8">
      <c r="F39" s="31"/>
      <c r="H39" s="39"/>
    </row>
    <row r="40" spans="6:8">
      <c r="F40" s="31"/>
      <c r="H40" s="39"/>
    </row>
    <row r="41" spans="6:8">
      <c r="F41" s="31"/>
      <c r="H41" s="39"/>
    </row>
    <row r="42" spans="6:8">
      <c r="F42" s="31"/>
      <c r="H42" s="39"/>
    </row>
    <row r="43" spans="6:8">
      <c r="F43" s="31"/>
      <c r="H43" s="39"/>
    </row>
    <row r="44" spans="6:8">
      <c r="F44" s="31"/>
      <c r="H44" s="39"/>
    </row>
    <row r="45" spans="6:8">
      <c r="F45" s="31"/>
      <c r="H45" s="39"/>
    </row>
    <row r="46" spans="6:8">
      <c r="F46" s="31"/>
      <c r="H46" s="39"/>
    </row>
    <row r="47" spans="6:8">
      <c r="F47" s="31"/>
      <c r="H47" s="39"/>
    </row>
    <row r="48" spans="6:8">
      <c r="F48" s="31"/>
      <c r="H48" s="39"/>
    </row>
    <row r="49" spans="6:8">
      <c r="F49" s="31"/>
      <c r="H49" s="39"/>
    </row>
    <row r="50" spans="6:8">
      <c r="F50" s="31"/>
      <c r="H50" s="39"/>
    </row>
    <row r="51" spans="6:8">
      <c r="F51" s="31"/>
      <c r="H51" s="39"/>
    </row>
    <row r="52" spans="6:8">
      <c r="F52" s="31"/>
      <c r="H52" s="39"/>
    </row>
    <row r="53" spans="6:8">
      <c r="F53" s="31"/>
      <c r="H53" s="39"/>
    </row>
    <row r="54" spans="6:8">
      <c r="F54" s="31"/>
      <c r="H54" s="39"/>
    </row>
    <row r="55" spans="6:8">
      <c r="F55" s="31"/>
      <c r="H55" s="39"/>
    </row>
    <row r="56" spans="6:8">
      <c r="F56" s="31"/>
      <c r="H56" s="39"/>
    </row>
    <row r="57" spans="6:8">
      <c r="F57" s="31"/>
      <c r="H57" s="39"/>
    </row>
    <row r="58" spans="6:8">
      <c r="F58" s="31"/>
      <c r="H58" s="39"/>
    </row>
    <row r="59" spans="6:8">
      <c r="F59" s="31"/>
      <c r="H59" s="39"/>
    </row>
    <row r="60" spans="6:8">
      <c r="F60" s="31"/>
      <c r="H60" s="39"/>
    </row>
    <row r="61" spans="6:8">
      <c r="F61" s="31"/>
      <c r="H61" s="39"/>
    </row>
    <row r="62" spans="6:8">
      <c r="F62" s="31"/>
      <c r="H62" s="39"/>
    </row>
    <row r="63" spans="6:8">
      <c r="F63" s="31"/>
      <c r="H63" s="39"/>
    </row>
    <row r="64" spans="6:8">
      <c r="F64" s="31"/>
      <c r="H64" s="39"/>
    </row>
    <row r="65" spans="6:8">
      <c r="F65" s="31"/>
      <c r="H65" s="39"/>
    </row>
    <row r="66" spans="6:8">
      <c r="F66" s="31"/>
      <c r="H66" s="39"/>
    </row>
    <row r="67" spans="6:8">
      <c r="F67" s="31"/>
      <c r="H67" s="39"/>
    </row>
    <row r="68" spans="6:8">
      <c r="F68" s="31"/>
      <c r="H68" s="39"/>
    </row>
    <row r="69" spans="6:8">
      <c r="F69" s="31"/>
      <c r="H69" s="39"/>
    </row>
    <row r="70" spans="6:8">
      <c r="F70" s="31"/>
      <c r="H70" s="39"/>
    </row>
    <row r="71" spans="6:8">
      <c r="F71" s="31"/>
      <c r="H71" s="39"/>
    </row>
    <row r="72" spans="6:8">
      <c r="F72" s="31"/>
      <c r="H72" s="39"/>
    </row>
    <row r="73" spans="6:8">
      <c r="F73" s="31"/>
      <c r="H73" s="39"/>
    </row>
    <row r="74" spans="6:8">
      <c r="F74" s="31"/>
      <c r="H74" s="39"/>
    </row>
    <row r="75" spans="6:8">
      <c r="F75" s="31"/>
      <c r="H75" s="39"/>
    </row>
    <row r="76" spans="6:8">
      <c r="F76" s="31"/>
      <c r="H76" s="39"/>
    </row>
    <row r="77" spans="6:8">
      <c r="F77" s="31"/>
      <c r="H77" s="39"/>
    </row>
    <row r="78" spans="6:8">
      <c r="F78" s="31"/>
      <c r="H78" s="39"/>
    </row>
    <row r="79" spans="6:8">
      <c r="F79" s="31"/>
      <c r="H79" s="39"/>
    </row>
    <row r="80" spans="6:8">
      <c r="F80" s="31"/>
      <c r="H80" s="39"/>
    </row>
    <row r="81" spans="6:8">
      <c r="F81" s="31"/>
      <c r="H81" s="39"/>
    </row>
    <row r="82" spans="6:8">
      <c r="F82" s="31"/>
      <c r="H82" s="39"/>
    </row>
    <row r="83" spans="6:8">
      <c r="F83" s="31"/>
      <c r="H83" s="39"/>
    </row>
    <row r="84" spans="6:8">
      <c r="F84" s="31"/>
      <c r="H84" s="39"/>
    </row>
    <row r="85" spans="6:8">
      <c r="F85" s="31"/>
      <c r="H85" s="39"/>
    </row>
    <row r="86" spans="6:8">
      <c r="F86" s="31"/>
      <c r="H86" s="39"/>
    </row>
    <row r="87" spans="6:8">
      <c r="F87" s="31"/>
      <c r="H87" s="39"/>
    </row>
    <row r="88" spans="6:8">
      <c r="F88" s="31"/>
      <c r="H88" s="39"/>
    </row>
    <row r="89" spans="6:8">
      <c r="F89" s="31"/>
      <c r="H89" s="39"/>
    </row>
    <row r="90" spans="6:8">
      <c r="F90" s="31"/>
      <c r="H90" s="39"/>
    </row>
    <row r="91" spans="6:8">
      <c r="F91" s="31"/>
      <c r="H91" s="39"/>
    </row>
    <row r="92" spans="6:8">
      <c r="F92" s="31"/>
      <c r="H92" s="39"/>
    </row>
    <row r="93" spans="6:8">
      <c r="F93" s="31"/>
      <c r="H93" s="39"/>
    </row>
    <row r="94" spans="6:8">
      <c r="F94" s="31"/>
      <c r="H94" s="39"/>
    </row>
    <row r="95" spans="6:8">
      <c r="F95" s="31"/>
      <c r="H95" s="39"/>
    </row>
    <row r="96" spans="6:8">
      <c r="F96" s="31"/>
      <c r="H96" s="39"/>
    </row>
    <row r="97" spans="6:8">
      <c r="F97" s="31"/>
      <c r="H97" s="39"/>
    </row>
    <row r="98" spans="6:8">
      <c r="F98" s="31"/>
      <c r="H98" s="39"/>
    </row>
    <row r="99" spans="6:8">
      <c r="F99" s="31"/>
      <c r="H99" s="39"/>
    </row>
    <row r="100" spans="6:8">
      <c r="F100" s="31"/>
      <c r="H100" s="39"/>
    </row>
    <row r="101" spans="6:8">
      <c r="F101" s="31"/>
      <c r="H101" s="39"/>
    </row>
    <row r="102" spans="6:8">
      <c r="F102" s="31"/>
      <c r="H102" s="39"/>
    </row>
    <row r="103" spans="6:8">
      <c r="F103" s="31"/>
      <c r="H103" s="39"/>
    </row>
    <row r="104" spans="6:8">
      <c r="F104" s="31"/>
      <c r="H104" s="39"/>
    </row>
    <row r="105" spans="6:8">
      <c r="F105" s="31"/>
      <c r="H105" s="39"/>
    </row>
    <row r="106" spans="6:8">
      <c r="F106" s="31"/>
      <c r="H106" s="39"/>
    </row>
    <row r="107" spans="6:8">
      <c r="F107" s="31"/>
      <c r="H107" s="39"/>
    </row>
    <row r="108" spans="6:8">
      <c r="F108" s="31"/>
      <c r="H108" s="39"/>
    </row>
    <row r="109" spans="6:8">
      <c r="F109" s="31"/>
      <c r="H109" s="39"/>
    </row>
    <row r="110" spans="6:8">
      <c r="F110" s="31"/>
      <c r="H110" s="39"/>
    </row>
    <row r="111" spans="6:8">
      <c r="F111" s="31"/>
      <c r="H111" s="39"/>
    </row>
    <row r="112" spans="6:8">
      <c r="F112" s="31"/>
      <c r="H112" s="39"/>
    </row>
    <row r="113" spans="6:8">
      <c r="F113" s="31"/>
      <c r="H113" s="39"/>
    </row>
    <row r="114" spans="6:8">
      <c r="F114" s="31"/>
      <c r="H114" s="39"/>
    </row>
    <row r="115" spans="6:8">
      <c r="F115" s="31"/>
      <c r="H115" s="39"/>
    </row>
    <row r="116" spans="6:8">
      <c r="F116" s="31"/>
      <c r="H116" s="39"/>
    </row>
    <row r="117" spans="6:8">
      <c r="F117" s="31"/>
      <c r="H117" s="39"/>
    </row>
    <row r="118" spans="6:8">
      <c r="F118" s="31"/>
      <c r="H118" s="39"/>
    </row>
    <row r="119" spans="6:8">
      <c r="F119" s="31"/>
      <c r="H119" s="39"/>
    </row>
    <row r="120" spans="6:8">
      <c r="F120" s="31"/>
      <c r="H120" s="39"/>
    </row>
    <row r="121" spans="6:8">
      <c r="F121" s="31"/>
      <c r="H121" s="39"/>
    </row>
    <row r="122" spans="6:8">
      <c r="F122" s="31"/>
      <c r="H122" s="39"/>
    </row>
    <row r="123" spans="6:8">
      <c r="F123" s="31"/>
      <c r="H123" s="39"/>
    </row>
    <row r="124" spans="6:8">
      <c r="F124" s="31"/>
      <c r="H124" s="39"/>
    </row>
  </sheetData>
  <sortState ref="A2:H16">
    <sortCondition ref="A2"/>
  </sortState>
  <phoneticPr fontId="15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rgb="FF0000FF"/>
  </sheetPr>
  <dimension ref="A1:F32"/>
  <sheetViews>
    <sheetView view="pageLayout" topLeftCell="A22" zoomScaleNormal="100" workbookViewId="0">
      <selection activeCell="F27" sqref="F27:F28"/>
    </sheetView>
  </sheetViews>
  <sheetFormatPr baseColWidth="10" defaultColWidth="23.7265625" defaultRowHeight="25.5" customHeight="1"/>
  <cols>
    <col min="1" max="1" width="14.36328125" style="13" customWidth="1"/>
    <col min="2" max="2" width="18.6328125" style="13" customWidth="1"/>
    <col min="3" max="3" width="23.453125" style="13" customWidth="1"/>
    <col min="4" max="4" width="9.7265625" style="13" customWidth="1"/>
    <col min="5" max="5" width="15" style="24" customWidth="1"/>
    <col min="6" max="6" width="17.54296875" style="27" customWidth="1"/>
    <col min="7" max="16384" width="23.7265625" style="14"/>
  </cols>
  <sheetData>
    <row r="1" spans="1:6" ht="25.5" customHeight="1">
      <c r="A1" s="113" t="s">
        <v>77</v>
      </c>
      <c r="B1" s="114"/>
      <c r="C1" s="114"/>
      <c r="D1" s="114"/>
      <c r="E1" s="114"/>
      <c r="F1" s="115"/>
    </row>
    <row r="2" spans="1:6" ht="25.5" customHeight="1" thickBot="1">
      <c r="A2" s="123">
        <f ca="1">Commande!J1</f>
        <v>41537</v>
      </c>
      <c r="B2" s="124"/>
      <c r="C2" s="124"/>
      <c r="D2" s="125">
        <f>Commande!J4</f>
        <v>41537.839317129627</v>
      </c>
      <c r="E2" s="125"/>
      <c r="F2" s="126"/>
    </row>
    <row r="3" spans="1:6" ht="25.5" customHeight="1" thickBot="1">
      <c r="A3" s="68" t="s">
        <v>34</v>
      </c>
      <c r="B3" s="69" t="s">
        <v>57</v>
      </c>
      <c r="C3" s="69" t="s">
        <v>36</v>
      </c>
      <c r="D3" s="70" t="s">
        <v>7</v>
      </c>
      <c r="E3" s="71" t="s">
        <v>6</v>
      </c>
      <c r="F3" s="72" t="s">
        <v>0</v>
      </c>
    </row>
    <row r="4" spans="1:6" ht="22.5" customHeight="1">
      <c r="A4" s="15" t="str">
        <f>IF(Commande!A2&lt;&gt;"",Commande!A2,"")</f>
        <v/>
      </c>
      <c r="B4" s="65" t="str">
        <f>IF(Commande!A2&lt;&gt;"",Commande!B2,"")</f>
        <v/>
      </c>
      <c r="C4" s="65" t="str">
        <f>IF(Commande!A2&lt;&gt;"",Commande!C2,"")</f>
        <v/>
      </c>
      <c r="D4" s="16" t="str">
        <f>IF(Commande!D2&lt;&gt;"",Commande!D2,"")</f>
        <v/>
      </c>
      <c r="E4" s="23" t="str">
        <f>IF(A4="","",VLOOKUP(A4,Articles!$A$2:$E$30,5,FALSE))</f>
        <v/>
      </c>
      <c r="F4" s="23" t="str">
        <f>IF(Commande!A2&lt;&gt;"",Commande!E2,"")</f>
        <v/>
      </c>
    </row>
    <row r="5" spans="1:6" ht="22.5" customHeight="1">
      <c r="A5" s="15" t="str">
        <f>IF(Commande!A3&lt;&gt;"",Commande!A3,"")</f>
        <v/>
      </c>
      <c r="B5" s="65" t="str">
        <f>IF(Commande!A3&lt;&gt;"",Commande!B3,"")</f>
        <v/>
      </c>
      <c r="C5" s="65" t="str">
        <f>IF(Commande!A3&lt;&gt;"",Commande!C3,"")</f>
        <v/>
      </c>
      <c r="D5" s="16" t="str">
        <f>IF(Commande!D3&lt;&gt;"",Commande!D3,"")</f>
        <v/>
      </c>
      <c r="E5" s="23" t="str">
        <f>IF(A5="","",VLOOKUP(A5,Articles!$A$2:$E$30,5,FALSE))</f>
        <v/>
      </c>
      <c r="F5" s="23" t="str">
        <f>IF(Commande!A3&lt;&gt;"",Commande!E3,"")</f>
        <v/>
      </c>
    </row>
    <row r="6" spans="1:6" ht="22.5" customHeight="1">
      <c r="A6" s="15" t="str">
        <f>IF(Commande!A4&lt;&gt;"",Commande!A4,"")</f>
        <v/>
      </c>
      <c r="B6" s="65" t="str">
        <f>IF(Commande!A4&lt;&gt;"",Commande!B4,"")</f>
        <v/>
      </c>
      <c r="C6" s="65" t="str">
        <f>IF(Commande!A4&lt;&gt;"",Commande!C4,"")</f>
        <v/>
      </c>
      <c r="D6" s="16" t="str">
        <f>IF(Commande!D4&lt;&gt;"",Commande!D4,"")</f>
        <v/>
      </c>
      <c r="E6" s="23" t="str">
        <f>IF(A6="","",VLOOKUP(A6,Articles!$A$2:$E$30,5,FALSE))</f>
        <v/>
      </c>
      <c r="F6" s="23" t="str">
        <f>IF(Commande!A4&lt;&gt;"",Commande!E4,"")</f>
        <v/>
      </c>
    </row>
    <row r="7" spans="1:6" ht="22.5" customHeight="1">
      <c r="A7" s="15" t="str">
        <f>IF(Commande!A5&lt;&gt;"",Commande!A5,"")</f>
        <v/>
      </c>
      <c r="B7" s="65" t="str">
        <f>IF(Commande!A5&lt;&gt;"",Commande!B5,"")</f>
        <v/>
      </c>
      <c r="C7" s="65" t="str">
        <f>IF(Commande!A5&lt;&gt;"",Commande!C5,"")</f>
        <v/>
      </c>
      <c r="D7" s="16" t="str">
        <f>IF(Commande!D5&lt;&gt;"",Commande!D5,"")</f>
        <v/>
      </c>
      <c r="E7" s="23" t="str">
        <f>IF(A7="","",VLOOKUP(A7,Articles!$A$2:$E$30,5,FALSE))</f>
        <v/>
      </c>
      <c r="F7" s="23" t="str">
        <f>IF(Commande!A5&lt;&gt;"",Commande!E5,"")</f>
        <v/>
      </c>
    </row>
    <row r="8" spans="1:6" ht="22.5" customHeight="1">
      <c r="A8" s="15" t="str">
        <f>IF(Commande!A6&lt;&gt;"",Commande!A6,"")</f>
        <v/>
      </c>
      <c r="B8" s="65" t="str">
        <f>IF(Commande!A6&lt;&gt;"",Commande!B6,"")</f>
        <v/>
      </c>
      <c r="C8" s="65" t="str">
        <f>IF(Commande!A6&lt;&gt;"",Commande!C6,"")</f>
        <v/>
      </c>
      <c r="D8" s="16" t="str">
        <f>IF(Commande!D6&lt;&gt;"",Commande!D6,"")</f>
        <v/>
      </c>
      <c r="E8" s="23" t="str">
        <f>IF(A8="","",VLOOKUP(A8,Articles!$A$2:$E$30,5,FALSE))</f>
        <v/>
      </c>
      <c r="F8" s="23" t="str">
        <f>IF(Commande!A6&lt;&gt;"",Commande!E6,"")</f>
        <v/>
      </c>
    </row>
    <row r="9" spans="1:6" ht="22.5" customHeight="1">
      <c r="A9" s="15" t="str">
        <f>IF(Commande!A7&lt;&gt;"",Commande!A7,"")</f>
        <v/>
      </c>
      <c r="B9" s="65" t="str">
        <f>IF(Commande!A7&lt;&gt;"",Commande!B7,"")</f>
        <v/>
      </c>
      <c r="C9" s="65" t="str">
        <f>IF(Commande!A7&lt;&gt;"",Commande!C7,"")</f>
        <v/>
      </c>
      <c r="D9" s="16" t="str">
        <f>IF(Commande!D7&lt;&gt;"",Commande!D7,"")</f>
        <v/>
      </c>
      <c r="E9" s="23" t="str">
        <f>IF(A9="","",VLOOKUP(A9,Articles!$A$2:$E$30,5,FALSE))</f>
        <v/>
      </c>
      <c r="F9" s="23" t="str">
        <f>IF(Commande!A7&lt;&gt;"",Commande!E7,"")</f>
        <v/>
      </c>
    </row>
    <row r="10" spans="1:6" ht="22.5" customHeight="1">
      <c r="A10" s="15" t="str">
        <f>IF(Commande!A8&lt;&gt;"",Commande!A8,"")</f>
        <v/>
      </c>
      <c r="B10" s="65" t="str">
        <f>IF(Commande!A8&lt;&gt;"",Commande!B8,"")</f>
        <v/>
      </c>
      <c r="C10" s="65" t="str">
        <f>IF(Commande!A8&lt;&gt;"",Commande!C8,"")</f>
        <v/>
      </c>
      <c r="D10" s="16" t="str">
        <f>IF(Commande!D8&lt;&gt;"",Commande!D8,"")</f>
        <v/>
      </c>
      <c r="E10" s="23" t="str">
        <f>IF(A10="","",VLOOKUP(A10,Articles!$A$2:$E$30,5,FALSE))</f>
        <v/>
      </c>
      <c r="F10" s="23" t="str">
        <f>IF(Commande!A8&lt;&gt;"",Commande!E8,"")</f>
        <v/>
      </c>
    </row>
    <row r="11" spans="1:6" ht="22.5" customHeight="1">
      <c r="A11" s="15" t="str">
        <f>IF(Commande!A9&lt;&gt;"",Commande!A9,"")</f>
        <v/>
      </c>
      <c r="B11" s="65" t="str">
        <f>IF(Commande!A9&lt;&gt;"",Commande!B9,"")</f>
        <v/>
      </c>
      <c r="C11" s="65" t="str">
        <f>IF(Commande!A9&lt;&gt;"",Commande!C9,"")</f>
        <v/>
      </c>
      <c r="D11" s="16" t="str">
        <f>IF(Commande!D9&lt;&gt;"",Commande!D9,"")</f>
        <v/>
      </c>
      <c r="E11" s="23" t="str">
        <f>IF(A11="","",VLOOKUP(A11,Articles!$A$2:$E$30,5,FALSE))</f>
        <v/>
      </c>
      <c r="F11" s="23" t="str">
        <f>IF(Commande!A9&lt;&gt;"",Commande!E9,"")</f>
        <v/>
      </c>
    </row>
    <row r="12" spans="1:6" ht="22.5" customHeight="1">
      <c r="A12" s="15" t="str">
        <f>IF(Commande!A10&lt;&gt;"",Commande!A10,"")</f>
        <v/>
      </c>
      <c r="B12" s="65" t="str">
        <f>IF(Commande!A10&lt;&gt;"",Commande!B10,"")</f>
        <v/>
      </c>
      <c r="C12" s="65" t="str">
        <f>IF(Commande!A10&lt;&gt;"",Commande!C10,"")</f>
        <v/>
      </c>
      <c r="D12" s="16" t="str">
        <f>IF(Commande!D10&lt;&gt;"",Commande!D10,"")</f>
        <v/>
      </c>
      <c r="E12" s="23" t="str">
        <f>IF(A12="","",VLOOKUP(A12,Articles!$A$2:$E$30,5,FALSE))</f>
        <v/>
      </c>
      <c r="F12" s="23" t="str">
        <f>IF(Commande!A10&lt;&gt;"",Commande!E10,"")</f>
        <v/>
      </c>
    </row>
    <row r="13" spans="1:6" ht="22.5" customHeight="1">
      <c r="A13" s="15" t="str">
        <f>IF(Commande!A11&lt;&gt;"",Commande!A11,"")</f>
        <v/>
      </c>
      <c r="B13" s="65" t="str">
        <f>IF(Commande!A11&lt;&gt;"",Commande!B11,"")</f>
        <v/>
      </c>
      <c r="C13" s="65" t="str">
        <f>IF(Commande!A11&lt;&gt;"",Commande!C11,"")</f>
        <v/>
      </c>
      <c r="D13" s="16" t="str">
        <f>IF(Commande!D11&lt;&gt;"",Commande!D11,"")</f>
        <v/>
      </c>
      <c r="E13" s="23" t="str">
        <f>IF(A13="","",VLOOKUP(A13,Articles!$A$2:$E$30,5,FALSE))</f>
        <v/>
      </c>
      <c r="F13" s="23" t="str">
        <f>IF(Commande!A11&lt;&gt;"",Commande!E11,"")</f>
        <v/>
      </c>
    </row>
    <row r="14" spans="1:6" ht="22.5" customHeight="1">
      <c r="A14" s="15" t="str">
        <f>IF(Commande!A12&lt;&gt;"",Commande!A12,"")</f>
        <v/>
      </c>
      <c r="B14" s="65" t="str">
        <f>IF(Commande!A12&lt;&gt;"",Commande!B12,"")</f>
        <v/>
      </c>
      <c r="C14" s="65" t="str">
        <f>IF(Commande!A12&lt;&gt;"",Commande!C12,"")</f>
        <v/>
      </c>
      <c r="D14" s="16" t="str">
        <f>IF(Commande!D12&lt;&gt;"",Commande!D12,"")</f>
        <v/>
      </c>
      <c r="E14" s="23" t="str">
        <f>IF(A14="","",VLOOKUP(A14,Articles!$A$2:$E$30,5,FALSE))</f>
        <v/>
      </c>
      <c r="F14" s="23" t="str">
        <f>IF(Commande!A12&lt;&gt;"",Commande!E12,"")</f>
        <v/>
      </c>
    </row>
    <row r="15" spans="1:6" ht="22.5" customHeight="1">
      <c r="A15" s="15" t="str">
        <f>IF(Commande!A13&lt;&gt;"",Commande!A13,"")</f>
        <v/>
      </c>
      <c r="B15" s="65" t="str">
        <f>IF(Commande!A13&lt;&gt;"",Commande!B13,"")</f>
        <v/>
      </c>
      <c r="C15" s="65" t="str">
        <f>IF(Commande!A13&lt;&gt;"",Commande!C13,"")</f>
        <v/>
      </c>
      <c r="D15" s="16" t="str">
        <f>IF(Commande!D13&lt;&gt;"",Commande!D13,"")</f>
        <v/>
      </c>
      <c r="E15" s="23" t="str">
        <f>IF(A15="","",VLOOKUP(A15,Articles!$A$2:$E$30,5,FALSE))</f>
        <v/>
      </c>
      <c r="F15" s="23" t="str">
        <f>IF(Commande!A13&lt;&gt;"",Commande!E13,"")</f>
        <v/>
      </c>
    </row>
    <row r="16" spans="1:6" ht="22.5" customHeight="1">
      <c r="A16" s="15" t="str">
        <f>IF(Commande!A14&lt;&gt;"",Commande!A14,"")</f>
        <v/>
      </c>
      <c r="B16" s="65" t="str">
        <f>IF(Commande!A14&lt;&gt;"",Commande!B14,"")</f>
        <v/>
      </c>
      <c r="C16" s="65" t="str">
        <f>IF(Commande!A14&lt;&gt;"",Commande!C14,"")</f>
        <v/>
      </c>
      <c r="D16" s="16" t="str">
        <f>IF(Commande!D14&lt;&gt;"",Commande!D14,"")</f>
        <v/>
      </c>
      <c r="E16" s="23" t="str">
        <f>IF(A16="","",VLOOKUP(A16,Articles!$A$2:$E$30,5,FALSE))</f>
        <v/>
      </c>
      <c r="F16" s="23" t="str">
        <f>IF(Commande!A14&lt;&gt;"",Commande!E14,"")</f>
        <v/>
      </c>
    </row>
    <row r="17" spans="1:6" ht="22.5" customHeight="1">
      <c r="A17" s="15" t="str">
        <f>IF(Commande!A15&lt;&gt;"",Commande!A15,"")</f>
        <v/>
      </c>
      <c r="B17" s="65" t="str">
        <f>IF(Commande!A15&lt;&gt;"",Commande!B15,"")</f>
        <v/>
      </c>
      <c r="C17" s="65" t="str">
        <f>IF(Commande!A15&lt;&gt;"",Commande!C15,"")</f>
        <v/>
      </c>
      <c r="D17" s="16" t="str">
        <f>IF(Commande!D15&lt;&gt;"",Commande!D15,"")</f>
        <v/>
      </c>
      <c r="E17" s="23" t="str">
        <f>IF(A17="","",VLOOKUP(A17,Articles!$A$2:$E$30,5,FALSE))</f>
        <v/>
      </c>
      <c r="F17" s="23" t="str">
        <f>IF(Commande!A15&lt;&gt;"",Commande!E15,"")</f>
        <v/>
      </c>
    </row>
    <row r="18" spans="1:6" ht="22.5" customHeight="1">
      <c r="A18" s="15" t="str">
        <f>IF(Commande!A16&lt;&gt;"",Commande!A16,"")</f>
        <v/>
      </c>
      <c r="B18" s="65" t="str">
        <f>IF(Commande!A16&lt;&gt;"",Commande!B16,"")</f>
        <v/>
      </c>
      <c r="C18" s="65" t="str">
        <f>IF(Commande!A16&lt;&gt;"",Commande!C16,"")</f>
        <v/>
      </c>
      <c r="D18" s="16" t="str">
        <f>IF(Commande!D16&lt;&gt;"",Commande!D16,"")</f>
        <v/>
      </c>
      <c r="E18" s="23" t="str">
        <f>IF(A18="","",VLOOKUP(A18,Articles!$A$2:$E$30,5,FALSE))</f>
        <v/>
      </c>
      <c r="F18" s="23" t="str">
        <f>IF(Commande!A16&lt;&gt;"",Commande!E16,"")</f>
        <v/>
      </c>
    </row>
    <row r="19" spans="1:6" ht="22.5" customHeight="1">
      <c r="A19" s="15" t="str">
        <f>IF(Commande!A17&lt;&gt;"",Commande!A17,"")</f>
        <v/>
      </c>
      <c r="B19" s="65" t="str">
        <f>IF(Commande!A17&lt;&gt;"",Commande!B17,"")</f>
        <v/>
      </c>
      <c r="C19" s="65" t="str">
        <f>IF(Commande!A17&lt;&gt;"",Commande!C17,"")</f>
        <v/>
      </c>
      <c r="D19" s="16" t="str">
        <f>IF(Commande!D17&lt;&gt;"",Commande!D17,"")</f>
        <v/>
      </c>
      <c r="E19" s="23" t="str">
        <f>IF(A19="","",VLOOKUP(A19,Articles!$A$2:$E$30,5,FALSE))</f>
        <v/>
      </c>
      <c r="F19" s="23" t="str">
        <f>IF(Commande!A17&lt;&gt;"",Commande!E17,"")</f>
        <v/>
      </c>
    </row>
    <row r="20" spans="1:6" ht="22.5" customHeight="1">
      <c r="A20" s="15" t="str">
        <f>IF(Commande!A18&lt;&gt;"",Commande!A18,"")</f>
        <v/>
      </c>
      <c r="B20" s="65" t="str">
        <f>IF(Commande!A18&lt;&gt;"",Commande!B18,"")</f>
        <v/>
      </c>
      <c r="C20" s="65" t="str">
        <f>IF(Commande!A18&lt;&gt;"",Commande!C18,"")</f>
        <v/>
      </c>
      <c r="D20" s="16" t="str">
        <f>IF(Commande!D18&lt;&gt;"",Commande!D18,"")</f>
        <v/>
      </c>
      <c r="E20" s="23" t="str">
        <f>IF(A20="","",VLOOKUP(A20,Articles!$A$2:$E$30,5,FALSE))</f>
        <v/>
      </c>
      <c r="F20" s="23" t="str">
        <f>IF(Commande!A18&lt;&gt;"",Commande!E18,"")</f>
        <v/>
      </c>
    </row>
    <row r="21" spans="1:6" ht="22.5" customHeight="1">
      <c r="A21" s="15" t="str">
        <f>IF(Commande!A19&lt;&gt;"",Commande!A19,"")</f>
        <v/>
      </c>
      <c r="B21" s="65" t="str">
        <f>IF(Commande!A19&lt;&gt;"",Commande!B19,"")</f>
        <v/>
      </c>
      <c r="C21" s="65" t="str">
        <f>IF(Commande!A19&lt;&gt;"",Commande!C19,"")</f>
        <v/>
      </c>
      <c r="D21" s="16" t="str">
        <f>IF(Commande!D19&lt;&gt;"",Commande!D19,"")</f>
        <v/>
      </c>
      <c r="E21" s="23" t="str">
        <f>IF(A21="","",VLOOKUP(A21,Articles!$A$2:$E$30,5,FALSE))</f>
        <v/>
      </c>
      <c r="F21" s="23" t="str">
        <f>IF(Commande!A19&lt;&gt;"",Commande!E19,"")</f>
        <v/>
      </c>
    </row>
    <row r="22" spans="1:6" ht="22.5" customHeight="1">
      <c r="A22" s="15" t="str">
        <f>IF(Commande!A20&lt;&gt;"",Commande!A20,"")</f>
        <v/>
      </c>
      <c r="B22" s="65" t="str">
        <f>IF(Commande!A20&lt;&gt;"",Commande!B20,"")</f>
        <v/>
      </c>
      <c r="C22" s="65" t="str">
        <f>IF(Commande!A20&lt;&gt;"",Commande!C20,"")</f>
        <v/>
      </c>
      <c r="D22" s="16" t="str">
        <f>IF(Commande!D20&lt;&gt;"",Commande!D20,"")</f>
        <v/>
      </c>
      <c r="E22" s="23" t="str">
        <f>IF(A22="","",VLOOKUP(A22,Articles!$A$2:$E$30,5,FALSE))</f>
        <v/>
      </c>
      <c r="F22" s="23" t="str">
        <f>IF(Commande!A20&lt;&gt;"",Commande!E20,"")</f>
        <v/>
      </c>
    </row>
    <row r="23" spans="1:6" ht="22.5" customHeight="1">
      <c r="A23" s="15" t="str">
        <f>IF(Commande!A21&lt;&gt;"",Commande!A21,"")</f>
        <v/>
      </c>
      <c r="B23" s="65" t="str">
        <f>IF(Commande!A21&lt;&gt;"",Commande!B21,"")</f>
        <v/>
      </c>
      <c r="C23" s="65" t="str">
        <f>IF(Commande!A21&lt;&gt;"",Commande!C21,"")</f>
        <v/>
      </c>
      <c r="D23" s="16" t="str">
        <f>IF(Commande!D21&lt;&gt;"",Commande!D21,"")</f>
        <v/>
      </c>
      <c r="E23" s="23" t="str">
        <f>IF(A23="","",VLOOKUP(A23,Articles!$A$2:$E$30,5,FALSE))</f>
        <v/>
      </c>
      <c r="F23" s="23" t="str">
        <f>IF(Commande!A21&lt;&gt;"",Commande!E21,"")</f>
        <v/>
      </c>
    </row>
    <row r="24" spans="1:6" ht="22.5" customHeight="1">
      <c r="A24" s="15" t="str">
        <f>IF(Commande!A22&lt;&gt;"",Commande!A22,"")</f>
        <v/>
      </c>
      <c r="B24" s="65" t="str">
        <f>IF(Commande!A22&lt;&gt;"",Commande!B22,"")</f>
        <v/>
      </c>
      <c r="C24" s="65" t="str">
        <f>IF(Commande!A22&lt;&gt;"",Commande!C22,"")</f>
        <v/>
      </c>
      <c r="D24" s="16" t="str">
        <f>IF(Commande!D22&lt;&gt;"",Commande!D22,"")</f>
        <v/>
      </c>
      <c r="E24" s="23" t="str">
        <f>IF(A24="","",VLOOKUP(A24,Articles!$A$2:$E$30,5,FALSE))</f>
        <v/>
      </c>
      <c r="F24" s="23" t="str">
        <f>IF(Commande!A22&lt;&gt;"",Commande!E22,"")</f>
        <v/>
      </c>
    </row>
    <row r="25" spans="1:6" ht="22.5" customHeight="1">
      <c r="A25" s="15" t="str">
        <f>IF(Commande!A23&lt;&gt;"",Commande!A23,"")</f>
        <v/>
      </c>
      <c r="B25" s="65" t="str">
        <f>IF(Commande!A23&lt;&gt;"",Commande!B23,"")</f>
        <v/>
      </c>
      <c r="C25" s="65" t="str">
        <f>IF(Commande!A23&lt;&gt;"",Commande!C23,"")</f>
        <v/>
      </c>
      <c r="D25" s="16" t="str">
        <f>IF(Commande!D23&lt;&gt;"",Commande!D23,"")</f>
        <v/>
      </c>
      <c r="E25" s="23" t="str">
        <f>IF(A25="","",VLOOKUP(A25,Articles!$A$2:$E$30,5,FALSE))</f>
        <v/>
      </c>
      <c r="F25" s="23" t="str">
        <f>IF(Commande!A23&lt;&gt;"",Commande!E23,"")</f>
        <v/>
      </c>
    </row>
    <row r="26" spans="1:6" ht="22.5" customHeight="1" thickBot="1">
      <c r="A26" s="15" t="s">
        <v>56</v>
      </c>
      <c r="B26" s="65"/>
      <c r="C26" s="65"/>
      <c r="D26" s="16"/>
      <c r="E26" s="23"/>
      <c r="F26" s="23" t="str">
        <f>IF(Commande!G19&gt;0,Commande!G19,0)</f>
        <v/>
      </c>
    </row>
    <row r="27" spans="1:6" ht="37.5" customHeight="1" thickBot="1">
      <c r="A27" s="116" t="s">
        <v>1</v>
      </c>
      <c r="B27" s="117"/>
      <c r="C27" s="117"/>
      <c r="D27" s="117"/>
      <c r="E27" s="118"/>
      <c r="F27" s="25">
        <f>IFERROR(Commande!G4-F26,0)</f>
        <v>0</v>
      </c>
    </row>
    <row r="28" spans="1:6" ht="25.5" customHeight="1" thickBot="1">
      <c r="A28" s="119" t="s">
        <v>3</v>
      </c>
      <c r="B28" s="119"/>
      <c r="C28" s="119"/>
      <c r="D28" s="119"/>
      <c r="E28" s="120"/>
      <c r="F28" s="26">
        <f>Commande!G13</f>
        <v>0</v>
      </c>
    </row>
    <row r="29" spans="1:6" ht="25.5" customHeight="1" thickBot="1">
      <c r="A29" s="121" t="s">
        <v>4</v>
      </c>
      <c r="B29" s="121"/>
      <c r="C29" s="121"/>
      <c r="D29" s="121"/>
      <c r="E29" s="122"/>
      <c r="F29" s="73">
        <f>IF(Commande!G19&lt;0,Commande!G19,0)</f>
        <v>0</v>
      </c>
    </row>
    <row r="30" spans="1:6" ht="25.5" customHeight="1">
      <c r="A30" s="45" t="s">
        <v>58</v>
      </c>
      <c r="B30" s="45" t="str">
        <f>IF(Commande!G16="","",Commande!G16)</f>
        <v/>
      </c>
      <c r="C30" s="45"/>
      <c r="D30" s="13" t="s">
        <v>14</v>
      </c>
      <c r="E30" s="38"/>
    </row>
    <row r="32" spans="1:6" ht="25.5" customHeight="1">
      <c r="E32" s="24" t="s">
        <v>78</v>
      </c>
    </row>
  </sheetData>
  <sheetProtection selectLockedCells="1"/>
  <mergeCells count="6">
    <mergeCell ref="A1:F1"/>
    <mergeCell ref="A27:E27"/>
    <mergeCell ref="A28:E28"/>
    <mergeCell ref="A29:E29"/>
    <mergeCell ref="A2:C2"/>
    <mergeCell ref="D2:F2"/>
  </mergeCells>
  <phoneticPr fontId="15" type="noConversion"/>
  <pageMargins left="0.25" right="0.25" top="0.75" bottom="0.75" header="0.3" footer="0.3"/>
  <pageSetup paperSize="9" orientation="portrait" horizontalDpi="360" verticalDpi="360" r:id="rId1"/>
  <headerFooter alignWithMargins="0">
    <oddHeader>&amp;C&amp;"-,Italique"&amp;12Magasin du Téléphone
1 rue Bleue 75001 PARIS Tél: 01 01 01 01 01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1"/>
  <dimension ref="A1:V31"/>
  <sheetViews>
    <sheetView workbookViewId="0">
      <pane ySplit="5" topLeftCell="A6" activePane="bottomLeft" state="frozen"/>
      <selection pane="bottomLeft" activeCell="A23" sqref="A23"/>
    </sheetView>
  </sheetViews>
  <sheetFormatPr baseColWidth="10" defaultRowHeight="14.5"/>
  <cols>
    <col min="1" max="1" width="8.1796875" customWidth="1"/>
    <col min="3" max="3" width="10.90625" style="19"/>
    <col min="4" max="5" width="10.90625" style="20"/>
    <col min="6" max="6" width="16.54296875" customWidth="1"/>
    <col min="7" max="7" width="10.90625" style="51"/>
    <col min="8" max="8" width="10.90625" style="28"/>
    <col min="9" max="9" width="10.90625" style="49"/>
    <col min="10" max="10" width="10.90625" style="48"/>
    <col min="11" max="11" width="13.26953125" style="54" customWidth="1"/>
    <col min="12" max="12" width="14.1796875" style="20" customWidth="1"/>
    <col min="13" max="13" width="16.1796875" customWidth="1"/>
    <col min="14" max="14" width="9" style="57" customWidth="1"/>
    <col min="15" max="15" width="10.26953125" customWidth="1"/>
    <col min="16" max="16" width="9.81640625" style="57" customWidth="1"/>
  </cols>
  <sheetData>
    <row r="1" spans="1:22" ht="15" customHeight="1">
      <c r="A1" t="s">
        <v>10</v>
      </c>
      <c r="B1" t="s">
        <v>8</v>
      </c>
      <c r="C1" s="19" t="s">
        <v>9</v>
      </c>
      <c r="D1" s="20" t="s">
        <v>15</v>
      </c>
      <c r="E1" s="20" t="s">
        <v>20</v>
      </c>
      <c r="G1" s="50" t="s">
        <v>22</v>
      </c>
      <c r="H1" s="28" t="s">
        <v>21</v>
      </c>
      <c r="I1" s="49" t="s">
        <v>18</v>
      </c>
      <c r="J1" s="48" t="s">
        <v>19</v>
      </c>
      <c r="K1" s="55" t="s">
        <v>32</v>
      </c>
      <c r="L1" s="28" t="s">
        <v>12</v>
      </c>
      <c r="M1" s="53">
        <v>998</v>
      </c>
      <c r="V1" s="18">
        <f ca="1">TODAY()</f>
        <v>41537</v>
      </c>
    </row>
    <row r="2" spans="1:22" ht="2.15" customHeight="1" thickBot="1">
      <c r="A2">
        <f>COUNT(A1,A65000)</f>
        <v>0</v>
      </c>
      <c r="F2" t="s">
        <v>11</v>
      </c>
    </row>
    <row r="3" spans="1:22" ht="15" thickTop="1">
      <c r="A3">
        <v>1</v>
      </c>
      <c r="B3" s="18">
        <v>41522</v>
      </c>
      <c r="C3" s="19">
        <v>41522.674930555557</v>
      </c>
      <c r="D3" s="20">
        <v>98</v>
      </c>
      <c r="E3" s="20" t="s">
        <v>17</v>
      </c>
      <c r="L3" s="127" t="s">
        <v>13</v>
      </c>
      <c r="M3" s="128">
        <f>SUMIF($E$3:$E$65000,Commande!$Q$2,$D$3:$D$65000)+$M$1-SUM($K$3:$K$65000)</f>
        <v>1044</v>
      </c>
    </row>
    <row r="4" spans="1:22">
      <c r="A4">
        <v>2</v>
      </c>
      <c r="B4" s="18">
        <v>41522</v>
      </c>
      <c r="C4" s="19">
        <v>41522.675902777781</v>
      </c>
      <c r="D4" s="20">
        <v>128</v>
      </c>
      <c r="E4" s="20" t="s">
        <v>19</v>
      </c>
      <c r="L4" s="127"/>
      <c r="M4" s="129"/>
    </row>
    <row r="5" spans="1:22" ht="15" thickBot="1">
      <c r="A5">
        <v>3</v>
      </c>
      <c r="B5" s="18">
        <v>41522</v>
      </c>
      <c r="C5" s="19">
        <v>41522.676122685189</v>
      </c>
      <c r="D5" s="20">
        <v>300</v>
      </c>
      <c r="E5" s="20" t="s">
        <v>18</v>
      </c>
      <c r="L5" s="127"/>
      <c r="M5" s="130"/>
    </row>
    <row r="6" spans="1:22" ht="15" thickTop="1">
      <c r="A6">
        <v>4</v>
      </c>
      <c r="B6" s="18">
        <v>41522</v>
      </c>
      <c r="C6" s="19">
        <v>41522.676122685189</v>
      </c>
      <c r="D6" s="20">
        <v>40</v>
      </c>
      <c r="E6" s="20" t="s">
        <v>19</v>
      </c>
      <c r="O6" s="56"/>
    </row>
    <row r="7" spans="1:22">
      <c r="A7">
        <v>5</v>
      </c>
      <c r="B7" s="18">
        <v>41522</v>
      </c>
      <c r="C7" s="19">
        <v>41522.676122685189</v>
      </c>
      <c r="D7" s="20">
        <v>128</v>
      </c>
      <c r="E7" s="20" t="s">
        <v>17</v>
      </c>
      <c r="O7" s="56"/>
    </row>
    <row r="8" spans="1:22">
      <c r="A8">
        <v>6</v>
      </c>
      <c r="B8" s="18">
        <v>41522</v>
      </c>
      <c r="C8" s="19">
        <v>41522.742210648146</v>
      </c>
      <c r="D8" s="20">
        <v>20</v>
      </c>
      <c r="E8" s="20" t="s">
        <v>17</v>
      </c>
      <c r="O8" s="56"/>
    </row>
    <row r="9" spans="1:22">
      <c r="A9">
        <v>7</v>
      </c>
      <c r="B9" s="18">
        <v>41522</v>
      </c>
      <c r="C9" s="19">
        <v>41522.744502314818</v>
      </c>
      <c r="D9" s="20">
        <v>318</v>
      </c>
      <c r="E9" s="20" t="s">
        <v>18</v>
      </c>
      <c r="O9" s="56"/>
    </row>
    <row r="10" spans="1:22">
      <c r="A10">
        <v>8</v>
      </c>
      <c r="B10" s="18">
        <v>41522</v>
      </c>
      <c r="C10" s="19">
        <v>41522.746435185189</v>
      </c>
      <c r="D10" s="20">
        <v>128</v>
      </c>
      <c r="E10" s="20" t="s">
        <v>19</v>
      </c>
    </row>
    <row r="11" spans="1:22">
      <c r="A11">
        <v>9</v>
      </c>
      <c r="B11" s="18">
        <v>41522</v>
      </c>
      <c r="C11" s="19">
        <v>41522.748449074075</v>
      </c>
      <c r="D11" s="20">
        <v>90</v>
      </c>
      <c r="E11" s="20" t="s">
        <v>18</v>
      </c>
      <c r="O11" s="20"/>
    </row>
    <row r="12" spans="1:22">
      <c r="A12">
        <v>10</v>
      </c>
      <c r="B12" s="18">
        <v>41522</v>
      </c>
      <c r="C12" s="19">
        <v>41522.751423611109</v>
      </c>
      <c r="D12" s="20">
        <v>50</v>
      </c>
      <c r="E12" s="20" t="s">
        <v>17</v>
      </c>
    </row>
    <row r="13" spans="1:22">
      <c r="A13">
        <v>11</v>
      </c>
      <c r="B13" s="18">
        <v>41522</v>
      </c>
      <c r="C13" s="19">
        <v>41522.751423611109</v>
      </c>
      <c r="D13" s="20">
        <v>128</v>
      </c>
      <c r="E13" s="20" t="s">
        <v>18</v>
      </c>
      <c r="F13" t="s">
        <v>11</v>
      </c>
      <c r="G13" s="51">
        <f>SUMPRODUCT(($B$3:$B$65000=B13)*$D$3:$D$65000)</f>
        <v>1428</v>
      </c>
      <c r="H13" s="28">
        <f>SUMPRODUCT(($B$3:$B$65000=B13)*($E$3:$E$65000=Commande!$Q$2)*$D$3:$D$65000)</f>
        <v>296</v>
      </c>
      <c r="I13" s="49">
        <f>SUMPRODUCT(($B$3:$B$65000=B13)*($E$3:$E$65000=Commande!$Q$3)*$D$3:$D$65000)</f>
        <v>836</v>
      </c>
      <c r="J13" s="48">
        <f>SUMPRODUCT(($B$3:$B$65000=B13)*($E$3:$E$65000=Commande!$Q$4)*$D$3:$D$65000)</f>
        <v>296</v>
      </c>
      <c r="O13" s="56"/>
    </row>
    <row r="14" spans="1:22">
      <c r="A14">
        <v>12</v>
      </c>
      <c r="B14" s="18">
        <v>41525</v>
      </c>
      <c r="C14" s="19">
        <v>41525.79959490741</v>
      </c>
      <c r="D14" s="20">
        <v>450</v>
      </c>
      <c r="E14" s="20" t="s">
        <v>19</v>
      </c>
    </row>
    <row r="15" spans="1:22">
      <c r="A15">
        <v>13</v>
      </c>
      <c r="B15" s="18">
        <v>41525</v>
      </c>
      <c r="C15" s="19">
        <v>41525.806817129633</v>
      </c>
      <c r="D15" s="20">
        <v>318</v>
      </c>
      <c r="E15" s="20" t="s">
        <v>18</v>
      </c>
      <c r="O15" s="56"/>
    </row>
    <row r="16" spans="1:22">
      <c r="A16">
        <v>14</v>
      </c>
      <c r="B16" s="18">
        <v>41527</v>
      </c>
      <c r="C16" s="19">
        <v>41527.517708333333</v>
      </c>
      <c r="D16" s="20">
        <v>300</v>
      </c>
      <c r="E16" s="20" t="s">
        <v>18</v>
      </c>
      <c r="Q16" s="58"/>
    </row>
    <row r="17" spans="1:17">
      <c r="A17">
        <v>15</v>
      </c>
      <c r="B17" s="18">
        <v>41527</v>
      </c>
      <c r="C17" s="19">
        <v>41527.522731481484</v>
      </c>
      <c r="D17" s="20">
        <v>1000</v>
      </c>
      <c r="E17" s="20" t="s">
        <v>19</v>
      </c>
      <c r="F17" t="s">
        <v>11</v>
      </c>
      <c r="G17" s="51">
        <f>SUMPRODUCT(($B$3:$B$65000=B17)*$D$3:$D$65000)</f>
        <v>1300</v>
      </c>
      <c r="H17" s="28">
        <f>SUMPRODUCT(($B$3:$B$65000=B17)*($E$3:$E$65000=Commande!$Q$2)*$D$3:$D$65000)</f>
        <v>0</v>
      </c>
      <c r="I17" s="49">
        <f>SUMPRODUCT(($B$3:$B$65000=B17)*($E$3:$E$65000=Commande!$Q$3)*$D$3:$D$65000)</f>
        <v>300</v>
      </c>
      <c r="J17" s="48">
        <f>SUMPRODUCT(($B$3:$B$65000=B17)*($E$3:$E$65000=Commande!$Q$4)*$D$3:$D$65000)</f>
        <v>1000</v>
      </c>
    </row>
    <row r="18" spans="1:17">
      <c r="A18">
        <v>16</v>
      </c>
      <c r="B18" s="18">
        <v>41529</v>
      </c>
      <c r="C18" s="19">
        <v>41527.564398148097</v>
      </c>
      <c r="D18" s="20">
        <v>318</v>
      </c>
      <c r="E18" s="20" t="s">
        <v>18</v>
      </c>
      <c r="Q18" s="58"/>
    </row>
    <row r="19" spans="1:17">
      <c r="A19">
        <v>17</v>
      </c>
      <c r="B19" s="18">
        <v>41529</v>
      </c>
      <c r="C19" s="19">
        <v>41527.522731481484</v>
      </c>
      <c r="D19" s="20">
        <v>300</v>
      </c>
      <c r="E19" s="20" t="s">
        <v>19</v>
      </c>
    </row>
    <row r="20" spans="1:17">
      <c r="A20">
        <v>18</v>
      </c>
      <c r="B20" s="18">
        <v>41529</v>
      </c>
      <c r="C20" s="19">
        <v>41527.522731481484</v>
      </c>
      <c r="D20" s="20">
        <v>500</v>
      </c>
      <c r="E20" s="20" t="s">
        <v>17</v>
      </c>
      <c r="F20" s="30"/>
    </row>
    <row r="21" spans="1:17">
      <c r="A21">
        <v>19</v>
      </c>
      <c r="B21" s="18">
        <v>41529</v>
      </c>
      <c r="C21" s="19">
        <v>41527.522731481484</v>
      </c>
      <c r="D21" s="20">
        <v>250</v>
      </c>
      <c r="E21" s="20" t="s">
        <v>17</v>
      </c>
      <c r="F21" t="s">
        <v>11</v>
      </c>
      <c r="G21" s="51">
        <f>SUMPRODUCT(($B$3:$B$65000=B21)*$D$3:$D$65000)</f>
        <v>1496</v>
      </c>
      <c r="H21" s="28">
        <f>SUMPRODUCT(($B$3:$B$65000=B21)*($E$3:$E$65000=Commande!$Q$2)*$D$3:$D$65000)</f>
        <v>750</v>
      </c>
      <c r="I21" s="49">
        <f>SUMPRODUCT(($B$3:$B$65000=B21)*($E$3:$E$65000=Commande!$Q$3)*$D$3:$D$65000)</f>
        <v>318</v>
      </c>
      <c r="J21" s="48">
        <f>SUMPRODUCT(($B$3:$B$65000=B21)*($E$3:$E$65000=Commande!$Q$4)*$D$3:$D$65000)</f>
        <v>428</v>
      </c>
      <c r="K21" s="54">
        <v>1000</v>
      </c>
      <c r="O21" s="56"/>
    </row>
    <row r="22" spans="1:17">
      <c r="A22">
        <v>20</v>
      </c>
      <c r="B22" s="18">
        <v>41529</v>
      </c>
      <c r="C22" s="19">
        <v>41527.522731481484</v>
      </c>
      <c r="D22" s="20">
        <v>128</v>
      </c>
      <c r="E22" s="20" t="s">
        <v>19</v>
      </c>
    </row>
    <row r="23" spans="1:17">
      <c r="A23">
        <v>21</v>
      </c>
      <c r="B23" s="18">
        <v>41537</v>
      </c>
      <c r="C23" s="19">
        <v>41537.771631944444</v>
      </c>
      <c r="D23" s="20">
        <v>850</v>
      </c>
      <c r="E23" s="58" t="s">
        <v>18</v>
      </c>
      <c r="O23" s="56"/>
    </row>
    <row r="24" spans="1:17">
      <c r="B24" s="18"/>
    </row>
    <row r="25" spans="1:17">
      <c r="B25" s="18"/>
    </row>
    <row r="26" spans="1:17">
      <c r="B26" s="18"/>
    </row>
    <row r="27" spans="1:17">
      <c r="B27" s="18"/>
    </row>
    <row r="28" spans="1:17">
      <c r="B28" s="18"/>
    </row>
    <row r="29" spans="1:17">
      <c r="B29" s="18"/>
      <c r="F29" s="20"/>
    </row>
    <row r="30" spans="1:17">
      <c r="B30" s="18"/>
      <c r="O30" s="56"/>
    </row>
    <row r="31" spans="1:17">
      <c r="B31" s="18"/>
    </row>
  </sheetData>
  <mergeCells count="2">
    <mergeCell ref="L3:L5"/>
    <mergeCell ref="M3:M5"/>
  </mergeCell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0"/>
  <dimension ref="A1:V31"/>
  <sheetViews>
    <sheetView workbookViewId="0">
      <pane ySplit="5" topLeftCell="A6" activePane="bottomLeft" state="frozen"/>
      <selection pane="bottomLeft" activeCell="D23" sqref="D23"/>
    </sheetView>
  </sheetViews>
  <sheetFormatPr baseColWidth="10" defaultRowHeight="14.5"/>
  <cols>
    <col min="1" max="1" width="8.1796875" customWidth="1"/>
    <col min="3" max="3" width="10.90625" style="19"/>
    <col min="4" max="5" width="10.90625" style="20"/>
    <col min="6" max="6" width="16.54296875" customWidth="1"/>
    <col min="7" max="7" width="10.90625" style="51"/>
    <col min="8" max="8" width="10.90625" style="28"/>
    <col min="9" max="9" width="10.90625" style="49"/>
    <col min="10" max="10" width="10.90625" style="48"/>
    <col min="11" max="11" width="13.26953125" style="54" customWidth="1"/>
    <col min="12" max="12" width="14.1796875" style="20" customWidth="1"/>
    <col min="13" max="13" width="16.1796875" customWidth="1"/>
    <col min="14" max="14" width="9" style="57" customWidth="1"/>
    <col min="15" max="15" width="10.26953125" customWidth="1"/>
    <col min="16" max="16" width="9.81640625" style="57" customWidth="1"/>
  </cols>
  <sheetData>
    <row r="1" spans="1:22" ht="15" customHeight="1">
      <c r="A1" t="s">
        <v>10</v>
      </c>
      <c r="B1" t="s">
        <v>8</v>
      </c>
      <c r="C1" s="19" t="s">
        <v>9</v>
      </c>
      <c r="D1" s="20" t="s">
        <v>15</v>
      </c>
      <c r="E1" s="20" t="s">
        <v>20</v>
      </c>
      <c r="G1" s="50" t="s">
        <v>22</v>
      </c>
      <c r="H1" s="28" t="s">
        <v>21</v>
      </c>
      <c r="I1" s="49" t="s">
        <v>18</v>
      </c>
      <c r="J1" s="48" t="s">
        <v>19</v>
      </c>
      <c r="K1" s="55" t="s">
        <v>32</v>
      </c>
      <c r="L1" s="28" t="s">
        <v>12</v>
      </c>
      <c r="M1" s="53">
        <v>1000</v>
      </c>
      <c r="V1" s="18">
        <f ca="1">TODAY()</f>
        <v>41537</v>
      </c>
    </row>
    <row r="2" spans="1:22" ht="2.15" customHeight="1" thickBot="1">
      <c r="A2">
        <f>COUNT(A1,A65000)</f>
        <v>0</v>
      </c>
      <c r="F2" t="s">
        <v>11</v>
      </c>
    </row>
    <row r="3" spans="1:22" ht="15" thickTop="1">
      <c r="A3">
        <v>1</v>
      </c>
      <c r="B3" s="18">
        <v>41490</v>
      </c>
      <c r="C3" s="19">
        <v>41521.671342592592</v>
      </c>
      <c r="D3" s="20">
        <v>48</v>
      </c>
      <c r="E3" s="20" t="s">
        <v>17</v>
      </c>
      <c r="L3" s="127" t="s">
        <v>13</v>
      </c>
      <c r="M3" s="128">
        <f>SUMIF($E$3:$E$65000,Commande!$Q$2,$D$3:$D$65000)+$M$1-SUM(K3:K65000)</f>
        <v>998</v>
      </c>
    </row>
    <row r="4" spans="1:22">
      <c r="A4">
        <v>2</v>
      </c>
      <c r="B4" s="18">
        <v>41490</v>
      </c>
      <c r="C4" s="19">
        <v>41521.671342592592</v>
      </c>
      <c r="D4" s="20">
        <v>123</v>
      </c>
      <c r="E4" s="20" t="s">
        <v>18</v>
      </c>
      <c r="L4" s="127"/>
      <c r="M4" s="129"/>
    </row>
    <row r="5" spans="1:22" ht="15" thickBot="1">
      <c r="A5">
        <v>3</v>
      </c>
      <c r="B5" s="18">
        <v>41490</v>
      </c>
      <c r="C5" s="19">
        <v>41521.671342592592</v>
      </c>
      <c r="D5" s="20">
        <v>50</v>
      </c>
      <c r="E5" s="20" t="s">
        <v>17</v>
      </c>
      <c r="L5" s="127"/>
      <c r="M5" s="130"/>
    </row>
    <row r="6" spans="1:22" ht="15" thickTop="1">
      <c r="A6">
        <v>4</v>
      </c>
      <c r="B6" s="18">
        <v>41490</v>
      </c>
      <c r="C6" s="19">
        <v>41521.671342592592</v>
      </c>
      <c r="D6" s="20">
        <v>25</v>
      </c>
      <c r="E6" s="20" t="s">
        <v>19</v>
      </c>
      <c r="O6" s="56"/>
    </row>
    <row r="7" spans="1:22">
      <c r="A7">
        <v>5</v>
      </c>
      <c r="B7" s="18">
        <v>41490</v>
      </c>
      <c r="C7" s="19">
        <v>41521.671342592592</v>
      </c>
      <c r="D7" s="20">
        <v>98</v>
      </c>
      <c r="E7" s="20" t="s">
        <v>19</v>
      </c>
      <c r="F7" t="s">
        <v>11</v>
      </c>
      <c r="G7" s="51">
        <f>SUMPRODUCT(($B$3:$B$65000=B7)*$D$3:$D$65000)</f>
        <v>344</v>
      </c>
      <c r="H7" s="28">
        <f>SUMPRODUCT(($B$3:$B$65000=B7)*($E$3:$E$65000=Commande!$Q$2)*$D$3:$D$65000)</f>
        <v>98</v>
      </c>
      <c r="I7" s="49">
        <f>SUMPRODUCT(($B$3:$B$65000=B7)*($E$3:$E$65000=Commande!$Q$3)*$D$3:$D$65000)</f>
        <v>123</v>
      </c>
      <c r="J7" s="48">
        <f>SUMPRODUCT(($B$3:$B$65000=B7)*($E$3:$E$65000=Commande!$Q$4)*$D$3:$D$65000)</f>
        <v>123</v>
      </c>
      <c r="O7" s="56"/>
    </row>
    <row r="8" spans="1:22">
      <c r="A8">
        <v>6</v>
      </c>
      <c r="B8" s="18">
        <v>41506</v>
      </c>
      <c r="C8" s="19">
        <v>41521.671342592592</v>
      </c>
      <c r="D8" s="20">
        <v>25</v>
      </c>
      <c r="E8" s="20" t="s">
        <v>18</v>
      </c>
      <c r="F8" t="s">
        <v>11</v>
      </c>
      <c r="G8" s="51">
        <f>SUMPRODUCT(($B$3:$B$65000=B8)*$D$3:$D$65000)</f>
        <v>25</v>
      </c>
      <c r="H8" s="28">
        <f>SUMPRODUCT(($B$3:$B$65000=B8)*($E$3:$E$65000=Commande!$Q$2)*$D$3:$D$65000)</f>
        <v>0</v>
      </c>
      <c r="I8" s="49">
        <f>SUMPRODUCT(($B$3:$B$65000=B8)*($E$3:$E$65000=Commande!$Q$3)*$D$3:$D$65000)</f>
        <v>25</v>
      </c>
      <c r="J8" s="48">
        <f>SUMPRODUCT(($B$3:$B$65000=B8)*($E$3:$E$65000=Commande!$Q$4)*$D$3:$D$65000)</f>
        <v>0</v>
      </c>
      <c r="K8" s="54">
        <v>100</v>
      </c>
      <c r="O8" s="56"/>
    </row>
    <row r="9" spans="1:22">
      <c r="B9" s="18"/>
      <c r="F9" s="61" t="s">
        <v>47</v>
      </c>
      <c r="G9" s="62">
        <f>SUM(G$3:G8)</f>
        <v>369</v>
      </c>
      <c r="H9" s="62">
        <f>SUM(H$3:H8)</f>
        <v>98</v>
      </c>
      <c r="I9" s="62">
        <f>SUM(I$3:I8)</f>
        <v>148</v>
      </c>
      <c r="J9" s="62">
        <f>SUM(J$3:J8)</f>
        <v>123</v>
      </c>
      <c r="O9" s="56"/>
    </row>
    <row r="10" spans="1:22">
      <c r="B10" s="18"/>
    </row>
    <row r="11" spans="1:22">
      <c r="B11" s="18"/>
      <c r="O11" s="20"/>
    </row>
    <row r="12" spans="1:22">
      <c r="B12" s="18"/>
    </row>
    <row r="13" spans="1:22">
      <c r="B13" s="18"/>
      <c r="O13" s="56"/>
    </row>
    <row r="14" spans="1:22">
      <c r="B14" s="18"/>
    </row>
    <row r="15" spans="1:22">
      <c r="B15" s="18"/>
      <c r="O15" s="56"/>
    </row>
    <row r="16" spans="1:22">
      <c r="B16" s="18"/>
      <c r="Q16" s="58"/>
    </row>
    <row r="17" spans="2:17">
      <c r="B17" s="18"/>
    </row>
    <row r="18" spans="2:17">
      <c r="B18" s="18"/>
      <c r="Q18" s="58"/>
    </row>
    <row r="19" spans="2:17">
      <c r="B19" s="18"/>
    </row>
    <row r="20" spans="2:17">
      <c r="B20" s="18"/>
      <c r="F20" s="30"/>
    </row>
    <row r="21" spans="2:17">
      <c r="B21" s="18"/>
      <c r="O21" s="56"/>
    </row>
    <row r="22" spans="2:17">
      <c r="B22" s="18"/>
    </row>
    <row r="23" spans="2:17">
      <c r="B23" s="18"/>
      <c r="O23" s="56"/>
    </row>
    <row r="24" spans="2:17">
      <c r="B24" s="18"/>
    </row>
    <row r="25" spans="2:17">
      <c r="B25" s="18"/>
    </row>
    <row r="26" spans="2:17">
      <c r="B26" s="18"/>
    </row>
    <row r="27" spans="2:17">
      <c r="B27" s="18"/>
    </row>
    <row r="28" spans="2:17">
      <c r="B28" s="18"/>
    </row>
    <row r="29" spans="2:17">
      <c r="B29" s="18"/>
      <c r="F29" s="20"/>
    </row>
    <row r="30" spans="2:17">
      <c r="B30" s="18"/>
      <c r="O30" s="56"/>
    </row>
    <row r="31" spans="2:17">
      <c r="B31" s="18"/>
    </row>
  </sheetData>
  <mergeCells count="2">
    <mergeCell ref="L3:L5"/>
    <mergeCell ref="M3:M5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9</vt:i4>
      </vt:variant>
    </vt:vector>
  </HeadingPairs>
  <TitlesOfParts>
    <vt:vector size="14" baseType="lpstr">
      <vt:lpstr>Commande</vt:lpstr>
      <vt:lpstr>Articles</vt:lpstr>
      <vt:lpstr>Reçu</vt:lpstr>
      <vt:lpstr>Caisse</vt:lpstr>
      <vt:lpstr>Caisse_08</vt:lpstr>
      <vt:lpstr>base</vt:lpstr>
      <vt:lpstr>base2</vt:lpstr>
      <vt:lpstr>choix1</vt:lpstr>
      <vt:lpstr>choix2</vt:lpstr>
      <vt:lpstr>Articles!Extraire</vt:lpstr>
      <vt:lpstr>Marques</vt:lpstr>
      <vt:lpstr>Moyen_paiement</vt:lpstr>
      <vt:lpstr>Prix</vt:lpstr>
      <vt:lpstr>Reçu!Zone_d_impression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</dc:creator>
  <cp:lastModifiedBy>AFEH</cp:lastModifiedBy>
  <cp:lastPrinted>2013-09-20T16:46:04Z</cp:lastPrinted>
  <dcterms:created xsi:type="dcterms:W3CDTF">2009-07-12T14:21:39Z</dcterms:created>
  <dcterms:modified xsi:type="dcterms:W3CDTF">2013-09-20T18:08:41Z</dcterms:modified>
</cp:coreProperties>
</file>