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20" windowHeight="9510" tabRatio="785"/>
  </bookViews>
  <sheets>
    <sheet name="Tableau de Bord" sheetId="4" r:id="rId1"/>
    <sheet name="Entrees" sheetId="1" r:id="rId2"/>
    <sheet name="Sorties" sheetId="2" r:id="rId3"/>
    <sheet name="Cubi" sheetId="12" r:id="rId4"/>
    <sheet name="Mise en Bouteilles" sheetId="3" r:id="rId5"/>
    <sheet name="Stock" sheetId="5" r:id="rId6"/>
    <sheet name="Historique Entrees" sheetId="6" r:id="rId7"/>
    <sheet name="Historique Sorties" sheetId="7" r:id="rId8"/>
    <sheet name="Historique Mise en Bouteilles" sheetId="8" r:id="rId9"/>
    <sheet name="TCD_MiseEnBouteilles" sheetId="13" r:id="rId10"/>
    <sheet name="Listes" sheetId="9" r:id="rId11"/>
    <sheet name="Noms" sheetId="11" r:id="rId12"/>
  </sheets>
  <definedNames>
    <definedName name="CodeTva">OFFSET(Stock!$B$3,,,COUNTA(Stock!$B:$B)-1)</definedName>
    <definedName name="Designation">OFFSET(Stock!$A$3,,,COUNTA(Stock!$A:$A)-1)</definedName>
    <definedName name="DesigVin">OFFSET(Listes!$D$2,,,COUNTA(Listes!$D:$D)-1)</definedName>
    <definedName name="identifiant">OFFSET(Noms!$A$2,,,COUNTA(Noms!$A:$A)-1)</definedName>
    <definedName name="PrixHt">OFFSET(Stock!$C$3,,,COUNTA(Stock!$C:$C)-1)</definedName>
  </definedNames>
  <calcPr calcId="145621"/>
  <pivotCaches>
    <pivotCache cacheId="5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2" i="8" l="1"/>
  <c r="G13" i="4"/>
  <c r="G10" i="4"/>
  <c r="G11" i="4"/>
  <c r="G12" i="4"/>
  <c r="G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9" i="4"/>
  <c r="G22" i="5" l="1"/>
  <c r="H22" i="5" s="1"/>
  <c r="G11" i="5"/>
  <c r="H11" i="5" s="1"/>
  <c r="G12" i="5"/>
  <c r="H12" i="5" s="1"/>
  <c r="L3" i="3" l="1"/>
  <c r="K3" i="3"/>
  <c r="J3" i="3"/>
  <c r="I3" i="3"/>
  <c r="F3" i="3"/>
  <c r="N3" i="3"/>
  <c r="M3" i="3"/>
  <c r="H3" i="3"/>
  <c r="O4" i="8" l="1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3" i="8"/>
  <c r="P2" i="8"/>
  <c r="J22" i="5" l="1"/>
  <c r="J21" i="5"/>
  <c r="J20" i="5"/>
  <c r="I22" i="5"/>
  <c r="I21" i="5"/>
  <c r="I20" i="5"/>
  <c r="I4" i="5" l="1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3" i="5"/>
  <c r="I3" i="2" l="1"/>
  <c r="G3" i="2"/>
  <c r="F3" i="2"/>
  <c r="I3" i="1"/>
  <c r="G3" i="1"/>
  <c r="F3" i="1"/>
  <c r="M2" i="7" l="1"/>
  <c r="A2" i="11"/>
  <c r="D2" i="11" l="1"/>
  <c r="C3" i="4"/>
  <c r="C2" i="4"/>
  <c r="A3" i="11" l="1"/>
  <c r="D3" i="11" l="1"/>
  <c r="A4" i="11"/>
  <c r="A5" i="11"/>
  <c r="D4" i="11" l="1"/>
  <c r="D5" i="11"/>
  <c r="G21" i="5" l="1"/>
  <c r="H21" i="5" s="1"/>
  <c r="G13" i="5"/>
  <c r="H13" i="5" s="1"/>
  <c r="G8" i="5"/>
  <c r="H8" i="5" s="1"/>
  <c r="G17" i="5"/>
  <c r="H17" i="5" s="1"/>
  <c r="G18" i="5"/>
  <c r="H18" i="5" s="1"/>
  <c r="G15" i="5"/>
  <c r="H15" i="5" s="1"/>
  <c r="G5" i="5"/>
  <c r="H5" i="5" s="1"/>
  <c r="G14" i="5"/>
  <c r="H14" i="5" s="1"/>
  <c r="G4" i="5"/>
  <c r="H4" i="5" s="1"/>
  <c r="G20" i="5"/>
  <c r="H20" i="5" s="1"/>
  <c r="G10" i="5"/>
  <c r="H10" i="5" s="1"/>
  <c r="G7" i="5"/>
  <c r="H7" i="5" s="1"/>
  <c r="G16" i="5"/>
  <c r="H16" i="5" s="1"/>
  <c r="G6" i="5"/>
  <c r="H6" i="5" s="1"/>
  <c r="G9" i="5"/>
  <c r="H9" i="5" s="1"/>
  <c r="G19" i="5"/>
  <c r="H19" i="5" s="1"/>
  <c r="G3" i="5"/>
  <c r="H3" i="5" s="1"/>
  <c r="A6" i="11"/>
  <c r="A7" i="11"/>
  <c r="A8" i="11"/>
  <c r="A9" i="11"/>
  <c r="D9" i="11" s="1"/>
  <c r="D6" i="11" l="1"/>
  <c r="D7" i="11"/>
  <c r="D8" i="11"/>
  <c r="K3" i="2" l="1"/>
  <c r="K3" i="1"/>
  <c r="N2" i="6"/>
  <c r="H3" i="2" l="1"/>
  <c r="J3" i="2" s="1"/>
  <c r="H3" i="1"/>
  <c r="J3" i="1" s="1"/>
  <c r="A11" i="11"/>
  <c r="A10" i="11"/>
  <c r="F9" i="11" l="1"/>
  <c r="E8" i="11"/>
  <c r="E2" i="11"/>
  <c r="F4" i="11"/>
  <c r="F5" i="11"/>
  <c r="E5" i="11"/>
  <c r="F8" i="11"/>
  <c r="E6" i="11"/>
  <c r="E7" i="11"/>
  <c r="E9" i="11"/>
  <c r="F7" i="11"/>
  <c r="E4" i="11"/>
  <c r="E3" i="11"/>
  <c r="F3" i="11"/>
  <c r="F2" i="11"/>
  <c r="F6" i="11"/>
  <c r="F11" i="11"/>
  <c r="F10" i="11"/>
  <c r="C1" i="4"/>
  <c r="E10" i="11"/>
  <c r="D10" i="11"/>
  <c r="E11" i="11"/>
  <c r="D11" i="11"/>
</calcChain>
</file>

<file path=xl/sharedStrings.xml><?xml version="1.0" encoding="utf-8"?>
<sst xmlns="http://schemas.openxmlformats.org/spreadsheetml/2006/main" count="520" uniqueCount="101">
  <si>
    <t>Quantité</t>
  </si>
  <si>
    <t>Prix HT</t>
  </si>
  <si>
    <t>TVA</t>
  </si>
  <si>
    <t>Total TTC</t>
  </si>
  <si>
    <t>Date</t>
  </si>
  <si>
    <t>Nom</t>
  </si>
  <si>
    <t>N°</t>
  </si>
  <si>
    <t>Désignation</t>
  </si>
  <si>
    <t>Code Tva</t>
  </si>
  <si>
    <t>Saumur Rouge</t>
  </si>
  <si>
    <t>Rosé</t>
  </si>
  <si>
    <t>Blanc</t>
  </si>
  <si>
    <t>Bières</t>
  </si>
  <si>
    <t>Perrier</t>
  </si>
  <si>
    <t>Schweppes</t>
  </si>
  <si>
    <t>Coca</t>
  </si>
  <si>
    <t>Eau Alix</t>
  </si>
  <si>
    <t>Ricqlès</t>
  </si>
  <si>
    <t>Mousseux</t>
  </si>
  <si>
    <t>Orangina</t>
  </si>
  <si>
    <t>Café</t>
  </si>
  <si>
    <t>Eau 1,5</t>
  </si>
  <si>
    <t>Cidre</t>
  </si>
  <si>
    <t>Mousseux Offert</t>
  </si>
  <si>
    <t>Vin Offert</t>
  </si>
  <si>
    <t>Rupture</t>
  </si>
  <si>
    <t>Stock Min</t>
  </si>
  <si>
    <t>Code TVA</t>
  </si>
  <si>
    <t>Taux</t>
  </si>
  <si>
    <t>Prix Ventes</t>
  </si>
  <si>
    <t>Total des Ventes</t>
  </si>
  <si>
    <t>Prénom</t>
  </si>
  <si>
    <t>Audebault</t>
  </si>
  <si>
    <t>Noel</t>
  </si>
  <si>
    <t>Gélineau</t>
  </si>
  <si>
    <t>Jacky</t>
  </si>
  <si>
    <t>Identifiant</t>
  </si>
  <si>
    <t>Prix U Ht</t>
  </si>
  <si>
    <t>Prix U TTC</t>
  </si>
  <si>
    <t>Audebault Noel</t>
  </si>
  <si>
    <t>Menu</t>
  </si>
  <si>
    <t>Entrées</t>
  </si>
  <si>
    <t>Sorties</t>
  </si>
  <si>
    <t>Mise en Bouteilles</t>
  </si>
  <si>
    <t>Historiques Entrées</t>
  </si>
  <si>
    <t>Historiques Sorties</t>
  </si>
  <si>
    <t>Historiques Mise en bouteilles</t>
  </si>
  <si>
    <t>Listes</t>
  </si>
  <si>
    <t>Stock</t>
  </si>
  <si>
    <t>Nbre Entree</t>
  </si>
  <si>
    <t>Nbr Sorties</t>
  </si>
  <si>
    <t>Produits</t>
  </si>
  <si>
    <t>Cubi</t>
  </si>
  <si>
    <t>Bouteilles</t>
  </si>
  <si>
    <t>Saumur Tradition</t>
  </si>
  <si>
    <t>Prix vente</t>
  </si>
  <si>
    <t>Nbre de Cubi</t>
  </si>
  <si>
    <t>Equipe n°</t>
  </si>
  <si>
    <t>Nbre de Bouteilles Théorique</t>
  </si>
  <si>
    <t>Nbre de Bouteilles réelles</t>
  </si>
  <si>
    <t>Différence</t>
  </si>
  <si>
    <t>Nbre de Mise en bouteilles</t>
  </si>
  <si>
    <t>Equipe</t>
  </si>
  <si>
    <t xml:space="preserve">Equipe </t>
  </si>
  <si>
    <t>Total Sorties</t>
  </si>
  <si>
    <t>Total Mise en bouteilles</t>
  </si>
  <si>
    <t>Total Entrées</t>
  </si>
  <si>
    <t>Stock Initial</t>
  </si>
  <si>
    <t>Tableau de Bord</t>
  </si>
  <si>
    <t>Champigny</t>
  </si>
  <si>
    <t>Saint Nicolas</t>
  </si>
  <si>
    <t>Equipe 5</t>
  </si>
  <si>
    <t>Rouge Ordinaire</t>
  </si>
  <si>
    <t>Equipe 6</t>
  </si>
  <si>
    <t>Equipe 2</t>
  </si>
  <si>
    <t>Equipe 4</t>
  </si>
  <si>
    <t>Equipe  3</t>
  </si>
  <si>
    <t>Equipe 1</t>
  </si>
  <si>
    <t>Étiquettes de lignes</t>
  </si>
  <si>
    <t>Total général</t>
  </si>
  <si>
    <t>Étiquettes de colonnes</t>
  </si>
  <si>
    <t>Bouteilles réelles</t>
  </si>
  <si>
    <t>Ignoré</t>
  </si>
  <si>
    <t>Equipe Ignoré</t>
  </si>
  <si>
    <t>Sciaparelli</t>
  </si>
  <si>
    <t>Jean-Claude</t>
  </si>
  <si>
    <t>(Tous)</t>
  </si>
  <si>
    <t>Historique Entrées</t>
  </si>
  <si>
    <t>Sciaparelli Jean-Claude</t>
  </si>
  <si>
    <t>Désignation produits</t>
  </si>
  <si>
    <t>Désignation des Vins</t>
  </si>
  <si>
    <t>Historique Mise en bouteilles</t>
  </si>
  <si>
    <t>Historique Sorties</t>
  </si>
  <si>
    <t>MENU</t>
  </si>
  <si>
    <t>Stock réel</t>
  </si>
  <si>
    <t>Mousseux Rouge</t>
  </si>
  <si>
    <t>Mousseux Rosé</t>
  </si>
  <si>
    <t>Années</t>
  </si>
  <si>
    <t>Saumur rouge</t>
  </si>
  <si>
    <t>Somme de Nbre de Bouteilles réelles</t>
  </si>
  <si>
    <t>TABLEAU RECAPITULATIF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</si>
</sst>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%"/>
    <numFmt numFmtId="165" formatCode="#,##0.00\ &quot;€&quot;"/>
    <numFmt numFmtId="166" formatCode="#,##0.00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1"/>
      <color rgb="FF000000"/>
      <name val="Calibri"/>
      <family val="2"/>
    </font>
    <font>
      <sz val="11"/>
      <color rgb="FFFF66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0" xfId="0" applyNumberFormat="1"/>
    <xf numFmtId="14" fontId="0" fillId="0" borderId="0" xfId="0" applyNumberFormat="1"/>
    <xf numFmtId="165" fontId="0" fillId="0" borderId="1" xfId="0" applyNumberFormat="1" applyBorder="1"/>
    <xf numFmtId="166" fontId="0" fillId="0" borderId="0" xfId="2" applyNumberFormat="1" applyFont="1"/>
    <xf numFmtId="166" fontId="0" fillId="0" borderId="0" xfId="0" applyNumberFormat="1"/>
    <xf numFmtId="0" fontId="0" fillId="0" borderId="0" xfId="0" applyAlignment="1">
      <alignment vertical="center"/>
    </xf>
    <xf numFmtId="0" fontId="0" fillId="4" borderId="0" xfId="0" applyFill="1"/>
    <xf numFmtId="0" fontId="0" fillId="2" borderId="6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 vertical="center" wrapText="1"/>
    </xf>
    <xf numFmtId="0" fontId="0" fillId="6" borderId="0" xfId="0" applyFill="1"/>
    <xf numFmtId="0" fontId="0" fillId="6" borderId="4" xfId="0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2" fillId="6" borderId="0" xfId="3" applyFill="1" applyBorder="1" applyAlignment="1">
      <alignment horizontal="center"/>
    </xf>
    <xf numFmtId="0" fontId="0" fillId="0" borderId="1" xfId="0" applyFill="1" applyBorder="1"/>
    <xf numFmtId="165" fontId="0" fillId="0" borderId="0" xfId="2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9" xfId="0" applyFill="1" applyBorder="1" applyAlignment="1"/>
    <xf numFmtId="0" fontId="4" fillId="6" borderId="0" xfId="0" applyFont="1" applyFill="1" applyBorder="1"/>
    <xf numFmtId="0" fontId="0" fillId="6" borderId="0" xfId="0" applyFill="1" applyBorder="1"/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8" xfId="0" applyBorder="1"/>
    <xf numFmtId="0" fontId="0" fillId="2" borderId="12" xfId="0" applyFill="1" applyBorder="1" applyAlignment="1">
      <alignment horizontal="center"/>
    </xf>
    <xf numFmtId="0" fontId="0" fillId="0" borderId="7" xfId="0" applyBorder="1"/>
    <xf numFmtId="0" fontId="0" fillId="0" borderId="11" xfId="0" applyBorder="1"/>
    <xf numFmtId="0" fontId="0" fillId="0" borderId="3" xfId="0" applyBorder="1"/>
    <xf numFmtId="0" fontId="0" fillId="4" borderId="7" xfId="0" applyFill="1" applyBorder="1" applyAlignment="1">
      <alignment horizontal="center" vertical="center"/>
    </xf>
    <xf numFmtId="0" fontId="0" fillId="7" borderId="0" xfId="0" applyFill="1"/>
    <xf numFmtId="0" fontId="2" fillId="8" borderId="7" xfId="3" applyFill="1" applyBorder="1" applyAlignment="1">
      <alignment horizontal="center" vertical="center" wrapText="1"/>
    </xf>
    <xf numFmtId="0" fontId="0" fillId="0" borderId="0" xfId="0" applyFill="1"/>
    <xf numFmtId="165" fontId="0" fillId="0" borderId="0" xfId="0" applyNumberFormat="1" applyFill="1"/>
    <xf numFmtId="0" fontId="0" fillId="0" borderId="0" xfId="0" applyAlignment="1">
      <alignment vertical="center" wrapText="1"/>
    </xf>
    <xf numFmtId="0" fontId="0" fillId="4" borderId="7" xfId="0" applyFill="1" applyBorder="1" applyAlignment="1">
      <alignment horizontal="center" vertical="center" wrapText="1"/>
    </xf>
    <xf numFmtId="44" fontId="0" fillId="0" borderId="0" xfId="1" applyFont="1" applyAlignment="1">
      <alignment vertical="center" wrapText="1"/>
    </xf>
    <xf numFmtId="0" fontId="0" fillId="9" borderId="0" xfId="0" applyFill="1" applyAlignment="1">
      <alignment vertical="center" wrapText="1"/>
    </xf>
    <xf numFmtId="165" fontId="2" fillId="8" borderId="7" xfId="3" applyNumberFormat="1" applyFill="1" applyBorder="1" applyAlignment="1">
      <alignment horizontal="center" vertical="center" wrapText="1"/>
    </xf>
    <xf numFmtId="14" fontId="2" fillId="8" borderId="7" xfId="3" applyNumberFormat="1" applyFill="1" applyBorder="1" applyAlignment="1">
      <alignment horizontal="center" vertical="center" wrapText="1"/>
    </xf>
    <xf numFmtId="0" fontId="2" fillId="8" borderId="7" xfId="3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4" fontId="0" fillId="2" borderId="6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166" fontId="0" fillId="2" borderId="6" xfId="0" applyNumberFormat="1" applyFill="1" applyBorder="1" applyAlignment="1">
      <alignment horizontal="center" vertical="center" wrapText="1"/>
    </xf>
    <xf numFmtId="166" fontId="0" fillId="2" borderId="6" xfId="2" applyNumberFormat="1" applyFont="1" applyFill="1" applyBorder="1" applyAlignment="1">
      <alignment horizontal="center" vertical="center" wrapText="1"/>
    </xf>
    <xf numFmtId="165" fontId="0" fillId="2" borderId="12" xfId="0" applyNumberFormat="1" applyFill="1" applyBorder="1" applyAlignment="1">
      <alignment horizontal="center" vertical="center" wrapText="1"/>
    </xf>
    <xf numFmtId="165" fontId="0" fillId="2" borderId="6" xfId="0" applyNumberFormat="1" applyFill="1" applyBorder="1" applyAlignment="1">
      <alignment horizontal="center" vertical="center" wrapText="1"/>
    </xf>
    <xf numFmtId="14" fontId="0" fillId="0" borderId="2" xfId="0" applyNumberFormat="1" applyBorder="1"/>
    <xf numFmtId="0" fontId="0" fillId="0" borderId="2" xfId="0" applyBorder="1" applyAlignment="1">
      <alignment vertical="center"/>
    </xf>
    <xf numFmtId="166" fontId="0" fillId="0" borderId="2" xfId="0" applyNumberFormat="1" applyBorder="1"/>
    <xf numFmtId="166" fontId="0" fillId="0" borderId="2" xfId="2" applyNumberFormat="1" applyFont="1" applyBorder="1"/>
    <xf numFmtId="165" fontId="0" fillId="0" borderId="2" xfId="0" applyNumberFormat="1" applyBorder="1" applyAlignment="1">
      <alignment horizontal="center"/>
    </xf>
    <xf numFmtId="165" fontId="0" fillId="0" borderId="2" xfId="0" applyNumberFormat="1" applyBorder="1"/>
    <xf numFmtId="165" fontId="0" fillId="0" borderId="3" xfId="0" applyNumberFormat="1" applyBorder="1"/>
    <xf numFmtId="165" fontId="0" fillId="0" borderId="2" xfId="2" applyNumberFormat="1" applyFont="1" applyBorder="1"/>
    <xf numFmtId="0" fontId="0" fillId="10" borderId="1" xfId="0" applyFill="1" applyBorder="1"/>
    <xf numFmtId="0" fontId="0" fillId="10" borderId="10" xfId="0" applyFill="1" applyBorder="1"/>
    <xf numFmtId="0" fontId="3" fillId="6" borderId="0" xfId="0" applyFont="1" applyFill="1" applyAlignment="1">
      <alignment vertical="center" wrapText="1"/>
    </xf>
    <xf numFmtId="0" fontId="0" fillId="6" borderId="0" xfId="0" applyFill="1" applyAlignment="1">
      <alignment vertical="center" wrapText="1"/>
    </xf>
    <xf numFmtId="0" fontId="0" fillId="6" borderId="13" xfId="0" applyFill="1" applyBorder="1" applyAlignment="1">
      <alignment horizontal="center" vertical="center" wrapText="1"/>
    </xf>
    <xf numFmtId="0" fontId="2" fillId="8" borderId="1" xfId="3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14" fontId="0" fillId="2" borderId="14" xfId="0" applyNumberFormat="1" applyFill="1" applyBorder="1" applyAlignment="1">
      <alignment horizontal="center" vertical="center" wrapText="1"/>
    </xf>
    <xf numFmtId="165" fontId="0" fillId="2" borderId="14" xfId="0" applyNumberFormat="1" applyFill="1" applyBorder="1" applyAlignment="1">
      <alignment horizontal="center" vertical="center" wrapText="1"/>
    </xf>
    <xf numFmtId="165" fontId="0" fillId="2" borderId="14" xfId="2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4" xfId="0" applyNumberFormat="1" applyFill="1" applyBorder="1" applyAlignment="1">
      <alignment horizontal="center" vertical="center" wrapText="1"/>
    </xf>
    <xf numFmtId="0" fontId="0" fillId="2" borderId="0" xfId="0" applyNumberFormat="1" applyFill="1"/>
    <xf numFmtId="1" fontId="0" fillId="0" borderId="0" xfId="0" applyNumberFormat="1"/>
    <xf numFmtId="0" fontId="0" fillId="2" borderId="14" xfId="0" applyFill="1" applyBorder="1" applyAlignment="1">
      <alignment vertical="center" wrapText="1"/>
    </xf>
    <xf numFmtId="0" fontId="0" fillId="6" borderId="0" xfId="0" applyFill="1" applyAlignment="1">
      <alignment wrapText="1"/>
    </xf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11" borderId="14" xfId="0" applyFill="1" applyBorder="1" applyAlignment="1">
      <alignment horizontal="center" vertical="center" wrapText="1"/>
    </xf>
    <xf numFmtId="0" fontId="0" fillId="11" borderId="14" xfId="0" applyFill="1" applyBorder="1" applyAlignment="1">
      <alignment horizontal="center" wrapText="1"/>
    </xf>
    <xf numFmtId="0" fontId="3" fillId="13" borderId="7" xfId="0" applyFont="1" applyFill="1" applyBorder="1" applyAlignment="1">
      <alignment horizontal="center"/>
    </xf>
    <xf numFmtId="0" fontId="3" fillId="13" borderId="15" xfId="0" applyFont="1" applyFill="1" applyBorder="1" applyAlignment="1">
      <alignment horizontal="center"/>
    </xf>
    <xf numFmtId="0" fontId="3" fillId="13" borderId="8" xfId="0" applyFont="1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82"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</dxf>
    <dxf>
      <numFmt numFmtId="165" formatCode="#,##0.00\ &quot;€&quot;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0" formatCode="General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0" formatCode="General"/>
    </dxf>
    <dxf>
      <numFmt numFmtId="1" formatCode="0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2</xdr:col>
          <xdr:colOff>19050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</a:rPr>
                <a:t>Nouvelle Equipe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393700</xdr:colOff>
          <xdr:row>1</xdr:row>
          <xdr:rowOff>76200</xdr:rowOff>
        </xdr:from>
        <xdr:to>
          <xdr:col>6</xdr:col>
          <xdr:colOff>501650</xdr:colOff>
          <xdr:row>3</xdr:row>
          <xdr:rowOff>95250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12700</xdr:colOff>
          <xdr:row>0</xdr:row>
          <xdr:rowOff>19050</xdr:rowOff>
        </xdr:from>
        <xdr:to>
          <xdr:col>12</xdr:col>
          <xdr:colOff>488950</xdr:colOff>
          <xdr:row>1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95250</xdr:colOff>
      <xdr:row>0</xdr:row>
      <xdr:rowOff>311150</xdr:rowOff>
    </xdr:from>
    <xdr:to>
      <xdr:col>1</xdr:col>
      <xdr:colOff>654050</xdr:colOff>
      <xdr:row>1</xdr:row>
      <xdr:rowOff>6350</xdr:rowOff>
    </xdr:to>
    <xdr:sp macro="" textlink="">
      <xdr:nvSpPr>
        <xdr:cNvPr id="2" name="Flèche droite 1"/>
        <xdr:cNvSpPr/>
      </xdr:nvSpPr>
      <xdr:spPr>
        <a:xfrm>
          <a:off x="622300" y="311150"/>
          <a:ext cx="55880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12700</xdr:rowOff>
        </xdr:from>
        <xdr:to>
          <xdr:col>12</xdr:col>
          <xdr:colOff>450850</xdr:colOff>
          <xdr:row>1</xdr:row>
          <xdr:rowOff>12700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107950</xdr:colOff>
      <xdr:row>0</xdr:row>
      <xdr:rowOff>355600</xdr:rowOff>
    </xdr:from>
    <xdr:to>
      <xdr:col>1</xdr:col>
      <xdr:colOff>647700</xdr:colOff>
      <xdr:row>0</xdr:row>
      <xdr:rowOff>527050</xdr:rowOff>
    </xdr:to>
    <xdr:sp macro="" textlink="">
      <xdr:nvSpPr>
        <xdr:cNvPr id="2" name="Flèche droite 1"/>
        <xdr:cNvSpPr/>
      </xdr:nvSpPr>
      <xdr:spPr>
        <a:xfrm>
          <a:off x="635000" y="355600"/>
          <a:ext cx="539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0</xdr:row>
          <xdr:rowOff>50800</xdr:rowOff>
        </xdr:from>
        <xdr:to>
          <xdr:col>14</xdr:col>
          <xdr:colOff>0</xdr:colOff>
          <xdr:row>0</xdr:row>
          <xdr:rowOff>546100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69850</xdr:colOff>
      <xdr:row>0</xdr:row>
      <xdr:rowOff>381000</xdr:rowOff>
    </xdr:from>
    <xdr:to>
      <xdr:col>2</xdr:col>
      <xdr:colOff>730250</xdr:colOff>
      <xdr:row>0</xdr:row>
      <xdr:rowOff>539750</xdr:rowOff>
    </xdr:to>
    <xdr:sp macro="" textlink="">
      <xdr:nvSpPr>
        <xdr:cNvPr id="2" name="Flèche droite 1"/>
        <xdr:cNvSpPr/>
      </xdr:nvSpPr>
      <xdr:spPr>
        <a:xfrm>
          <a:off x="1371600" y="381000"/>
          <a:ext cx="660400" cy="158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0</xdr:row>
      <xdr:rowOff>387350</xdr:rowOff>
    </xdr:from>
    <xdr:to>
      <xdr:col>1</xdr:col>
      <xdr:colOff>692150</xdr:colOff>
      <xdr:row>0</xdr:row>
      <xdr:rowOff>520700</xdr:rowOff>
    </xdr:to>
    <xdr:sp macro="" textlink="">
      <xdr:nvSpPr>
        <xdr:cNvPr id="2" name="Flèche droite 1"/>
        <xdr:cNvSpPr/>
      </xdr:nvSpPr>
      <xdr:spPr>
        <a:xfrm>
          <a:off x="1111250" y="387350"/>
          <a:ext cx="685800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222250</xdr:colOff>
      <xdr:row>0</xdr:row>
      <xdr:rowOff>387350</xdr:rowOff>
    </xdr:from>
    <xdr:to>
      <xdr:col>1</xdr:col>
      <xdr:colOff>666750</xdr:colOff>
      <xdr:row>0</xdr:row>
      <xdr:rowOff>488950</xdr:rowOff>
    </xdr:to>
    <xdr:sp macro="" textlink="">
      <xdr:nvSpPr>
        <xdr:cNvPr id="2" name="Flèche droite 1"/>
        <xdr:cNvSpPr/>
      </xdr:nvSpPr>
      <xdr:spPr>
        <a:xfrm>
          <a:off x="812800" y="387350"/>
          <a:ext cx="444500" cy="101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349250</xdr:rowOff>
    </xdr:from>
    <xdr:to>
      <xdr:col>1</xdr:col>
      <xdr:colOff>863600</xdr:colOff>
      <xdr:row>0</xdr:row>
      <xdr:rowOff>495300</xdr:rowOff>
    </xdr:to>
    <xdr:sp macro="" textlink="">
      <xdr:nvSpPr>
        <xdr:cNvPr id="2" name="Flèche droite 1"/>
        <xdr:cNvSpPr/>
      </xdr:nvSpPr>
      <xdr:spPr>
        <a:xfrm>
          <a:off x="844550" y="349250"/>
          <a:ext cx="609600" cy="146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355600</xdr:rowOff>
    </xdr:from>
    <xdr:to>
      <xdr:col>2</xdr:col>
      <xdr:colOff>723900</xdr:colOff>
      <xdr:row>0</xdr:row>
      <xdr:rowOff>463550</xdr:rowOff>
    </xdr:to>
    <xdr:sp macro="" textlink="">
      <xdr:nvSpPr>
        <xdr:cNvPr id="2" name="Flèche droite 1"/>
        <xdr:cNvSpPr/>
      </xdr:nvSpPr>
      <xdr:spPr>
        <a:xfrm>
          <a:off x="1485900" y="355600"/>
          <a:ext cx="647700" cy="107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2541.794675925928" createdVersion="4" refreshedVersion="4" minRefreshableVersion="3" recordCount="90">
  <cacheSource type="worksheet">
    <worksheetSource name="tableau5"/>
  </cacheSource>
  <cacheFields count="15">
    <cacheField name="N°" numFmtId="0">
      <sharedItems containsSemiMixedTypes="0" containsString="0" containsNumber="1" containsInteger="1" minValue="1" maxValue="90"/>
    </cacheField>
    <cacheField name="Désignation" numFmtId="0">
      <sharedItems count="5">
        <s v="Saumur Rouge"/>
        <s v="Champigny"/>
        <s v="Rosé"/>
        <s v="Blanc"/>
        <s v="Saint Nicolas"/>
      </sharedItems>
    </cacheField>
    <cacheField name="Date" numFmtId="14">
      <sharedItems containsSemiMixedTypes="0" containsNonDate="0" containsDate="1" containsString="0" minDate="2007-01-11T00:00:00" maxDate="2016-06-21T00:00:00"/>
    </cacheField>
    <cacheField name="Equipe n°" numFmtId="0">
      <sharedItems count="7">
        <s v="Equipe 5"/>
        <s v="Equipe 6"/>
        <s v="Equipe 2"/>
        <s v="Equipe 4"/>
        <s v="Equipe  3"/>
        <s v="Equipe 1"/>
        <s v="Equipe Ignoré"/>
      </sharedItems>
    </cacheField>
    <cacheField name="Nbre de Cubi" numFmtId="0">
      <sharedItems containsSemiMixedTypes="0" containsString="0" containsNumber="1" containsInteger="1" minValue="1" maxValue="14"/>
    </cacheField>
    <cacheField name="Nbre de Bouteilles Théorique" numFmtId="0">
      <sharedItems containsSemiMixedTypes="0" containsString="0" containsNumber="1" containsInteger="1" minValue="44" maxValue="660"/>
    </cacheField>
    <cacheField name="Nbre de Bouteilles réelles" numFmtId="0">
      <sharedItems containsSemiMixedTypes="0" containsString="0" containsNumber="1" containsInteger="1" minValue="42" maxValue="660"/>
    </cacheField>
    <cacheField name="Différence" numFmtId="0">
      <sharedItems containsSemiMixedTypes="0" containsString="0" containsNumber="1" containsInteger="1" minValue="-77" maxValue="18"/>
    </cacheField>
    <cacheField name="TVA" numFmtId="0">
      <sharedItems containsSemiMixedTypes="0" containsString="0" containsNumber="1" containsInteger="1" minValue="2" maxValue="2"/>
    </cacheField>
    <cacheField name="Prix U Ht" numFmtId="165">
      <sharedItems containsSemiMixedTypes="0" containsString="0" containsNumber="1" minValue="1.83" maxValue="2.5"/>
    </cacheField>
    <cacheField name="Prix U TTC" numFmtId="165">
      <sharedItems containsSemiMixedTypes="0" containsString="0" containsNumber="1" minValue="2.1960000000000002" maxValue="3"/>
    </cacheField>
    <cacheField name="Prix Ventes" numFmtId="165">
      <sharedItems containsSemiMixedTypes="0" containsString="0" containsNumber="1" containsInteger="1" minValue="3" maxValue="3"/>
    </cacheField>
    <cacheField name="Total TTC" numFmtId="165">
      <sharedItems containsSemiMixedTypes="0" containsString="0" containsNumber="1" minValue="92.232000000000014" maxValue="1980"/>
    </cacheField>
    <cacheField name="Total des Ventes" numFmtId="165">
      <sharedItems containsSemiMixedTypes="0" containsString="0" containsNumber="1" containsInteger="1" minValue="126" maxValue="1980"/>
    </cacheField>
    <cacheField name="Années" numFmtId="0">
      <sharedItems containsSemiMixedTypes="0" containsString="0" containsNumber="1" containsInteger="1" minValue="2007" maxValue="2016" count="7">
        <n v="2007"/>
        <n v="2008"/>
        <n v="2009"/>
        <n v="2010"/>
        <n v="2011"/>
        <n v="2012"/>
        <n v="201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0">
  <r>
    <n v="1"/>
    <x v="0"/>
    <d v="2007-06-11T00:00:00"/>
    <x v="0"/>
    <n v="12"/>
    <n v="528"/>
    <n v="524"/>
    <n v="-4"/>
    <n v="2"/>
    <n v="2"/>
    <n v="2.4"/>
    <n v="3"/>
    <n v="1257.5999999999999"/>
    <n v="1572"/>
    <x v="0"/>
  </r>
  <r>
    <n v="2"/>
    <x v="1"/>
    <d v="2007-01-11T00:00:00"/>
    <x v="0"/>
    <n v="3"/>
    <n v="132"/>
    <n v="126"/>
    <n v="-6"/>
    <n v="2"/>
    <n v="2.5"/>
    <n v="3"/>
    <n v="3"/>
    <n v="378"/>
    <n v="378"/>
    <x v="0"/>
  </r>
  <r>
    <n v="3"/>
    <x v="2"/>
    <d v="2007-01-27T00:00:00"/>
    <x v="1"/>
    <n v="11"/>
    <n v="484"/>
    <n v="477"/>
    <n v="-7"/>
    <n v="2"/>
    <n v="1.83"/>
    <n v="2.1960000000000002"/>
    <n v="3"/>
    <n v="1047.4920000000002"/>
    <n v="1431"/>
    <x v="0"/>
  </r>
  <r>
    <n v="4"/>
    <x v="3"/>
    <d v="2007-02-13T00:00:00"/>
    <x v="1"/>
    <n v="1"/>
    <n v="44"/>
    <n v="42"/>
    <n v="-2"/>
    <n v="2"/>
    <n v="1.83"/>
    <n v="2.1960000000000002"/>
    <n v="3"/>
    <n v="92.232000000000014"/>
    <n v="126"/>
    <x v="0"/>
  </r>
  <r>
    <n v="5"/>
    <x v="1"/>
    <d v="2007-02-13T00:00:00"/>
    <x v="1"/>
    <n v="3"/>
    <n v="132"/>
    <n v="103"/>
    <n v="-29"/>
    <n v="2"/>
    <n v="2.5"/>
    <n v="3"/>
    <n v="3"/>
    <n v="309"/>
    <n v="309"/>
    <x v="0"/>
  </r>
  <r>
    <n v="6"/>
    <x v="0"/>
    <d v="2007-04-06T00:00:00"/>
    <x v="1"/>
    <n v="12"/>
    <n v="528"/>
    <n v="522"/>
    <n v="-6"/>
    <n v="2"/>
    <n v="2"/>
    <n v="2.4"/>
    <n v="3"/>
    <n v="1252.8"/>
    <n v="1566"/>
    <x v="0"/>
  </r>
  <r>
    <n v="7"/>
    <x v="2"/>
    <d v="2007-05-12T00:00:00"/>
    <x v="2"/>
    <n v="12"/>
    <n v="528"/>
    <n v="521"/>
    <n v="-7"/>
    <n v="2"/>
    <n v="1.83"/>
    <n v="2.1960000000000002"/>
    <n v="3"/>
    <n v="1144.116"/>
    <n v="1563"/>
    <x v="0"/>
  </r>
  <r>
    <n v="8"/>
    <x v="1"/>
    <d v="2007-05-12T00:00:00"/>
    <x v="2"/>
    <n v="2"/>
    <n v="88"/>
    <n v="63"/>
    <n v="-25"/>
    <n v="2"/>
    <n v="2.5"/>
    <n v="3"/>
    <n v="3"/>
    <n v="189"/>
    <n v="189"/>
    <x v="0"/>
  </r>
  <r>
    <n v="9"/>
    <x v="2"/>
    <d v="2007-07-13T00:00:00"/>
    <x v="3"/>
    <n v="12"/>
    <n v="528"/>
    <n v="510"/>
    <n v="-18"/>
    <n v="2"/>
    <n v="1.83"/>
    <n v="2.1960000000000002"/>
    <n v="3"/>
    <n v="1119.96"/>
    <n v="1530"/>
    <x v="0"/>
  </r>
  <r>
    <n v="10"/>
    <x v="1"/>
    <d v="2007-07-13T00:00:00"/>
    <x v="3"/>
    <n v="3"/>
    <n v="132"/>
    <n v="120"/>
    <n v="-12"/>
    <n v="2"/>
    <n v="2.5"/>
    <n v="3"/>
    <n v="3"/>
    <n v="360"/>
    <n v="360"/>
    <x v="0"/>
  </r>
  <r>
    <n v="11"/>
    <x v="0"/>
    <d v="2007-07-21T00:00:00"/>
    <x v="4"/>
    <n v="12"/>
    <n v="528"/>
    <n v="525"/>
    <n v="-3"/>
    <n v="2"/>
    <n v="2"/>
    <n v="2.4"/>
    <n v="3"/>
    <n v="1260"/>
    <n v="1575"/>
    <x v="0"/>
  </r>
  <r>
    <n v="12"/>
    <x v="1"/>
    <d v="2007-08-13T00:00:00"/>
    <x v="1"/>
    <n v="3"/>
    <n v="132"/>
    <n v="133"/>
    <n v="1"/>
    <n v="2"/>
    <n v="2.5"/>
    <n v="3"/>
    <n v="3"/>
    <n v="399"/>
    <n v="399"/>
    <x v="0"/>
  </r>
  <r>
    <n v="13"/>
    <x v="3"/>
    <d v="2007-08-13T00:00:00"/>
    <x v="1"/>
    <n v="1"/>
    <n v="44"/>
    <n v="42"/>
    <n v="-2"/>
    <n v="2"/>
    <n v="1.83"/>
    <n v="2.1960000000000002"/>
    <n v="3"/>
    <n v="92.232000000000014"/>
    <n v="126"/>
    <x v="0"/>
  </r>
  <r>
    <n v="14"/>
    <x v="2"/>
    <d v="2007-08-31T00:00:00"/>
    <x v="1"/>
    <n v="13"/>
    <n v="572"/>
    <n v="550"/>
    <n v="-22"/>
    <n v="2"/>
    <n v="1.83"/>
    <n v="2.1960000000000002"/>
    <n v="3"/>
    <n v="1207.8000000000002"/>
    <n v="1650"/>
    <x v="0"/>
  </r>
  <r>
    <n v="15"/>
    <x v="1"/>
    <d v="2007-08-31T00:00:00"/>
    <x v="1"/>
    <n v="3"/>
    <n v="132"/>
    <n v="128"/>
    <n v="-4"/>
    <n v="2"/>
    <n v="2.5"/>
    <n v="3"/>
    <n v="3"/>
    <n v="384"/>
    <n v="384"/>
    <x v="0"/>
  </r>
  <r>
    <n v="16"/>
    <x v="0"/>
    <d v="2007-09-21T00:00:00"/>
    <x v="0"/>
    <n v="12"/>
    <n v="528"/>
    <n v="521"/>
    <n v="-7"/>
    <n v="2"/>
    <n v="2"/>
    <n v="2.4"/>
    <n v="3"/>
    <n v="1250.3999999999999"/>
    <n v="1563"/>
    <x v="0"/>
  </r>
  <r>
    <n v="17"/>
    <x v="1"/>
    <d v="2007-10-04T00:00:00"/>
    <x v="3"/>
    <n v="3"/>
    <n v="132"/>
    <n v="128"/>
    <n v="-4"/>
    <n v="2"/>
    <n v="2.5"/>
    <n v="3"/>
    <n v="3"/>
    <n v="384"/>
    <n v="384"/>
    <x v="0"/>
  </r>
  <r>
    <n v="18"/>
    <x v="3"/>
    <d v="2007-10-04T00:00:00"/>
    <x v="3"/>
    <n v="1"/>
    <n v="44"/>
    <n v="43"/>
    <n v="-1"/>
    <n v="2"/>
    <n v="1.83"/>
    <n v="2.1960000000000002"/>
    <n v="3"/>
    <n v="94.428000000000011"/>
    <n v="129"/>
    <x v="0"/>
  </r>
  <r>
    <n v="19"/>
    <x v="1"/>
    <d v="2007-10-26T00:00:00"/>
    <x v="5"/>
    <n v="6"/>
    <n v="264"/>
    <n v="269"/>
    <n v="5"/>
    <n v="2"/>
    <n v="2.5"/>
    <n v="3"/>
    <n v="3"/>
    <n v="807"/>
    <n v="807"/>
    <x v="0"/>
  </r>
  <r>
    <n v="20"/>
    <x v="2"/>
    <d v="2007-10-26T00:00:00"/>
    <x v="5"/>
    <n v="10"/>
    <n v="440"/>
    <n v="427"/>
    <n v="-13"/>
    <n v="2"/>
    <n v="1.83"/>
    <n v="2.1960000000000002"/>
    <n v="3"/>
    <n v="937.69200000000012"/>
    <n v="1281"/>
    <x v="0"/>
  </r>
  <r>
    <n v="21"/>
    <x v="1"/>
    <d v="2007-12-05T00:00:00"/>
    <x v="2"/>
    <n v="2"/>
    <n v="88"/>
    <n v="64"/>
    <n v="-24"/>
    <n v="2"/>
    <n v="2.5"/>
    <n v="3"/>
    <n v="3"/>
    <n v="192"/>
    <n v="192"/>
    <x v="0"/>
  </r>
  <r>
    <n v="22"/>
    <x v="3"/>
    <d v="2007-12-08T00:00:00"/>
    <x v="2"/>
    <n v="2"/>
    <n v="88"/>
    <n v="86"/>
    <n v="-2"/>
    <n v="2"/>
    <n v="1.83"/>
    <n v="2.1960000000000002"/>
    <n v="3"/>
    <n v="188.85600000000002"/>
    <n v="258"/>
    <x v="0"/>
  </r>
  <r>
    <n v="23"/>
    <x v="2"/>
    <d v="2007-12-08T00:00:00"/>
    <x v="2"/>
    <n v="7"/>
    <n v="308"/>
    <n v="306"/>
    <n v="-2"/>
    <n v="2"/>
    <n v="1.83"/>
    <n v="2.1960000000000002"/>
    <n v="3"/>
    <n v="671.976"/>
    <n v="918"/>
    <x v="0"/>
  </r>
  <r>
    <n v="24"/>
    <x v="1"/>
    <d v="2007-12-08T00:00:00"/>
    <x v="2"/>
    <n v="4"/>
    <n v="176"/>
    <n v="193"/>
    <n v="17"/>
    <n v="2"/>
    <n v="2.5"/>
    <n v="3"/>
    <n v="3"/>
    <n v="579"/>
    <n v="579"/>
    <x v="0"/>
  </r>
  <r>
    <n v="25"/>
    <x v="2"/>
    <d v="2007-12-22T00:00:00"/>
    <x v="5"/>
    <n v="1"/>
    <n v="44"/>
    <n v="43"/>
    <n v="-1"/>
    <n v="2"/>
    <n v="1.83"/>
    <n v="2.1960000000000002"/>
    <n v="3"/>
    <n v="94.428000000000011"/>
    <n v="129"/>
    <x v="0"/>
  </r>
  <r>
    <n v="26"/>
    <x v="0"/>
    <d v="2007-12-22T00:00:00"/>
    <x v="5"/>
    <n v="13"/>
    <n v="572"/>
    <n v="563"/>
    <n v="-9"/>
    <n v="2"/>
    <n v="2"/>
    <n v="2.4"/>
    <n v="3"/>
    <n v="1351.2"/>
    <n v="1689"/>
    <x v="0"/>
  </r>
  <r>
    <n v="27"/>
    <x v="3"/>
    <d v="2008-01-26T00:00:00"/>
    <x v="5"/>
    <n v="2"/>
    <n v="88"/>
    <n v="87"/>
    <n v="-1"/>
    <n v="2"/>
    <n v="1.83"/>
    <n v="2.1960000000000002"/>
    <n v="3"/>
    <n v="191.05200000000002"/>
    <n v="261"/>
    <x v="1"/>
  </r>
  <r>
    <n v="28"/>
    <x v="2"/>
    <d v="2008-01-26T00:00:00"/>
    <x v="5"/>
    <n v="7"/>
    <n v="308"/>
    <n v="231"/>
    <n v="-77"/>
    <n v="2"/>
    <n v="1.83"/>
    <n v="2.1960000000000002"/>
    <n v="3"/>
    <n v="507.27600000000007"/>
    <n v="693"/>
    <x v="1"/>
  </r>
  <r>
    <n v="29"/>
    <x v="1"/>
    <d v="2008-01-26T00:00:00"/>
    <x v="5"/>
    <n v="8"/>
    <n v="352"/>
    <n v="369"/>
    <n v="17"/>
    <n v="2"/>
    <n v="2.5"/>
    <n v="3"/>
    <n v="3"/>
    <n v="1107"/>
    <n v="1107"/>
    <x v="1"/>
  </r>
  <r>
    <n v="30"/>
    <x v="0"/>
    <d v="2008-06-21T00:00:00"/>
    <x v="5"/>
    <n v="12"/>
    <n v="528"/>
    <n v="530"/>
    <n v="2"/>
    <n v="2"/>
    <n v="2"/>
    <n v="2.4"/>
    <n v="3"/>
    <n v="1272"/>
    <n v="1590"/>
    <x v="1"/>
  </r>
  <r>
    <n v="31"/>
    <x v="2"/>
    <d v="2008-03-21T00:00:00"/>
    <x v="5"/>
    <n v="10"/>
    <n v="440"/>
    <n v="423"/>
    <n v="-17"/>
    <n v="2"/>
    <n v="1.83"/>
    <n v="2.1960000000000002"/>
    <n v="3"/>
    <n v="928.90800000000013"/>
    <n v="1269"/>
    <x v="1"/>
  </r>
  <r>
    <n v="32"/>
    <x v="3"/>
    <d v="2008-03-21T00:00:00"/>
    <x v="5"/>
    <n v="2"/>
    <n v="88"/>
    <n v="89"/>
    <n v="1"/>
    <n v="2"/>
    <n v="1.83"/>
    <n v="2.1960000000000002"/>
    <n v="3"/>
    <n v="195.44400000000002"/>
    <n v="267"/>
    <x v="1"/>
  </r>
  <r>
    <n v="33"/>
    <x v="1"/>
    <d v="2008-03-21T00:00:00"/>
    <x v="6"/>
    <n v="3"/>
    <n v="132"/>
    <n v="132"/>
    <n v="0"/>
    <n v="2"/>
    <n v="2.5"/>
    <n v="3"/>
    <n v="3"/>
    <n v="396"/>
    <n v="396"/>
    <x v="1"/>
  </r>
  <r>
    <n v="34"/>
    <x v="0"/>
    <d v="2008-04-28T00:00:00"/>
    <x v="6"/>
    <n v="13"/>
    <n v="572"/>
    <n v="550"/>
    <n v="-22"/>
    <n v="2"/>
    <n v="2"/>
    <n v="2.4"/>
    <n v="3"/>
    <n v="1320"/>
    <n v="1650"/>
    <x v="1"/>
  </r>
  <r>
    <n v="35"/>
    <x v="2"/>
    <d v="2008-05-23T00:00:00"/>
    <x v="6"/>
    <n v="13"/>
    <n v="572"/>
    <n v="563"/>
    <n v="-9"/>
    <n v="2"/>
    <n v="1.83"/>
    <n v="2.1960000000000002"/>
    <n v="3"/>
    <n v="1236.3480000000002"/>
    <n v="1689"/>
    <x v="1"/>
  </r>
  <r>
    <n v="36"/>
    <x v="3"/>
    <d v="2008-07-05T00:00:00"/>
    <x v="2"/>
    <n v="2"/>
    <n v="88"/>
    <n v="87"/>
    <n v="-1"/>
    <n v="2"/>
    <n v="1.83"/>
    <n v="2.1960000000000002"/>
    <n v="3"/>
    <n v="191.05200000000002"/>
    <n v="261"/>
    <x v="1"/>
  </r>
  <r>
    <n v="37"/>
    <x v="1"/>
    <d v="2008-07-05T00:00:00"/>
    <x v="2"/>
    <n v="3"/>
    <n v="132"/>
    <n v="132"/>
    <n v="0"/>
    <n v="2"/>
    <n v="2.5"/>
    <n v="3"/>
    <n v="3"/>
    <n v="396"/>
    <n v="396"/>
    <x v="1"/>
  </r>
  <r>
    <n v="38"/>
    <x v="0"/>
    <d v="2008-07-05T00:00:00"/>
    <x v="2"/>
    <n v="8"/>
    <n v="352"/>
    <n v="353"/>
    <n v="1"/>
    <n v="2"/>
    <n v="2"/>
    <n v="2.4"/>
    <n v="3"/>
    <n v="847.19999999999993"/>
    <n v="1059"/>
    <x v="1"/>
  </r>
  <r>
    <n v="39"/>
    <x v="2"/>
    <d v="2008-08-01T00:00:00"/>
    <x v="4"/>
    <n v="13"/>
    <n v="572"/>
    <n v="556"/>
    <n v="-16"/>
    <n v="2"/>
    <n v="1.83"/>
    <n v="2.1960000000000002"/>
    <n v="3"/>
    <n v="1220.9760000000001"/>
    <n v="1668"/>
    <x v="1"/>
  </r>
  <r>
    <n v="40"/>
    <x v="0"/>
    <d v="2008-09-20T00:00:00"/>
    <x v="3"/>
    <n v="14"/>
    <n v="616"/>
    <n v="578"/>
    <n v="-38"/>
    <n v="2"/>
    <n v="2"/>
    <n v="2.4"/>
    <n v="3"/>
    <n v="1387.2"/>
    <n v="1734"/>
    <x v="1"/>
  </r>
  <r>
    <n v="41"/>
    <x v="3"/>
    <d v="2008-10-24T00:00:00"/>
    <x v="0"/>
    <n v="2"/>
    <n v="88"/>
    <n v="82"/>
    <n v="-6"/>
    <n v="2"/>
    <n v="1.83"/>
    <n v="2.1960000000000002"/>
    <n v="3"/>
    <n v="180.072"/>
    <n v="246"/>
    <x v="1"/>
  </r>
  <r>
    <n v="42"/>
    <x v="2"/>
    <d v="2008-10-24T00:00:00"/>
    <x v="0"/>
    <n v="12"/>
    <n v="528"/>
    <n v="510"/>
    <n v="-18"/>
    <n v="2"/>
    <n v="1.83"/>
    <n v="2.1960000000000002"/>
    <n v="3"/>
    <n v="1119.96"/>
    <n v="1530"/>
    <x v="1"/>
  </r>
  <r>
    <n v="43"/>
    <x v="1"/>
    <d v="2008-11-18T00:00:00"/>
    <x v="6"/>
    <n v="1"/>
    <n v="66"/>
    <n v="65"/>
    <n v="-1"/>
    <n v="2"/>
    <n v="2.5"/>
    <n v="3"/>
    <n v="3"/>
    <n v="195"/>
    <n v="195"/>
    <x v="1"/>
  </r>
  <r>
    <n v="44"/>
    <x v="0"/>
    <d v="2008-12-19T00:00:00"/>
    <x v="6"/>
    <n v="3"/>
    <n v="132"/>
    <n v="130"/>
    <n v="-2"/>
    <n v="2"/>
    <n v="2"/>
    <n v="2.4"/>
    <n v="3"/>
    <n v="312"/>
    <n v="390"/>
    <x v="1"/>
  </r>
  <r>
    <n v="45"/>
    <x v="1"/>
    <d v="2008-12-19T00:00:00"/>
    <x v="6"/>
    <n v="1"/>
    <n v="66"/>
    <n v="64"/>
    <n v="-2"/>
    <n v="2"/>
    <n v="2.5"/>
    <n v="3"/>
    <n v="3"/>
    <n v="192"/>
    <n v="192"/>
    <x v="1"/>
  </r>
  <r>
    <n v="46"/>
    <x v="3"/>
    <d v="2008-12-19T00:00:00"/>
    <x v="6"/>
    <n v="1"/>
    <n v="44"/>
    <n v="42"/>
    <n v="-2"/>
    <n v="2"/>
    <n v="1.83"/>
    <n v="2.1960000000000002"/>
    <n v="3"/>
    <n v="92.232000000000014"/>
    <n v="126"/>
    <x v="1"/>
  </r>
  <r>
    <n v="47"/>
    <x v="2"/>
    <d v="2008-12-19T00:00:00"/>
    <x v="6"/>
    <n v="3"/>
    <n v="132"/>
    <n v="126"/>
    <n v="-6"/>
    <n v="2"/>
    <n v="1.83"/>
    <n v="2.1960000000000002"/>
    <n v="3"/>
    <n v="276.69600000000003"/>
    <n v="378"/>
    <x v="1"/>
  </r>
  <r>
    <n v="48"/>
    <x v="2"/>
    <d v="2009-01-23T00:00:00"/>
    <x v="5"/>
    <n v="13"/>
    <n v="572"/>
    <n v="559"/>
    <n v="-13"/>
    <n v="2"/>
    <n v="1.83"/>
    <n v="2.1960000000000002"/>
    <n v="3"/>
    <n v="1227.5640000000001"/>
    <n v="1677"/>
    <x v="2"/>
  </r>
  <r>
    <n v="49"/>
    <x v="0"/>
    <d v="2009-04-04T00:00:00"/>
    <x v="2"/>
    <n v="14"/>
    <n v="616"/>
    <n v="594"/>
    <n v="-22"/>
    <n v="2"/>
    <n v="2"/>
    <n v="2.4"/>
    <n v="3"/>
    <n v="1425.6"/>
    <n v="1782"/>
    <x v="2"/>
  </r>
  <r>
    <n v="50"/>
    <x v="2"/>
    <d v="2009-05-09T00:00:00"/>
    <x v="4"/>
    <n v="14"/>
    <n v="616"/>
    <n v="612"/>
    <n v="-4"/>
    <n v="2"/>
    <n v="1.83"/>
    <n v="2.1960000000000002"/>
    <n v="3"/>
    <n v="1343.952"/>
    <n v="1836"/>
    <x v="2"/>
  </r>
  <r>
    <n v="51"/>
    <x v="3"/>
    <d v="2009-06-15T00:00:00"/>
    <x v="3"/>
    <n v="3"/>
    <n v="132"/>
    <n v="132"/>
    <n v="0"/>
    <n v="2"/>
    <n v="1.83"/>
    <n v="2.1960000000000002"/>
    <n v="3"/>
    <n v="289.87200000000001"/>
    <n v="396"/>
    <x v="2"/>
  </r>
  <r>
    <n v="52"/>
    <x v="1"/>
    <d v="2009-06-15T00:00:00"/>
    <x v="3"/>
    <n v="3"/>
    <n v="198"/>
    <n v="186"/>
    <n v="-12"/>
    <n v="2"/>
    <n v="2.5"/>
    <n v="3"/>
    <n v="3"/>
    <n v="558"/>
    <n v="558"/>
    <x v="2"/>
  </r>
  <r>
    <n v="53"/>
    <x v="0"/>
    <d v="2009-07-07T00:00:00"/>
    <x v="0"/>
    <n v="2"/>
    <n v="88"/>
    <n v="88"/>
    <n v="0"/>
    <n v="2"/>
    <n v="2"/>
    <n v="2.4"/>
    <n v="3"/>
    <n v="211.2"/>
    <n v="264"/>
    <x v="2"/>
  </r>
  <r>
    <n v="54"/>
    <x v="0"/>
    <d v="2009-07-10T00:00:00"/>
    <x v="0"/>
    <n v="12"/>
    <n v="528"/>
    <n v="528"/>
    <n v="0"/>
    <n v="2"/>
    <n v="2"/>
    <n v="2.4"/>
    <n v="3"/>
    <n v="1267.2"/>
    <n v="1584"/>
    <x v="2"/>
  </r>
  <r>
    <n v="55"/>
    <x v="2"/>
    <d v="2009-09-17T00:00:00"/>
    <x v="6"/>
    <n v="5"/>
    <n v="220"/>
    <n v="216"/>
    <n v="-4"/>
    <n v="2"/>
    <n v="1.83"/>
    <n v="2.1960000000000002"/>
    <n v="3"/>
    <n v="474.33600000000001"/>
    <n v="648"/>
    <x v="2"/>
  </r>
  <r>
    <n v="56"/>
    <x v="2"/>
    <d v="2009-09-18T00:00:00"/>
    <x v="6"/>
    <n v="7"/>
    <n v="308"/>
    <n v="296"/>
    <n v="-12"/>
    <n v="2"/>
    <n v="1.83"/>
    <n v="2.1960000000000002"/>
    <n v="3"/>
    <n v="650.01600000000008"/>
    <n v="888"/>
    <x v="2"/>
  </r>
  <r>
    <n v="57"/>
    <x v="1"/>
    <d v="2009-09-18T00:00:00"/>
    <x v="6"/>
    <n v="2"/>
    <n v="132"/>
    <n v="129"/>
    <n v="-3"/>
    <n v="2"/>
    <n v="2.5"/>
    <n v="3"/>
    <n v="3"/>
    <n v="387"/>
    <n v="387"/>
    <x v="2"/>
  </r>
  <r>
    <n v="58"/>
    <x v="0"/>
    <d v="2009-10-09T00:00:00"/>
    <x v="6"/>
    <n v="13"/>
    <n v="572"/>
    <n v="590"/>
    <n v="18"/>
    <n v="2"/>
    <n v="2"/>
    <n v="2.4"/>
    <n v="3"/>
    <n v="1416"/>
    <n v="1770"/>
    <x v="2"/>
  </r>
  <r>
    <n v="59"/>
    <x v="3"/>
    <d v="2009-10-26T00:00:00"/>
    <x v="6"/>
    <n v="3"/>
    <n v="132"/>
    <n v="135"/>
    <n v="3"/>
    <n v="2"/>
    <n v="1.83"/>
    <n v="2.1960000000000002"/>
    <n v="3"/>
    <n v="296.46000000000004"/>
    <n v="405"/>
    <x v="2"/>
  </r>
  <r>
    <n v="60"/>
    <x v="1"/>
    <d v="2009-12-11T00:00:00"/>
    <x v="6"/>
    <n v="3"/>
    <n v="198"/>
    <n v="185"/>
    <n v="-13"/>
    <n v="2"/>
    <n v="2.5"/>
    <n v="3"/>
    <n v="3"/>
    <n v="555"/>
    <n v="555"/>
    <x v="2"/>
  </r>
  <r>
    <n v="61"/>
    <x v="0"/>
    <d v="2010-01-08T00:00:00"/>
    <x v="5"/>
    <n v="10"/>
    <n v="440"/>
    <n v="433"/>
    <n v="-7"/>
    <n v="2"/>
    <n v="2"/>
    <n v="2.4"/>
    <n v="3"/>
    <n v="1039.2"/>
    <n v="1299"/>
    <x v="3"/>
  </r>
  <r>
    <n v="62"/>
    <x v="3"/>
    <d v="2010-01-08T00:00:00"/>
    <x v="5"/>
    <n v="4"/>
    <n v="176"/>
    <n v="157"/>
    <n v="-19"/>
    <n v="2"/>
    <n v="1.83"/>
    <n v="2.1960000000000002"/>
    <n v="3"/>
    <n v="344.77200000000005"/>
    <n v="471"/>
    <x v="3"/>
  </r>
  <r>
    <n v="63"/>
    <x v="1"/>
    <d v="2010-02-04T00:00:00"/>
    <x v="6"/>
    <n v="1"/>
    <n v="66"/>
    <n v="64"/>
    <n v="-2"/>
    <n v="2"/>
    <n v="2.5"/>
    <n v="3"/>
    <n v="3"/>
    <n v="192"/>
    <n v="192"/>
    <x v="3"/>
  </r>
  <r>
    <n v="64"/>
    <x v="1"/>
    <d v="2010-02-06T00:00:00"/>
    <x v="6"/>
    <n v="2"/>
    <n v="132"/>
    <n v="126"/>
    <n v="-6"/>
    <n v="2"/>
    <n v="2.5"/>
    <n v="3"/>
    <n v="3"/>
    <n v="378"/>
    <n v="378"/>
    <x v="3"/>
  </r>
  <r>
    <n v="65"/>
    <x v="1"/>
    <d v="2010-02-27T00:00:00"/>
    <x v="2"/>
    <n v="3"/>
    <n v="198"/>
    <n v="190"/>
    <n v="-8"/>
    <n v="2"/>
    <n v="2.5"/>
    <n v="3"/>
    <n v="3"/>
    <n v="570"/>
    <n v="570"/>
    <x v="3"/>
  </r>
  <r>
    <n v="66"/>
    <x v="3"/>
    <d v="2010-02-27T00:00:00"/>
    <x v="2"/>
    <n v="5"/>
    <n v="220"/>
    <n v="213"/>
    <n v="-7"/>
    <n v="2"/>
    <n v="1.83"/>
    <n v="2.1960000000000002"/>
    <n v="3"/>
    <n v="467.74800000000005"/>
    <n v="639"/>
    <x v="3"/>
  </r>
  <r>
    <n v="67"/>
    <x v="0"/>
    <d v="2010-03-25T00:00:00"/>
    <x v="4"/>
    <n v="14"/>
    <n v="616"/>
    <n v="605"/>
    <n v="-11"/>
    <n v="2"/>
    <n v="2"/>
    <n v="2.4"/>
    <n v="3"/>
    <n v="1452"/>
    <n v="1815"/>
    <x v="3"/>
  </r>
  <r>
    <n v="68"/>
    <x v="3"/>
    <d v="2010-04-14T00:00:00"/>
    <x v="3"/>
    <n v="10"/>
    <n v="440"/>
    <n v="431"/>
    <n v="-9"/>
    <n v="2"/>
    <n v="1.83"/>
    <n v="2.1960000000000002"/>
    <n v="3"/>
    <n v="946.47600000000011"/>
    <n v="1293"/>
    <x v="3"/>
  </r>
  <r>
    <n v="69"/>
    <x v="1"/>
    <d v="2010-04-14T00:00:00"/>
    <x v="3"/>
    <n v="2"/>
    <n v="132"/>
    <n v="119"/>
    <n v="-13"/>
    <n v="2"/>
    <n v="2.5"/>
    <n v="3"/>
    <n v="3"/>
    <n v="357"/>
    <n v="357"/>
    <x v="3"/>
  </r>
  <r>
    <n v="70"/>
    <x v="0"/>
    <d v="2010-07-07T00:00:00"/>
    <x v="0"/>
    <n v="12"/>
    <n v="528"/>
    <n v="527"/>
    <n v="-1"/>
    <n v="2"/>
    <n v="2"/>
    <n v="2.4"/>
    <n v="3"/>
    <n v="1264.8"/>
    <n v="1581"/>
    <x v="3"/>
  </r>
  <r>
    <n v="71"/>
    <x v="1"/>
    <d v="2010-08-03T00:00:00"/>
    <x v="6"/>
    <n v="4"/>
    <n v="264"/>
    <n v="252"/>
    <n v="-12"/>
    <n v="2"/>
    <n v="2.5"/>
    <n v="3"/>
    <n v="3"/>
    <n v="756"/>
    <n v="756"/>
    <x v="3"/>
  </r>
  <r>
    <n v="72"/>
    <x v="0"/>
    <d v="2010-09-11T00:00:00"/>
    <x v="6"/>
    <n v="6"/>
    <n v="264"/>
    <n v="245"/>
    <n v="-19"/>
    <n v="2"/>
    <n v="2"/>
    <n v="2.4"/>
    <n v="3"/>
    <n v="588"/>
    <n v="735"/>
    <x v="3"/>
  </r>
  <r>
    <n v="73"/>
    <x v="3"/>
    <d v="2010-09-11T00:00:00"/>
    <x v="6"/>
    <n v="6"/>
    <n v="264"/>
    <n v="242"/>
    <n v="-22"/>
    <n v="2"/>
    <n v="1.83"/>
    <n v="2.1960000000000002"/>
    <n v="3"/>
    <n v="531.43200000000002"/>
    <n v="726"/>
    <x v="3"/>
  </r>
  <r>
    <n v="74"/>
    <x v="0"/>
    <d v="2010-10-30T00:00:00"/>
    <x v="6"/>
    <n v="8"/>
    <n v="352"/>
    <n v="350"/>
    <n v="-2"/>
    <n v="2"/>
    <n v="2"/>
    <n v="2.4"/>
    <n v="3"/>
    <n v="840"/>
    <n v="1050"/>
    <x v="3"/>
  </r>
  <r>
    <n v="75"/>
    <x v="1"/>
    <d v="2010-10-30T00:00:00"/>
    <x v="6"/>
    <n v="3"/>
    <n v="198"/>
    <n v="195"/>
    <n v="-3"/>
    <n v="2"/>
    <n v="2.5"/>
    <n v="3"/>
    <n v="3"/>
    <n v="585"/>
    <n v="585"/>
    <x v="3"/>
  </r>
  <r>
    <n v="76"/>
    <x v="1"/>
    <d v="2011-04-05T00:00:00"/>
    <x v="6"/>
    <n v="3"/>
    <n v="198"/>
    <n v="194"/>
    <n v="-4"/>
    <n v="2"/>
    <n v="2.5"/>
    <n v="3"/>
    <n v="3"/>
    <n v="582"/>
    <n v="582"/>
    <x v="4"/>
  </r>
  <r>
    <n v="77"/>
    <x v="3"/>
    <d v="2012-03-12T00:00:00"/>
    <x v="3"/>
    <n v="4"/>
    <n v="176"/>
    <n v="180"/>
    <n v="4"/>
    <n v="2"/>
    <n v="1.83"/>
    <n v="2.1960000000000002"/>
    <n v="3"/>
    <n v="395.28000000000003"/>
    <n v="540"/>
    <x v="5"/>
  </r>
  <r>
    <n v="78"/>
    <x v="1"/>
    <d v="2012-03-12T00:00:00"/>
    <x v="3"/>
    <n v="3"/>
    <n v="198"/>
    <n v="192"/>
    <n v="-6"/>
    <n v="2"/>
    <n v="2.5"/>
    <n v="3"/>
    <n v="3"/>
    <n v="576"/>
    <n v="576"/>
    <x v="5"/>
  </r>
  <r>
    <n v="79"/>
    <x v="2"/>
    <d v="2012-03-12T00:00:00"/>
    <x v="3"/>
    <n v="5"/>
    <n v="220"/>
    <n v="215"/>
    <n v="-5"/>
    <n v="2"/>
    <n v="1.83"/>
    <n v="2.1960000000000002"/>
    <n v="3"/>
    <n v="472.14000000000004"/>
    <n v="645"/>
    <x v="5"/>
  </r>
  <r>
    <n v="80"/>
    <x v="3"/>
    <d v="2010-12-10T00:00:00"/>
    <x v="5"/>
    <n v="6"/>
    <n v="264"/>
    <n v="259"/>
    <n v="-5"/>
    <n v="2"/>
    <n v="1.83"/>
    <n v="2.1960000000000002"/>
    <n v="3"/>
    <n v="568.76400000000001"/>
    <n v="777"/>
    <x v="3"/>
  </r>
  <r>
    <n v="81"/>
    <x v="0"/>
    <d v="2010-12-10T00:00:00"/>
    <x v="5"/>
    <n v="8"/>
    <n v="352"/>
    <n v="348"/>
    <n v="-4"/>
    <n v="2"/>
    <n v="2"/>
    <n v="2.4"/>
    <n v="3"/>
    <n v="835.19999999999993"/>
    <n v="1044"/>
    <x v="3"/>
  </r>
  <r>
    <n v="82"/>
    <x v="3"/>
    <d v="2011-01-22T00:00:00"/>
    <x v="4"/>
    <n v="3"/>
    <n v="132"/>
    <n v="126"/>
    <n v="-6"/>
    <n v="2"/>
    <n v="1.83"/>
    <n v="2.1960000000000002"/>
    <n v="3"/>
    <n v="276.69600000000003"/>
    <n v="378"/>
    <x v="4"/>
  </r>
  <r>
    <n v="83"/>
    <x v="1"/>
    <d v="2011-01-22T00:00:00"/>
    <x v="4"/>
    <n v="3"/>
    <n v="198"/>
    <n v="191"/>
    <n v="-7"/>
    <n v="2"/>
    <n v="2.5"/>
    <n v="3"/>
    <n v="3"/>
    <n v="573"/>
    <n v="573"/>
    <x v="4"/>
  </r>
  <r>
    <n v="84"/>
    <x v="2"/>
    <d v="2011-01-22T00:00:00"/>
    <x v="4"/>
    <n v="6"/>
    <n v="264"/>
    <n v="259"/>
    <n v="-5"/>
    <n v="2"/>
    <n v="1.83"/>
    <n v="2.1960000000000002"/>
    <n v="3"/>
    <n v="568.76400000000001"/>
    <n v="777"/>
    <x v="4"/>
  </r>
  <r>
    <n v="85"/>
    <x v="0"/>
    <d v="2011-02-18T00:00:00"/>
    <x v="3"/>
    <n v="14"/>
    <n v="616"/>
    <n v="606"/>
    <n v="-10"/>
    <n v="2"/>
    <n v="2"/>
    <n v="2.4"/>
    <n v="3"/>
    <n v="1454.3999999999999"/>
    <n v="1818"/>
    <x v="4"/>
  </r>
  <r>
    <n v="86"/>
    <x v="0"/>
    <d v="2011-04-29T00:00:00"/>
    <x v="0"/>
    <n v="13"/>
    <n v="572"/>
    <n v="581"/>
    <n v="9"/>
    <n v="2"/>
    <n v="2"/>
    <n v="2.4"/>
    <n v="3"/>
    <n v="1394.3999999999999"/>
    <n v="1743"/>
    <x v="4"/>
  </r>
  <r>
    <n v="87"/>
    <x v="1"/>
    <d v="2011-05-14T00:00:00"/>
    <x v="1"/>
    <n v="2"/>
    <n v="132"/>
    <n v="134"/>
    <n v="2"/>
    <n v="2"/>
    <n v="2.5"/>
    <n v="3"/>
    <n v="3"/>
    <n v="402"/>
    <n v="402"/>
    <x v="4"/>
  </r>
  <r>
    <n v="88"/>
    <x v="2"/>
    <d v="2011-05-14T00:00:00"/>
    <x v="1"/>
    <n v="6"/>
    <n v="264"/>
    <n v="266"/>
    <n v="2"/>
    <n v="2"/>
    <n v="1.83"/>
    <n v="2.1960000000000002"/>
    <n v="3"/>
    <n v="584.13600000000008"/>
    <n v="798"/>
    <x v="4"/>
  </r>
  <r>
    <n v="89"/>
    <x v="3"/>
    <d v="2016-05-14T00:00:00"/>
    <x v="1"/>
    <n v="4"/>
    <n v="176"/>
    <n v="175"/>
    <n v="-1"/>
    <n v="2"/>
    <n v="1.83"/>
    <n v="2.1960000000000002"/>
    <n v="3"/>
    <n v="384.3"/>
    <n v="525"/>
    <x v="6"/>
  </r>
  <r>
    <n v="90"/>
    <x v="4"/>
    <d v="2016-06-20T00:00:00"/>
    <x v="6"/>
    <n v="10"/>
    <n v="660"/>
    <n v="660"/>
    <n v="0"/>
    <n v="2"/>
    <n v="2.5"/>
    <n v="3"/>
    <n v="3"/>
    <n v="1980"/>
    <n v="198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17:H26" firstHeaderRow="1" firstDataRow="2" firstDataCol="1" rowPageCount="1" colPageCount="1"/>
  <pivotFields count="15">
    <pivotField showAll="0"/>
    <pivotField axis="axisCol" showAll="0">
      <items count="6">
        <item x="3"/>
        <item x="1"/>
        <item x="2"/>
        <item x="4"/>
        <item x="0"/>
        <item t="default"/>
      </items>
    </pivotField>
    <pivotField numFmtId="14" showAll="0"/>
    <pivotField axis="axisRow" showAll="0">
      <items count="8">
        <item x="4"/>
        <item x="5"/>
        <item x="2"/>
        <item x="3"/>
        <item x="0"/>
        <item x="1"/>
        <item x="6"/>
        <item t="default"/>
      </items>
    </pivotField>
    <pivotField showAll="0"/>
    <pivotField showAll="0"/>
    <pivotField dataField="1" showAll="0"/>
    <pivotField showAll="0"/>
    <pivotField showAll="0"/>
    <pivotField numFmtId="165" showAll="0"/>
    <pivotField numFmtId="165" showAll="0"/>
    <pivotField numFmtId="165" showAll="0"/>
    <pivotField numFmtId="165" showAll="0"/>
    <pivotField numFmtId="165" showAll="0"/>
    <pivotField axis="axisPage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14" hier="-1"/>
  </pageFields>
  <dataFields count="1">
    <dataField name="Somme de Nbre de Bouteilles réelles" fld="6" baseField="0" baseItem="0"/>
  </dataFields>
  <pivotTableStyleInfo name="PivotStyleDark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4:G13" firstHeaderRow="1" firstDataRow="2" firstDataCol="1" rowPageCount="1" colPageCount="1"/>
  <pivotFields count="15">
    <pivotField showAll="0"/>
    <pivotField axis="axisCol" showAll="0">
      <items count="6">
        <item x="3"/>
        <item x="1"/>
        <item x="2"/>
        <item x="0"/>
        <item x="4"/>
        <item t="default"/>
      </items>
    </pivotField>
    <pivotField showAll="0"/>
    <pivotField axis="axisPage" multipleItemSelectionAllowed="1" showAll="0">
      <items count="8">
        <item x="4"/>
        <item x="5"/>
        <item x="2"/>
        <item x="3"/>
        <item x="0"/>
        <item x="1"/>
        <item x="6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1">
    <field x="14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3" hier="-1"/>
  </pageFields>
  <dataFields count="1">
    <dataField name="Bouteilles réelles" fld="6" baseField="3" baseItem="0"/>
  </dataFields>
  <pivotTableStyleInfo name="PivotStyleDark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2:K3" totalsRowShown="0" headerRowDxfId="81" tableBorderDxfId="80">
  <autoFilter ref="A2:K3"/>
  <tableColumns count="11">
    <tableColumn id="1" name="N°" dataDxfId="79"/>
    <tableColumn id="2" name="Désignation" dataDxfId="78"/>
    <tableColumn id="3" name="Date" dataDxfId="77"/>
    <tableColumn id="4" name="Nom" dataDxfId="76"/>
    <tableColumn id="5" name="Quantité" dataDxfId="75"/>
    <tableColumn id="6" name="TVA" dataDxfId="74">
      <calculatedColumnFormula>IF(B3="","",VLOOKUP(B3,Stock!A:B,2,0))</calculatedColumnFormula>
    </tableColumn>
    <tableColumn id="7" name="Prix U Ht" dataDxfId="73">
      <calculatedColumnFormula>IF(B3="","",VLOOKUP(B3,Stock!A:C,3,0))</calculatedColumnFormula>
    </tableColumn>
    <tableColumn id="8" name="Prix U TTC" dataDxfId="72" dataCellStyle="Pourcentage">
      <calculatedColumnFormula>IF(B3="","",VLOOKUP(F3,Listes!A:B,2,0)*G3+G3)</calculatedColumnFormula>
    </tableColumn>
    <tableColumn id="9" name="Prix Ventes" dataDxfId="71">
      <calculatedColumnFormula>IF(B3="","",VLOOKUP(B3,Stock!A:D,4,0))</calculatedColumnFormula>
    </tableColumn>
    <tableColumn id="10" name="Total TTC" dataDxfId="70">
      <calculatedColumnFormula>IF(B3="","",SUM(H3*E3))</calculatedColumnFormula>
    </tableColumn>
    <tableColumn id="11" name="Total des Ventes" dataDxfId="69">
      <calculatedColumnFormula>IF(B3="","",SUM(I3*E3))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K3" totalsRowShown="0" headerRowDxfId="68" tableBorderDxfId="67">
  <autoFilter ref="A2:K3"/>
  <tableColumns count="11">
    <tableColumn id="1" name="N°" dataDxfId="66"/>
    <tableColumn id="2" name="Désignation" dataDxfId="65"/>
    <tableColumn id="3" name="Date" dataDxfId="64"/>
    <tableColumn id="4" name="Nom" dataDxfId="63"/>
    <tableColumn id="5" name="Quantité" dataDxfId="62"/>
    <tableColumn id="6" name="TVA" dataDxfId="61">
      <calculatedColumnFormula>IF(B3="","",VLOOKUP(B3,Stock!A:B,2,0))</calculatedColumnFormula>
    </tableColumn>
    <tableColumn id="7" name="Prix U Ht" dataDxfId="60">
      <calculatedColumnFormula>IF(B3="","",VLOOKUP(B3,Stock!A:C,3,0))</calculatedColumnFormula>
    </tableColumn>
    <tableColumn id="8" name="Prix U TTC" dataDxfId="59" dataCellStyle="Pourcentage">
      <calculatedColumnFormula>IF(B3="","",VLOOKUP(F3,Listes!A:B,2,0)*G3+G3)</calculatedColumnFormula>
    </tableColumn>
    <tableColumn id="9" name="Prix Ventes" dataDxfId="58">
      <calculatedColumnFormula>IF(B3="","",VLOOKUP(B3,Stock!A:D,4,0))</calculatedColumnFormula>
    </tableColumn>
    <tableColumn id="10" name="Total TTC" dataDxfId="57">
      <calculatedColumnFormula>IF(B3="","",SUM(H3*E3))</calculatedColumnFormula>
    </tableColumn>
    <tableColumn id="11" name="Total des Ventes" dataDxfId="56">
      <calculatedColumnFormula>IF(B3="","",SUM(I3*E3))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:N3" totalsRowShown="0" headerRowDxfId="55" tableBorderDxfId="54">
  <autoFilter ref="A2:N3"/>
  <tableColumns count="14">
    <tableColumn id="1" name="N°" dataDxfId="53"/>
    <tableColumn id="2" name="Désignation" dataDxfId="52"/>
    <tableColumn id="3" name="Date" dataDxfId="51"/>
    <tableColumn id="4" name="Equipe n°" dataDxfId="50"/>
    <tableColumn id="5" name="Nbre de Cubi" dataDxfId="49"/>
    <tableColumn id="6" name="Nbre de Bouteilles Théorique" dataDxfId="48">
      <calculatedColumnFormula>IF(B3="","",VLOOKUP(B3,Cubi!A:B,2,0)*E3/VLOOKUP(B3,Cubi!A:C,3,0))</calculatedColumnFormula>
    </tableColumn>
    <tableColumn id="7" name="Nbre de Bouteilles réelles" dataDxfId="47"/>
    <tableColumn id="8" name="Différence" dataDxfId="46">
      <calculatedColumnFormula>IF(B3="","",SUM(G3-(F3)))</calculatedColumnFormula>
    </tableColumn>
    <tableColumn id="9" name="TVA" dataDxfId="45">
      <calculatedColumnFormula>IF(B3="","",VLOOKUP(B3,Stock!A:B,2,0))</calculatedColumnFormula>
    </tableColumn>
    <tableColumn id="10" name="Prix U Ht" dataDxfId="44">
      <calculatedColumnFormula>IF(B3="","",VLOOKUP(B3,Stock!A:C,3,0))</calculatedColumnFormula>
    </tableColumn>
    <tableColumn id="11" name="Prix U TTC" dataDxfId="43" dataCellStyle="Pourcentage">
      <calculatedColumnFormula>IF(B3="","",VLOOKUP(I3,Listes!A:B,2,0)*J3+J3)</calculatedColumnFormula>
    </tableColumn>
    <tableColumn id="12" name="Prix Ventes" dataDxfId="42">
      <calculatedColumnFormula>IF(B3="","",VLOOKUP(B3,Stock!A:D,4,0))</calculatedColumnFormula>
    </tableColumn>
    <tableColumn id="13" name="Total TTC" dataDxfId="41">
      <calculatedColumnFormula>IF(B3="","",SUM(G3*K3))</calculatedColumnFormula>
    </tableColumn>
    <tableColumn id="14" name="Total des Ventes" dataDxfId="40">
      <calculatedColumnFormula>IF(B3="","",SUM(G3*L3))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2:K8" totalsRowShown="0" headerRowDxfId="39" headerRowBorderDxfId="38" tableBorderDxfId="37">
  <autoFilter ref="A2:K8"/>
  <tableColumns count="11">
    <tableColumn id="1" name="N°"/>
    <tableColumn id="2" name="Désignation"/>
    <tableColumn id="3" name="Date" dataDxfId="36"/>
    <tableColumn id="4" name="Nom"/>
    <tableColumn id="5" name="Quantité" dataDxfId="35"/>
    <tableColumn id="6" name="TVA" dataDxfId="34"/>
    <tableColumn id="7" name="Prix U Ht" dataDxfId="33"/>
    <tableColumn id="8" name="Prix U TTC" dataDxfId="32"/>
    <tableColumn id="9" name="Prix Ventes" dataDxfId="31"/>
    <tableColumn id="10" name="Total TTC" dataDxfId="30"/>
    <tableColumn id="11" name="Total des Ventes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2:K11" totalsRowShown="0" headerRowDxfId="28" headerRowBorderDxfId="27" tableBorderDxfId="26">
  <autoFilter ref="A2:K11"/>
  <tableColumns count="11">
    <tableColumn id="1" name="N°"/>
    <tableColumn id="2" name="Désignation"/>
    <tableColumn id="3" name="Date" dataDxfId="25"/>
    <tableColumn id="4" name="Nom"/>
    <tableColumn id="5" name="Quantité"/>
    <tableColumn id="6" name="TVA" dataDxfId="24"/>
    <tableColumn id="7" name="Prix U Ht" dataDxfId="23"/>
    <tableColumn id="8" name="Prix U TTC" dataDxfId="22"/>
    <tableColumn id="9" name="Prix Ventes" dataDxfId="21"/>
    <tableColumn id="10" name="Total TTC" dataDxfId="20"/>
    <tableColumn id="11" name="Total des Ventes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2:O92" totalsRowShown="0" headerRowDxfId="18" headerRowBorderDxfId="17" tableBorderDxfId="16">
  <autoFilter ref="A2:O92"/>
  <tableColumns count="15">
    <tableColumn id="1" name="N°"/>
    <tableColumn id="2" name="Désignation"/>
    <tableColumn id="3" name="Date" dataDxfId="15"/>
    <tableColumn id="4" name="Equipe n°"/>
    <tableColumn id="5" name="Nbre de Cubi"/>
    <tableColumn id="6" name="Nbre de Bouteilles Théorique"/>
    <tableColumn id="7" name="Nbre de Bouteilles réelles"/>
    <tableColumn id="8" name="Différence"/>
    <tableColumn id="9" name="TVA"/>
    <tableColumn id="10" name="Prix U Ht" dataDxfId="14"/>
    <tableColumn id="11" name="Prix U TTC" dataDxfId="13" dataCellStyle="Pourcentage"/>
    <tableColumn id="12" name="Prix Ventes" dataDxfId="12"/>
    <tableColumn id="13" name="Total TTC" dataDxfId="11"/>
    <tableColumn id="14" name="Total des Ventes" dataDxfId="10"/>
    <tableColumn id="15" name="Années" dataDxfId="9">
      <calculatedColumnFormula>YEAR(Tableau5[[#This Row],[Date]])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1:F11" totalsRowShown="0" headerRowDxfId="8" tableBorderDxfId="7">
  <autoFilter ref="A1:F11"/>
  <tableColumns count="6">
    <tableColumn id="1" name="Identifiant" dataDxfId="6">
      <calculatedColumnFormula>CONCATENATE(B2," ",C2)</calculatedColumnFormula>
    </tableColumn>
    <tableColumn id="2" name="Nom" dataDxfId="5"/>
    <tableColumn id="3" name="Prénom" dataDxfId="4"/>
    <tableColumn id="4" name="Nbre Entree" dataDxfId="3">
      <calculatedColumnFormula>COUNTIF('Historique Entrees'!D:D,A2)</calculatedColumnFormula>
    </tableColumn>
    <tableColumn id="5" name="Nbr Sorties" dataDxfId="2">
      <calculatedColumnFormula>COUNTIF('Historique Sorties'!D:D,identifiant)</calculatedColumnFormula>
    </tableColumn>
    <tableColumn id="6" name="Nbre de Mise en bouteilles" dataDxfId="1">
      <calculatedColumnFormula>COUNTIF('Historique Mise en Bouteilles'!D:D,identifiant)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7"/>
  <sheetViews>
    <sheetView tabSelected="1" workbookViewId="0">
      <pane ySplit="8" topLeftCell="A9" activePane="bottomLeft" state="frozenSplit"/>
      <selection pane="bottomLeft" activeCell="J15" sqref="J15"/>
    </sheetView>
  </sheetViews>
  <sheetFormatPr baseColWidth="10" defaultColWidth="11.453125" defaultRowHeight="14.5" x14ac:dyDescent="0.35"/>
  <cols>
    <col min="1" max="1" width="11.453125" style="19"/>
    <col min="2" max="2" width="22.81640625" style="19" customWidth="1"/>
    <col min="3" max="3" width="9.6328125" style="19" customWidth="1"/>
    <col min="4" max="4" width="10.26953125" style="19" customWidth="1"/>
    <col min="5" max="5" width="9.1796875" style="19" customWidth="1"/>
    <col min="6" max="6" width="10.81640625" style="19" customWidth="1"/>
    <col min="7" max="7" width="11.08984375" style="19" customWidth="1"/>
    <col min="8" max="8" width="9.7265625" style="19" customWidth="1"/>
    <col min="9" max="9" width="8.81640625" style="19" customWidth="1"/>
    <col min="10" max="12" width="9.81640625" style="19" customWidth="1"/>
    <col min="13" max="13" width="10.54296875" style="19" customWidth="1"/>
    <col min="14" max="14" width="9.453125" style="19" customWidth="1"/>
    <col min="15" max="15" width="8.26953125" style="19" customWidth="1"/>
    <col min="16" max="16" width="7.81640625" style="19" customWidth="1"/>
    <col min="17" max="17" width="8.453125" style="19" customWidth="1"/>
    <col min="18" max="18" width="8.7265625" style="19" customWidth="1"/>
    <col min="19" max="19" width="10.7265625" style="19" customWidth="1"/>
    <col min="20" max="20" width="8.453125" style="19" customWidth="1"/>
    <col min="21" max="21" width="7.1796875" style="19" customWidth="1"/>
    <col min="22" max="16384" width="11.453125" style="19"/>
  </cols>
  <sheetData>
    <row r="1" spans="1:12" ht="18.649999999999999" customHeight="1" x14ac:dyDescent="0.35">
      <c r="B1" s="28"/>
      <c r="C1" s="29">
        <f>COUNTIF(Noms!A:A,CONCATENATE(B2," ",B3))</f>
        <v>0</v>
      </c>
    </row>
    <row r="2" spans="1:12" x14ac:dyDescent="0.35">
      <c r="A2" s="20" t="s">
        <v>5</v>
      </c>
      <c r="B2" s="67"/>
      <c r="C2" s="29">
        <f>COUNTIF(Noms!B:B,B2)</f>
        <v>0</v>
      </c>
    </row>
    <row r="3" spans="1:12" ht="15" thickBot="1" x14ac:dyDescent="0.4">
      <c r="A3" s="21" t="s">
        <v>31</v>
      </c>
      <c r="B3" s="68"/>
      <c r="C3" s="29">
        <f>COUNTIF(Noms!C:C,B3)</f>
        <v>0</v>
      </c>
    </row>
    <row r="4" spans="1:12" x14ac:dyDescent="0.35">
      <c r="C4" s="30"/>
    </row>
    <row r="5" spans="1:12" s="70" customFormat="1" ht="38.5" customHeight="1" x14ac:dyDescent="0.35">
      <c r="A5" s="71"/>
      <c r="B5" s="73" t="s">
        <v>40</v>
      </c>
      <c r="C5" s="41" t="s">
        <v>41</v>
      </c>
      <c r="D5" s="41" t="s">
        <v>42</v>
      </c>
      <c r="E5" s="41" t="s">
        <v>43</v>
      </c>
      <c r="F5" s="41" t="s">
        <v>87</v>
      </c>
      <c r="G5" s="41" t="s">
        <v>92</v>
      </c>
      <c r="H5" s="41" t="s">
        <v>91</v>
      </c>
      <c r="I5" s="41" t="s">
        <v>47</v>
      </c>
      <c r="J5" s="41" t="s">
        <v>5</v>
      </c>
      <c r="K5" s="72" t="s">
        <v>48</v>
      </c>
      <c r="L5" s="69"/>
    </row>
    <row r="6" spans="1:12" x14ac:dyDescent="0.35">
      <c r="A6" s="22"/>
      <c r="B6" s="22"/>
    </row>
    <row r="7" spans="1:12" x14ac:dyDescent="0.35">
      <c r="B7" s="91" t="s">
        <v>100</v>
      </c>
      <c r="C7" s="92"/>
      <c r="D7" s="92"/>
      <c r="E7" s="92"/>
      <c r="F7" s="92"/>
      <c r="G7" s="93"/>
    </row>
    <row r="8" spans="1:12" s="83" customFormat="1" ht="40" customHeight="1" x14ac:dyDescent="0.35">
      <c r="B8" s="89" t="s">
        <v>89</v>
      </c>
      <c r="C8" s="89" t="s">
        <v>64</v>
      </c>
      <c r="D8" s="89" t="s">
        <v>66</v>
      </c>
      <c r="F8" s="89" t="s">
        <v>90</v>
      </c>
      <c r="G8" s="90" t="s">
        <v>65</v>
      </c>
    </row>
    <row r="9" spans="1:12" x14ac:dyDescent="0.35">
      <c r="B9" s="86" t="s">
        <v>12</v>
      </c>
      <c r="C9" s="87">
        <f>SUMPRODUCT((Tableau7[Désignation]=B9)*Tableau7[Quantité])+SUMPRODUCT((Tableau3[Désignation]=B9)*Tableau3[Quantité])</f>
        <v>124</v>
      </c>
      <c r="D9" s="87">
        <f>SUMPRODUCT((Tableau6[Désignation]=B9)*Tableau6[Quantité])+SUMPRODUCT((Tableau2[Désignation]=B9)*Tableau2[Quantité])</f>
        <v>224</v>
      </c>
      <c r="F9" s="86" t="s">
        <v>11</v>
      </c>
      <c r="G9" s="88">
        <f>SUMPRODUCT((Tableau5[Désignation]=F9)*Tableau5[Nbre de Bouteilles réelles])+SUMPRODUCT((Tableau4[Désignation]=F9)*Tableau4[Nbre de Bouteilles réelles])</f>
        <v>2650</v>
      </c>
    </row>
    <row r="10" spans="1:12" x14ac:dyDescent="0.35">
      <c r="B10" s="86" t="s">
        <v>11</v>
      </c>
      <c r="C10" s="87">
        <f>SUMPRODUCT((Tableau7[Désignation]=B10)*Tableau7[Quantité])+SUMPRODUCT((Tableau3[Désignation]=B10)*Tableau3[Quantité])</f>
        <v>5</v>
      </c>
      <c r="D10" s="87">
        <f>SUMPRODUCT((Tableau6[Désignation]=B10)*Tableau6[Quantité])+SUMPRODUCT((Tableau2[Désignation]=B10)*Tableau2[Quantité])</f>
        <v>2</v>
      </c>
      <c r="F10" s="86" t="s">
        <v>69</v>
      </c>
      <c r="G10" s="88">
        <f>SUMPRODUCT((Tableau5[Désignation]=F10)*Tableau5[Nbre de Bouteilles réelles])+SUMPRODUCT((Tableau4[Désignation]=F10)*Tableau4[Nbre de Bouteilles réelles])</f>
        <v>4246</v>
      </c>
    </row>
    <row r="11" spans="1:12" x14ac:dyDescent="0.35">
      <c r="B11" s="86" t="s">
        <v>20</v>
      </c>
      <c r="C11" s="87">
        <f>SUMPRODUCT((Tableau7[Désignation]=B11)*Tableau7[Quantité])+SUMPRODUCT((Tableau3[Désignation]=B11)*Tableau3[Quantité])</f>
        <v>0</v>
      </c>
      <c r="D11" s="87">
        <f>SUMPRODUCT((Tableau6[Désignation]=B11)*Tableau6[Quantité])+SUMPRODUCT((Tableau2[Désignation]=B11)*Tableau2[Quantité])</f>
        <v>0</v>
      </c>
      <c r="F11" s="86" t="s">
        <v>10</v>
      </c>
      <c r="G11" s="88">
        <f>SUMPRODUCT((Tableau5[Désignation]=F11)*Tableau5[Nbre de Bouteilles réelles])+SUMPRODUCT((Tableau4[Désignation]=F11)*Tableau4[Nbre de Bouteilles réelles])</f>
        <v>7666</v>
      </c>
    </row>
    <row r="12" spans="1:12" ht="29" x14ac:dyDescent="0.35">
      <c r="B12" s="86" t="s">
        <v>22</v>
      </c>
      <c r="C12" s="87">
        <f>SUMPRODUCT((Tableau7[Désignation]=B12)*Tableau7[Quantité])+SUMPRODUCT((Tableau3[Désignation]=B12)*Tableau3[Quantité])</f>
        <v>0</v>
      </c>
      <c r="D12" s="87">
        <f>SUMPRODUCT((Tableau6[Désignation]=B12)*Tableau6[Quantité])+SUMPRODUCT((Tableau2[Désignation]=B12)*Tableau2[Quantité])</f>
        <v>0</v>
      </c>
      <c r="F12" s="86" t="s">
        <v>70</v>
      </c>
      <c r="G12" s="88">
        <f>SUMPRODUCT((Tableau5[Désignation]=F12)*Tableau5[Nbre de Bouteilles réelles])+SUMPRODUCT((Tableau4[Désignation]=F12)*Tableau4[Nbre de Bouteilles réelles])</f>
        <v>660</v>
      </c>
    </row>
    <row r="13" spans="1:12" ht="29" x14ac:dyDescent="0.35">
      <c r="B13" s="86" t="s">
        <v>15</v>
      </c>
      <c r="C13" s="87">
        <f>SUMPRODUCT((Tableau7[Désignation]=B13)*Tableau7[Quantité])+SUMPRODUCT((Tableau3[Désignation]=B13)*Tableau3[Quantité])</f>
        <v>50</v>
      </c>
      <c r="D13" s="87">
        <f>SUMPRODUCT((Tableau6[Désignation]=B13)*Tableau6[Quantité])+SUMPRODUCT((Tableau2[Désignation]=B13)*Tableau2[Quantité])</f>
        <v>0</v>
      </c>
      <c r="F13" s="86" t="s">
        <v>98</v>
      </c>
      <c r="G13" s="88">
        <f>SUMPRODUCT((Tableau5[Désignation]=F13)*Tableau5[Nbre de Bouteilles réelles])+SUMPRODUCT((Tableau4[Désignation]=F13)*Tableau4[Nbre de Bouteilles réelles])</f>
        <v>10291</v>
      </c>
    </row>
    <row r="14" spans="1:12" x14ac:dyDescent="0.35">
      <c r="B14" s="86" t="s">
        <v>21</v>
      </c>
      <c r="C14" s="87">
        <f>SUMPRODUCT((Tableau7[Désignation]=B14)*Tableau7[Quantité])+SUMPRODUCT((Tableau3[Désignation]=B14)*Tableau3[Quantité])</f>
        <v>0</v>
      </c>
      <c r="D14" s="87">
        <f>SUMPRODUCT((Tableau6[Désignation]=B14)*Tableau6[Quantité])+SUMPRODUCT((Tableau2[Désignation]=B14)*Tableau2[Quantité])</f>
        <v>24</v>
      </c>
    </row>
    <row r="15" spans="1:12" x14ac:dyDescent="0.35">
      <c r="B15" s="86" t="s">
        <v>16</v>
      </c>
      <c r="C15" s="87">
        <f>SUMPRODUCT((Tableau7[Désignation]=B15)*Tableau7[Quantité])+SUMPRODUCT((Tableau3[Désignation]=B15)*Tableau3[Quantité])</f>
        <v>0</v>
      </c>
      <c r="D15" s="87">
        <f>SUMPRODUCT((Tableau6[Désignation]=B15)*Tableau6[Quantité])+SUMPRODUCT((Tableau2[Désignation]=B15)*Tableau2[Quantité])</f>
        <v>0</v>
      </c>
    </row>
    <row r="16" spans="1:12" x14ac:dyDescent="0.35">
      <c r="B16" s="86" t="s">
        <v>18</v>
      </c>
      <c r="C16" s="87">
        <f>SUMPRODUCT((Tableau7[Désignation]=B16)*Tableau7[Quantité])+SUMPRODUCT((Tableau3[Désignation]=B16)*Tableau3[Quantité])</f>
        <v>6</v>
      </c>
      <c r="D16" s="87">
        <f>SUMPRODUCT((Tableau6[Désignation]=B16)*Tableau6[Quantité])+SUMPRODUCT((Tableau2[Désignation]=B16)*Tableau2[Quantité])</f>
        <v>0</v>
      </c>
    </row>
    <row r="17" spans="2:4" x14ac:dyDescent="0.35">
      <c r="B17" s="86" t="s">
        <v>95</v>
      </c>
      <c r="C17" s="87">
        <f>SUMPRODUCT((Tableau7[Désignation]=B17)*Tableau7[Quantité])+SUMPRODUCT((Tableau3[Désignation]=B17)*Tableau3[Quantité])</f>
        <v>0</v>
      </c>
      <c r="D17" s="87">
        <f>SUMPRODUCT((Tableau6[Désignation]=B17)*Tableau6[Quantité])+SUMPRODUCT((Tableau2[Désignation]=B17)*Tableau2[Quantité])</f>
        <v>0</v>
      </c>
    </row>
    <row r="18" spans="2:4" x14ac:dyDescent="0.35">
      <c r="B18" s="86" t="s">
        <v>96</v>
      </c>
      <c r="C18" s="87">
        <f>SUMPRODUCT((Tableau7[Désignation]=B18)*Tableau7[Quantité])+SUMPRODUCT((Tableau3[Désignation]=B18)*Tableau3[Quantité])</f>
        <v>0</v>
      </c>
      <c r="D18" s="87">
        <f>SUMPRODUCT((Tableau6[Désignation]=B18)*Tableau6[Quantité])+SUMPRODUCT((Tableau2[Désignation]=B18)*Tableau2[Quantité])</f>
        <v>0</v>
      </c>
    </row>
    <row r="19" spans="2:4" x14ac:dyDescent="0.35">
      <c r="B19" s="86" t="s">
        <v>23</v>
      </c>
      <c r="C19" s="87">
        <f>SUMPRODUCT((Tableau7[Désignation]=B19)*Tableau7[Quantité])+SUMPRODUCT((Tableau3[Désignation]=B19)*Tableau3[Quantité])</f>
        <v>0</v>
      </c>
      <c r="D19" s="87">
        <f>SUMPRODUCT((Tableau6[Désignation]=B19)*Tableau6[Quantité])+SUMPRODUCT((Tableau2[Désignation]=B19)*Tableau2[Quantité])</f>
        <v>0</v>
      </c>
    </row>
    <row r="20" spans="2:4" x14ac:dyDescent="0.35">
      <c r="B20" s="86" t="s">
        <v>19</v>
      </c>
      <c r="C20" s="87">
        <f>SUMPRODUCT((Tableau7[Désignation]=B20)*Tableau7[Quantité])+SUMPRODUCT((Tableau3[Désignation]=B20)*Tableau3[Quantité])</f>
        <v>0</v>
      </c>
      <c r="D20" s="87">
        <f>SUMPRODUCT((Tableau6[Désignation]=B20)*Tableau6[Quantité])+SUMPRODUCT((Tableau2[Désignation]=B20)*Tableau2[Quantité])</f>
        <v>0</v>
      </c>
    </row>
    <row r="21" spans="2:4" x14ac:dyDescent="0.35">
      <c r="B21" s="86" t="s">
        <v>13</v>
      </c>
      <c r="C21" s="87">
        <f>SUMPRODUCT((Tableau7[Désignation]=B21)*Tableau7[Quantité])+SUMPRODUCT((Tableau3[Désignation]=B21)*Tableau3[Quantité])</f>
        <v>0</v>
      </c>
      <c r="D21" s="87">
        <f>SUMPRODUCT((Tableau6[Désignation]=B21)*Tableau6[Quantité])+SUMPRODUCT((Tableau2[Désignation]=B21)*Tableau2[Quantité])</f>
        <v>0</v>
      </c>
    </row>
    <row r="22" spans="2:4" x14ac:dyDescent="0.35">
      <c r="B22" s="86" t="s">
        <v>17</v>
      </c>
      <c r="C22" s="87">
        <f>SUMPRODUCT((Tableau7[Désignation]=B22)*Tableau7[Quantité])+SUMPRODUCT((Tableau3[Désignation]=B22)*Tableau3[Quantité])</f>
        <v>0</v>
      </c>
      <c r="D22" s="87">
        <f>SUMPRODUCT((Tableau6[Désignation]=B22)*Tableau6[Quantité])+SUMPRODUCT((Tableau2[Désignation]=B22)*Tableau2[Quantité])</f>
        <v>0</v>
      </c>
    </row>
    <row r="23" spans="2:4" x14ac:dyDescent="0.35">
      <c r="B23" s="86" t="s">
        <v>10</v>
      </c>
      <c r="C23" s="87">
        <f>SUMPRODUCT((Tableau7[Désignation]=B23)*Tableau7[Quantité])+SUMPRODUCT((Tableau3[Désignation]=B23)*Tableau3[Quantité])</f>
        <v>50</v>
      </c>
      <c r="D23" s="87">
        <f>SUMPRODUCT((Tableau6[Désignation]=B23)*Tableau6[Quantité])+SUMPRODUCT((Tableau2[Désignation]=B23)*Tableau2[Quantité])</f>
        <v>0</v>
      </c>
    </row>
    <row r="24" spans="2:4" x14ac:dyDescent="0.35">
      <c r="B24" s="86" t="s">
        <v>9</v>
      </c>
      <c r="C24" s="87">
        <f>SUMPRODUCT((Tableau7[Désignation]=B24)*Tableau7[Quantité])+SUMPRODUCT((Tableau3[Désignation]=B24)*Tableau3[Quantité])</f>
        <v>45</v>
      </c>
      <c r="D24" s="87">
        <f>SUMPRODUCT((Tableau6[Désignation]=B24)*Tableau6[Quantité])+SUMPRODUCT((Tableau2[Désignation]=B24)*Tableau2[Quantité])</f>
        <v>0</v>
      </c>
    </row>
    <row r="25" spans="2:4" x14ac:dyDescent="0.35">
      <c r="B25" s="86" t="s">
        <v>14</v>
      </c>
      <c r="C25" s="87">
        <f>SUMPRODUCT((Tableau7[Désignation]=B25)*Tableau7[Quantité])+SUMPRODUCT((Tableau3[Désignation]=B25)*Tableau3[Quantité])</f>
        <v>0</v>
      </c>
      <c r="D25" s="87">
        <f>SUMPRODUCT((Tableau6[Désignation]=B25)*Tableau6[Quantité])+SUMPRODUCT((Tableau2[Désignation]=B25)*Tableau2[Quantité])</f>
        <v>0</v>
      </c>
    </row>
    <row r="26" spans="2:4" x14ac:dyDescent="0.35">
      <c r="B26" s="86" t="s">
        <v>70</v>
      </c>
      <c r="C26" s="87">
        <f>SUMPRODUCT((Tableau7[Désignation]=B26)*Tableau7[Quantité])+SUMPRODUCT((Tableau3[Désignation]=B26)*Tableau3[Quantité])</f>
        <v>0</v>
      </c>
      <c r="D26" s="87">
        <f>SUMPRODUCT((Tableau6[Désignation]=B26)*Tableau6[Quantité])+SUMPRODUCT((Tableau2[Désignation]=B26)*Tableau2[Quantité])</f>
        <v>0</v>
      </c>
    </row>
    <row r="27" spans="2:4" x14ac:dyDescent="0.35">
      <c r="B27" s="86" t="s">
        <v>24</v>
      </c>
      <c r="C27" s="87">
        <f>SUMPRODUCT((Tableau7[Désignation]=B27)*Tableau7[Quantité])+SUMPRODUCT((Tableau3[Désignation]=B27)*Tableau3[Quantité])</f>
        <v>0</v>
      </c>
      <c r="D27" s="87">
        <f>SUMPRODUCT((Tableau6[Désignation]=B27)*Tableau6[Quantité])+SUMPRODUCT((Tableau2[Désignation]=B27)*Tableau2[Quantité])</f>
        <v>0</v>
      </c>
    </row>
  </sheetData>
  <mergeCells count="1">
    <mergeCell ref="B7:G7"/>
  </mergeCells>
  <hyperlinks>
    <hyperlink ref="C5" location="Entrees!A1" display="Entrées"/>
    <hyperlink ref="D5" location="Sorties!A1" display="Sorties"/>
    <hyperlink ref="E5" location="'Mise en Bouteilles'!A1" display="Mise en Bouteilles"/>
    <hyperlink ref="F5" location="'Historique Entrees'!A1" display="Historique Entrées"/>
    <hyperlink ref="G5" location="'Historique Sorties'!A1" display="Historique Sorties"/>
    <hyperlink ref="H5" location="'Historique Mise en Bouteilles'!A1" display="Historique Mise en bouteilles"/>
    <hyperlink ref="I5" location="Listes!A1" display="Listes"/>
    <hyperlink ref="J5" location="Noms!A1" display="Nom"/>
    <hyperlink ref="K5" location="Stock!A1" display="Stock"/>
  </hyperlink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r:id="rId5">
            <anchor moveWithCells="1">
              <from>
                <xdr:col>4</xdr:col>
                <xdr:colOff>393700</xdr:colOff>
                <xdr:row>1</xdr:row>
                <xdr:rowOff>76200</xdr:rowOff>
              </from>
              <to>
                <xdr:col>6</xdr:col>
                <xdr:colOff>501650</xdr:colOff>
                <xdr:row>3</xdr:row>
                <xdr:rowOff>95250</xdr:rowOff>
              </to>
            </anchor>
          </controlPr>
        </control>
      </mc:Choice>
      <mc:Fallback>
        <control shapeId="7172" r:id="rId4" name="CommandButton1"/>
      </mc:Fallback>
    </mc:AlternateContent>
    <mc:AlternateContent xmlns:mc="http://schemas.openxmlformats.org/markup-compatibility/2006">
      <mc:Choice Requires="x14">
        <control shapeId="7169" r:id="rId6" name="Button 1">
          <controlPr defaultSize="0" print="0" autoFill="0" autoPict="0" macro="[0]!NouveauNom">
            <anchor moveWithCells="1" sizeWithCells="1">
              <from>
                <xdr:col>0</xdr:col>
                <xdr:colOff>19050</xdr:colOff>
                <xdr:row>0</xdr:row>
                <xdr:rowOff>0</xdr:rowOff>
              </from>
              <to>
                <xdr:col>2</xdr:col>
                <xdr:colOff>19050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"/>
  <sheetViews>
    <sheetView zoomScaleNormal="100" workbookViewId="0">
      <pane ySplit="2" topLeftCell="A3" activePane="bottomLeft" state="frozenSplit"/>
      <selection pane="bottomLeft" activeCell="A4" sqref="A4:XFD4"/>
    </sheetView>
  </sheetViews>
  <sheetFormatPr baseColWidth="10" defaultRowHeight="14.5" x14ac:dyDescent="0.35"/>
  <cols>
    <col min="1" max="1" width="7.54296875" customWidth="1"/>
    <col min="2" max="2" width="12.7265625" customWidth="1"/>
    <col min="3" max="3" width="13.7265625" style="8" customWidth="1"/>
    <col min="4" max="4" width="18.81640625" customWidth="1"/>
    <col min="5" max="5" width="10.26953125" style="12" customWidth="1"/>
    <col min="6" max="6" width="9.54296875" bestFit="1" customWidth="1"/>
    <col min="7" max="7" width="10.1796875" style="11" customWidth="1"/>
    <col min="8" max="8" width="11.453125" style="10" customWidth="1"/>
    <col min="9" max="9" width="12.26953125" style="7" customWidth="1"/>
    <col min="10" max="10" width="11.453125" style="7"/>
    <col min="11" max="11" width="16.7265625" style="7" customWidth="1"/>
    <col min="13" max="13" width="14.453125" customWidth="1"/>
  </cols>
  <sheetData>
    <row r="1" spans="1:11" s="44" customFormat="1" ht="39" customHeight="1" x14ac:dyDescent="0.35">
      <c r="B1" s="45" t="s">
        <v>93</v>
      </c>
      <c r="C1" s="41" t="s">
        <v>68</v>
      </c>
      <c r="D1" s="41" t="s">
        <v>42</v>
      </c>
      <c r="E1" s="41" t="s">
        <v>43</v>
      </c>
      <c r="F1" s="41" t="s">
        <v>87</v>
      </c>
      <c r="G1" s="41" t="s">
        <v>92</v>
      </c>
      <c r="H1" s="41" t="s">
        <v>91</v>
      </c>
      <c r="I1" s="41" t="s">
        <v>47</v>
      </c>
      <c r="J1" s="41" t="s">
        <v>5</v>
      </c>
      <c r="K1" s="41" t="s">
        <v>48</v>
      </c>
    </row>
    <row r="2" spans="1:11" ht="47.25" customHeight="1" x14ac:dyDescent="0.35">
      <c r="A2" s="51" t="s">
        <v>6</v>
      </c>
      <c r="B2" s="52" t="s">
        <v>7</v>
      </c>
      <c r="C2" s="53" t="s">
        <v>4</v>
      </c>
      <c r="D2" s="52" t="s">
        <v>5</v>
      </c>
      <c r="E2" s="54" t="s">
        <v>0</v>
      </c>
      <c r="F2" s="52" t="s">
        <v>2</v>
      </c>
      <c r="G2" s="55" t="s">
        <v>37</v>
      </c>
      <c r="H2" s="56" t="s">
        <v>38</v>
      </c>
      <c r="I2" s="57" t="s">
        <v>29</v>
      </c>
      <c r="J2" s="58" t="s">
        <v>3</v>
      </c>
      <c r="K2" s="57" t="s">
        <v>30</v>
      </c>
    </row>
    <row r="3" spans="1:11" ht="0.25" customHeight="1" x14ac:dyDescent="0.35">
      <c r="A3" s="37">
        <v>0</v>
      </c>
      <c r="B3" s="59" t="s">
        <v>12</v>
      </c>
      <c r="C3" s="59">
        <v>42370</v>
      </c>
      <c r="D3" s="17" t="s">
        <v>83</v>
      </c>
      <c r="E3" s="60">
        <v>0</v>
      </c>
      <c r="F3" s="17">
        <f>IF(B3="","",VLOOKUP(B3,Stock!A:B,2,0))</f>
        <v>2</v>
      </c>
      <c r="G3" s="61">
        <f>IF(B3="","",VLOOKUP(B3,Stock!A:C,3,0))</f>
        <v>0.61</v>
      </c>
      <c r="H3" s="62">
        <f>IF(B3="","",VLOOKUP(F3,Listes!A:B,2,0)*G3+G3)</f>
        <v>0.73199999999999998</v>
      </c>
      <c r="I3" s="63">
        <f>IF(B3="","",VLOOKUP(B3,Stock!A:D,4,0))</f>
        <v>1.5</v>
      </c>
      <c r="J3" s="64">
        <f>IF(B3="","",SUM(H3*E3))</f>
        <v>0</v>
      </c>
      <c r="K3" s="65">
        <f>IF(B3="","",SUM(I3*E3))</f>
        <v>0</v>
      </c>
    </row>
  </sheetData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Designation</formula1>
    </dataValidation>
  </dataValidations>
  <hyperlinks>
    <hyperlink ref="C1" location="'Tableau de Bord'!A1" display="Tableau de Bord"/>
    <hyperlink ref="D1" location="Sorties!A1" display="Sorties"/>
    <hyperlink ref="E1" location="'Mise en Bouteilles'!A1" display="Mise en Bouteilles"/>
    <hyperlink ref="F1" location="'Historique Entrees'!A1" display="Historique Entrées"/>
    <hyperlink ref="G1" location="'Historique Sorties'!A1" display="Historique Sorties"/>
    <hyperlink ref="H1" location="'Historique Mise en Bouteilles'!A1" display="Historique Mise en bouteilles"/>
    <hyperlink ref="I1" location="Listes!A1" display="Listes"/>
    <hyperlink ref="J1" location="Noms!A1" display="Nom"/>
    <hyperlink ref="K1" location="Stock!A1" display="Stock"/>
  </hyperlinks>
  <pageMargins left="0.7" right="0.7" top="0.75" bottom="0.75" header="0.3" footer="0.3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2.SauvEntree">
                <anchor moveWithCells="1" sizeWithCells="1">
                  <from>
                    <xdr:col>11</xdr:col>
                    <xdr:colOff>12700</xdr:colOff>
                    <xdr:row>0</xdr:row>
                    <xdr:rowOff>19050</xdr:rowOff>
                  </from>
                  <to>
                    <xdr:col>12</xdr:col>
                    <xdr:colOff>488950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3"/>
  <sheetViews>
    <sheetView workbookViewId="0">
      <pane ySplit="2" topLeftCell="A3" activePane="bottomLeft" state="frozenSplit"/>
      <selection pane="bottomLeft" activeCell="A4" sqref="A4:XFD4"/>
    </sheetView>
  </sheetViews>
  <sheetFormatPr baseColWidth="10" defaultRowHeight="14.5" x14ac:dyDescent="0.35"/>
  <cols>
    <col min="1" max="1" width="7.54296875" customWidth="1"/>
    <col min="2" max="2" width="12.7265625" customWidth="1"/>
    <col min="3" max="3" width="10.54296875" style="8" customWidth="1"/>
    <col min="4" max="4" width="17" customWidth="1"/>
    <col min="5" max="5" width="10.26953125" style="12" customWidth="1"/>
    <col min="6" max="6" width="9.54296875" bestFit="1" customWidth="1"/>
    <col min="7" max="7" width="10.1796875" style="11" customWidth="1"/>
    <col min="8" max="8" width="12" style="10" customWidth="1"/>
    <col min="9" max="9" width="12.26953125" style="7" customWidth="1"/>
    <col min="10" max="10" width="11.453125" style="7"/>
    <col min="11" max="11" width="16.7265625" style="7" customWidth="1"/>
    <col min="13" max="13" width="15.1796875" customWidth="1"/>
  </cols>
  <sheetData>
    <row r="1" spans="1:11" s="44" customFormat="1" ht="47.25" customHeight="1" x14ac:dyDescent="0.35">
      <c r="B1" s="45" t="s">
        <v>93</v>
      </c>
      <c r="C1" s="41" t="s">
        <v>41</v>
      </c>
      <c r="D1" s="41" t="s">
        <v>68</v>
      </c>
      <c r="E1" s="41" t="s">
        <v>43</v>
      </c>
      <c r="F1" s="41" t="s">
        <v>87</v>
      </c>
      <c r="G1" s="41" t="s">
        <v>92</v>
      </c>
      <c r="H1" s="41" t="s">
        <v>91</v>
      </c>
      <c r="I1" s="41" t="s">
        <v>47</v>
      </c>
      <c r="J1" s="41" t="s">
        <v>5</v>
      </c>
      <c r="K1" s="41" t="s">
        <v>48</v>
      </c>
    </row>
    <row r="2" spans="1:11" ht="38.15" customHeight="1" x14ac:dyDescent="0.35">
      <c r="A2" s="51" t="s">
        <v>6</v>
      </c>
      <c r="B2" s="52" t="s">
        <v>7</v>
      </c>
      <c r="C2" s="53" t="s">
        <v>4</v>
      </c>
      <c r="D2" s="52" t="s">
        <v>5</v>
      </c>
      <c r="E2" s="54" t="s">
        <v>0</v>
      </c>
      <c r="F2" s="52" t="s">
        <v>2</v>
      </c>
      <c r="G2" s="55" t="s">
        <v>37</v>
      </c>
      <c r="H2" s="56" t="s">
        <v>38</v>
      </c>
      <c r="I2" s="57" t="s">
        <v>29</v>
      </c>
      <c r="J2" s="58" t="s">
        <v>3</v>
      </c>
      <c r="K2" s="57" t="s">
        <v>30</v>
      </c>
    </row>
    <row r="3" spans="1:11" ht="0.25" customHeight="1" x14ac:dyDescent="0.35">
      <c r="A3" s="37">
        <v>0</v>
      </c>
      <c r="B3" s="17" t="s">
        <v>12</v>
      </c>
      <c r="C3" s="59">
        <v>42370</v>
      </c>
      <c r="D3" s="17" t="s">
        <v>83</v>
      </c>
      <c r="E3" s="60">
        <v>0</v>
      </c>
      <c r="F3" s="17">
        <f>IF(B3="","",VLOOKUP(B3,Stock!A:B,2,0))</f>
        <v>2</v>
      </c>
      <c r="G3" s="61">
        <f>IF(B3="","",VLOOKUP(B3,Stock!A:C,3,0))</f>
        <v>0.61</v>
      </c>
      <c r="H3" s="62">
        <f>IF(B3="","",VLOOKUP(F3,Listes!A:B,2,0)*G3+G3)</f>
        <v>0.73199999999999998</v>
      </c>
      <c r="I3" s="63">
        <f>IF(B3="","",VLOOKUP(B3,Stock!A:D,4,0))</f>
        <v>1.5</v>
      </c>
      <c r="J3" s="64">
        <f>IF(B3="","",SUM(H3*E3))</f>
        <v>0</v>
      </c>
      <c r="K3" s="65">
        <f>IF(B3="","",SUM(I3*E3))</f>
        <v>0</v>
      </c>
    </row>
  </sheetData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Designation</formula1>
    </dataValidation>
  </dataValidations>
  <hyperlinks>
    <hyperlink ref="C1" location="Entrees!A1" display="Entrées"/>
    <hyperlink ref="D1" location="'Tableau de Bord'!A1" display="Tableau de Bord"/>
    <hyperlink ref="E1" location="'Mise en Bouteilles'!A1" display="Mise en Bouteilles"/>
    <hyperlink ref="F1" location="'Historique Entrees'!A1" display="Historique Entrées"/>
    <hyperlink ref="G1" location="'Historique Sorties'!A1" display="Historique Sorties"/>
    <hyperlink ref="H1" location="'Historique Mise en Bouteilles'!A1" display="Historique Mise en bouteilles"/>
    <hyperlink ref="I1" location="Listes!A1" display="Listes"/>
    <hyperlink ref="J1" location="Noms!A1" display="Nom"/>
    <hyperlink ref="K1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odule2.SauvSorties">
                <anchor moveWithCells="1" sizeWithCells="1">
                  <from>
                    <xdr:col>11</xdr:col>
                    <xdr:colOff>19050</xdr:colOff>
                    <xdr:row>0</xdr:row>
                    <xdr:rowOff>12700</xdr:rowOff>
                  </from>
                  <to>
                    <xdr:col>12</xdr:col>
                    <xdr:colOff>450850</xdr:colOff>
                    <xdr:row>1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7"/>
  <sheetViews>
    <sheetView workbookViewId="0">
      <selection activeCell="A4" sqref="A4"/>
    </sheetView>
  </sheetViews>
  <sheetFormatPr baseColWidth="10" defaultRowHeight="14.5" x14ac:dyDescent="0.35"/>
  <cols>
    <col min="1" max="1" width="16.26953125" bestFit="1" customWidth="1"/>
  </cols>
  <sheetData>
    <row r="1" spans="1:6" ht="25.5" customHeight="1" x14ac:dyDescent="0.35">
      <c r="A1" s="15" t="s">
        <v>51</v>
      </c>
      <c r="B1" s="15" t="s">
        <v>52</v>
      </c>
      <c r="C1" s="15" t="s">
        <v>53</v>
      </c>
      <c r="D1" s="15" t="s">
        <v>27</v>
      </c>
      <c r="E1" s="15" t="s">
        <v>37</v>
      </c>
      <c r="F1" s="15" t="s">
        <v>55</v>
      </c>
    </row>
    <row r="2" spans="1:6" x14ac:dyDescent="0.35">
      <c r="A2" t="s">
        <v>10</v>
      </c>
      <c r="B2">
        <v>33</v>
      </c>
      <c r="C2">
        <v>0.75</v>
      </c>
      <c r="D2">
        <v>2</v>
      </c>
      <c r="E2" s="7">
        <v>1.83</v>
      </c>
      <c r="F2" s="7">
        <v>3</v>
      </c>
    </row>
    <row r="3" spans="1:6" x14ac:dyDescent="0.35">
      <c r="A3" t="s">
        <v>54</v>
      </c>
      <c r="B3">
        <v>33</v>
      </c>
      <c r="C3">
        <v>0.75</v>
      </c>
      <c r="D3">
        <v>2</v>
      </c>
      <c r="E3" s="7">
        <v>2</v>
      </c>
      <c r="F3" s="7">
        <v>3</v>
      </c>
    </row>
    <row r="4" spans="1:6" x14ac:dyDescent="0.35">
      <c r="A4" t="s">
        <v>70</v>
      </c>
      <c r="B4">
        <v>33</v>
      </c>
      <c r="C4">
        <v>0.5</v>
      </c>
      <c r="D4">
        <v>2</v>
      </c>
      <c r="E4" s="7">
        <v>2.5</v>
      </c>
      <c r="F4" s="7">
        <v>3</v>
      </c>
    </row>
    <row r="5" spans="1:6" x14ac:dyDescent="0.35">
      <c r="A5" t="s">
        <v>11</v>
      </c>
      <c r="B5">
        <v>33</v>
      </c>
      <c r="C5">
        <v>0.75</v>
      </c>
      <c r="D5">
        <v>2</v>
      </c>
      <c r="E5" s="7">
        <v>1.83</v>
      </c>
      <c r="F5" s="7">
        <v>3</v>
      </c>
    </row>
    <row r="6" spans="1:6" x14ac:dyDescent="0.35">
      <c r="A6" t="s">
        <v>69</v>
      </c>
      <c r="B6">
        <v>33</v>
      </c>
      <c r="C6">
        <v>0.5</v>
      </c>
      <c r="D6">
        <v>2</v>
      </c>
      <c r="E6" s="7">
        <v>2.5</v>
      </c>
      <c r="F6" s="7">
        <v>3</v>
      </c>
    </row>
    <row r="7" spans="1:6" x14ac:dyDescent="0.35">
      <c r="A7" t="s">
        <v>72</v>
      </c>
      <c r="B7">
        <v>33</v>
      </c>
      <c r="C7">
        <v>0.75</v>
      </c>
      <c r="D7">
        <v>2</v>
      </c>
      <c r="E7" s="7">
        <v>2.5</v>
      </c>
      <c r="F7" s="7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3"/>
  <sheetViews>
    <sheetView workbookViewId="0">
      <pane ySplit="2" topLeftCell="A3" activePane="bottomLeft" state="frozenSplit"/>
      <selection pane="bottomLeft" activeCell="A4" sqref="A4:XFD4"/>
    </sheetView>
  </sheetViews>
  <sheetFormatPr baseColWidth="10" defaultRowHeight="14.5" x14ac:dyDescent="0.35"/>
  <cols>
    <col min="1" max="1" width="6.453125" customWidth="1"/>
    <col min="2" max="2" width="12.7265625" customWidth="1"/>
    <col min="3" max="3" width="10.54296875" style="8" customWidth="1"/>
    <col min="4" max="4" width="15" bestFit="1" customWidth="1"/>
    <col min="5" max="5" width="7.81640625" customWidth="1"/>
    <col min="6" max="6" width="12.453125" customWidth="1"/>
    <col min="7" max="7" width="11.1796875" customWidth="1"/>
    <col min="8" max="8" width="11.453125" customWidth="1"/>
    <col min="9" max="9" width="9.81640625" customWidth="1"/>
    <col min="10" max="10" width="10.1796875" style="11" customWidth="1"/>
    <col min="11" max="11" width="11.26953125" style="10" customWidth="1"/>
    <col min="12" max="12" width="12.26953125" style="7" customWidth="1"/>
    <col min="13" max="13" width="11.453125" style="7"/>
    <col min="14" max="14" width="14" style="7" customWidth="1"/>
    <col min="15" max="15" width="10.81640625" customWidth="1"/>
  </cols>
  <sheetData>
    <row r="1" spans="1:18" s="44" customFormat="1" ht="47.25" customHeight="1" x14ac:dyDescent="0.35">
      <c r="B1" s="47"/>
      <c r="C1" s="45" t="s">
        <v>93</v>
      </c>
      <c r="D1" s="41" t="s">
        <v>41</v>
      </c>
      <c r="E1" s="41" t="s">
        <v>42</v>
      </c>
      <c r="F1" s="41" t="s">
        <v>68</v>
      </c>
      <c r="G1" s="41" t="s">
        <v>87</v>
      </c>
      <c r="H1" s="41" t="s">
        <v>92</v>
      </c>
      <c r="I1" s="41" t="s">
        <v>91</v>
      </c>
      <c r="J1" s="41" t="s">
        <v>47</v>
      </c>
      <c r="K1" s="41" t="s">
        <v>5</v>
      </c>
      <c r="L1" s="41" t="s">
        <v>48</v>
      </c>
      <c r="M1" s="46"/>
      <c r="N1" s="46"/>
    </row>
    <row r="2" spans="1:18" ht="47.25" customHeight="1" x14ac:dyDescent="0.35">
      <c r="A2" s="51" t="s">
        <v>6</v>
      </c>
      <c r="B2" s="52" t="s">
        <v>7</v>
      </c>
      <c r="C2" s="53" t="s">
        <v>4</v>
      </c>
      <c r="D2" s="52" t="s">
        <v>57</v>
      </c>
      <c r="E2" s="52" t="s">
        <v>56</v>
      </c>
      <c r="F2" s="52" t="s">
        <v>58</v>
      </c>
      <c r="G2" s="52" t="s">
        <v>59</v>
      </c>
      <c r="H2" s="52" t="s">
        <v>60</v>
      </c>
      <c r="I2" s="52" t="s">
        <v>2</v>
      </c>
      <c r="J2" s="55" t="s">
        <v>37</v>
      </c>
      <c r="K2" s="56" t="s">
        <v>38</v>
      </c>
      <c r="L2" s="57" t="s">
        <v>29</v>
      </c>
      <c r="M2" s="58" t="s">
        <v>3</v>
      </c>
      <c r="N2" s="57" t="s">
        <v>30</v>
      </c>
      <c r="Q2" s="1"/>
      <c r="R2" s="1"/>
    </row>
    <row r="3" spans="1:18" ht="0.25" customHeight="1" x14ac:dyDescent="0.35">
      <c r="A3" s="37"/>
      <c r="B3" s="17"/>
      <c r="C3" s="59"/>
      <c r="D3" s="17"/>
      <c r="E3" s="17"/>
      <c r="F3" s="17" t="str">
        <f>IF(B3="","",VLOOKUP(B3,Cubi!A:B,2,0)*E3/VLOOKUP(B3,Cubi!A:C,3,0))</f>
        <v/>
      </c>
      <c r="G3" s="17"/>
      <c r="H3" s="17" t="str">
        <f>IF(B3="","",SUM(G3-(F3)))</f>
        <v/>
      </c>
      <c r="I3" s="17" t="str">
        <f>IF(B3="","",VLOOKUP(B3,Stock!A:B,2,0))</f>
        <v/>
      </c>
      <c r="J3" s="64" t="str">
        <f>IF(B3="","",VLOOKUP(B3,Stock!A:C,3,0))</f>
        <v/>
      </c>
      <c r="K3" s="66" t="str">
        <f>IF(B3="","",VLOOKUP(I3,Listes!A:B,2,0)*J3+J3)</f>
        <v/>
      </c>
      <c r="L3" s="63" t="str">
        <f>IF(B3="","",VLOOKUP(B3,Stock!A:D,4,0))</f>
        <v/>
      </c>
      <c r="M3" s="64" t="str">
        <f>IF(B3="","",SUM(G3*K3))</f>
        <v/>
      </c>
      <c r="N3" s="65" t="str">
        <f>IF(B3="","",SUM(G3*L3))</f>
        <v/>
      </c>
    </row>
  </sheetData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DesigVin</formula1>
    </dataValidation>
  </dataValidations>
  <hyperlinks>
    <hyperlink ref="D1" location="Entrees!A1" display="Entrées"/>
    <hyperlink ref="E1" location="Sorties!A1" display="Sorties"/>
    <hyperlink ref="F1" location="'Tableau de Bord'!A1" display="Tableau de Bord"/>
    <hyperlink ref="G1" location="'Historique Entrees'!A1" display="Historique Entrées"/>
    <hyperlink ref="H1" location="'Historique Sorties'!A1" display="Historique Sorties"/>
    <hyperlink ref="I1" location="'Historique Mise en Bouteilles'!A1" display="Historique Mise en bouteilles"/>
    <hyperlink ref="J1" location="Listes!A1" display="Listes"/>
    <hyperlink ref="K1" location="Noms!A1" display="Nom"/>
    <hyperlink ref="L1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3" name="Button 8">
              <controlPr defaultSize="0" print="0" autoFill="0" autoPict="0" macro="[0]!Module2.SauvMiseEnBouteilles">
                <anchor moveWithCells="1" sizeWithCells="1">
                  <from>
                    <xdr:col>12</xdr:col>
                    <xdr:colOff>228600</xdr:colOff>
                    <xdr:row>0</xdr:row>
                    <xdr:rowOff>50800</xdr:rowOff>
                  </from>
                  <to>
                    <xdr:col>14</xdr:col>
                    <xdr:colOff>0</xdr:colOff>
                    <xdr:row>0</xdr:row>
                    <xdr:rowOff>546100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"/>
  <sheetViews>
    <sheetView workbookViewId="0">
      <pane ySplit="2" topLeftCell="A18" activePane="bottomLeft" state="frozenSplit"/>
      <selection pane="bottomLeft" activeCell="E3" sqref="E3"/>
    </sheetView>
  </sheetViews>
  <sheetFormatPr baseColWidth="10" defaultRowHeight="14.5" x14ac:dyDescent="0.35"/>
  <cols>
    <col min="1" max="1" width="15.81640625" bestFit="1" customWidth="1"/>
    <col min="3" max="4" width="11.453125" style="7"/>
    <col min="8" max="8" width="13.26953125" bestFit="1" customWidth="1"/>
    <col min="9" max="9" width="8.453125" customWidth="1"/>
    <col min="10" max="10" width="9.54296875" customWidth="1"/>
  </cols>
  <sheetData>
    <row r="1" spans="1:12" s="44" customFormat="1" ht="41.5" customHeight="1" x14ac:dyDescent="0.35">
      <c r="B1" s="45" t="s">
        <v>40</v>
      </c>
      <c r="C1" s="41" t="s">
        <v>41</v>
      </c>
      <c r="D1" s="41" t="s">
        <v>42</v>
      </c>
      <c r="E1" s="41" t="s">
        <v>43</v>
      </c>
      <c r="F1" s="41" t="s">
        <v>44</v>
      </c>
      <c r="G1" s="41" t="s">
        <v>45</v>
      </c>
      <c r="H1" s="41" t="s">
        <v>46</v>
      </c>
      <c r="I1" s="41" t="s">
        <v>47</v>
      </c>
      <c r="J1" s="41" t="s">
        <v>5</v>
      </c>
      <c r="K1" s="41" t="s">
        <v>68</v>
      </c>
    </row>
    <row r="2" spans="1:12" ht="29.25" customHeight="1" x14ac:dyDescent="0.35">
      <c r="A2" s="3" t="s">
        <v>7</v>
      </c>
      <c r="B2" s="3" t="s">
        <v>8</v>
      </c>
      <c r="C2" s="5" t="s">
        <v>1</v>
      </c>
      <c r="D2" s="5" t="s">
        <v>29</v>
      </c>
      <c r="E2" s="3" t="s">
        <v>67</v>
      </c>
      <c r="F2" s="3" t="s">
        <v>26</v>
      </c>
      <c r="G2" s="3" t="s">
        <v>94</v>
      </c>
      <c r="H2" s="3" t="s">
        <v>25</v>
      </c>
      <c r="I2" s="3" t="s">
        <v>41</v>
      </c>
      <c r="J2" s="3" t="s">
        <v>42</v>
      </c>
      <c r="K2" s="18"/>
      <c r="L2" s="18"/>
    </row>
    <row r="3" spans="1:12" x14ac:dyDescent="0.35">
      <c r="A3" s="2" t="s">
        <v>12</v>
      </c>
      <c r="B3" s="2">
        <v>2</v>
      </c>
      <c r="C3" s="6">
        <v>0.61</v>
      </c>
      <c r="D3" s="6">
        <v>1.5</v>
      </c>
      <c r="E3" s="2">
        <v>81</v>
      </c>
      <c r="F3" s="2">
        <v>24</v>
      </c>
      <c r="G3" s="2">
        <f t="shared" ref="G3:G22" si="0">SUM(E3+K3-L3)</f>
        <v>81</v>
      </c>
      <c r="H3" s="2" t="str">
        <f>IF(G3&lt;F3,"A commander","")</f>
        <v/>
      </c>
      <c r="I3" s="2" t="e">
        <f>'Tableau de Bord'!#REF!</f>
        <v>#REF!</v>
      </c>
      <c r="J3" s="2" t="e">
        <f>'Tableau de Bord'!#REF!</f>
        <v>#REF!</v>
      </c>
    </row>
    <row r="4" spans="1:12" x14ac:dyDescent="0.35">
      <c r="A4" s="2" t="s">
        <v>11</v>
      </c>
      <c r="B4" s="2">
        <v>2</v>
      </c>
      <c r="C4" s="6">
        <v>1.83</v>
      </c>
      <c r="D4" s="6">
        <v>3</v>
      </c>
      <c r="E4" s="2">
        <v>38</v>
      </c>
      <c r="F4" s="2">
        <v>40</v>
      </c>
      <c r="G4" s="2">
        <f t="shared" si="0"/>
        <v>38</v>
      </c>
      <c r="H4" s="2" t="str">
        <f t="shared" ref="H4:H22" si="1">IF(G4&lt;F4,"A commander","")</f>
        <v>A commander</v>
      </c>
      <c r="I4" s="2" t="e">
        <f>'Tableau de Bord'!#REF!</f>
        <v>#REF!</v>
      </c>
      <c r="J4" s="2" t="e">
        <f>'Tableau de Bord'!#REF!</f>
        <v>#REF!</v>
      </c>
    </row>
    <row r="5" spans="1:12" x14ac:dyDescent="0.35">
      <c r="A5" s="2" t="s">
        <v>20</v>
      </c>
      <c r="B5" s="2">
        <v>1</v>
      </c>
      <c r="C5" s="6">
        <v>1</v>
      </c>
      <c r="D5" s="6">
        <v>0.5</v>
      </c>
      <c r="E5" s="2">
        <v>50</v>
      </c>
      <c r="F5" s="2">
        <v>0</v>
      </c>
      <c r="G5" s="2">
        <f t="shared" si="0"/>
        <v>50</v>
      </c>
      <c r="H5" s="2" t="str">
        <f t="shared" si="1"/>
        <v/>
      </c>
      <c r="I5" s="2" t="e">
        <f>'Tableau de Bord'!#REF!</f>
        <v>#REF!</v>
      </c>
      <c r="J5" s="2" t="e">
        <f>'Tableau de Bord'!#REF!</f>
        <v>#REF!</v>
      </c>
    </row>
    <row r="6" spans="1:12" x14ac:dyDescent="0.35">
      <c r="A6" s="2" t="s">
        <v>22</v>
      </c>
      <c r="B6" s="2">
        <v>2</v>
      </c>
      <c r="C6" s="6">
        <v>1.78</v>
      </c>
      <c r="D6" s="6">
        <v>3</v>
      </c>
      <c r="E6" s="2">
        <v>0</v>
      </c>
      <c r="F6" s="2">
        <v>6</v>
      </c>
      <c r="G6" s="2">
        <f t="shared" si="0"/>
        <v>0</v>
      </c>
      <c r="H6" s="2" t="str">
        <f t="shared" si="1"/>
        <v>A commander</v>
      </c>
      <c r="I6" s="2" t="e">
        <f>'Tableau de Bord'!#REF!</f>
        <v>#REF!</v>
      </c>
      <c r="J6" s="2" t="e">
        <f>'Tableau de Bord'!#REF!</f>
        <v>#REF!</v>
      </c>
    </row>
    <row r="7" spans="1:12" x14ac:dyDescent="0.35">
      <c r="A7" s="2" t="s">
        <v>15</v>
      </c>
      <c r="B7" s="2">
        <v>1</v>
      </c>
      <c r="C7" s="6">
        <v>0.73</v>
      </c>
      <c r="D7" s="6">
        <v>1.5</v>
      </c>
      <c r="E7" s="2">
        <v>0</v>
      </c>
      <c r="F7" s="2">
        <v>24</v>
      </c>
      <c r="G7" s="2">
        <f t="shared" si="0"/>
        <v>0</v>
      </c>
      <c r="H7" s="2" t="str">
        <f t="shared" si="1"/>
        <v>A commander</v>
      </c>
      <c r="I7" s="2" t="e">
        <f>'Tableau de Bord'!#REF!</f>
        <v>#REF!</v>
      </c>
      <c r="J7" s="2" t="e">
        <f>'Tableau de Bord'!#REF!</f>
        <v>#REF!</v>
      </c>
    </row>
    <row r="8" spans="1:12" x14ac:dyDescent="0.35">
      <c r="A8" s="2" t="s">
        <v>21</v>
      </c>
      <c r="B8" s="2">
        <v>1</v>
      </c>
      <c r="C8" s="6">
        <v>0.6</v>
      </c>
      <c r="D8" s="6">
        <v>1</v>
      </c>
      <c r="E8" s="2">
        <v>8</v>
      </c>
      <c r="F8" s="2">
        <v>6</v>
      </c>
      <c r="G8" s="2">
        <f t="shared" si="0"/>
        <v>8</v>
      </c>
      <c r="H8" s="2" t="str">
        <f t="shared" si="1"/>
        <v/>
      </c>
      <c r="I8" s="2" t="e">
        <f>'Tableau de Bord'!#REF!</f>
        <v>#REF!</v>
      </c>
      <c r="J8" s="2" t="e">
        <f>'Tableau de Bord'!#REF!</f>
        <v>#REF!</v>
      </c>
    </row>
    <row r="9" spans="1:12" x14ac:dyDescent="0.35">
      <c r="A9" s="2" t="s">
        <v>16</v>
      </c>
      <c r="B9" s="2">
        <v>1</v>
      </c>
      <c r="C9" s="6">
        <v>0.28000000000000003</v>
      </c>
      <c r="D9" s="6">
        <v>0.6</v>
      </c>
      <c r="E9" s="2">
        <v>38</v>
      </c>
      <c r="F9" s="2">
        <v>6</v>
      </c>
      <c r="G9" s="2">
        <f t="shared" si="0"/>
        <v>38</v>
      </c>
      <c r="H9" s="2" t="str">
        <f t="shared" si="1"/>
        <v/>
      </c>
      <c r="I9" s="2" t="e">
        <f>'Tableau de Bord'!#REF!</f>
        <v>#REF!</v>
      </c>
      <c r="J9" s="2" t="e">
        <f>'Tableau de Bord'!#REF!</f>
        <v>#REF!</v>
      </c>
    </row>
    <row r="10" spans="1:12" x14ac:dyDescent="0.35">
      <c r="A10" s="2" t="s">
        <v>18</v>
      </c>
      <c r="B10" s="2">
        <v>2</v>
      </c>
      <c r="C10" s="6">
        <v>5</v>
      </c>
      <c r="D10" s="6">
        <v>9</v>
      </c>
      <c r="E10" s="2">
        <v>15</v>
      </c>
      <c r="F10" s="2">
        <v>6</v>
      </c>
      <c r="G10" s="2">
        <f t="shared" si="0"/>
        <v>15</v>
      </c>
      <c r="H10" s="2" t="str">
        <f t="shared" si="1"/>
        <v/>
      </c>
      <c r="I10" s="2" t="e">
        <f>'Tableau de Bord'!#REF!</f>
        <v>#REF!</v>
      </c>
      <c r="J10" s="2" t="e">
        <f>'Tableau de Bord'!#REF!</f>
        <v>#REF!</v>
      </c>
    </row>
    <row r="11" spans="1:12" x14ac:dyDescent="0.35">
      <c r="A11" s="2" t="s">
        <v>95</v>
      </c>
      <c r="B11" s="2">
        <v>2</v>
      </c>
      <c r="C11" s="6"/>
      <c r="D11" s="6"/>
      <c r="E11" s="2"/>
      <c r="F11" s="2"/>
      <c r="G11" s="2">
        <f t="shared" si="0"/>
        <v>0</v>
      </c>
      <c r="H11" s="2" t="str">
        <f t="shared" si="1"/>
        <v/>
      </c>
      <c r="I11" s="2" t="e">
        <f>'Tableau de Bord'!#REF!</f>
        <v>#REF!</v>
      </c>
      <c r="J11" s="2" t="e">
        <f>'Tableau de Bord'!#REF!</f>
        <v>#REF!</v>
      </c>
    </row>
    <row r="12" spans="1:12" x14ac:dyDescent="0.35">
      <c r="A12" s="2" t="s">
        <v>96</v>
      </c>
      <c r="B12" s="2">
        <v>2</v>
      </c>
      <c r="C12" s="6"/>
      <c r="D12" s="6"/>
      <c r="E12" s="2"/>
      <c r="F12" s="2"/>
      <c r="G12" s="2">
        <f t="shared" si="0"/>
        <v>0</v>
      </c>
      <c r="H12" s="2" t="str">
        <f t="shared" si="1"/>
        <v/>
      </c>
      <c r="I12" s="2" t="e">
        <f>'Tableau de Bord'!#REF!</f>
        <v>#REF!</v>
      </c>
      <c r="J12" s="2" t="e">
        <f>'Tableau de Bord'!#REF!</f>
        <v>#REF!</v>
      </c>
    </row>
    <row r="13" spans="1:12" x14ac:dyDescent="0.35">
      <c r="A13" s="2" t="s">
        <v>23</v>
      </c>
      <c r="B13" s="2">
        <v>2</v>
      </c>
      <c r="C13" s="6">
        <v>5</v>
      </c>
      <c r="D13" s="6">
        <v>0</v>
      </c>
      <c r="E13" s="2">
        <v>13</v>
      </c>
      <c r="F13" s="2">
        <v>6</v>
      </c>
      <c r="G13" s="2">
        <f t="shared" si="0"/>
        <v>13</v>
      </c>
      <c r="H13" s="2" t="str">
        <f t="shared" si="1"/>
        <v/>
      </c>
      <c r="I13" s="2" t="e">
        <f>'Tableau de Bord'!#REF!</f>
        <v>#REF!</v>
      </c>
      <c r="J13" s="2" t="e">
        <f>'Tableau de Bord'!#REF!</f>
        <v>#REF!</v>
      </c>
    </row>
    <row r="14" spans="1:12" x14ac:dyDescent="0.35">
      <c r="A14" s="2" t="s">
        <v>19</v>
      </c>
      <c r="B14" s="2">
        <v>1</v>
      </c>
      <c r="C14" s="6">
        <v>0.7</v>
      </c>
      <c r="D14" s="6">
        <v>1.5</v>
      </c>
      <c r="E14" s="2">
        <v>27</v>
      </c>
      <c r="F14" s="2">
        <v>39</v>
      </c>
      <c r="G14" s="2">
        <f t="shared" si="0"/>
        <v>27</v>
      </c>
      <c r="H14" s="2" t="str">
        <f t="shared" si="1"/>
        <v>A commander</v>
      </c>
      <c r="I14" s="2" t="e">
        <f>'Tableau de Bord'!#REF!</f>
        <v>#REF!</v>
      </c>
      <c r="J14" s="2" t="e">
        <f>'Tableau de Bord'!#REF!</f>
        <v>#REF!</v>
      </c>
    </row>
    <row r="15" spans="1:12" x14ac:dyDescent="0.35">
      <c r="A15" s="2" t="s">
        <v>13</v>
      </c>
      <c r="B15" s="2">
        <v>1</v>
      </c>
      <c r="C15" s="6">
        <v>0.63</v>
      </c>
      <c r="D15" s="6">
        <v>1.5</v>
      </c>
      <c r="E15" s="2">
        <v>46</v>
      </c>
      <c r="F15" s="2">
        <v>24</v>
      </c>
      <c r="G15" s="2">
        <f t="shared" si="0"/>
        <v>46</v>
      </c>
      <c r="H15" s="2" t="str">
        <f t="shared" si="1"/>
        <v/>
      </c>
      <c r="I15" s="2" t="e">
        <f>'Tableau de Bord'!#REF!</f>
        <v>#REF!</v>
      </c>
      <c r="J15" s="2" t="e">
        <f>'Tableau de Bord'!#REF!</f>
        <v>#REF!</v>
      </c>
    </row>
    <row r="16" spans="1:12" x14ac:dyDescent="0.35">
      <c r="A16" s="2" t="s">
        <v>17</v>
      </c>
      <c r="B16" s="2">
        <v>1</v>
      </c>
      <c r="C16" s="6">
        <v>0.79</v>
      </c>
      <c r="D16" s="6">
        <v>1.5</v>
      </c>
      <c r="E16" s="2">
        <v>0</v>
      </c>
      <c r="F16" s="2">
        <v>24</v>
      </c>
      <c r="G16" s="2">
        <f t="shared" si="0"/>
        <v>0</v>
      </c>
      <c r="H16" s="2" t="str">
        <f t="shared" si="1"/>
        <v>A commander</v>
      </c>
      <c r="I16" s="2" t="e">
        <f>'Tableau de Bord'!#REF!</f>
        <v>#REF!</v>
      </c>
      <c r="J16" s="2" t="e">
        <f>'Tableau de Bord'!#REF!</f>
        <v>#REF!</v>
      </c>
    </row>
    <row r="17" spans="1:10" x14ac:dyDescent="0.35">
      <c r="A17" s="2" t="s">
        <v>10</v>
      </c>
      <c r="B17" s="2">
        <v>2</v>
      </c>
      <c r="C17" s="6">
        <v>1.83</v>
      </c>
      <c r="D17" s="6">
        <v>3</v>
      </c>
      <c r="E17" s="2">
        <v>200</v>
      </c>
      <c r="F17" s="2">
        <v>40</v>
      </c>
      <c r="G17" s="2">
        <f t="shared" si="0"/>
        <v>200</v>
      </c>
      <c r="H17" s="2" t="str">
        <f t="shared" si="1"/>
        <v/>
      </c>
      <c r="I17" s="2" t="e">
        <f>'Tableau de Bord'!#REF!</f>
        <v>#REF!</v>
      </c>
      <c r="J17" s="2" t="e">
        <f>'Tableau de Bord'!#REF!</f>
        <v>#REF!</v>
      </c>
    </row>
    <row r="18" spans="1:10" x14ac:dyDescent="0.35">
      <c r="A18" s="2" t="s">
        <v>9</v>
      </c>
      <c r="B18" s="2">
        <v>2</v>
      </c>
      <c r="C18" s="6">
        <v>2</v>
      </c>
      <c r="D18" s="6">
        <v>3</v>
      </c>
      <c r="E18" s="2">
        <v>215</v>
      </c>
      <c r="F18" s="2">
        <v>40</v>
      </c>
      <c r="G18" s="2">
        <f t="shared" si="0"/>
        <v>215</v>
      </c>
      <c r="H18" s="2" t="str">
        <f t="shared" si="1"/>
        <v/>
      </c>
      <c r="I18" s="2" t="e">
        <f>'Tableau de Bord'!#REF!</f>
        <v>#REF!</v>
      </c>
      <c r="J18" s="2" t="e">
        <f>'Tableau de Bord'!#REF!</f>
        <v>#REF!</v>
      </c>
    </row>
    <row r="19" spans="1:10" x14ac:dyDescent="0.35">
      <c r="A19" s="2" t="s">
        <v>14</v>
      </c>
      <c r="B19" s="2">
        <v>1</v>
      </c>
      <c r="C19" s="6">
        <v>0.79</v>
      </c>
      <c r="D19" s="6">
        <v>1.5</v>
      </c>
      <c r="E19" s="2">
        <v>0</v>
      </c>
      <c r="F19" s="2">
        <v>24</v>
      </c>
      <c r="G19" s="2">
        <f t="shared" si="0"/>
        <v>0</v>
      </c>
      <c r="H19" s="2" t="str">
        <f t="shared" si="1"/>
        <v>A commander</v>
      </c>
      <c r="I19" s="2" t="e">
        <f>'Tableau de Bord'!#REF!</f>
        <v>#REF!</v>
      </c>
      <c r="J19" s="2" t="e">
        <f>'Tableau de Bord'!#REF!</f>
        <v>#REF!</v>
      </c>
    </row>
    <row r="20" spans="1:10" x14ac:dyDescent="0.35">
      <c r="A20" s="2" t="s">
        <v>70</v>
      </c>
      <c r="B20" s="2">
        <v>2</v>
      </c>
      <c r="C20" s="6">
        <v>2.5</v>
      </c>
      <c r="D20" s="6">
        <v>3</v>
      </c>
      <c r="E20" s="2">
        <v>135</v>
      </c>
      <c r="F20" s="2">
        <v>40</v>
      </c>
      <c r="G20" s="2">
        <f t="shared" si="0"/>
        <v>135</v>
      </c>
      <c r="H20" s="2" t="str">
        <f t="shared" si="1"/>
        <v/>
      </c>
      <c r="I20" s="2" t="e">
        <f>'Tableau de Bord'!#REF!</f>
        <v>#REF!</v>
      </c>
      <c r="J20" s="2" t="e">
        <f>'Tableau de Bord'!#REF!</f>
        <v>#REF!</v>
      </c>
    </row>
    <row r="21" spans="1:10" x14ac:dyDescent="0.35">
      <c r="A21" s="2" t="s">
        <v>24</v>
      </c>
      <c r="B21" s="2">
        <v>2</v>
      </c>
      <c r="C21" s="6">
        <v>4</v>
      </c>
      <c r="D21" s="6">
        <v>0</v>
      </c>
      <c r="E21" s="2">
        <v>7</v>
      </c>
      <c r="F21" s="2">
        <v>6</v>
      </c>
      <c r="G21" s="2">
        <f t="shared" si="0"/>
        <v>7</v>
      </c>
      <c r="H21" s="2" t="str">
        <f t="shared" si="1"/>
        <v/>
      </c>
      <c r="I21" s="2" t="e">
        <f>'Tableau de Bord'!#REF!</f>
        <v>#REF!</v>
      </c>
      <c r="J21" s="2" t="e">
        <f>'Tableau de Bord'!#REF!</f>
        <v>#REF!</v>
      </c>
    </row>
    <row r="22" spans="1:10" x14ac:dyDescent="0.35">
      <c r="A22" s="23" t="s">
        <v>69</v>
      </c>
      <c r="B22" s="23">
        <v>2</v>
      </c>
      <c r="C22" s="9">
        <v>2.5</v>
      </c>
      <c r="D22" s="9">
        <v>3</v>
      </c>
      <c r="E22" s="2"/>
      <c r="F22" s="2"/>
      <c r="G22" s="2">
        <f t="shared" si="0"/>
        <v>0</v>
      </c>
      <c r="H22" s="2" t="str">
        <f t="shared" si="1"/>
        <v/>
      </c>
      <c r="I22" s="2" t="e">
        <f>'Tableau de Bord'!#REF!</f>
        <v>#REF!</v>
      </c>
      <c r="J22" s="2" t="e">
        <f>'Tableau de Bord'!#REF!</f>
        <v>#REF!</v>
      </c>
    </row>
  </sheetData>
  <sortState ref="A2:A18">
    <sortCondition ref="A2"/>
  </sortState>
  <conditionalFormatting sqref="H3:H22">
    <cfRule type="containsText" dxfId="0" priority="1" operator="containsText" text="A commander">
      <formula>NOT(ISERROR(SEARCH("A commander",H3)))</formula>
    </cfRule>
  </conditionalFormatting>
  <hyperlinks>
    <hyperlink ref="C1" location="Entrees!A1" display="Entrées"/>
    <hyperlink ref="D1" location="Sorties!A1" display="Sorties"/>
    <hyperlink ref="E1" location="'Mise en Bouteilles'!A1" display="Mise en Bouteilles"/>
    <hyperlink ref="F1" location="'Historique Entrees'!A1" display="Historiques Entrées"/>
    <hyperlink ref="G1" location="'Historiques Sorties'!A1" display="Historiques Sorties"/>
    <hyperlink ref="H1" location="'Historique Mise en Bouteilles'!A1" display="Historiques Mise en bouteilles"/>
    <hyperlink ref="I1" location="Listes!A1" display="Listes"/>
    <hyperlink ref="J1" location="Noms!A1" display="Nom"/>
    <hyperlink ref="K1" location="'Tableau de Bord'!A1" display="Tableau de Bord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8"/>
  <sheetViews>
    <sheetView workbookViewId="0">
      <pane ySplit="2" topLeftCell="A3" activePane="bottomLeft" state="frozenSplit"/>
      <selection pane="bottomLeft" activeCell="D2" sqref="D2"/>
    </sheetView>
  </sheetViews>
  <sheetFormatPr baseColWidth="10" defaultRowHeight="14.5" x14ac:dyDescent="0.35"/>
  <cols>
    <col min="1" max="1" width="8.453125" customWidth="1"/>
    <col min="2" max="2" width="12.7265625" customWidth="1"/>
    <col min="3" max="3" width="11.453125" style="8"/>
    <col min="4" max="4" width="19.7265625" customWidth="1"/>
    <col min="6" max="6" width="11.453125" style="27"/>
    <col min="7" max="7" width="11.453125" style="7"/>
    <col min="8" max="8" width="11.453125" style="7" customWidth="1"/>
    <col min="9" max="9" width="12.26953125" style="7" customWidth="1"/>
    <col min="10" max="10" width="11.453125" style="7" customWidth="1"/>
    <col min="11" max="11" width="16.7265625" style="7" customWidth="1"/>
    <col min="12" max="13" width="11.453125" customWidth="1"/>
    <col min="14" max="14" width="11.453125" hidden="1" customWidth="1"/>
    <col min="15" max="15" width="11.453125" customWidth="1"/>
  </cols>
  <sheetData>
    <row r="1" spans="1:14" s="44" customFormat="1" ht="42.65" customHeight="1" x14ac:dyDescent="0.35">
      <c r="B1" s="45" t="s">
        <v>93</v>
      </c>
      <c r="C1" s="49" t="s">
        <v>41</v>
      </c>
      <c r="D1" s="41" t="s">
        <v>42</v>
      </c>
      <c r="E1" s="41" t="s">
        <v>43</v>
      </c>
      <c r="F1" s="50" t="s">
        <v>68</v>
      </c>
      <c r="G1" s="48" t="s">
        <v>92</v>
      </c>
      <c r="H1" s="48" t="s">
        <v>91</v>
      </c>
      <c r="I1" s="48" t="s">
        <v>47</v>
      </c>
      <c r="J1" s="48" t="s">
        <v>5</v>
      </c>
      <c r="K1" s="48" t="s">
        <v>48</v>
      </c>
    </row>
    <row r="2" spans="1:14" x14ac:dyDescent="0.35">
      <c r="A2" s="74" t="s">
        <v>6</v>
      </c>
      <c r="B2" s="74" t="s">
        <v>7</v>
      </c>
      <c r="C2" s="75" t="s">
        <v>4</v>
      </c>
      <c r="D2" s="74" t="s">
        <v>5</v>
      </c>
      <c r="E2" s="82" t="s">
        <v>0</v>
      </c>
      <c r="F2" s="79" t="s">
        <v>2</v>
      </c>
      <c r="G2" s="76" t="s">
        <v>37</v>
      </c>
      <c r="H2" s="77" t="s">
        <v>38</v>
      </c>
      <c r="I2" s="76" t="s">
        <v>29</v>
      </c>
      <c r="J2" s="76" t="s">
        <v>3</v>
      </c>
      <c r="K2" s="76" t="s">
        <v>30</v>
      </c>
      <c r="N2" s="13">
        <f>COUNTA(A:A)</f>
        <v>7</v>
      </c>
    </row>
    <row r="3" spans="1:14" x14ac:dyDescent="0.35">
      <c r="A3">
        <v>1</v>
      </c>
      <c r="B3" t="s">
        <v>21</v>
      </c>
      <c r="C3" s="8">
        <v>42530</v>
      </c>
      <c r="D3" t="s">
        <v>39</v>
      </c>
      <c r="E3" s="81">
        <v>24</v>
      </c>
      <c r="F3" s="27">
        <v>1</v>
      </c>
      <c r="G3" s="7">
        <v>0.6</v>
      </c>
      <c r="H3" s="7">
        <v>0.63300000000000001</v>
      </c>
      <c r="I3" s="7">
        <v>1</v>
      </c>
      <c r="J3" s="7">
        <v>15.192</v>
      </c>
      <c r="K3" s="7">
        <v>24</v>
      </c>
    </row>
    <row r="4" spans="1:14" x14ac:dyDescent="0.35">
      <c r="A4">
        <v>2</v>
      </c>
      <c r="B4" t="s">
        <v>12</v>
      </c>
      <c r="C4" s="8">
        <v>42537</v>
      </c>
      <c r="D4" t="s">
        <v>88</v>
      </c>
      <c r="E4" s="81">
        <v>120</v>
      </c>
      <c r="F4" s="27">
        <v>2</v>
      </c>
      <c r="G4" s="7">
        <v>0.61</v>
      </c>
      <c r="H4" s="7">
        <v>0.73199999999999998</v>
      </c>
      <c r="I4" s="7">
        <v>1.5</v>
      </c>
      <c r="J4" s="7">
        <v>87.84</v>
      </c>
      <c r="K4" s="7">
        <v>180</v>
      </c>
    </row>
    <row r="5" spans="1:14" x14ac:dyDescent="0.35">
      <c r="A5">
        <v>3</v>
      </c>
      <c r="B5" t="s">
        <v>12</v>
      </c>
      <c r="C5" s="8">
        <v>42522</v>
      </c>
      <c r="D5" t="s">
        <v>73</v>
      </c>
      <c r="E5" s="81">
        <v>100</v>
      </c>
      <c r="F5" s="27">
        <v>2</v>
      </c>
      <c r="G5" s="7">
        <v>0.61</v>
      </c>
      <c r="H5" s="7">
        <v>0.73199999999999998</v>
      </c>
      <c r="I5" s="7">
        <v>1.5</v>
      </c>
      <c r="J5" s="7">
        <v>73.2</v>
      </c>
      <c r="K5" s="7">
        <v>150</v>
      </c>
    </row>
    <row r="6" spans="1:14" x14ac:dyDescent="0.35">
      <c r="A6">
        <v>4</v>
      </c>
      <c r="B6" t="s">
        <v>12</v>
      </c>
      <c r="C6" s="8">
        <v>0</v>
      </c>
      <c r="D6" t="s">
        <v>88</v>
      </c>
      <c r="E6" s="81">
        <v>2</v>
      </c>
      <c r="F6" s="27">
        <v>2</v>
      </c>
      <c r="G6" s="7">
        <v>0.61</v>
      </c>
      <c r="H6" s="7">
        <v>0.73199999999999998</v>
      </c>
      <c r="I6" s="7">
        <v>1.5</v>
      </c>
      <c r="J6" s="7">
        <v>1.464</v>
      </c>
      <c r="K6" s="7">
        <v>3</v>
      </c>
    </row>
    <row r="7" spans="1:14" x14ac:dyDescent="0.35">
      <c r="A7">
        <v>5</v>
      </c>
      <c r="B7" t="s">
        <v>12</v>
      </c>
      <c r="C7" s="8">
        <v>0</v>
      </c>
      <c r="D7" t="s">
        <v>83</v>
      </c>
      <c r="E7" s="81">
        <v>2</v>
      </c>
      <c r="F7" s="27">
        <v>2</v>
      </c>
      <c r="G7" s="7">
        <v>0.61</v>
      </c>
      <c r="H7" s="7">
        <v>0.73199999999999998</v>
      </c>
      <c r="I7" s="7">
        <v>1.5</v>
      </c>
      <c r="J7" s="7">
        <v>1.464</v>
      </c>
      <c r="K7" s="7">
        <v>3</v>
      </c>
    </row>
    <row r="8" spans="1:14" x14ac:dyDescent="0.35">
      <c r="A8">
        <v>6</v>
      </c>
      <c r="B8" t="s">
        <v>11</v>
      </c>
      <c r="C8" s="8">
        <v>42540</v>
      </c>
      <c r="D8" t="s">
        <v>75</v>
      </c>
      <c r="E8" s="81">
        <v>2</v>
      </c>
      <c r="F8" s="27">
        <v>2</v>
      </c>
      <c r="G8" s="7">
        <v>1.83</v>
      </c>
      <c r="H8" s="7">
        <v>2.1960000000000002</v>
      </c>
      <c r="I8" s="7">
        <v>3</v>
      </c>
      <c r="J8" s="7">
        <v>4.3920000000000003</v>
      </c>
      <c r="K8" s="7">
        <v>6</v>
      </c>
    </row>
  </sheetData>
  <sortState ref="A2:K3">
    <sortCondition ref="A2"/>
  </sortState>
  <hyperlinks>
    <hyperlink ref="K1" location="Stock!A1" display="Stock"/>
    <hyperlink ref="J1" location="Noms!A1" display="Nom"/>
    <hyperlink ref="I1" location="Listes!A1" display="Listes"/>
    <hyperlink ref="C1" location="Entrees!A1" display="Entrées"/>
    <hyperlink ref="D1" location="Sorties!A1" display="Sorties"/>
    <hyperlink ref="E1" location="'Mise en Bouteilles'!A1" display="Mise en Bouteilles"/>
    <hyperlink ref="F1" location="'Tableau de Bord'!A1" display="Tableau de Bord"/>
    <hyperlink ref="G1" location="'Historique Sorties'!A1" display="Historique Sorties"/>
    <hyperlink ref="H1" location="'Historique Mise en Bouteilles'!A1" display="Historique Mise en bouteilles"/>
  </hyperlink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1"/>
  <sheetViews>
    <sheetView workbookViewId="0">
      <pane ySplit="2" topLeftCell="A3" activePane="bottomLeft" state="frozenSplit"/>
      <selection pane="bottomLeft" activeCell="G2" sqref="G2"/>
    </sheetView>
  </sheetViews>
  <sheetFormatPr baseColWidth="10" defaultRowHeight="14.5" x14ac:dyDescent="0.35"/>
  <cols>
    <col min="1" max="1" width="8.453125" customWidth="1"/>
    <col min="2" max="2" width="15.26953125" customWidth="1"/>
    <col min="3" max="3" width="11.453125" style="8"/>
    <col min="4" max="4" width="16.7265625" customWidth="1"/>
    <col min="6" max="6" width="11.453125" style="27"/>
    <col min="7" max="7" width="11.453125" style="7"/>
    <col min="8" max="8" width="11.453125" style="7" customWidth="1"/>
    <col min="9" max="9" width="12.26953125" style="7" customWidth="1"/>
    <col min="10" max="10" width="11.453125" style="7" customWidth="1"/>
    <col min="11" max="11" width="16.7265625" style="7" customWidth="1"/>
    <col min="12" max="12" width="11.453125" customWidth="1"/>
    <col min="13" max="13" width="4" hidden="1" customWidth="1"/>
    <col min="14" max="14" width="11.453125" customWidth="1"/>
  </cols>
  <sheetData>
    <row r="1" spans="1:13" s="44" customFormat="1" ht="41.5" customHeight="1" x14ac:dyDescent="0.35">
      <c r="B1" s="45" t="s">
        <v>93</v>
      </c>
      <c r="C1" s="49" t="s">
        <v>41</v>
      </c>
      <c r="D1" s="41" t="s">
        <v>42</v>
      </c>
      <c r="E1" s="41" t="s">
        <v>43</v>
      </c>
      <c r="F1" s="50" t="s">
        <v>87</v>
      </c>
      <c r="G1" s="48" t="s">
        <v>68</v>
      </c>
      <c r="H1" s="48" t="s">
        <v>91</v>
      </c>
      <c r="I1" s="48" t="s">
        <v>47</v>
      </c>
      <c r="J1" s="48" t="s">
        <v>5</v>
      </c>
      <c r="K1" s="48" t="s">
        <v>48</v>
      </c>
    </row>
    <row r="2" spans="1:13" x14ac:dyDescent="0.35">
      <c r="A2" s="74" t="s">
        <v>6</v>
      </c>
      <c r="B2" s="74" t="s">
        <v>7</v>
      </c>
      <c r="C2" s="75" t="s">
        <v>4</v>
      </c>
      <c r="D2" s="74" t="s">
        <v>5</v>
      </c>
      <c r="E2" s="82" t="s">
        <v>0</v>
      </c>
      <c r="F2" s="79" t="s">
        <v>2</v>
      </c>
      <c r="G2" s="76" t="s">
        <v>37</v>
      </c>
      <c r="H2" s="77" t="s">
        <v>38</v>
      </c>
      <c r="I2" s="76" t="s">
        <v>29</v>
      </c>
      <c r="J2" s="76" t="s">
        <v>3</v>
      </c>
      <c r="K2" s="76" t="s">
        <v>30</v>
      </c>
      <c r="M2" s="40">
        <f>COUNTA(A:A)</f>
        <v>10</v>
      </c>
    </row>
    <row r="3" spans="1:13" x14ac:dyDescent="0.35">
      <c r="A3">
        <v>1</v>
      </c>
      <c r="B3" t="s">
        <v>10</v>
      </c>
      <c r="C3" s="8">
        <v>42524</v>
      </c>
      <c r="D3" t="s">
        <v>39</v>
      </c>
      <c r="E3">
        <v>20</v>
      </c>
      <c r="F3" s="27">
        <v>2</v>
      </c>
      <c r="G3" s="7">
        <v>1.83</v>
      </c>
      <c r="H3" s="7">
        <v>2.1960000000000002</v>
      </c>
      <c r="I3" s="7">
        <v>3</v>
      </c>
      <c r="J3" s="7">
        <v>43.92</v>
      </c>
      <c r="K3" s="7">
        <v>60</v>
      </c>
    </row>
    <row r="4" spans="1:13" x14ac:dyDescent="0.35">
      <c r="A4">
        <v>2</v>
      </c>
      <c r="B4" t="s">
        <v>12</v>
      </c>
      <c r="C4" s="8">
        <v>42524</v>
      </c>
      <c r="D4" t="s">
        <v>39</v>
      </c>
      <c r="E4">
        <v>24</v>
      </c>
      <c r="F4" s="27">
        <v>2</v>
      </c>
      <c r="G4" s="7">
        <v>0.61</v>
      </c>
      <c r="H4" s="7">
        <v>0.73199999999999998</v>
      </c>
      <c r="I4" s="7">
        <v>1.5</v>
      </c>
      <c r="J4" s="7">
        <v>17.567999999999998</v>
      </c>
      <c r="K4" s="7">
        <v>36</v>
      </c>
    </row>
    <row r="5" spans="1:13" x14ac:dyDescent="0.35">
      <c r="A5">
        <v>3</v>
      </c>
      <c r="B5" t="s">
        <v>9</v>
      </c>
      <c r="C5" s="8">
        <v>42524</v>
      </c>
      <c r="D5" t="s">
        <v>39</v>
      </c>
      <c r="E5">
        <v>20</v>
      </c>
      <c r="F5" s="27">
        <v>2</v>
      </c>
      <c r="G5" s="7">
        <v>2</v>
      </c>
      <c r="H5" s="7">
        <v>2.4</v>
      </c>
      <c r="I5" s="7">
        <v>3</v>
      </c>
      <c r="J5" s="7">
        <v>48</v>
      </c>
      <c r="K5" s="7">
        <v>60</v>
      </c>
    </row>
    <row r="6" spans="1:13" x14ac:dyDescent="0.35">
      <c r="A6">
        <v>4</v>
      </c>
      <c r="B6" t="s">
        <v>10</v>
      </c>
      <c r="C6" s="8">
        <v>42528</v>
      </c>
      <c r="D6" t="s">
        <v>39</v>
      </c>
      <c r="E6">
        <v>30</v>
      </c>
      <c r="F6" s="27">
        <v>2</v>
      </c>
      <c r="G6" s="7">
        <v>1.83</v>
      </c>
      <c r="H6" s="7">
        <v>2.1960000000000002</v>
      </c>
      <c r="I6" s="7">
        <v>3</v>
      </c>
      <c r="J6" s="7">
        <v>65.88000000000001</v>
      </c>
      <c r="K6" s="7">
        <v>90</v>
      </c>
    </row>
    <row r="7" spans="1:13" x14ac:dyDescent="0.35">
      <c r="A7">
        <v>5</v>
      </c>
      <c r="B7" t="s">
        <v>18</v>
      </c>
      <c r="C7" s="8">
        <v>42528</v>
      </c>
      <c r="D7" t="s">
        <v>39</v>
      </c>
      <c r="E7">
        <v>6</v>
      </c>
      <c r="F7" s="27">
        <v>2</v>
      </c>
      <c r="G7" s="7">
        <v>5</v>
      </c>
      <c r="H7" s="7">
        <v>6</v>
      </c>
      <c r="I7" s="7">
        <v>9</v>
      </c>
      <c r="J7" s="7">
        <v>36</v>
      </c>
      <c r="K7" s="7">
        <v>54</v>
      </c>
    </row>
    <row r="8" spans="1:13" x14ac:dyDescent="0.35">
      <c r="A8">
        <v>6</v>
      </c>
      <c r="B8" t="s">
        <v>11</v>
      </c>
      <c r="C8" s="8">
        <v>42528</v>
      </c>
      <c r="D8" t="s">
        <v>39</v>
      </c>
      <c r="E8">
        <v>5</v>
      </c>
      <c r="F8" s="27">
        <v>2</v>
      </c>
      <c r="G8" s="7">
        <v>1.83</v>
      </c>
      <c r="H8" s="7">
        <v>2.1960000000000002</v>
      </c>
      <c r="I8" s="7">
        <v>3</v>
      </c>
      <c r="J8" s="7">
        <v>10.98</v>
      </c>
      <c r="K8" s="7">
        <v>15</v>
      </c>
    </row>
    <row r="9" spans="1:13" x14ac:dyDescent="0.35">
      <c r="A9">
        <v>7</v>
      </c>
      <c r="B9" t="s">
        <v>9</v>
      </c>
      <c r="C9" s="8">
        <v>42528</v>
      </c>
      <c r="D9" t="s">
        <v>39</v>
      </c>
      <c r="E9">
        <v>25</v>
      </c>
      <c r="F9" s="27">
        <v>2</v>
      </c>
      <c r="G9" s="7">
        <v>2</v>
      </c>
      <c r="H9" s="7">
        <v>2.4</v>
      </c>
      <c r="I9" s="7">
        <v>3</v>
      </c>
      <c r="J9" s="7">
        <v>60</v>
      </c>
      <c r="K9" s="7">
        <v>75</v>
      </c>
    </row>
    <row r="10" spans="1:13" x14ac:dyDescent="0.35">
      <c r="A10">
        <v>8</v>
      </c>
      <c r="B10" t="s">
        <v>12</v>
      </c>
      <c r="C10" s="8">
        <v>42720</v>
      </c>
      <c r="D10" t="s">
        <v>71</v>
      </c>
      <c r="E10">
        <v>100</v>
      </c>
      <c r="F10" s="27">
        <v>2</v>
      </c>
      <c r="G10" s="7">
        <v>0.61</v>
      </c>
      <c r="H10" s="7">
        <v>0.73199999999999998</v>
      </c>
      <c r="I10" s="7">
        <v>1.5</v>
      </c>
      <c r="J10" s="7">
        <v>73.2</v>
      </c>
      <c r="K10" s="7">
        <v>150</v>
      </c>
    </row>
    <row r="11" spans="1:13" x14ac:dyDescent="0.35">
      <c r="A11">
        <v>9</v>
      </c>
      <c r="B11" t="s">
        <v>15</v>
      </c>
      <c r="C11" s="8">
        <v>42537</v>
      </c>
      <c r="D11" t="s">
        <v>73</v>
      </c>
      <c r="E11">
        <v>50</v>
      </c>
      <c r="F11" s="27">
        <v>1</v>
      </c>
      <c r="G11" s="7">
        <v>0.73</v>
      </c>
      <c r="H11" s="7">
        <v>0.77015</v>
      </c>
      <c r="I11" s="7">
        <v>1.5</v>
      </c>
      <c r="J11" s="7">
        <v>38.5075</v>
      </c>
      <c r="K11" s="7">
        <v>75</v>
      </c>
    </row>
  </sheetData>
  <sortState ref="A2:K9">
    <sortCondition ref="A2"/>
  </sortState>
  <hyperlinks>
    <hyperlink ref="K1" location="Stock!A1" display="Stock"/>
    <hyperlink ref="J1" location="Noms!A1" display="Nom"/>
    <hyperlink ref="I1" location="Listes!A1" display="Listes"/>
    <hyperlink ref="H1" location="'Historique Mise en Bouteilles'!A1" display="Historique Mise en bouteilles"/>
    <hyperlink ref="G1" location="'Tableau de Bord'!A1" display="Tableau de Bord"/>
    <hyperlink ref="F1" location="'Historique Entrees'!A1" display="Historique Entrées"/>
    <hyperlink ref="E1" location="'Mise en Bouteilles'!A1" display="Mise en Bouteilles"/>
    <hyperlink ref="D1" location="Sorties!A1" display="Sorties"/>
    <hyperlink ref="C1" location="Entrees!A1" display="Entrées"/>
  </hyperlink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92"/>
  <sheetViews>
    <sheetView topLeftCell="F1" zoomScaleNormal="100" workbookViewId="0">
      <pane ySplit="2" topLeftCell="A88" activePane="bottomLeft" state="frozenSplit"/>
      <selection pane="bottomLeft" activeCell="A92" sqref="A92:N92"/>
    </sheetView>
  </sheetViews>
  <sheetFormatPr baseColWidth="10" defaultRowHeight="14.5" x14ac:dyDescent="0.35"/>
  <cols>
    <col min="1" max="1" width="6.1796875" customWidth="1"/>
    <col min="2" max="2" width="14" customWidth="1"/>
    <col min="3" max="3" width="10.54296875" style="8" customWidth="1"/>
    <col min="4" max="4" width="15" bestFit="1" customWidth="1"/>
    <col min="5" max="5" width="13.54296875" customWidth="1"/>
    <col min="6" max="6" width="27.1796875" customWidth="1"/>
    <col min="7" max="7" width="24" customWidth="1"/>
    <col min="8" max="8" width="11.7265625" customWidth="1"/>
    <col min="9" max="9" width="9.81640625" customWidth="1"/>
    <col min="10" max="10" width="10.1796875" style="7" customWidth="1"/>
    <col min="11" max="11" width="11.26953125" style="24" customWidth="1"/>
    <col min="12" max="12" width="12.26953125" style="7" customWidth="1"/>
    <col min="13" max="13" width="11.453125" style="7"/>
    <col min="14" max="14" width="16.7265625" style="7" customWidth="1"/>
    <col min="15" max="15" width="7.1796875" style="27" customWidth="1"/>
    <col min="16" max="16" width="5.81640625" hidden="1" customWidth="1"/>
  </cols>
  <sheetData>
    <row r="1" spans="1:17" ht="40.5" customHeight="1" x14ac:dyDescent="0.35">
      <c r="A1" s="42"/>
      <c r="B1" s="42"/>
      <c r="C1" s="39" t="s">
        <v>40</v>
      </c>
      <c r="D1" s="41" t="s">
        <v>41</v>
      </c>
      <c r="E1" s="41" t="s">
        <v>42</v>
      </c>
      <c r="F1" s="41" t="s">
        <v>43</v>
      </c>
      <c r="G1" s="41" t="s">
        <v>87</v>
      </c>
      <c r="H1" s="41" t="s">
        <v>68</v>
      </c>
      <c r="I1" s="41" t="s">
        <v>92</v>
      </c>
      <c r="J1" s="48" t="s">
        <v>47</v>
      </c>
      <c r="K1" s="48" t="s">
        <v>5</v>
      </c>
      <c r="L1" s="48" t="s">
        <v>48</v>
      </c>
      <c r="M1" s="43"/>
      <c r="N1" s="43"/>
    </row>
    <row r="2" spans="1:17" ht="40" customHeight="1" x14ac:dyDescent="0.35">
      <c r="A2" s="74" t="s">
        <v>6</v>
      </c>
      <c r="B2" s="74" t="s">
        <v>7</v>
      </c>
      <c r="C2" s="75" t="s">
        <v>4</v>
      </c>
      <c r="D2" s="74" t="s">
        <v>57</v>
      </c>
      <c r="E2" s="74" t="s">
        <v>56</v>
      </c>
      <c r="F2" s="74" t="s">
        <v>58</v>
      </c>
      <c r="G2" s="74" t="s">
        <v>59</v>
      </c>
      <c r="H2" s="74" t="s">
        <v>60</v>
      </c>
      <c r="I2" s="74" t="s">
        <v>2</v>
      </c>
      <c r="J2" s="76" t="s">
        <v>37</v>
      </c>
      <c r="K2" s="77" t="s">
        <v>38</v>
      </c>
      <c r="L2" s="76" t="s">
        <v>29</v>
      </c>
      <c r="M2" s="76" t="s">
        <v>3</v>
      </c>
      <c r="N2" s="76" t="s">
        <v>30</v>
      </c>
      <c r="O2" s="79" t="s">
        <v>97</v>
      </c>
      <c r="P2" s="78">
        <f>COUNTA(A:A)</f>
        <v>91</v>
      </c>
      <c r="Q2" s="1"/>
    </row>
    <row r="3" spans="1:17" ht="15.75" customHeight="1" x14ac:dyDescent="0.35">
      <c r="A3">
        <v>1</v>
      </c>
      <c r="B3" t="s">
        <v>9</v>
      </c>
      <c r="C3" s="8">
        <v>39244</v>
      </c>
      <c r="D3" t="s">
        <v>71</v>
      </c>
      <c r="E3">
        <v>12</v>
      </c>
      <c r="F3">
        <v>528</v>
      </c>
      <c r="G3">
        <v>524</v>
      </c>
      <c r="H3">
        <v>-4</v>
      </c>
      <c r="I3">
        <v>2</v>
      </c>
      <c r="J3" s="7">
        <v>2</v>
      </c>
      <c r="K3" s="24">
        <v>2.4</v>
      </c>
      <c r="L3" s="7">
        <v>3</v>
      </c>
      <c r="M3" s="7">
        <v>1257.5999999999999</v>
      </c>
      <c r="N3" s="7">
        <v>1572</v>
      </c>
      <c r="O3" s="80">
        <f>YEAR(Tableau5[[#This Row],[Date]])</f>
        <v>2007</v>
      </c>
    </row>
    <row r="4" spans="1:17" ht="15.75" customHeight="1" x14ac:dyDescent="0.35">
      <c r="A4">
        <v>2</v>
      </c>
      <c r="B4" t="s">
        <v>69</v>
      </c>
      <c r="C4" s="8">
        <v>39093</v>
      </c>
      <c r="D4" t="s">
        <v>71</v>
      </c>
      <c r="E4">
        <v>3</v>
      </c>
      <c r="F4">
        <v>132</v>
      </c>
      <c r="G4">
        <v>126</v>
      </c>
      <c r="H4">
        <v>-6</v>
      </c>
      <c r="I4">
        <v>2</v>
      </c>
      <c r="J4" s="7">
        <v>2.5</v>
      </c>
      <c r="K4" s="24">
        <v>3</v>
      </c>
      <c r="L4" s="7">
        <v>3</v>
      </c>
      <c r="M4" s="7">
        <v>378</v>
      </c>
      <c r="N4" s="7">
        <v>378</v>
      </c>
      <c r="O4" s="80">
        <f>YEAR(Tableau5[[#This Row],[Date]])</f>
        <v>2007</v>
      </c>
    </row>
    <row r="5" spans="1:17" ht="15.75" customHeight="1" x14ac:dyDescent="0.35">
      <c r="A5">
        <v>3</v>
      </c>
      <c r="B5" t="s">
        <v>10</v>
      </c>
      <c r="C5" s="8">
        <v>39109</v>
      </c>
      <c r="D5" t="s">
        <v>73</v>
      </c>
      <c r="E5">
        <v>11</v>
      </c>
      <c r="F5">
        <v>484</v>
      </c>
      <c r="G5">
        <v>477</v>
      </c>
      <c r="H5">
        <v>-7</v>
      </c>
      <c r="I5">
        <v>2</v>
      </c>
      <c r="J5" s="7">
        <v>1.83</v>
      </c>
      <c r="K5" s="24">
        <v>2.1960000000000002</v>
      </c>
      <c r="L5" s="7">
        <v>3</v>
      </c>
      <c r="M5" s="7">
        <v>1047.4920000000002</v>
      </c>
      <c r="N5" s="7">
        <v>1431</v>
      </c>
      <c r="O5" s="80">
        <f>YEAR(Tableau5[[#This Row],[Date]])</f>
        <v>2007</v>
      </c>
    </row>
    <row r="6" spans="1:17" ht="15.75" customHeight="1" x14ac:dyDescent="0.35">
      <c r="A6">
        <v>4</v>
      </c>
      <c r="B6" t="s">
        <v>11</v>
      </c>
      <c r="C6" s="8">
        <v>39126</v>
      </c>
      <c r="D6" t="s">
        <v>73</v>
      </c>
      <c r="E6">
        <v>1</v>
      </c>
      <c r="F6">
        <v>44</v>
      </c>
      <c r="G6">
        <v>42</v>
      </c>
      <c r="H6">
        <v>-2</v>
      </c>
      <c r="I6">
        <v>2</v>
      </c>
      <c r="J6" s="7">
        <v>1.83</v>
      </c>
      <c r="K6" s="24">
        <v>2.1960000000000002</v>
      </c>
      <c r="L6" s="7">
        <v>3</v>
      </c>
      <c r="M6" s="7">
        <v>92.232000000000014</v>
      </c>
      <c r="N6" s="7">
        <v>126</v>
      </c>
      <c r="O6" s="80">
        <f>YEAR(Tableau5[[#This Row],[Date]])</f>
        <v>2007</v>
      </c>
    </row>
    <row r="7" spans="1:17" ht="15.75" customHeight="1" x14ac:dyDescent="0.35">
      <c r="A7">
        <v>5</v>
      </c>
      <c r="B7" t="s">
        <v>69</v>
      </c>
      <c r="C7" s="8">
        <v>39126</v>
      </c>
      <c r="D7" t="s">
        <v>73</v>
      </c>
      <c r="E7">
        <v>3</v>
      </c>
      <c r="F7">
        <v>132</v>
      </c>
      <c r="G7">
        <v>103</v>
      </c>
      <c r="H7">
        <v>-29</v>
      </c>
      <c r="I7">
        <v>2</v>
      </c>
      <c r="J7" s="7">
        <v>2.5</v>
      </c>
      <c r="K7" s="24">
        <v>3</v>
      </c>
      <c r="L7" s="7">
        <v>3</v>
      </c>
      <c r="M7" s="7">
        <v>309</v>
      </c>
      <c r="N7" s="7">
        <v>309</v>
      </c>
      <c r="O7" s="80">
        <f>YEAR(Tableau5[[#This Row],[Date]])</f>
        <v>2007</v>
      </c>
    </row>
    <row r="8" spans="1:17" ht="15.75" customHeight="1" x14ac:dyDescent="0.35">
      <c r="A8">
        <v>6</v>
      </c>
      <c r="B8" t="s">
        <v>9</v>
      </c>
      <c r="C8" s="8">
        <v>39178</v>
      </c>
      <c r="D8" t="s">
        <v>73</v>
      </c>
      <c r="E8">
        <v>12</v>
      </c>
      <c r="F8">
        <v>528</v>
      </c>
      <c r="G8">
        <v>522</v>
      </c>
      <c r="H8">
        <v>-6</v>
      </c>
      <c r="I8">
        <v>2</v>
      </c>
      <c r="J8" s="7">
        <v>2</v>
      </c>
      <c r="K8" s="24">
        <v>2.4</v>
      </c>
      <c r="L8" s="7">
        <v>3</v>
      </c>
      <c r="M8" s="7">
        <v>1252.8</v>
      </c>
      <c r="N8" s="7">
        <v>1566</v>
      </c>
      <c r="O8" s="80">
        <f>YEAR(Tableau5[[#This Row],[Date]])</f>
        <v>2007</v>
      </c>
    </row>
    <row r="9" spans="1:17" ht="15.75" customHeight="1" x14ac:dyDescent="0.35">
      <c r="A9">
        <v>7</v>
      </c>
      <c r="B9" t="s">
        <v>10</v>
      </c>
      <c r="C9" s="8">
        <v>39214</v>
      </c>
      <c r="D9" t="s">
        <v>74</v>
      </c>
      <c r="E9">
        <v>12</v>
      </c>
      <c r="F9">
        <v>528</v>
      </c>
      <c r="G9">
        <v>521</v>
      </c>
      <c r="H9">
        <v>-7</v>
      </c>
      <c r="I9">
        <v>2</v>
      </c>
      <c r="J9" s="7">
        <v>1.83</v>
      </c>
      <c r="K9" s="24">
        <v>2.1960000000000002</v>
      </c>
      <c r="L9" s="7">
        <v>3</v>
      </c>
      <c r="M9" s="7">
        <v>1144.116</v>
      </c>
      <c r="N9" s="7">
        <v>1563</v>
      </c>
      <c r="O9" s="80">
        <f>YEAR(Tableau5[[#This Row],[Date]])</f>
        <v>2007</v>
      </c>
    </row>
    <row r="10" spans="1:17" ht="15.75" customHeight="1" x14ac:dyDescent="0.35">
      <c r="A10">
        <v>8</v>
      </c>
      <c r="B10" t="s">
        <v>69</v>
      </c>
      <c r="C10" s="8">
        <v>39214</v>
      </c>
      <c r="D10" t="s">
        <v>74</v>
      </c>
      <c r="E10">
        <v>2</v>
      </c>
      <c r="F10">
        <v>88</v>
      </c>
      <c r="G10">
        <v>63</v>
      </c>
      <c r="H10">
        <v>-25</v>
      </c>
      <c r="I10">
        <v>2</v>
      </c>
      <c r="J10" s="7">
        <v>2.5</v>
      </c>
      <c r="K10" s="24">
        <v>3</v>
      </c>
      <c r="L10" s="7">
        <v>3</v>
      </c>
      <c r="M10" s="7">
        <v>189</v>
      </c>
      <c r="N10" s="7">
        <v>189</v>
      </c>
      <c r="O10" s="80">
        <f>YEAR(Tableau5[[#This Row],[Date]])</f>
        <v>2007</v>
      </c>
    </row>
    <row r="11" spans="1:17" ht="15.75" customHeight="1" x14ac:dyDescent="0.35">
      <c r="A11">
        <v>9</v>
      </c>
      <c r="B11" t="s">
        <v>10</v>
      </c>
      <c r="C11" s="8">
        <v>39276</v>
      </c>
      <c r="D11" t="s">
        <v>75</v>
      </c>
      <c r="E11">
        <v>12</v>
      </c>
      <c r="F11">
        <v>528</v>
      </c>
      <c r="G11">
        <v>510</v>
      </c>
      <c r="H11">
        <v>-18</v>
      </c>
      <c r="I11">
        <v>2</v>
      </c>
      <c r="J11" s="7">
        <v>1.83</v>
      </c>
      <c r="K11" s="24">
        <v>2.1960000000000002</v>
      </c>
      <c r="L11" s="7">
        <v>3</v>
      </c>
      <c r="M11" s="7">
        <v>1119.96</v>
      </c>
      <c r="N11" s="7">
        <v>1530</v>
      </c>
      <c r="O11" s="80">
        <f>YEAR(Tableau5[[#This Row],[Date]])</f>
        <v>2007</v>
      </c>
    </row>
    <row r="12" spans="1:17" ht="15.75" customHeight="1" x14ac:dyDescent="0.35">
      <c r="A12">
        <v>10</v>
      </c>
      <c r="B12" t="s">
        <v>69</v>
      </c>
      <c r="C12" s="8">
        <v>39276</v>
      </c>
      <c r="D12" t="s">
        <v>75</v>
      </c>
      <c r="E12">
        <v>3</v>
      </c>
      <c r="F12">
        <v>132</v>
      </c>
      <c r="G12">
        <v>120</v>
      </c>
      <c r="H12">
        <v>-12</v>
      </c>
      <c r="I12">
        <v>2</v>
      </c>
      <c r="J12" s="7">
        <v>2.5</v>
      </c>
      <c r="K12" s="24">
        <v>3</v>
      </c>
      <c r="L12" s="7">
        <v>3</v>
      </c>
      <c r="M12" s="7">
        <v>360</v>
      </c>
      <c r="N12" s="7">
        <v>360</v>
      </c>
      <c r="O12" s="80">
        <f>YEAR(Tableau5[[#This Row],[Date]])</f>
        <v>2007</v>
      </c>
    </row>
    <row r="13" spans="1:17" ht="15.75" customHeight="1" x14ac:dyDescent="0.35">
      <c r="A13">
        <v>11</v>
      </c>
      <c r="B13" t="s">
        <v>9</v>
      </c>
      <c r="C13" s="8">
        <v>39284</v>
      </c>
      <c r="D13" t="s">
        <v>76</v>
      </c>
      <c r="E13">
        <v>12</v>
      </c>
      <c r="F13">
        <v>528</v>
      </c>
      <c r="G13">
        <v>525</v>
      </c>
      <c r="H13">
        <v>-3</v>
      </c>
      <c r="I13">
        <v>2</v>
      </c>
      <c r="J13" s="7">
        <v>2</v>
      </c>
      <c r="K13" s="24">
        <v>2.4</v>
      </c>
      <c r="L13" s="7">
        <v>3</v>
      </c>
      <c r="M13" s="7">
        <v>1260</v>
      </c>
      <c r="N13" s="7">
        <v>1575</v>
      </c>
      <c r="O13" s="80">
        <f>YEAR(Tableau5[[#This Row],[Date]])</f>
        <v>2007</v>
      </c>
    </row>
    <row r="14" spans="1:17" ht="15.75" customHeight="1" x14ac:dyDescent="0.35">
      <c r="A14">
        <v>12</v>
      </c>
      <c r="B14" t="s">
        <v>69</v>
      </c>
      <c r="C14" s="8">
        <v>39307</v>
      </c>
      <c r="D14" t="s">
        <v>73</v>
      </c>
      <c r="E14">
        <v>3</v>
      </c>
      <c r="F14">
        <v>132</v>
      </c>
      <c r="G14">
        <v>133</v>
      </c>
      <c r="H14">
        <v>1</v>
      </c>
      <c r="I14">
        <v>2</v>
      </c>
      <c r="J14" s="7">
        <v>2.5</v>
      </c>
      <c r="K14" s="24">
        <v>3</v>
      </c>
      <c r="L14" s="7">
        <v>3</v>
      </c>
      <c r="M14" s="7">
        <v>399</v>
      </c>
      <c r="N14" s="7">
        <v>399</v>
      </c>
      <c r="O14" s="80">
        <f>YEAR(Tableau5[[#This Row],[Date]])</f>
        <v>2007</v>
      </c>
    </row>
    <row r="15" spans="1:17" ht="15.75" customHeight="1" x14ac:dyDescent="0.35">
      <c r="A15">
        <v>13</v>
      </c>
      <c r="B15" t="s">
        <v>11</v>
      </c>
      <c r="C15" s="8">
        <v>39307</v>
      </c>
      <c r="D15" t="s">
        <v>73</v>
      </c>
      <c r="E15">
        <v>1</v>
      </c>
      <c r="F15">
        <v>44</v>
      </c>
      <c r="G15">
        <v>42</v>
      </c>
      <c r="H15">
        <v>-2</v>
      </c>
      <c r="I15">
        <v>2</v>
      </c>
      <c r="J15" s="7">
        <v>1.83</v>
      </c>
      <c r="K15" s="24">
        <v>2.1960000000000002</v>
      </c>
      <c r="L15" s="7">
        <v>3</v>
      </c>
      <c r="M15" s="7">
        <v>92.232000000000014</v>
      </c>
      <c r="N15" s="7">
        <v>126</v>
      </c>
      <c r="O15" s="80">
        <f>YEAR(Tableau5[[#This Row],[Date]])</f>
        <v>2007</v>
      </c>
    </row>
    <row r="16" spans="1:17" ht="15.75" customHeight="1" x14ac:dyDescent="0.35">
      <c r="A16">
        <v>14</v>
      </c>
      <c r="B16" t="s">
        <v>10</v>
      </c>
      <c r="C16" s="8">
        <v>39325</v>
      </c>
      <c r="D16" t="s">
        <v>73</v>
      </c>
      <c r="E16">
        <v>13</v>
      </c>
      <c r="F16">
        <v>572</v>
      </c>
      <c r="G16">
        <v>550</v>
      </c>
      <c r="H16">
        <v>-22</v>
      </c>
      <c r="I16">
        <v>2</v>
      </c>
      <c r="J16" s="7">
        <v>1.83</v>
      </c>
      <c r="K16" s="24">
        <v>2.1960000000000002</v>
      </c>
      <c r="L16" s="7">
        <v>3</v>
      </c>
      <c r="M16" s="7">
        <v>1207.8000000000002</v>
      </c>
      <c r="N16" s="7">
        <v>1650</v>
      </c>
      <c r="O16" s="80">
        <f>YEAR(Tableau5[[#This Row],[Date]])</f>
        <v>2007</v>
      </c>
    </row>
    <row r="17" spans="1:15" ht="15.75" customHeight="1" x14ac:dyDescent="0.35">
      <c r="A17">
        <v>15</v>
      </c>
      <c r="B17" t="s">
        <v>69</v>
      </c>
      <c r="C17" s="8">
        <v>39325</v>
      </c>
      <c r="D17" t="s">
        <v>73</v>
      </c>
      <c r="E17">
        <v>3</v>
      </c>
      <c r="F17">
        <v>132</v>
      </c>
      <c r="G17">
        <v>128</v>
      </c>
      <c r="H17">
        <v>-4</v>
      </c>
      <c r="I17">
        <v>2</v>
      </c>
      <c r="J17" s="7">
        <v>2.5</v>
      </c>
      <c r="K17" s="24">
        <v>3</v>
      </c>
      <c r="L17" s="7">
        <v>3</v>
      </c>
      <c r="M17" s="7">
        <v>384</v>
      </c>
      <c r="N17" s="7">
        <v>384</v>
      </c>
      <c r="O17" s="80">
        <f>YEAR(Tableau5[[#This Row],[Date]])</f>
        <v>2007</v>
      </c>
    </row>
    <row r="18" spans="1:15" ht="15.75" customHeight="1" x14ac:dyDescent="0.35">
      <c r="A18">
        <v>16</v>
      </c>
      <c r="B18" t="s">
        <v>9</v>
      </c>
      <c r="C18" s="8">
        <v>39346</v>
      </c>
      <c r="D18" t="s">
        <v>71</v>
      </c>
      <c r="E18">
        <v>12</v>
      </c>
      <c r="F18">
        <v>528</v>
      </c>
      <c r="G18">
        <v>521</v>
      </c>
      <c r="H18">
        <v>-7</v>
      </c>
      <c r="I18">
        <v>2</v>
      </c>
      <c r="J18" s="7">
        <v>2</v>
      </c>
      <c r="K18" s="24">
        <v>2.4</v>
      </c>
      <c r="L18" s="7">
        <v>3</v>
      </c>
      <c r="M18" s="7">
        <v>1250.3999999999999</v>
      </c>
      <c r="N18" s="7">
        <v>1563</v>
      </c>
      <c r="O18" s="80">
        <f>YEAR(Tableau5[[#This Row],[Date]])</f>
        <v>2007</v>
      </c>
    </row>
    <row r="19" spans="1:15" ht="15.75" customHeight="1" x14ac:dyDescent="0.35">
      <c r="A19">
        <v>17</v>
      </c>
      <c r="B19" t="s">
        <v>69</v>
      </c>
      <c r="C19" s="8">
        <v>39359</v>
      </c>
      <c r="D19" t="s">
        <v>75</v>
      </c>
      <c r="E19">
        <v>3</v>
      </c>
      <c r="F19">
        <v>132</v>
      </c>
      <c r="G19">
        <v>128</v>
      </c>
      <c r="H19">
        <v>-4</v>
      </c>
      <c r="I19">
        <v>2</v>
      </c>
      <c r="J19" s="7">
        <v>2.5</v>
      </c>
      <c r="K19" s="24">
        <v>3</v>
      </c>
      <c r="L19" s="7">
        <v>3</v>
      </c>
      <c r="M19" s="7">
        <v>384</v>
      </c>
      <c r="N19" s="7">
        <v>384</v>
      </c>
      <c r="O19" s="80">
        <f>YEAR(Tableau5[[#This Row],[Date]])</f>
        <v>2007</v>
      </c>
    </row>
    <row r="20" spans="1:15" ht="15.75" customHeight="1" x14ac:dyDescent="0.35">
      <c r="A20">
        <v>18</v>
      </c>
      <c r="B20" t="s">
        <v>11</v>
      </c>
      <c r="C20" s="8">
        <v>39359</v>
      </c>
      <c r="D20" t="s">
        <v>75</v>
      </c>
      <c r="E20">
        <v>1</v>
      </c>
      <c r="F20">
        <v>44</v>
      </c>
      <c r="G20">
        <v>43</v>
      </c>
      <c r="H20">
        <v>-1</v>
      </c>
      <c r="I20">
        <v>2</v>
      </c>
      <c r="J20" s="7">
        <v>1.83</v>
      </c>
      <c r="K20" s="24">
        <v>2.1960000000000002</v>
      </c>
      <c r="L20" s="7">
        <v>3</v>
      </c>
      <c r="M20" s="7">
        <v>94.428000000000011</v>
      </c>
      <c r="N20" s="7">
        <v>129</v>
      </c>
      <c r="O20" s="80">
        <f>YEAR(Tableau5[[#This Row],[Date]])</f>
        <v>2007</v>
      </c>
    </row>
    <row r="21" spans="1:15" ht="15.75" customHeight="1" x14ac:dyDescent="0.35">
      <c r="A21">
        <v>19</v>
      </c>
      <c r="B21" t="s">
        <v>69</v>
      </c>
      <c r="C21" s="8">
        <v>39381</v>
      </c>
      <c r="D21" t="s">
        <v>77</v>
      </c>
      <c r="E21">
        <v>6</v>
      </c>
      <c r="F21">
        <v>264</v>
      </c>
      <c r="G21">
        <v>269</v>
      </c>
      <c r="H21">
        <v>5</v>
      </c>
      <c r="I21">
        <v>2</v>
      </c>
      <c r="J21" s="7">
        <v>2.5</v>
      </c>
      <c r="K21" s="24">
        <v>3</v>
      </c>
      <c r="L21" s="7">
        <v>3</v>
      </c>
      <c r="M21" s="7">
        <v>807</v>
      </c>
      <c r="N21" s="7">
        <v>807</v>
      </c>
      <c r="O21" s="80">
        <f>YEAR(Tableau5[[#This Row],[Date]])</f>
        <v>2007</v>
      </c>
    </row>
    <row r="22" spans="1:15" ht="15.75" customHeight="1" x14ac:dyDescent="0.35">
      <c r="A22">
        <v>20</v>
      </c>
      <c r="B22" t="s">
        <v>10</v>
      </c>
      <c r="C22" s="8">
        <v>39381</v>
      </c>
      <c r="D22" t="s">
        <v>77</v>
      </c>
      <c r="E22">
        <v>10</v>
      </c>
      <c r="F22">
        <v>440</v>
      </c>
      <c r="G22">
        <v>427</v>
      </c>
      <c r="H22">
        <v>-13</v>
      </c>
      <c r="I22">
        <v>2</v>
      </c>
      <c r="J22" s="7">
        <v>1.83</v>
      </c>
      <c r="K22" s="24">
        <v>2.1960000000000002</v>
      </c>
      <c r="L22" s="7">
        <v>3</v>
      </c>
      <c r="M22" s="7">
        <v>937.69200000000012</v>
      </c>
      <c r="N22" s="7">
        <v>1281</v>
      </c>
      <c r="O22" s="80">
        <f>YEAR(Tableau5[[#This Row],[Date]])</f>
        <v>2007</v>
      </c>
    </row>
    <row r="23" spans="1:15" ht="15.75" customHeight="1" x14ac:dyDescent="0.35">
      <c r="A23">
        <v>21</v>
      </c>
      <c r="B23" t="s">
        <v>69</v>
      </c>
      <c r="C23" s="8">
        <v>39421</v>
      </c>
      <c r="D23" t="s">
        <v>74</v>
      </c>
      <c r="E23">
        <v>2</v>
      </c>
      <c r="F23">
        <v>88</v>
      </c>
      <c r="G23">
        <v>64</v>
      </c>
      <c r="H23">
        <v>-24</v>
      </c>
      <c r="I23">
        <v>2</v>
      </c>
      <c r="J23" s="7">
        <v>2.5</v>
      </c>
      <c r="K23" s="24">
        <v>3</v>
      </c>
      <c r="L23" s="7">
        <v>3</v>
      </c>
      <c r="M23" s="7">
        <v>192</v>
      </c>
      <c r="N23" s="7">
        <v>192</v>
      </c>
      <c r="O23" s="80">
        <f>YEAR(Tableau5[[#This Row],[Date]])</f>
        <v>2007</v>
      </c>
    </row>
    <row r="24" spans="1:15" ht="15.75" customHeight="1" x14ac:dyDescent="0.35">
      <c r="A24">
        <v>22</v>
      </c>
      <c r="B24" t="s">
        <v>11</v>
      </c>
      <c r="C24" s="8">
        <v>39424</v>
      </c>
      <c r="D24" t="s">
        <v>74</v>
      </c>
      <c r="E24">
        <v>2</v>
      </c>
      <c r="F24">
        <v>88</v>
      </c>
      <c r="G24">
        <v>86</v>
      </c>
      <c r="H24">
        <v>-2</v>
      </c>
      <c r="I24">
        <v>2</v>
      </c>
      <c r="J24" s="7">
        <v>1.83</v>
      </c>
      <c r="K24" s="24">
        <v>2.1960000000000002</v>
      </c>
      <c r="L24" s="7">
        <v>3</v>
      </c>
      <c r="M24" s="7">
        <v>188.85600000000002</v>
      </c>
      <c r="N24" s="7">
        <v>258</v>
      </c>
      <c r="O24" s="80">
        <f>YEAR(Tableau5[[#This Row],[Date]])</f>
        <v>2007</v>
      </c>
    </row>
    <row r="25" spans="1:15" ht="15.75" customHeight="1" x14ac:dyDescent="0.35">
      <c r="A25">
        <v>23</v>
      </c>
      <c r="B25" t="s">
        <v>10</v>
      </c>
      <c r="C25" s="8">
        <v>39424</v>
      </c>
      <c r="D25" t="s">
        <v>74</v>
      </c>
      <c r="E25">
        <v>7</v>
      </c>
      <c r="F25">
        <v>308</v>
      </c>
      <c r="G25">
        <v>306</v>
      </c>
      <c r="H25">
        <v>-2</v>
      </c>
      <c r="I25">
        <v>2</v>
      </c>
      <c r="J25" s="7">
        <v>1.83</v>
      </c>
      <c r="K25" s="24">
        <v>2.1960000000000002</v>
      </c>
      <c r="L25" s="7">
        <v>3</v>
      </c>
      <c r="M25" s="7">
        <v>671.976</v>
      </c>
      <c r="N25" s="7">
        <v>918</v>
      </c>
      <c r="O25" s="80">
        <f>YEAR(Tableau5[[#This Row],[Date]])</f>
        <v>2007</v>
      </c>
    </row>
    <row r="26" spans="1:15" ht="15.75" customHeight="1" x14ac:dyDescent="0.35">
      <c r="A26">
        <v>24</v>
      </c>
      <c r="B26" t="s">
        <v>69</v>
      </c>
      <c r="C26" s="8">
        <v>39424</v>
      </c>
      <c r="D26" t="s">
        <v>74</v>
      </c>
      <c r="E26">
        <v>4</v>
      </c>
      <c r="F26">
        <v>176</v>
      </c>
      <c r="G26">
        <v>193</v>
      </c>
      <c r="H26">
        <v>17</v>
      </c>
      <c r="I26">
        <v>2</v>
      </c>
      <c r="J26" s="7">
        <v>2.5</v>
      </c>
      <c r="K26" s="24">
        <v>3</v>
      </c>
      <c r="L26" s="7">
        <v>3</v>
      </c>
      <c r="M26" s="7">
        <v>579</v>
      </c>
      <c r="N26" s="7">
        <v>579</v>
      </c>
      <c r="O26" s="80">
        <f>YEAR(Tableau5[[#This Row],[Date]])</f>
        <v>2007</v>
      </c>
    </row>
    <row r="27" spans="1:15" ht="15.75" customHeight="1" x14ac:dyDescent="0.35">
      <c r="A27">
        <v>25</v>
      </c>
      <c r="B27" t="s">
        <v>10</v>
      </c>
      <c r="C27" s="8">
        <v>39438</v>
      </c>
      <c r="D27" t="s">
        <v>77</v>
      </c>
      <c r="E27">
        <v>1</v>
      </c>
      <c r="F27">
        <v>44</v>
      </c>
      <c r="G27">
        <v>43</v>
      </c>
      <c r="H27">
        <v>-1</v>
      </c>
      <c r="I27">
        <v>2</v>
      </c>
      <c r="J27" s="7">
        <v>1.83</v>
      </c>
      <c r="K27" s="24">
        <v>2.1960000000000002</v>
      </c>
      <c r="L27" s="7">
        <v>3</v>
      </c>
      <c r="M27" s="7">
        <v>94.428000000000011</v>
      </c>
      <c r="N27" s="7">
        <v>129</v>
      </c>
      <c r="O27" s="80">
        <f>YEAR(Tableau5[[#This Row],[Date]])</f>
        <v>2007</v>
      </c>
    </row>
    <row r="28" spans="1:15" ht="15.75" customHeight="1" x14ac:dyDescent="0.35">
      <c r="A28">
        <v>26</v>
      </c>
      <c r="B28" t="s">
        <v>9</v>
      </c>
      <c r="C28" s="8">
        <v>39438</v>
      </c>
      <c r="D28" t="s">
        <v>77</v>
      </c>
      <c r="E28">
        <v>13</v>
      </c>
      <c r="F28">
        <v>572</v>
      </c>
      <c r="G28">
        <v>563</v>
      </c>
      <c r="H28">
        <v>-9</v>
      </c>
      <c r="I28">
        <v>2</v>
      </c>
      <c r="J28" s="7">
        <v>2</v>
      </c>
      <c r="K28" s="24">
        <v>2.4</v>
      </c>
      <c r="L28" s="7">
        <v>3</v>
      </c>
      <c r="M28" s="7">
        <v>1351.2</v>
      </c>
      <c r="N28" s="7">
        <v>1689</v>
      </c>
      <c r="O28" s="80">
        <f>YEAR(Tableau5[[#This Row],[Date]])</f>
        <v>2007</v>
      </c>
    </row>
    <row r="29" spans="1:15" ht="15.75" customHeight="1" x14ac:dyDescent="0.35">
      <c r="A29">
        <v>27</v>
      </c>
      <c r="B29" t="s">
        <v>11</v>
      </c>
      <c r="C29" s="8">
        <v>39473</v>
      </c>
      <c r="D29" t="s">
        <v>77</v>
      </c>
      <c r="E29">
        <v>2</v>
      </c>
      <c r="F29">
        <v>88</v>
      </c>
      <c r="G29">
        <v>87</v>
      </c>
      <c r="H29">
        <v>-1</v>
      </c>
      <c r="I29">
        <v>2</v>
      </c>
      <c r="J29" s="7">
        <v>1.83</v>
      </c>
      <c r="K29" s="24">
        <v>2.1960000000000002</v>
      </c>
      <c r="L29" s="7">
        <v>3</v>
      </c>
      <c r="M29" s="7">
        <v>191.05200000000002</v>
      </c>
      <c r="N29" s="7">
        <v>261</v>
      </c>
      <c r="O29" s="80">
        <f>YEAR(Tableau5[[#This Row],[Date]])</f>
        <v>2008</v>
      </c>
    </row>
    <row r="30" spans="1:15" ht="15.75" customHeight="1" x14ac:dyDescent="0.35">
      <c r="A30">
        <v>28</v>
      </c>
      <c r="B30" t="s">
        <v>10</v>
      </c>
      <c r="C30" s="8">
        <v>39473</v>
      </c>
      <c r="D30" t="s">
        <v>77</v>
      </c>
      <c r="E30">
        <v>7</v>
      </c>
      <c r="F30">
        <v>308</v>
      </c>
      <c r="G30">
        <v>231</v>
      </c>
      <c r="H30">
        <v>-77</v>
      </c>
      <c r="I30">
        <v>2</v>
      </c>
      <c r="J30" s="7">
        <v>1.83</v>
      </c>
      <c r="K30" s="24">
        <v>2.1960000000000002</v>
      </c>
      <c r="L30" s="7">
        <v>3</v>
      </c>
      <c r="M30" s="7">
        <v>507.27600000000007</v>
      </c>
      <c r="N30" s="7">
        <v>693</v>
      </c>
      <c r="O30" s="80">
        <f>YEAR(Tableau5[[#This Row],[Date]])</f>
        <v>2008</v>
      </c>
    </row>
    <row r="31" spans="1:15" ht="15.75" customHeight="1" x14ac:dyDescent="0.35">
      <c r="A31">
        <v>29</v>
      </c>
      <c r="B31" t="s">
        <v>69</v>
      </c>
      <c r="C31" s="8">
        <v>39473</v>
      </c>
      <c r="D31" t="s">
        <v>77</v>
      </c>
      <c r="E31">
        <v>8</v>
      </c>
      <c r="F31">
        <v>352</v>
      </c>
      <c r="G31">
        <v>369</v>
      </c>
      <c r="H31">
        <v>17</v>
      </c>
      <c r="I31">
        <v>2</v>
      </c>
      <c r="J31" s="7">
        <v>2.5</v>
      </c>
      <c r="K31" s="24">
        <v>3</v>
      </c>
      <c r="L31" s="7">
        <v>3</v>
      </c>
      <c r="M31" s="7">
        <v>1107</v>
      </c>
      <c r="N31" s="7">
        <v>1107</v>
      </c>
      <c r="O31" s="80">
        <f>YEAR(Tableau5[[#This Row],[Date]])</f>
        <v>2008</v>
      </c>
    </row>
    <row r="32" spans="1:15" ht="15.75" customHeight="1" x14ac:dyDescent="0.35">
      <c r="A32">
        <v>30</v>
      </c>
      <c r="B32" t="s">
        <v>9</v>
      </c>
      <c r="C32" s="8">
        <v>39620</v>
      </c>
      <c r="D32" t="s">
        <v>77</v>
      </c>
      <c r="E32">
        <v>12</v>
      </c>
      <c r="F32">
        <v>528</v>
      </c>
      <c r="G32">
        <v>530</v>
      </c>
      <c r="H32">
        <v>2</v>
      </c>
      <c r="I32">
        <v>2</v>
      </c>
      <c r="J32" s="7">
        <v>2</v>
      </c>
      <c r="K32" s="24">
        <v>2.4</v>
      </c>
      <c r="L32" s="7">
        <v>3</v>
      </c>
      <c r="M32" s="7">
        <v>1272</v>
      </c>
      <c r="N32" s="7">
        <v>1590</v>
      </c>
      <c r="O32" s="80">
        <f>YEAR(Tableau5[[#This Row],[Date]])</f>
        <v>2008</v>
      </c>
    </row>
    <row r="33" spans="1:15" ht="15.75" customHeight="1" x14ac:dyDescent="0.35">
      <c r="A33">
        <v>31</v>
      </c>
      <c r="B33" t="s">
        <v>10</v>
      </c>
      <c r="C33" s="8">
        <v>39528</v>
      </c>
      <c r="D33" t="s">
        <v>77</v>
      </c>
      <c r="E33">
        <v>10</v>
      </c>
      <c r="F33">
        <v>440</v>
      </c>
      <c r="G33">
        <v>423</v>
      </c>
      <c r="H33">
        <v>-17</v>
      </c>
      <c r="I33">
        <v>2</v>
      </c>
      <c r="J33" s="7">
        <v>1.83</v>
      </c>
      <c r="K33" s="24">
        <v>2.1960000000000002</v>
      </c>
      <c r="L33" s="7">
        <v>3</v>
      </c>
      <c r="M33" s="7">
        <v>928.90800000000013</v>
      </c>
      <c r="N33" s="7">
        <v>1269</v>
      </c>
      <c r="O33" s="80">
        <f>YEAR(Tableau5[[#This Row],[Date]])</f>
        <v>2008</v>
      </c>
    </row>
    <row r="34" spans="1:15" ht="15.75" customHeight="1" x14ac:dyDescent="0.35">
      <c r="A34">
        <v>32</v>
      </c>
      <c r="B34" t="s">
        <v>11</v>
      </c>
      <c r="C34" s="8">
        <v>39528</v>
      </c>
      <c r="D34" t="s">
        <v>77</v>
      </c>
      <c r="E34">
        <v>2</v>
      </c>
      <c r="F34">
        <v>88</v>
      </c>
      <c r="G34">
        <v>89</v>
      </c>
      <c r="H34">
        <v>1</v>
      </c>
      <c r="I34">
        <v>2</v>
      </c>
      <c r="J34" s="7">
        <v>1.83</v>
      </c>
      <c r="K34" s="24">
        <v>2.1960000000000002</v>
      </c>
      <c r="L34" s="7">
        <v>3</v>
      </c>
      <c r="M34" s="7">
        <v>195.44400000000002</v>
      </c>
      <c r="N34" s="7">
        <v>267</v>
      </c>
      <c r="O34" s="80">
        <f>YEAR(Tableau5[[#This Row],[Date]])</f>
        <v>2008</v>
      </c>
    </row>
    <row r="35" spans="1:15" ht="15.75" customHeight="1" x14ac:dyDescent="0.35">
      <c r="A35">
        <v>33</v>
      </c>
      <c r="B35" t="s">
        <v>69</v>
      </c>
      <c r="C35" s="8">
        <v>39528</v>
      </c>
      <c r="D35" t="s">
        <v>83</v>
      </c>
      <c r="E35">
        <v>3</v>
      </c>
      <c r="F35">
        <v>132</v>
      </c>
      <c r="G35">
        <v>132</v>
      </c>
      <c r="H35">
        <v>0</v>
      </c>
      <c r="I35">
        <v>2</v>
      </c>
      <c r="J35" s="7">
        <v>2.5</v>
      </c>
      <c r="K35" s="24">
        <v>3</v>
      </c>
      <c r="L35" s="7">
        <v>3</v>
      </c>
      <c r="M35" s="7">
        <v>396</v>
      </c>
      <c r="N35" s="7">
        <v>396</v>
      </c>
      <c r="O35" s="80">
        <f>YEAR(Tableau5[[#This Row],[Date]])</f>
        <v>2008</v>
      </c>
    </row>
    <row r="36" spans="1:15" ht="15.75" customHeight="1" x14ac:dyDescent="0.35">
      <c r="A36">
        <v>34</v>
      </c>
      <c r="B36" t="s">
        <v>9</v>
      </c>
      <c r="C36" s="8">
        <v>39566</v>
      </c>
      <c r="D36" t="s">
        <v>83</v>
      </c>
      <c r="E36">
        <v>13</v>
      </c>
      <c r="F36">
        <v>572</v>
      </c>
      <c r="G36">
        <v>550</v>
      </c>
      <c r="H36">
        <v>-22</v>
      </c>
      <c r="I36">
        <v>2</v>
      </c>
      <c r="J36" s="7">
        <v>2</v>
      </c>
      <c r="K36" s="24">
        <v>2.4</v>
      </c>
      <c r="L36" s="7">
        <v>3</v>
      </c>
      <c r="M36" s="7">
        <v>1320</v>
      </c>
      <c r="N36" s="7">
        <v>1650</v>
      </c>
      <c r="O36" s="80">
        <f>YEAR(Tableau5[[#This Row],[Date]])</f>
        <v>2008</v>
      </c>
    </row>
    <row r="37" spans="1:15" ht="15.75" customHeight="1" x14ac:dyDescent="0.35">
      <c r="A37">
        <v>35</v>
      </c>
      <c r="B37" t="s">
        <v>10</v>
      </c>
      <c r="C37" s="8">
        <v>39591</v>
      </c>
      <c r="D37" t="s">
        <v>83</v>
      </c>
      <c r="E37">
        <v>13</v>
      </c>
      <c r="F37">
        <v>572</v>
      </c>
      <c r="G37">
        <v>563</v>
      </c>
      <c r="H37">
        <v>-9</v>
      </c>
      <c r="I37">
        <v>2</v>
      </c>
      <c r="J37" s="7">
        <v>1.83</v>
      </c>
      <c r="K37" s="24">
        <v>2.1960000000000002</v>
      </c>
      <c r="L37" s="7">
        <v>3</v>
      </c>
      <c r="M37" s="7">
        <v>1236.3480000000002</v>
      </c>
      <c r="N37" s="7">
        <v>1689</v>
      </c>
      <c r="O37" s="80">
        <f>YEAR(Tableau5[[#This Row],[Date]])</f>
        <v>2008</v>
      </c>
    </row>
    <row r="38" spans="1:15" ht="15.75" customHeight="1" x14ac:dyDescent="0.35">
      <c r="A38">
        <v>36</v>
      </c>
      <c r="B38" t="s">
        <v>11</v>
      </c>
      <c r="C38" s="8">
        <v>39634</v>
      </c>
      <c r="D38" t="s">
        <v>74</v>
      </c>
      <c r="E38">
        <v>2</v>
      </c>
      <c r="F38">
        <v>88</v>
      </c>
      <c r="G38">
        <v>87</v>
      </c>
      <c r="H38">
        <v>-1</v>
      </c>
      <c r="I38">
        <v>2</v>
      </c>
      <c r="J38" s="7">
        <v>1.83</v>
      </c>
      <c r="K38" s="24">
        <v>2.1960000000000002</v>
      </c>
      <c r="L38" s="7">
        <v>3</v>
      </c>
      <c r="M38" s="7">
        <v>191.05200000000002</v>
      </c>
      <c r="N38" s="7">
        <v>261</v>
      </c>
      <c r="O38" s="80">
        <f>YEAR(Tableau5[[#This Row],[Date]])</f>
        <v>2008</v>
      </c>
    </row>
    <row r="39" spans="1:15" ht="15.75" customHeight="1" x14ac:dyDescent="0.35">
      <c r="A39">
        <v>37</v>
      </c>
      <c r="B39" t="s">
        <v>69</v>
      </c>
      <c r="C39" s="8">
        <v>39634</v>
      </c>
      <c r="D39" t="s">
        <v>74</v>
      </c>
      <c r="E39">
        <v>3</v>
      </c>
      <c r="F39">
        <v>132</v>
      </c>
      <c r="G39">
        <v>132</v>
      </c>
      <c r="H39">
        <v>0</v>
      </c>
      <c r="I39">
        <v>2</v>
      </c>
      <c r="J39" s="7">
        <v>2.5</v>
      </c>
      <c r="K39" s="24">
        <v>3</v>
      </c>
      <c r="L39" s="7">
        <v>3</v>
      </c>
      <c r="M39" s="7">
        <v>396</v>
      </c>
      <c r="N39" s="7">
        <v>396</v>
      </c>
      <c r="O39" s="80">
        <f>YEAR(Tableau5[[#This Row],[Date]])</f>
        <v>2008</v>
      </c>
    </row>
    <row r="40" spans="1:15" ht="15.75" customHeight="1" x14ac:dyDescent="0.35">
      <c r="A40">
        <v>38</v>
      </c>
      <c r="B40" t="s">
        <v>9</v>
      </c>
      <c r="C40" s="8">
        <v>39634</v>
      </c>
      <c r="D40" t="s">
        <v>74</v>
      </c>
      <c r="E40">
        <v>8</v>
      </c>
      <c r="F40">
        <v>352</v>
      </c>
      <c r="G40">
        <v>353</v>
      </c>
      <c r="H40">
        <v>1</v>
      </c>
      <c r="I40">
        <v>2</v>
      </c>
      <c r="J40" s="7">
        <v>2</v>
      </c>
      <c r="K40" s="24">
        <v>2.4</v>
      </c>
      <c r="L40" s="7">
        <v>3</v>
      </c>
      <c r="M40" s="7">
        <v>847.19999999999993</v>
      </c>
      <c r="N40" s="7">
        <v>1059</v>
      </c>
      <c r="O40" s="80">
        <f>YEAR(Tableau5[[#This Row],[Date]])</f>
        <v>2008</v>
      </c>
    </row>
    <row r="41" spans="1:15" ht="15.75" customHeight="1" x14ac:dyDescent="0.35">
      <c r="A41">
        <v>39</v>
      </c>
      <c r="B41" t="s">
        <v>10</v>
      </c>
      <c r="C41" s="8">
        <v>39661</v>
      </c>
      <c r="D41" t="s">
        <v>76</v>
      </c>
      <c r="E41">
        <v>13</v>
      </c>
      <c r="F41">
        <v>572</v>
      </c>
      <c r="G41">
        <v>556</v>
      </c>
      <c r="H41">
        <v>-16</v>
      </c>
      <c r="I41">
        <v>2</v>
      </c>
      <c r="J41" s="7">
        <v>1.83</v>
      </c>
      <c r="K41" s="24">
        <v>2.1960000000000002</v>
      </c>
      <c r="L41" s="7">
        <v>3</v>
      </c>
      <c r="M41" s="7">
        <v>1220.9760000000001</v>
      </c>
      <c r="N41" s="7">
        <v>1668</v>
      </c>
      <c r="O41" s="80">
        <f>YEAR(Tableau5[[#This Row],[Date]])</f>
        <v>2008</v>
      </c>
    </row>
    <row r="42" spans="1:15" ht="15.75" customHeight="1" x14ac:dyDescent="0.35">
      <c r="A42">
        <v>40</v>
      </c>
      <c r="B42" t="s">
        <v>9</v>
      </c>
      <c r="C42" s="8">
        <v>39711</v>
      </c>
      <c r="D42" t="s">
        <v>75</v>
      </c>
      <c r="E42">
        <v>14</v>
      </c>
      <c r="F42">
        <v>616</v>
      </c>
      <c r="G42">
        <v>578</v>
      </c>
      <c r="H42">
        <v>-38</v>
      </c>
      <c r="I42">
        <v>2</v>
      </c>
      <c r="J42" s="7">
        <v>2</v>
      </c>
      <c r="K42" s="24">
        <v>2.4</v>
      </c>
      <c r="L42" s="7">
        <v>3</v>
      </c>
      <c r="M42" s="7">
        <v>1387.2</v>
      </c>
      <c r="N42" s="7">
        <v>1734</v>
      </c>
      <c r="O42" s="80">
        <f>YEAR(Tableau5[[#This Row],[Date]])</f>
        <v>2008</v>
      </c>
    </row>
    <row r="43" spans="1:15" ht="15.75" customHeight="1" x14ac:dyDescent="0.35">
      <c r="A43">
        <v>41</v>
      </c>
      <c r="B43" t="s">
        <v>11</v>
      </c>
      <c r="C43" s="8">
        <v>39745</v>
      </c>
      <c r="D43" t="s">
        <v>71</v>
      </c>
      <c r="E43">
        <v>2</v>
      </c>
      <c r="F43">
        <v>88</v>
      </c>
      <c r="G43">
        <v>82</v>
      </c>
      <c r="H43">
        <v>-6</v>
      </c>
      <c r="I43">
        <v>2</v>
      </c>
      <c r="J43" s="7">
        <v>1.83</v>
      </c>
      <c r="K43" s="24">
        <v>2.1960000000000002</v>
      </c>
      <c r="L43" s="7">
        <v>3</v>
      </c>
      <c r="M43" s="7">
        <v>180.072</v>
      </c>
      <c r="N43" s="7">
        <v>246</v>
      </c>
      <c r="O43" s="80">
        <f>YEAR(Tableau5[[#This Row],[Date]])</f>
        <v>2008</v>
      </c>
    </row>
    <row r="44" spans="1:15" ht="15.75" customHeight="1" x14ac:dyDescent="0.35">
      <c r="A44">
        <v>42</v>
      </c>
      <c r="B44" t="s">
        <v>10</v>
      </c>
      <c r="C44" s="8">
        <v>39745</v>
      </c>
      <c r="D44" t="s">
        <v>71</v>
      </c>
      <c r="E44">
        <v>12</v>
      </c>
      <c r="F44">
        <v>528</v>
      </c>
      <c r="G44">
        <v>510</v>
      </c>
      <c r="H44">
        <v>-18</v>
      </c>
      <c r="I44">
        <v>2</v>
      </c>
      <c r="J44" s="7">
        <v>1.83</v>
      </c>
      <c r="K44" s="24">
        <v>2.1960000000000002</v>
      </c>
      <c r="L44" s="7">
        <v>3</v>
      </c>
      <c r="M44" s="7">
        <v>1119.96</v>
      </c>
      <c r="N44" s="7">
        <v>1530</v>
      </c>
      <c r="O44" s="80">
        <f>YEAR(Tableau5[[#This Row],[Date]])</f>
        <v>2008</v>
      </c>
    </row>
    <row r="45" spans="1:15" ht="15.75" customHeight="1" x14ac:dyDescent="0.35">
      <c r="A45">
        <v>43</v>
      </c>
      <c r="B45" t="s">
        <v>69</v>
      </c>
      <c r="C45" s="8">
        <v>39770</v>
      </c>
      <c r="D45" t="s">
        <v>83</v>
      </c>
      <c r="E45">
        <v>1</v>
      </c>
      <c r="F45">
        <v>66</v>
      </c>
      <c r="G45">
        <v>65</v>
      </c>
      <c r="H45">
        <v>-1</v>
      </c>
      <c r="I45">
        <v>2</v>
      </c>
      <c r="J45" s="7">
        <v>2.5</v>
      </c>
      <c r="K45" s="24">
        <v>3</v>
      </c>
      <c r="L45" s="7">
        <v>3</v>
      </c>
      <c r="M45" s="7">
        <v>195</v>
      </c>
      <c r="N45" s="7">
        <v>195</v>
      </c>
      <c r="O45" s="80">
        <f>YEAR(Tableau5[[#This Row],[Date]])</f>
        <v>2008</v>
      </c>
    </row>
    <row r="46" spans="1:15" ht="15.75" customHeight="1" x14ac:dyDescent="0.35">
      <c r="A46">
        <v>44</v>
      </c>
      <c r="B46" t="s">
        <v>9</v>
      </c>
      <c r="C46" s="8">
        <v>39801</v>
      </c>
      <c r="D46" t="s">
        <v>83</v>
      </c>
      <c r="E46">
        <v>3</v>
      </c>
      <c r="F46">
        <v>132</v>
      </c>
      <c r="G46">
        <v>130</v>
      </c>
      <c r="H46">
        <v>-2</v>
      </c>
      <c r="I46">
        <v>2</v>
      </c>
      <c r="J46" s="7">
        <v>2</v>
      </c>
      <c r="K46" s="24">
        <v>2.4</v>
      </c>
      <c r="L46" s="7">
        <v>3</v>
      </c>
      <c r="M46" s="7">
        <v>312</v>
      </c>
      <c r="N46" s="7">
        <v>390</v>
      </c>
      <c r="O46" s="80">
        <f>YEAR(Tableau5[[#This Row],[Date]])</f>
        <v>2008</v>
      </c>
    </row>
    <row r="47" spans="1:15" ht="15.75" customHeight="1" x14ac:dyDescent="0.35">
      <c r="A47">
        <v>45</v>
      </c>
      <c r="B47" t="s">
        <v>69</v>
      </c>
      <c r="C47" s="8">
        <v>39801</v>
      </c>
      <c r="D47" t="s">
        <v>83</v>
      </c>
      <c r="E47">
        <v>1</v>
      </c>
      <c r="F47">
        <v>66</v>
      </c>
      <c r="G47">
        <v>64</v>
      </c>
      <c r="H47">
        <v>-2</v>
      </c>
      <c r="I47">
        <v>2</v>
      </c>
      <c r="J47" s="7">
        <v>2.5</v>
      </c>
      <c r="K47" s="24">
        <v>3</v>
      </c>
      <c r="L47" s="7">
        <v>3</v>
      </c>
      <c r="M47" s="7">
        <v>192</v>
      </c>
      <c r="N47" s="7">
        <v>192</v>
      </c>
      <c r="O47" s="80">
        <f>YEAR(Tableau5[[#This Row],[Date]])</f>
        <v>2008</v>
      </c>
    </row>
    <row r="48" spans="1:15" ht="15.75" customHeight="1" x14ac:dyDescent="0.35">
      <c r="A48">
        <v>46</v>
      </c>
      <c r="B48" t="s">
        <v>11</v>
      </c>
      <c r="C48" s="8">
        <v>39801</v>
      </c>
      <c r="D48" t="s">
        <v>83</v>
      </c>
      <c r="E48">
        <v>1</v>
      </c>
      <c r="F48">
        <v>44</v>
      </c>
      <c r="G48">
        <v>42</v>
      </c>
      <c r="H48">
        <v>-2</v>
      </c>
      <c r="I48">
        <v>2</v>
      </c>
      <c r="J48" s="7">
        <v>1.83</v>
      </c>
      <c r="K48" s="24">
        <v>2.1960000000000002</v>
      </c>
      <c r="L48" s="7">
        <v>3</v>
      </c>
      <c r="M48" s="7">
        <v>92.232000000000014</v>
      </c>
      <c r="N48" s="7">
        <v>126</v>
      </c>
      <c r="O48" s="80">
        <f>YEAR(Tableau5[[#This Row],[Date]])</f>
        <v>2008</v>
      </c>
    </row>
    <row r="49" spans="1:15" ht="15.75" customHeight="1" x14ac:dyDescent="0.35">
      <c r="A49">
        <v>47</v>
      </c>
      <c r="B49" t="s">
        <v>10</v>
      </c>
      <c r="C49" s="8">
        <v>39801</v>
      </c>
      <c r="D49" t="s">
        <v>83</v>
      </c>
      <c r="E49">
        <v>3</v>
      </c>
      <c r="F49">
        <v>132</v>
      </c>
      <c r="G49">
        <v>126</v>
      </c>
      <c r="H49">
        <v>-6</v>
      </c>
      <c r="I49">
        <v>2</v>
      </c>
      <c r="J49" s="7">
        <v>1.83</v>
      </c>
      <c r="K49" s="24">
        <v>2.1960000000000002</v>
      </c>
      <c r="L49" s="7">
        <v>3</v>
      </c>
      <c r="M49" s="7">
        <v>276.69600000000003</v>
      </c>
      <c r="N49" s="7">
        <v>378</v>
      </c>
      <c r="O49" s="80">
        <f>YEAR(Tableau5[[#This Row],[Date]])</f>
        <v>2008</v>
      </c>
    </row>
    <row r="50" spans="1:15" ht="15.75" customHeight="1" x14ac:dyDescent="0.35">
      <c r="A50">
        <v>48</v>
      </c>
      <c r="B50" t="s">
        <v>10</v>
      </c>
      <c r="C50" s="8">
        <v>39836</v>
      </c>
      <c r="D50" t="s">
        <v>77</v>
      </c>
      <c r="E50">
        <v>13</v>
      </c>
      <c r="F50">
        <v>572</v>
      </c>
      <c r="G50">
        <v>559</v>
      </c>
      <c r="H50">
        <v>-13</v>
      </c>
      <c r="I50">
        <v>2</v>
      </c>
      <c r="J50" s="7">
        <v>1.83</v>
      </c>
      <c r="K50" s="24">
        <v>2.1960000000000002</v>
      </c>
      <c r="L50" s="7">
        <v>3</v>
      </c>
      <c r="M50" s="7">
        <v>1227.5640000000001</v>
      </c>
      <c r="N50" s="7">
        <v>1677</v>
      </c>
      <c r="O50" s="80">
        <f>YEAR(Tableau5[[#This Row],[Date]])</f>
        <v>2009</v>
      </c>
    </row>
    <row r="51" spans="1:15" ht="15.75" customHeight="1" x14ac:dyDescent="0.35">
      <c r="A51">
        <v>49</v>
      </c>
      <c r="B51" t="s">
        <v>9</v>
      </c>
      <c r="C51" s="8">
        <v>39907</v>
      </c>
      <c r="D51" t="s">
        <v>74</v>
      </c>
      <c r="E51">
        <v>14</v>
      </c>
      <c r="F51">
        <v>616</v>
      </c>
      <c r="G51">
        <v>594</v>
      </c>
      <c r="H51">
        <v>-22</v>
      </c>
      <c r="I51">
        <v>2</v>
      </c>
      <c r="J51" s="7">
        <v>2</v>
      </c>
      <c r="K51" s="24">
        <v>2.4</v>
      </c>
      <c r="L51" s="7">
        <v>3</v>
      </c>
      <c r="M51" s="7">
        <v>1425.6</v>
      </c>
      <c r="N51" s="7">
        <v>1782</v>
      </c>
      <c r="O51" s="80">
        <f>YEAR(Tableau5[[#This Row],[Date]])</f>
        <v>2009</v>
      </c>
    </row>
    <row r="52" spans="1:15" ht="15.75" customHeight="1" x14ac:dyDescent="0.35">
      <c r="A52">
        <v>50</v>
      </c>
      <c r="B52" t="s">
        <v>10</v>
      </c>
      <c r="C52" s="8">
        <v>39942</v>
      </c>
      <c r="D52" t="s">
        <v>76</v>
      </c>
      <c r="E52">
        <v>14</v>
      </c>
      <c r="F52">
        <v>616</v>
      </c>
      <c r="G52">
        <v>612</v>
      </c>
      <c r="H52">
        <v>-4</v>
      </c>
      <c r="I52">
        <v>2</v>
      </c>
      <c r="J52" s="7">
        <v>1.83</v>
      </c>
      <c r="K52" s="24">
        <v>2.1960000000000002</v>
      </c>
      <c r="L52" s="7">
        <v>3</v>
      </c>
      <c r="M52" s="7">
        <v>1343.952</v>
      </c>
      <c r="N52" s="7">
        <v>1836</v>
      </c>
      <c r="O52" s="80">
        <f>YEAR(Tableau5[[#This Row],[Date]])</f>
        <v>2009</v>
      </c>
    </row>
    <row r="53" spans="1:15" ht="15.75" customHeight="1" x14ac:dyDescent="0.35">
      <c r="A53">
        <v>51</v>
      </c>
      <c r="B53" t="s">
        <v>11</v>
      </c>
      <c r="C53" s="8">
        <v>39979</v>
      </c>
      <c r="D53" t="s">
        <v>75</v>
      </c>
      <c r="E53">
        <v>3</v>
      </c>
      <c r="F53">
        <v>132</v>
      </c>
      <c r="G53">
        <v>132</v>
      </c>
      <c r="H53">
        <v>0</v>
      </c>
      <c r="I53">
        <v>2</v>
      </c>
      <c r="J53" s="7">
        <v>1.83</v>
      </c>
      <c r="K53" s="24">
        <v>2.1960000000000002</v>
      </c>
      <c r="L53" s="7">
        <v>3</v>
      </c>
      <c r="M53" s="7">
        <v>289.87200000000001</v>
      </c>
      <c r="N53" s="7">
        <v>396</v>
      </c>
      <c r="O53" s="80">
        <f>YEAR(Tableau5[[#This Row],[Date]])</f>
        <v>2009</v>
      </c>
    </row>
    <row r="54" spans="1:15" ht="15.75" customHeight="1" x14ac:dyDescent="0.35">
      <c r="A54">
        <v>52</v>
      </c>
      <c r="B54" t="s">
        <v>69</v>
      </c>
      <c r="C54" s="8">
        <v>39979</v>
      </c>
      <c r="D54" t="s">
        <v>75</v>
      </c>
      <c r="E54">
        <v>3</v>
      </c>
      <c r="F54">
        <v>198</v>
      </c>
      <c r="G54">
        <v>186</v>
      </c>
      <c r="H54">
        <v>-12</v>
      </c>
      <c r="I54">
        <v>2</v>
      </c>
      <c r="J54" s="7">
        <v>2.5</v>
      </c>
      <c r="K54" s="24">
        <v>3</v>
      </c>
      <c r="L54" s="7">
        <v>3</v>
      </c>
      <c r="M54" s="7">
        <v>558</v>
      </c>
      <c r="N54" s="7">
        <v>558</v>
      </c>
      <c r="O54" s="80">
        <f>YEAR(Tableau5[[#This Row],[Date]])</f>
        <v>2009</v>
      </c>
    </row>
    <row r="55" spans="1:15" ht="15.75" customHeight="1" x14ac:dyDescent="0.35">
      <c r="A55">
        <v>53</v>
      </c>
      <c r="B55" t="s">
        <v>9</v>
      </c>
      <c r="C55" s="8">
        <v>40001</v>
      </c>
      <c r="D55" t="s">
        <v>71</v>
      </c>
      <c r="E55">
        <v>2</v>
      </c>
      <c r="F55">
        <v>88</v>
      </c>
      <c r="G55">
        <v>88</v>
      </c>
      <c r="H55">
        <v>0</v>
      </c>
      <c r="I55">
        <v>2</v>
      </c>
      <c r="J55" s="7">
        <v>2</v>
      </c>
      <c r="K55" s="24">
        <v>2.4</v>
      </c>
      <c r="L55" s="7">
        <v>3</v>
      </c>
      <c r="M55" s="7">
        <v>211.2</v>
      </c>
      <c r="N55" s="7">
        <v>264</v>
      </c>
      <c r="O55" s="80">
        <f>YEAR(Tableau5[[#This Row],[Date]])</f>
        <v>2009</v>
      </c>
    </row>
    <row r="56" spans="1:15" x14ac:dyDescent="0.35">
      <c r="A56">
        <v>54</v>
      </c>
      <c r="B56" t="s">
        <v>9</v>
      </c>
      <c r="C56" s="8">
        <v>40004</v>
      </c>
      <c r="D56" t="s">
        <v>71</v>
      </c>
      <c r="E56">
        <v>12</v>
      </c>
      <c r="F56">
        <v>528</v>
      </c>
      <c r="G56">
        <v>528</v>
      </c>
      <c r="H56">
        <v>0</v>
      </c>
      <c r="I56">
        <v>2</v>
      </c>
      <c r="J56" s="7">
        <v>2</v>
      </c>
      <c r="K56" s="24">
        <v>2.4</v>
      </c>
      <c r="L56" s="7">
        <v>3</v>
      </c>
      <c r="M56" s="7">
        <v>1267.2</v>
      </c>
      <c r="N56" s="7">
        <v>1584</v>
      </c>
      <c r="O56" s="80">
        <f>YEAR(Tableau5[[#This Row],[Date]])</f>
        <v>2009</v>
      </c>
    </row>
    <row r="57" spans="1:15" x14ac:dyDescent="0.35">
      <c r="A57">
        <v>55</v>
      </c>
      <c r="B57" t="s">
        <v>10</v>
      </c>
      <c r="C57" s="8">
        <v>40073</v>
      </c>
      <c r="D57" t="s">
        <v>83</v>
      </c>
      <c r="E57">
        <v>5</v>
      </c>
      <c r="F57">
        <v>220</v>
      </c>
      <c r="G57">
        <v>216</v>
      </c>
      <c r="H57">
        <v>-4</v>
      </c>
      <c r="I57">
        <v>2</v>
      </c>
      <c r="J57" s="7">
        <v>1.83</v>
      </c>
      <c r="K57" s="24">
        <v>2.1960000000000002</v>
      </c>
      <c r="L57" s="7">
        <v>3</v>
      </c>
      <c r="M57" s="7">
        <v>474.33600000000001</v>
      </c>
      <c r="N57" s="7">
        <v>648</v>
      </c>
      <c r="O57" s="80">
        <f>YEAR(Tableau5[[#This Row],[Date]])</f>
        <v>2009</v>
      </c>
    </row>
    <row r="58" spans="1:15" ht="16.5" customHeight="1" x14ac:dyDescent="0.35">
      <c r="A58">
        <v>56</v>
      </c>
      <c r="B58" t="s">
        <v>10</v>
      </c>
      <c r="C58" s="8">
        <v>40074</v>
      </c>
      <c r="D58" t="s">
        <v>83</v>
      </c>
      <c r="E58">
        <v>7</v>
      </c>
      <c r="F58">
        <v>308</v>
      </c>
      <c r="G58">
        <v>296</v>
      </c>
      <c r="H58">
        <v>-12</v>
      </c>
      <c r="I58">
        <v>2</v>
      </c>
      <c r="J58" s="7">
        <v>1.83</v>
      </c>
      <c r="K58" s="24">
        <v>2.1960000000000002</v>
      </c>
      <c r="L58" s="7">
        <v>3</v>
      </c>
      <c r="M58" s="7">
        <v>650.01600000000008</v>
      </c>
      <c r="N58" s="7">
        <v>888</v>
      </c>
      <c r="O58" s="80">
        <f>YEAR(Tableau5[[#This Row],[Date]])</f>
        <v>2009</v>
      </c>
    </row>
    <row r="59" spans="1:15" x14ac:dyDescent="0.35">
      <c r="A59">
        <v>57</v>
      </c>
      <c r="B59" t="s">
        <v>69</v>
      </c>
      <c r="C59" s="8">
        <v>40074</v>
      </c>
      <c r="D59" t="s">
        <v>83</v>
      </c>
      <c r="E59">
        <v>2</v>
      </c>
      <c r="F59">
        <v>132</v>
      </c>
      <c r="G59">
        <v>129</v>
      </c>
      <c r="H59">
        <v>-3</v>
      </c>
      <c r="I59">
        <v>2</v>
      </c>
      <c r="J59" s="7">
        <v>2.5</v>
      </c>
      <c r="K59" s="24">
        <v>3</v>
      </c>
      <c r="L59" s="7">
        <v>3</v>
      </c>
      <c r="M59" s="7">
        <v>387</v>
      </c>
      <c r="N59" s="7">
        <v>387</v>
      </c>
      <c r="O59" s="80">
        <f>YEAR(Tableau5[[#This Row],[Date]])</f>
        <v>2009</v>
      </c>
    </row>
    <row r="60" spans="1:15" x14ac:dyDescent="0.35">
      <c r="A60">
        <v>58</v>
      </c>
      <c r="B60" t="s">
        <v>9</v>
      </c>
      <c r="C60" s="8">
        <v>40095</v>
      </c>
      <c r="D60" t="s">
        <v>83</v>
      </c>
      <c r="E60">
        <v>13</v>
      </c>
      <c r="F60">
        <v>572</v>
      </c>
      <c r="G60">
        <v>590</v>
      </c>
      <c r="H60">
        <v>18</v>
      </c>
      <c r="I60">
        <v>2</v>
      </c>
      <c r="J60" s="7">
        <v>2</v>
      </c>
      <c r="K60" s="24">
        <v>2.4</v>
      </c>
      <c r="L60" s="7">
        <v>3</v>
      </c>
      <c r="M60" s="7">
        <v>1416</v>
      </c>
      <c r="N60" s="7">
        <v>1770</v>
      </c>
      <c r="O60" s="80">
        <f>YEAR(Tableau5[[#This Row],[Date]])</f>
        <v>2009</v>
      </c>
    </row>
    <row r="61" spans="1:15" x14ac:dyDescent="0.35">
      <c r="A61">
        <v>59</v>
      </c>
      <c r="B61" t="s">
        <v>11</v>
      </c>
      <c r="C61" s="8">
        <v>40112</v>
      </c>
      <c r="D61" t="s">
        <v>83</v>
      </c>
      <c r="E61">
        <v>3</v>
      </c>
      <c r="F61">
        <v>132</v>
      </c>
      <c r="G61">
        <v>135</v>
      </c>
      <c r="H61">
        <v>3</v>
      </c>
      <c r="I61">
        <v>2</v>
      </c>
      <c r="J61" s="7">
        <v>1.83</v>
      </c>
      <c r="K61" s="24">
        <v>2.1960000000000002</v>
      </c>
      <c r="L61" s="7">
        <v>3</v>
      </c>
      <c r="M61" s="7">
        <v>296.46000000000004</v>
      </c>
      <c r="N61" s="7">
        <v>405</v>
      </c>
      <c r="O61" s="80">
        <f>YEAR(Tableau5[[#This Row],[Date]])</f>
        <v>2009</v>
      </c>
    </row>
    <row r="62" spans="1:15" x14ac:dyDescent="0.35">
      <c r="A62">
        <v>60</v>
      </c>
      <c r="B62" t="s">
        <v>69</v>
      </c>
      <c r="C62" s="8">
        <v>40158</v>
      </c>
      <c r="D62" t="s">
        <v>83</v>
      </c>
      <c r="E62">
        <v>3</v>
      </c>
      <c r="F62">
        <v>198</v>
      </c>
      <c r="G62">
        <v>185</v>
      </c>
      <c r="H62">
        <v>-13</v>
      </c>
      <c r="I62">
        <v>2</v>
      </c>
      <c r="J62" s="7">
        <v>2.5</v>
      </c>
      <c r="K62" s="24">
        <v>3</v>
      </c>
      <c r="L62" s="7">
        <v>3</v>
      </c>
      <c r="M62" s="7">
        <v>555</v>
      </c>
      <c r="N62" s="7">
        <v>555</v>
      </c>
      <c r="O62" s="80">
        <f>YEAR(Tableau5[[#This Row],[Date]])</f>
        <v>2009</v>
      </c>
    </row>
    <row r="63" spans="1:15" x14ac:dyDescent="0.35">
      <c r="A63">
        <v>61</v>
      </c>
      <c r="B63" t="s">
        <v>9</v>
      </c>
      <c r="C63" s="8">
        <v>40186</v>
      </c>
      <c r="D63" t="s">
        <v>77</v>
      </c>
      <c r="E63">
        <v>10</v>
      </c>
      <c r="F63">
        <v>440</v>
      </c>
      <c r="G63">
        <v>433</v>
      </c>
      <c r="H63">
        <v>-7</v>
      </c>
      <c r="I63">
        <v>2</v>
      </c>
      <c r="J63" s="7">
        <v>2</v>
      </c>
      <c r="K63" s="24">
        <v>2.4</v>
      </c>
      <c r="L63" s="7">
        <v>3</v>
      </c>
      <c r="M63" s="7">
        <v>1039.2</v>
      </c>
      <c r="N63" s="7">
        <v>1299</v>
      </c>
      <c r="O63" s="80">
        <f>YEAR(Tableau5[[#This Row],[Date]])</f>
        <v>2010</v>
      </c>
    </row>
    <row r="64" spans="1:15" x14ac:dyDescent="0.35">
      <c r="A64">
        <v>62</v>
      </c>
      <c r="B64" t="s">
        <v>11</v>
      </c>
      <c r="C64" s="8">
        <v>40186</v>
      </c>
      <c r="D64" t="s">
        <v>77</v>
      </c>
      <c r="E64">
        <v>4</v>
      </c>
      <c r="F64">
        <v>176</v>
      </c>
      <c r="G64">
        <v>157</v>
      </c>
      <c r="H64">
        <v>-19</v>
      </c>
      <c r="I64">
        <v>2</v>
      </c>
      <c r="J64" s="7">
        <v>1.83</v>
      </c>
      <c r="K64" s="24">
        <v>2.1960000000000002</v>
      </c>
      <c r="L64" s="7">
        <v>3</v>
      </c>
      <c r="M64" s="7">
        <v>344.77200000000005</v>
      </c>
      <c r="N64" s="7">
        <v>471</v>
      </c>
      <c r="O64" s="80">
        <f>YEAR(Tableau5[[#This Row],[Date]])</f>
        <v>2010</v>
      </c>
    </row>
    <row r="65" spans="1:15" x14ac:dyDescent="0.35">
      <c r="A65">
        <v>63</v>
      </c>
      <c r="B65" t="s">
        <v>69</v>
      </c>
      <c r="C65" s="8">
        <v>40213</v>
      </c>
      <c r="D65" t="s">
        <v>83</v>
      </c>
      <c r="E65">
        <v>1</v>
      </c>
      <c r="F65">
        <v>66</v>
      </c>
      <c r="G65">
        <v>64</v>
      </c>
      <c r="H65">
        <v>-2</v>
      </c>
      <c r="I65">
        <v>2</v>
      </c>
      <c r="J65" s="7">
        <v>2.5</v>
      </c>
      <c r="K65" s="24">
        <v>3</v>
      </c>
      <c r="L65" s="7">
        <v>3</v>
      </c>
      <c r="M65" s="7">
        <v>192</v>
      </c>
      <c r="N65" s="7">
        <v>192</v>
      </c>
      <c r="O65" s="80">
        <f>YEAR(Tableau5[[#This Row],[Date]])</f>
        <v>2010</v>
      </c>
    </row>
    <row r="66" spans="1:15" x14ac:dyDescent="0.35">
      <c r="A66">
        <v>64</v>
      </c>
      <c r="B66" t="s">
        <v>69</v>
      </c>
      <c r="C66" s="8">
        <v>40215</v>
      </c>
      <c r="D66" t="s">
        <v>83</v>
      </c>
      <c r="E66">
        <v>2</v>
      </c>
      <c r="F66">
        <v>132</v>
      </c>
      <c r="G66">
        <v>126</v>
      </c>
      <c r="H66">
        <v>-6</v>
      </c>
      <c r="I66">
        <v>2</v>
      </c>
      <c r="J66" s="7">
        <v>2.5</v>
      </c>
      <c r="K66" s="24">
        <v>3</v>
      </c>
      <c r="L66" s="7">
        <v>3</v>
      </c>
      <c r="M66" s="7">
        <v>378</v>
      </c>
      <c r="N66" s="7">
        <v>378</v>
      </c>
      <c r="O66" s="80">
        <f>YEAR(Tableau5[[#This Row],[Date]])</f>
        <v>2010</v>
      </c>
    </row>
    <row r="67" spans="1:15" x14ac:dyDescent="0.35">
      <c r="A67">
        <v>65</v>
      </c>
      <c r="B67" t="s">
        <v>69</v>
      </c>
      <c r="C67" s="8">
        <v>40236</v>
      </c>
      <c r="D67" t="s">
        <v>74</v>
      </c>
      <c r="E67">
        <v>3</v>
      </c>
      <c r="F67">
        <v>198</v>
      </c>
      <c r="G67">
        <v>190</v>
      </c>
      <c r="H67">
        <v>-8</v>
      </c>
      <c r="I67">
        <v>2</v>
      </c>
      <c r="J67" s="7">
        <v>2.5</v>
      </c>
      <c r="K67" s="24">
        <v>3</v>
      </c>
      <c r="L67" s="7">
        <v>3</v>
      </c>
      <c r="M67" s="7">
        <v>570</v>
      </c>
      <c r="N67" s="7">
        <v>570</v>
      </c>
      <c r="O67" s="80">
        <f>YEAR(Tableau5[[#This Row],[Date]])</f>
        <v>2010</v>
      </c>
    </row>
    <row r="68" spans="1:15" x14ac:dyDescent="0.35">
      <c r="A68">
        <v>66</v>
      </c>
      <c r="B68" t="s">
        <v>11</v>
      </c>
      <c r="C68" s="8">
        <v>40236</v>
      </c>
      <c r="D68" t="s">
        <v>74</v>
      </c>
      <c r="E68">
        <v>5</v>
      </c>
      <c r="F68">
        <v>220</v>
      </c>
      <c r="G68">
        <v>213</v>
      </c>
      <c r="H68">
        <v>-7</v>
      </c>
      <c r="I68">
        <v>2</v>
      </c>
      <c r="J68" s="7">
        <v>1.83</v>
      </c>
      <c r="K68" s="24">
        <v>2.1960000000000002</v>
      </c>
      <c r="L68" s="7">
        <v>3</v>
      </c>
      <c r="M68" s="7">
        <v>467.74800000000005</v>
      </c>
      <c r="N68" s="7">
        <v>639</v>
      </c>
      <c r="O68" s="80">
        <f>YEAR(Tableau5[[#This Row],[Date]])</f>
        <v>2010</v>
      </c>
    </row>
    <row r="69" spans="1:15" x14ac:dyDescent="0.35">
      <c r="A69">
        <v>67</v>
      </c>
      <c r="B69" t="s">
        <v>9</v>
      </c>
      <c r="C69" s="8">
        <v>40262</v>
      </c>
      <c r="D69" t="s">
        <v>76</v>
      </c>
      <c r="E69">
        <v>14</v>
      </c>
      <c r="F69">
        <v>616</v>
      </c>
      <c r="G69">
        <v>605</v>
      </c>
      <c r="H69">
        <v>-11</v>
      </c>
      <c r="I69">
        <v>2</v>
      </c>
      <c r="J69" s="7">
        <v>2</v>
      </c>
      <c r="K69" s="24">
        <v>2.4</v>
      </c>
      <c r="L69" s="7">
        <v>3</v>
      </c>
      <c r="M69" s="7">
        <v>1452</v>
      </c>
      <c r="N69" s="7">
        <v>1815</v>
      </c>
      <c r="O69" s="80">
        <f>YEAR(Tableau5[[#This Row],[Date]])</f>
        <v>2010</v>
      </c>
    </row>
    <row r="70" spans="1:15" x14ac:dyDescent="0.35">
      <c r="A70">
        <v>68</v>
      </c>
      <c r="B70" t="s">
        <v>11</v>
      </c>
      <c r="C70" s="8">
        <v>40282</v>
      </c>
      <c r="D70" t="s">
        <v>75</v>
      </c>
      <c r="E70">
        <v>10</v>
      </c>
      <c r="F70">
        <v>440</v>
      </c>
      <c r="G70">
        <v>431</v>
      </c>
      <c r="H70">
        <v>-9</v>
      </c>
      <c r="I70">
        <v>2</v>
      </c>
      <c r="J70" s="7">
        <v>1.83</v>
      </c>
      <c r="K70" s="24">
        <v>2.1960000000000002</v>
      </c>
      <c r="L70" s="7">
        <v>3</v>
      </c>
      <c r="M70" s="7">
        <v>946.47600000000011</v>
      </c>
      <c r="N70" s="7">
        <v>1293</v>
      </c>
      <c r="O70" s="80">
        <f>YEAR(Tableau5[[#This Row],[Date]])</f>
        <v>2010</v>
      </c>
    </row>
    <row r="71" spans="1:15" x14ac:dyDescent="0.35">
      <c r="A71">
        <v>69</v>
      </c>
      <c r="B71" t="s">
        <v>69</v>
      </c>
      <c r="C71" s="8">
        <v>40282</v>
      </c>
      <c r="D71" t="s">
        <v>75</v>
      </c>
      <c r="E71">
        <v>2</v>
      </c>
      <c r="F71">
        <v>132</v>
      </c>
      <c r="G71">
        <v>119</v>
      </c>
      <c r="H71">
        <v>-13</v>
      </c>
      <c r="I71">
        <v>2</v>
      </c>
      <c r="J71" s="7">
        <v>2.5</v>
      </c>
      <c r="K71" s="24">
        <v>3</v>
      </c>
      <c r="L71" s="7">
        <v>3</v>
      </c>
      <c r="M71" s="7">
        <v>357</v>
      </c>
      <c r="N71" s="7">
        <v>357</v>
      </c>
      <c r="O71" s="80">
        <f>YEAR(Tableau5[[#This Row],[Date]])</f>
        <v>2010</v>
      </c>
    </row>
    <row r="72" spans="1:15" x14ac:dyDescent="0.35">
      <c r="A72">
        <v>70</v>
      </c>
      <c r="B72" t="s">
        <v>9</v>
      </c>
      <c r="C72" s="8">
        <v>40366</v>
      </c>
      <c r="D72" t="s">
        <v>71</v>
      </c>
      <c r="E72">
        <v>12</v>
      </c>
      <c r="F72">
        <v>528</v>
      </c>
      <c r="G72">
        <v>527</v>
      </c>
      <c r="H72">
        <v>-1</v>
      </c>
      <c r="I72">
        <v>2</v>
      </c>
      <c r="J72" s="7">
        <v>2</v>
      </c>
      <c r="K72" s="24">
        <v>2.4</v>
      </c>
      <c r="L72" s="7">
        <v>3</v>
      </c>
      <c r="M72" s="7">
        <v>1264.8</v>
      </c>
      <c r="N72" s="7">
        <v>1581</v>
      </c>
      <c r="O72" s="80">
        <f>YEAR(Tableau5[[#This Row],[Date]])</f>
        <v>2010</v>
      </c>
    </row>
    <row r="73" spans="1:15" x14ac:dyDescent="0.35">
      <c r="A73">
        <v>71</v>
      </c>
      <c r="B73" t="s">
        <v>69</v>
      </c>
      <c r="C73" s="8">
        <v>40393</v>
      </c>
      <c r="D73" t="s">
        <v>83</v>
      </c>
      <c r="E73">
        <v>4</v>
      </c>
      <c r="F73">
        <v>264</v>
      </c>
      <c r="G73">
        <v>252</v>
      </c>
      <c r="H73">
        <v>-12</v>
      </c>
      <c r="I73">
        <v>2</v>
      </c>
      <c r="J73" s="7">
        <v>2.5</v>
      </c>
      <c r="K73" s="24">
        <v>3</v>
      </c>
      <c r="L73" s="7">
        <v>3</v>
      </c>
      <c r="M73" s="7">
        <v>756</v>
      </c>
      <c r="N73" s="7">
        <v>756</v>
      </c>
      <c r="O73" s="80">
        <f>YEAR(Tableau5[[#This Row],[Date]])</f>
        <v>2010</v>
      </c>
    </row>
    <row r="74" spans="1:15" x14ac:dyDescent="0.35">
      <c r="A74">
        <v>72</v>
      </c>
      <c r="B74" t="s">
        <v>9</v>
      </c>
      <c r="C74" s="8">
        <v>40432</v>
      </c>
      <c r="D74" t="s">
        <v>83</v>
      </c>
      <c r="E74">
        <v>6</v>
      </c>
      <c r="F74">
        <v>264</v>
      </c>
      <c r="G74">
        <v>245</v>
      </c>
      <c r="H74">
        <v>-19</v>
      </c>
      <c r="I74">
        <v>2</v>
      </c>
      <c r="J74" s="7">
        <v>2</v>
      </c>
      <c r="K74" s="24">
        <v>2.4</v>
      </c>
      <c r="L74" s="7">
        <v>3</v>
      </c>
      <c r="M74" s="7">
        <v>588</v>
      </c>
      <c r="N74" s="7">
        <v>735</v>
      </c>
      <c r="O74" s="80">
        <f>YEAR(Tableau5[[#This Row],[Date]])</f>
        <v>2010</v>
      </c>
    </row>
    <row r="75" spans="1:15" x14ac:dyDescent="0.35">
      <c r="A75">
        <v>73</v>
      </c>
      <c r="B75" t="s">
        <v>11</v>
      </c>
      <c r="C75" s="8">
        <v>40432</v>
      </c>
      <c r="D75" t="s">
        <v>83</v>
      </c>
      <c r="E75">
        <v>6</v>
      </c>
      <c r="F75">
        <v>264</v>
      </c>
      <c r="G75">
        <v>242</v>
      </c>
      <c r="H75">
        <v>-22</v>
      </c>
      <c r="I75">
        <v>2</v>
      </c>
      <c r="J75" s="7">
        <v>1.83</v>
      </c>
      <c r="K75" s="24">
        <v>2.1960000000000002</v>
      </c>
      <c r="L75" s="7">
        <v>3</v>
      </c>
      <c r="M75" s="7">
        <v>531.43200000000002</v>
      </c>
      <c r="N75" s="7">
        <v>726</v>
      </c>
      <c r="O75" s="80">
        <f>YEAR(Tableau5[[#This Row],[Date]])</f>
        <v>2010</v>
      </c>
    </row>
    <row r="76" spans="1:15" x14ac:dyDescent="0.35">
      <c r="A76">
        <v>74</v>
      </c>
      <c r="B76" t="s">
        <v>9</v>
      </c>
      <c r="C76" s="8">
        <v>40481</v>
      </c>
      <c r="D76" t="s">
        <v>83</v>
      </c>
      <c r="E76">
        <v>8</v>
      </c>
      <c r="F76">
        <v>352</v>
      </c>
      <c r="G76">
        <v>350</v>
      </c>
      <c r="H76">
        <v>-2</v>
      </c>
      <c r="I76">
        <v>2</v>
      </c>
      <c r="J76" s="7">
        <v>2</v>
      </c>
      <c r="K76" s="24">
        <v>2.4</v>
      </c>
      <c r="L76" s="7">
        <v>3</v>
      </c>
      <c r="M76" s="7">
        <v>840</v>
      </c>
      <c r="N76" s="7">
        <v>1050</v>
      </c>
      <c r="O76" s="80">
        <f>YEAR(Tableau5[[#This Row],[Date]])</f>
        <v>2010</v>
      </c>
    </row>
    <row r="77" spans="1:15" x14ac:dyDescent="0.35">
      <c r="A77">
        <v>75</v>
      </c>
      <c r="B77" t="s">
        <v>69</v>
      </c>
      <c r="C77" s="8">
        <v>40481</v>
      </c>
      <c r="D77" t="s">
        <v>83</v>
      </c>
      <c r="E77">
        <v>3</v>
      </c>
      <c r="F77">
        <v>198</v>
      </c>
      <c r="G77">
        <v>195</v>
      </c>
      <c r="H77">
        <v>-3</v>
      </c>
      <c r="I77">
        <v>2</v>
      </c>
      <c r="J77" s="7">
        <v>2.5</v>
      </c>
      <c r="K77" s="24">
        <v>3</v>
      </c>
      <c r="L77" s="7">
        <v>3</v>
      </c>
      <c r="M77" s="7">
        <v>585</v>
      </c>
      <c r="N77" s="7">
        <v>585</v>
      </c>
      <c r="O77" s="80">
        <f>YEAR(Tableau5[[#This Row],[Date]])</f>
        <v>2010</v>
      </c>
    </row>
    <row r="78" spans="1:15" x14ac:dyDescent="0.35">
      <c r="A78">
        <v>76</v>
      </c>
      <c r="B78" t="s">
        <v>69</v>
      </c>
      <c r="C78" s="8">
        <v>40638</v>
      </c>
      <c r="D78" t="s">
        <v>83</v>
      </c>
      <c r="E78">
        <v>3</v>
      </c>
      <c r="F78">
        <v>198</v>
      </c>
      <c r="G78">
        <v>194</v>
      </c>
      <c r="H78">
        <v>-4</v>
      </c>
      <c r="I78">
        <v>2</v>
      </c>
      <c r="J78" s="7">
        <v>2.5</v>
      </c>
      <c r="K78" s="24">
        <v>3</v>
      </c>
      <c r="L78" s="7">
        <v>3</v>
      </c>
      <c r="M78" s="7">
        <v>582</v>
      </c>
      <c r="N78" s="7">
        <v>582</v>
      </c>
      <c r="O78" s="80">
        <f>YEAR(Tableau5[[#This Row],[Date]])</f>
        <v>2011</v>
      </c>
    </row>
    <row r="79" spans="1:15" x14ac:dyDescent="0.35">
      <c r="A79">
        <v>77</v>
      </c>
      <c r="B79" t="s">
        <v>11</v>
      </c>
      <c r="C79" s="8">
        <v>40980</v>
      </c>
      <c r="D79" t="s">
        <v>75</v>
      </c>
      <c r="E79">
        <v>4</v>
      </c>
      <c r="F79">
        <v>176</v>
      </c>
      <c r="G79">
        <v>180</v>
      </c>
      <c r="H79">
        <v>4</v>
      </c>
      <c r="I79">
        <v>2</v>
      </c>
      <c r="J79" s="7">
        <v>1.83</v>
      </c>
      <c r="K79" s="24">
        <v>2.1960000000000002</v>
      </c>
      <c r="L79" s="7">
        <v>3</v>
      </c>
      <c r="M79" s="7">
        <v>395.28000000000003</v>
      </c>
      <c r="N79" s="7">
        <v>540</v>
      </c>
      <c r="O79" s="80">
        <f>YEAR(Tableau5[[#This Row],[Date]])</f>
        <v>2012</v>
      </c>
    </row>
    <row r="80" spans="1:15" x14ac:dyDescent="0.35">
      <c r="A80">
        <v>78</v>
      </c>
      <c r="B80" t="s">
        <v>69</v>
      </c>
      <c r="C80" s="8">
        <v>40980</v>
      </c>
      <c r="D80" t="s">
        <v>75</v>
      </c>
      <c r="E80">
        <v>3</v>
      </c>
      <c r="F80">
        <v>198</v>
      </c>
      <c r="G80">
        <v>192</v>
      </c>
      <c r="H80">
        <v>-6</v>
      </c>
      <c r="I80">
        <v>2</v>
      </c>
      <c r="J80" s="7">
        <v>2.5</v>
      </c>
      <c r="K80" s="24">
        <v>3</v>
      </c>
      <c r="L80" s="7">
        <v>3</v>
      </c>
      <c r="M80" s="7">
        <v>576</v>
      </c>
      <c r="N80" s="7">
        <v>576</v>
      </c>
      <c r="O80" s="80">
        <f>YEAR(Tableau5[[#This Row],[Date]])</f>
        <v>2012</v>
      </c>
    </row>
    <row r="81" spans="1:15" x14ac:dyDescent="0.35">
      <c r="A81">
        <v>79</v>
      </c>
      <c r="B81" t="s">
        <v>10</v>
      </c>
      <c r="C81" s="8">
        <v>40980</v>
      </c>
      <c r="D81" t="s">
        <v>75</v>
      </c>
      <c r="E81">
        <v>5</v>
      </c>
      <c r="F81">
        <v>220</v>
      </c>
      <c r="G81">
        <v>215</v>
      </c>
      <c r="H81">
        <v>-5</v>
      </c>
      <c r="I81">
        <v>2</v>
      </c>
      <c r="J81" s="7">
        <v>1.83</v>
      </c>
      <c r="K81" s="24">
        <v>2.1960000000000002</v>
      </c>
      <c r="L81" s="7">
        <v>3</v>
      </c>
      <c r="M81" s="7">
        <v>472.14000000000004</v>
      </c>
      <c r="N81" s="7">
        <v>645</v>
      </c>
      <c r="O81" s="80">
        <f>YEAR(Tableau5[[#This Row],[Date]])</f>
        <v>2012</v>
      </c>
    </row>
    <row r="82" spans="1:15" x14ac:dyDescent="0.35">
      <c r="A82">
        <v>80</v>
      </c>
      <c r="B82" t="s">
        <v>11</v>
      </c>
      <c r="C82" s="8">
        <v>40522</v>
      </c>
      <c r="D82" t="s">
        <v>77</v>
      </c>
      <c r="E82">
        <v>6</v>
      </c>
      <c r="F82">
        <v>264</v>
      </c>
      <c r="G82">
        <v>259</v>
      </c>
      <c r="H82">
        <v>-5</v>
      </c>
      <c r="I82">
        <v>2</v>
      </c>
      <c r="J82" s="7">
        <v>1.83</v>
      </c>
      <c r="K82" s="24">
        <v>2.1960000000000002</v>
      </c>
      <c r="L82" s="7">
        <v>3</v>
      </c>
      <c r="M82" s="7">
        <v>568.76400000000001</v>
      </c>
      <c r="N82" s="7">
        <v>777</v>
      </c>
      <c r="O82" s="80">
        <f>YEAR(Tableau5[[#This Row],[Date]])</f>
        <v>2010</v>
      </c>
    </row>
    <row r="83" spans="1:15" x14ac:dyDescent="0.35">
      <c r="A83">
        <v>81</v>
      </c>
      <c r="B83" t="s">
        <v>9</v>
      </c>
      <c r="C83" s="8">
        <v>40522</v>
      </c>
      <c r="D83" t="s">
        <v>77</v>
      </c>
      <c r="E83">
        <v>8</v>
      </c>
      <c r="F83">
        <v>352</v>
      </c>
      <c r="G83">
        <v>348</v>
      </c>
      <c r="H83">
        <v>-4</v>
      </c>
      <c r="I83">
        <v>2</v>
      </c>
      <c r="J83" s="7">
        <v>2</v>
      </c>
      <c r="K83" s="24">
        <v>2.4</v>
      </c>
      <c r="L83" s="7">
        <v>3</v>
      </c>
      <c r="M83" s="7">
        <v>835.19999999999993</v>
      </c>
      <c r="N83" s="7">
        <v>1044</v>
      </c>
      <c r="O83" s="80">
        <f>YEAR(Tableau5[[#This Row],[Date]])</f>
        <v>2010</v>
      </c>
    </row>
    <row r="84" spans="1:15" x14ac:dyDescent="0.35">
      <c r="A84">
        <v>82</v>
      </c>
      <c r="B84" t="s">
        <v>11</v>
      </c>
      <c r="C84" s="8">
        <v>40565</v>
      </c>
      <c r="D84" t="s">
        <v>76</v>
      </c>
      <c r="E84">
        <v>3</v>
      </c>
      <c r="F84">
        <v>132</v>
      </c>
      <c r="G84">
        <v>126</v>
      </c>
      <c r="H84">
        <v>-6</v>
      </c>
      <c r="I84">
        <v>2</v>
      </c>
      <c r="J84" s="7">
        <v>1.83</v>
      </c>
      <c r="K84" s="24">
        <v>2.1960000000000002</v>
      </c>
      <c r="L84" s="7">
        <v>3</v>
      </c>
      <c r="M84" s="7">
        <v>276.69600000000003</v>
      </c>
      <c r="N84" s="7">
        <v>378</v>
      </c>
      <c r="O84" s="80">
        <f>YEAR(Tableau5[[#This Row],[Date]])</f>
        <v>2011</v>
      </c>
    </row>
    <row r="85" spans="1:15" x14ac:dyDescent="0.35">
      <c r="A85">
        <v>83</v>
      </c>
      <c r="B85" t="s">
        <v>69</v>
      </c>
      <c r="C85" s="8">
        <v>40565</v>
      </c>
      <c r="D85" t="s">
        <v>76</v>
      </c>
      <c r="E85">
        <v>3</v>
      </c>
      <c r="F85">
        <v>198</v>
      </c>
      <c r="G85">
        <v>191</v>
      </c>
      <c r="H85">
        <v>-7</v>
      </c>
      <c r="I85">
        <v>2</v>
      </c>
      <c r="J85" s="7">
        <v>2.5</v>
      </c>
      <c r="K85" s="24">
        <v>3</v>
      </c>
      <c r="L85" s="7">
        <v>3</v>
      </c>
      <c r="M85" s="7">
        <v>573</v>
      </c>
      <c r="N85" s="7">
        <v>573</v>
      </c>
      <c r="O85" s="80">
        <f>YEAR(Tableau5[[#This Row],[Date]])</f>
        <v>2011</v>
      </c>
    </row>
    <row r="86" spans="1:15" x14ac:dyDescent="0.35">
      <c r="A86">
        <v>84</v>
      </c>
      <c r="B86" t="s">
        <v>10</v>
      </c>
      <c r="C86" s="8">
        <v>40565</v>
      </c>
      <c r="D86" t="s">
        <v>76</v>
      </c>
      <c r="E86">
        <v>6</v>
      </c>
      <c r="F86">
        <v>264</v>
      </c>
      <c r="G86">
        <v>259</v>
      </c>
      <c r="H86">
        <v>-5</v>
      </c>
      <c r="I86">
        <v>2</v>
      </c>
      <c r="J86" s="7">
        <v>1.83</v>
      </c>
      <c r="K86" s="24">
        <v>2.1960000000000002</v>
      </c>
      <c r="L86" s="7">
        <v>3</v>
      </c>
      <c r="M86" s="7">
        <v>568.76400000000001</v>
      </c>
      <c r="N86" s="7">
        <v>777</v>
      </c>
      <c r="O86" s="80">
        <f>YEAR(Tableau5[[#This Row],[Date]])</f>
        <v>2011</v>
      </c>
    </row>
    <row r="87" spans="1:15" x14ac:dyDescent="0.35">
      <c r="A87">
        <v>85</v>
      </c>
      <c r="B87" t="s">
        <v>9</v>
      </c>
      <c r="C87" s="8">
        <v>40592</v>
      </c>
      <c r="D87" t="s">
        <v>75</v>
      </c>
      <c r="E87">
        <v>14</v>
      </c>
      <c r="F87">
        <v>616</v>
      </c>
      <c r="G87">
        <v>606</v>
      </c>
      <c r="H87">
        <v>-10</v>
      </c>
      <c r="I87">
        <v>2</v>
      </c>
      <c r="J87" s="7">
        <v>2</v>
      </c>
      <c r="K87" s="24">
        <v>2.4</v>
      </c>
      <c r="L87" s="7">
        <v>3</v>
      </c>
      <c r="M87" s="7">
        <v>1454.3999999999999</v>
      </c>
      <c r="N87" s="7">
        <v>1818</v>
      </c>
      <c r="O87" s="80">
        <f>YEAR(Tableau5[[#This Row],[Date]])</f>
        <v>2011</v>
      </c>
    </row>
    <row r="88" spans="1:15" x14ac:dyDescent="0.35">
      <c r="A88">
        <v>86</v>
      </c>
      <c r="B88" t="s">
        <v>9</v>
      </c>
      <c r="C88" s="8">
        <v>40662</v>
      </c>
      <c r="D88" t="s">
        <v>71</v>
      </c>
      <c r="E88">
        <v>13</v>
      </c>
      <c r="F88">
        <v>572</v>
      </c>
      <c r="G88">
        <v>581</v>
      </c>
      <c r="H88">
        <v>9</v>
      </c>
      <c r="I88">
        <v>2</v>
      </c>
      <c r="J88" s="7">
        <v>2</v>
      </c>
      <c r="K88" s="24">
        <v>2.4</v>
      </c>
      <c r="L88" s="7">
        <v>3</v>
      </c>
      <c r="M88" s="7">
        <v>1394.3999999999999</v>
      </c>
      <c r="N88" s="7">
        <v>1743</v>
      </c>
      <c r="O88" s="80">
        <f>YEAR(Tableau5[[#This Row],[Date]])</f>
        <v>2011</v>
      </c>
    </row>
    <row r="89" spans="1:15" x14ac:dyDescent="0.35">
      <c r="A89">
        <v>87</v>
      </c>
      <c r="B89" t="s">
        <v>69</v>
      </c>
      <c r="C89" s="8">
        <v>40677</v>
      </c>
      <c r="D89" t="s">
        <v>73</v>
      </c>
      <c r="E89">
        <v>2</v>
      </c>
      <c r="F89">
        <v>132</v>
      </c>
      <c r="G89">
        <v>134</v>
      </c>
      <c r="H89">
        <v>2</v>
      </c>
      <c r="I89">
        <v>2</v>
      </c>
      <c r="J89" s="7">
        <v>2.5</v>
      </c>
      <c r="K89" s="24">
        <v>3</v>
      </c>
      <c r="L89" s="7">
        <v>3</v>
      </c>
      <c r="M89" s="7">
        <v>402</v>
      </c>
      <c r="N89" s="7">
        <v>402</v>
      </c>
      <c r="O89" s="80">
        <f>YEAR(Tableau5[[#This Row],[Date]])</f>
        <v>2011</v>
      </c>
    </row>
    <row r="90" spans="1:15" x14ac:dyDescent="0.35">
      <c r="A90">
        <v>88</v>
      </c>
      <c r="B90" t="s">
        <v>10</v>
      </c>
      <c r="C90" s="8">
        <v>40677</v>
      </c>
      <c r="D90" t="s">
        <v>73</v>
      </c>
      <c r="E90">
        <v>6</v>
      </c>
      <c r="F90">
        <v>264</v>
      </c>
      <c r="G90">
        <v>266</v>
      </c>
      <c r="H90">
        <v>2</v>
      </c>
      <c r="I90">
        <v>2</v>
      </c>
      <c r="J90" s="7">
        <v>1.83</v>
      </c>
      <c r="K90" s="24">
        <v>2.1960000000000002</v>
      </c>
      <c r="L90" s="7">
        <v>3</v>
      </c>
      <c r="M90" s="7">
        <v>584.13600000000008</v>
      </c>
      <c r="N90" s="7">
        <v>798</v>
      </c>
      <c r="O90" s="80">
        <f>YEAR(Tableau5[[#This Row],[Date]])</f>
        <v>2011</v>
      </c>
    </row>
    <row r="91" spans="1:15" x14ac:dyDescent="0.35">
      <c r="A91">
        <v>89</v>
      </c>
      <c r="B91" t="s">
        <v>11</v>
      </c>
      <c r="C91" s="8">
        <v>42504</v>
      </c>
      <c r="D91" t="s">
        <v>73</v>
      </c>
      <c r="E91">
        <v>4</v>
      </c>
      <c r="F91">
        <v>176</v>
      </c>
      <c r="G91">
        <v>175</v>
      </c>
      <c r="H91">
        <v>-1</v>
      </c>
      <c r="I91">
        <v>2</v>
      </c>
      <c r="J91" s="7">
        <v>1.83</v>
      </c>
      <c r="K91" s="24">
        <v>2.1960000000000002</v>
      </c>
      <c r="L91" s="7">
        <v>3</v>
      </c>
      <c r="M91" s="7">
        <v>384.3</v>
      </c>
      <c r="N91" s="7">
        <v>525</v>
      </c>
      <c r="O91" s="80">
        <f>YEAR(Tableau5[[#This Row],[Date]])</f>
        <v>2016</v>
      </c>
    </row>
    <row r="92" spans="1:15" x14ac:dyDescent="0.35">
      <c r="A92">
        <v>90</v>
      </c>
      <c r="B92" t="s">
        <v>70</v>
      </c>
      <c r="C92" s="8">
        <v>42541</v>
      </c>
      <c r="D92" t="s">
        <v>83</v>
      </c>
      <c r="E92">
        <v>10</v>
      </c>
      <c r="F92">
        <v>660</v>
      </c>
      <c r="G92">
        <v>660</v>
      </c>
      <c r="H92">
        <v>0</v>
      </c>
      <c r="I92">
        <v>2</v>
      </c>
      <c r="J92" s="7">
        <v>2.5</v>
      </c>
      <c r="K92" s="24">
        <v>3</v>
      </c>
      <c r="L92" s="7">
        <v>3</v>
      </c>
      <c r="M92" s="7">
        <v>1980</v>
      </c>
      <c r="N92" s="7">
        <v>1980</v>
      </c>
      <c r="O92" s="27">
        <f>YEAR(Tableau5[[#This Row],[Date]])</f>
        <v>2016</v>
      </c>
    </row>
  </sheetData>
  <sortState ref="A2:N90">
    <sortCondition ref="A2"/>
  </sortState>
  <hyperlinks>
    <hyperlink ref="L1" location="Stock!A1" display="Stock"/>
    <hyperlink ref="K1" location="Noms!A1" display="Nom"/>
    <hyperlink ref="J1" location="Listes!A1" display="Listes"/>
    <hyperlink ref="I1" location="'Historique Sorties'!A1" display="Historique Sorties"/>
    <hyperlink ref="H1" location="'Tableau de Bord'!A1" display="Tableau de Bord"/>
    <hyperlink ref="G1" location="'Historique Entrees'!A1" display="Historique Entrées"/>
    <hyperlink ref="F1" location="'Mise en Bouteilles'!A1" display="Mise en Bouteilles"/>
    <hyperlink ref="E1" location="Sorties!A1" display="Sorties"/>
    <hyperlink ref="D1" location="Entrees!A1" display="Entrées"/>
  </hyperlink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H26"/>
  <sheetViews>
    <sheetView zoomScale="80" zoomScaleNormal="80" workbookViewId="0">
      <selection activeCell="I25" sqref="I25"/>
    </sheetView>
  </sheetViews>
  <sheetFormatPr baseColWidth="10" defaultRowHeight="14.5" x14ac:dyDescent="0.35"/>
  <cols>
    <col min="1" max="1" width="20.54296875" customWidth="1"/>
    <col min="2" max="2" width="23.36328125" customWidth="1"/>
    <col min="3" max="3" width="10.81640625" customWidth="1"/>
    <col min="4" max="4" width="10.54296875" customWidth="1"/>
    <col min="5" max="5" width="13.6328125" customWidth="1"/>
    <col min="6" max="6" width="11.90625" customWidth="1"/>
    <col min="7" max="8" width="12.1796875" customWidth="1"/>
    <col min="9" max="9" width="32.6328125" customWidth="1"/>
    <col min="10" max="10" width="18.7265625" customWidth="1"/>
    <col min="11" max="11" width="37.453125" customWidth="1"/>
    <col min="12" max="12" width="23.6328125" customWidth="1"/>
    <col min="13" max="15" width="13.6328125" customWidth="1"/>
    <col min="16" max="16" width="9.90625" customWidth="1"/>
    <col min="17" max="19" width="13.6328125" customWidth="1"/>
    <col min="20" max="20" width="9.90625" customWidth="1"/>
    <col min="21" max="24" width="13.6328125" bestFit="1" customWidth="1"/>
    <col min="25" max="25" width="9.90625" customWidth="1"/>
    <col min="26" max="28" width="10.81640625" customWidth="1"/>
    <col min="29" max="29" width="9.90625" customWidth="1"/>
    <col min="30" max="30" width="6.6328125" customWidth="1"/>
    <col min="31" max="31" width="9.90625" customWidth="1"/>
    <col min="32" max="32" width="12.1796875" bestFit="1" customWidth="1"/>
  </cols>
  <sheetData>
    <row r="2" spans="1:7" x14ac:dyDescent="0.35">
      <c r="A2" s="25" t="s">
        <v>57</v>
      </c>
      <c r="B2" t="s">
        <v>86</v>
      </c>
    </row>
    <row r="4" spans="1:7" x14ac:dyDescent="0.35">
      <c r="A4" s="25" t="s">
        <v>81</v>
      </c>
      <c r="B4" s="25" t="s">
        <v>80</v>
      </c>
    </row>
    <row r="5" spans="1:7" x14ac:dyDescent="0.35">
      <c r="A5" s="25" t="s">
        <v>78</v>
      </c>
      <c r="B5" t="s">
        <v>11</v>
      </c>
      <c r="C5" t="s">
        <v>69</v>
      </c>
      <c r="D5" t="s">
        <v>10</v>
      </c>
      <c r="E5" t="s">
        <v>9</v>
      </c>
      <c r="F5" t="s">
        <v>70</v>
      </c>
      <c r="G5" t="s">
        <v>79</v>
      </c>
    </row>
    <row r="6" spans="1:7" x14ac:dyDescent="0.35">
      <c r="A6" s="26">
        <v>2007</v>
      </c>
      <c r="B6" s="27">
        <v>213</v>
      </c>
      <c r="C6" s="27">
        <v>1327</v>
      </c>
      <c r="D6" s="27">
        <v>2834</v>
      </c>
      <c r="E6" s="27">
        <v>2655</v>
      </c>
      <c r="F6" s="27"/>
      <c r="G6" s="27">
        <v>7029</v>
      </c>
    </row>
    <row r="7" spans="1:7" x14ac:dyDescent="0.35">
      <c r="A7" s="26">
        <v>2008</v>
      </c>
      <c r="B7" s="27">
        <v>387</v>
      </c>
      <c r="C7" s="27">
        <v>762</v>
      </c>
      <c r="D7" s="27">
        <v>2409</v>
      </c>
      <c r="E7" s="27">
        <v>2141</v>
      </c>
      <c r="F7" s="27"/>
      <c r="G7" s="27">
        <v>5699</v>
      </c>
    </row>
    <row r="8" spans="1:7" x14ac:dyDescent="0.35">
      <c r="A8" s="26">
        <v>2009</v>
      </c>
      <c r="B8" s="27">
        <v>267</v>
      </c>
      <c r="C8" s="27">
        <v>500</v>
      </c>
      <c r="D8" s="27">
        <v>1683</v>
      </c>
      <c r="E8" s="27">
        <v>1800</v>
      </c>
      <c r="F8" s="27"/>
      <c r="G8" s="27">
        <v>4250</v>
      </c>
    </row>
    <row r="9" spans="1:7" x14ac:dyDescent="0.35">
      <c r="A9" s="26">
        <v>2010</v>
      </c>
      <c r="B9" s="27">
        <v>1302</v>
      </c>
      <c r="C9" s="27">
        <v>946</v>
      </c>
      <c r="D9" s="27"/>
      <c r="E9" s="27">
        <v>2508</v>
      </c>
      <c r="F9" s="27"/>
      <c r="G9" s="27">
        <v>4756</v>
      </c>
    </row>
    <row r="10" spans="1:7" x14ac:dyDescent="0.35">
      <c r="A10" s="26">
        <v>2011</v>
      </c>
      <c r="B10" s="27">
        <v>126</v>
      </c>
      <c r="C10" s="27">
        <v>519</v>
      </c>
      <c r="D10" s="27">
        <v>525</v>
      </c>
      <c r="E10" s="27">
        <v>1187</v>
      </c>
      <c r="F10" s="27"/>
      <c r="G10" s="27">
        <v>2357</v>
      </c>
    </row>
    <row r="11" spans="1:7" x14ac:dyDescent="0.35">
      <c r="A11" s="26">
        <v>2012</v>
      </c>
      <c r="B11" s="27">
        <v>180</v>
      </c>
      <c r="C11" s="27">
        <v>192</v>
      </c>
      <c r="D11" s="27">
        <v>215</v>
      </c>
      <c r="E11" s="27"/>
      <c r="F11" s="27"/>
      <c r="G11" s="27">
        <v>587</v>
      </c>
    </row>
    <row r="12" spans="1:7" x14ac:dyDescent="0.35">
      <c r="A12" s="26">
        <v>2016</v>
      </c>
      <c r="B12" s="27">
        <v>175</v>
      </c>
      <c r="C12" s="27"/>
      <c r="D12" s="27"/>
      <c r="E12" s="27"/>
      <c r="F12" s="27">
        <v>660</v>
      </c>
      <c r="G12" s="27">
        <v>835</v>
      </c>
    </row>
    <row r="13" spans="1:7" x14ac:dyDescent="0.35">
      <c r="A13" s="26" t="s">
        <v>79</v>
      </c>
      <c r="B13" s="27">
        <v>2650</v>
      </c>
      <c r="C13" s="27">
        <v>4246</v>
      </c>
      <c r="D13" s="27">
        <v>7666</v>
      </c>
      <c r="E13" s="27">
        <v>10291</v>
      </c>
      <c r="F13" s="27">
        <v>660</v>
      </c>
      <c r="G13" s="27">
        <v>25513</v>
      </c>
    </row>
    <row r="15" spans="1:7" x14ac:dyDescent="0.35">
      <c r="B15" s="25" t="s">
        <v>97</v>
      </c>
      <c r="C15" t="s">
        <v>86</v>
      </c>
    </row>
    <row r="17" spans="2:8" x14ac:dyDescent="0.35">
      <c r="B17" s="25" t="s">
        <v>99</v>
      </c>
      <c r="C17" s="25" t="s">
        <v>80</v>
      </c>
    </row>
    <row r="18" spans="2:8" x14ac:dyDescent="0.35">
      <c r="B18" s="25" t="s">
        <v>78</v>
      </c>
      <c r="C18" t="s">
        <v>11</v>
      </c>
      <c r="D18" t="s">
        <v>69</v>
      </c>
      <c r="E18" t="s">
        <v>10</v>
      </c>
      <c r="F18" t="s">
        <v>70</v>
      </c>
      <c r="G18" t="s">
        <v>9</v>
      </c>
      <c r="H18" t="s">
        <v>79</v>
      </c>
    </row>
    <row r="19" spans="2:8" x14ac:dyDescent="0.35">
      <c r="B19" s="26" t="s">
        <v>76</v>
      </c>
      <c r="C19" s="27">
        <v>126</v>
      </c>
      <c r="D19" s="27">
        <v>191</v>
      </c>
      <c r="E19" s="27">
        <v>1427</v>
      </c>
      <c r="F19" s="27"/>
      <c r="G19" s="27">
        <v>1130</v>
      </c>
      <c r="H19" s="27">
        <v>2874</v>
      </c>
    </row>
    <row r="20" spans="2:8" x14ac:dyDescent="0.35">
      <c r="B20" s="26" t="s">
        <v>77</v>
      </c>
      <c r="C20" s="27">
        <v>592</v>
      </c>
      <c r="D20" s="27">
        <v>638</v>
      </c>
      <c r="E20" s="27">
        <v>1683</v>
      </c>
      <c r="F20" s="27"/>
      <c r="G20" s="27">
        <v>1874</v>
      </c>
      <c r="H20" s="27">
        <v>4787</v>
      </c>
    </row>
    <row r="21" spans="2:8" x14ac:dyDescent="0.35">
      <c r="B21" s="26" t="s">
        <v>74</v>
      </c>
      <c r="C21" s="27">
        <v>386</v>
      </c>
      <c r="D21" s="27">
        <v>642</v>
      </c>
      <c r="E21" s="27">
        <v>827</v>
      </c>
      <c r="F21" s="27"/>
      <c r="G21" s="27">
        <v>947</v>
      </c>
      <c r="H21" s="27">
        <v>2802</v>
      </c>
    </row>
    <row r="22" spans="2:8" x14ac:dyDescent="0.35">
      <c r="B22" s="26" t="s">
        <v>75</v>
      </c>
      <c r="C22" s="27">
        <v>786</v>
      </c>
      <c r="D22" s="27">
        <v>745</v>
      </c>
      <c r="E22" s="27">
        <v>725</v>
      </c>
      <c r="F22" s="27"/>
      <c r="G22" s="27">
        <v>1184</v>
      </c>
      <c r="H22" s="27">
        <v>3440</v>
      </c>
    </row>
    <row r="23" spans="2:8" x14ac:dyDescent="0.35">
      <c r="B23" s="26" t="s">
        <v>71</v>
      </c>
      <c r="C23" s="27">
        <v>82</v>
      </c>
      <c r="D23" s="27">
        <v>126</v>
      </c>
      <c r="E23" s="27">
        <v>510</v>
      </c>
      <c r="F23" s="27"/>
      <c r="G23" s="27">
        <v>2769</v>
      </c>
      <c r="H23" s="27">
        <v>3487</v>
      </c>
    </row>
    <row r="24" spans="2:8" x14ac:dyDescent="0.35">
      <c r="B24" s="26" t="s">
        <v>73</v>
      </c>
      <c r="C24" s="27">
        <v>259</v>
      </c>
      <c r="D24" s="27">
        <v>498</v>
      </c>
      <c r="E24" s="27">
        <v>1293</v>
      </c>
      <c r="F24" s="27"/>
      <c r="G24" s="27">
        <v>522</v>
      </c>
      <c r="H24" s="27">
        <v>2572</v>
      </c>
    </row>
    <row r="25" spans="2:8" x14ac:dyDescent="0.35">
      <c r="B25" s="26" t="s">
        <v>83</v>
      </c>
      <c r="C25" s="27">
        <v>419</v>
      </c>
      <c r="D25" s="27">
        <v>1406</v>
      </c>
      <c r="E25" s="27">
        <v>1201</v>
      </c>
      <c r="F25" s="27">
        <v>660</v>
      </c>
      <c r="G25" s="27">
        <v>1865</v>
      </c>
      <c r="H25" s="27">
        <v>5551</v>
      </c>
    </row>
    <row r="26" spans="2:8" x14ac:dyDescent="0.35">
      <c r="B26" s="26" t="s">
        <v>79</v>
      </c>
      <c r="C26" s="27">
        <v>2650</v>
      </c>
      <c r="D26" s="27">
        <v>4246</v>
      </c>
      <c r="E26" s="27">
        <v>7666</v>
      </c>
      <c r="F26" s="27">
        <v>660</v>
      </c>
      <c r="G26" s="27">
        <v>10291</v>
      </c>
      <c r="H26" s="27">
        <v>25513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3"/>
  <sheetViews>
    <sheetView workbookViewId="0">
      <selection activeCell="F6" sqref="F6:G6"/>
    </sheetView>
  </sheetViews>
  <sheetFormatPr baseColWidth="10" defaultRowHeight="14.5" x14ac:dyDescent="0.35"/>
  <cols>
    <col min="4" max="4" width="24.453125" customWidth="1"/>
    <col min="5" max="5" width="16.26953125" customWidth="1"/>
  </cols>
  <sheetData>
    <row r="1" spans="1:7" x14ac:dyDescent="0.35">
      <c r="A1" s="1" t="s">
        <v>27</v>
      </c>
      <c r="B1" s="1" t="s">
        <v>28</v>
      </c>
      <c r="D1" t="s">
        <v>51</v>
      </c>
    </row>
    <row r="2" spans="1:7" x14ac:dyDescent="0.35">
      <c r="A2" s="1">
        <v>1</v>
      </c>
      <c r="B2" s="4">
        <v>5.5E-2</v>
      </c>
      <c r="D2" t="s">
        <v>11</v>
      </c>
    </row>
    <row r="3" spans="1:7" x14ac:dyDescent="0.35">
      <c r="A3" s="1">
        <v>2</v>
      </c>
      <c r="B3" s="4">
        <v>0.2</v>
      </c>
      <c r="D3" t="s">
        <v>69</v>
      </c>
    </row>
    <row r="4" spans="1:7" x14ac:dyDescent="0.35">
      <c r="D4" t="s">
        <v>10</v>
      </c>
      <c r="F4" s="85" t="s">
        <v>40</v>
      </c>
      <c r="G4" s="85"/>
    </row>
    <row r="5" spans="1:7" x14ac:dyDescent="0.35">
      <c r="D5" t="s">
        <v>70</v>
      </c>
      <c r="F5" s="84" t="s">
        <v>41</v>
      </c>
      <c r="G5" s="84"/>
    </row>
    <row r="6" spans="1:7" x14ac:dyDescent="0.35">
      <c r="D6" t="s">
        <v>9</v>
      </c>
      <c r="F6" s="84" t="s">
        <v>42</v>
      </c>
      <c r="G6" s="84"/>
    </row>
    <row r="7" spans="1:7" x14ac:dyDescent="0.35">
      <c r="F7" s="84" t="s">
        <v>43</v>
      </c>
      <c r="G7" s="84"/>
    </row>
    <row r="8" spans="1:7" x14ac:dyDescent="0.35">
      <c r="F8" s="84" t="s">
        <v>44</v>
      </c>
      <c r="G8" s="84"/>
    </row>
    <row r="9" spans="1:7" x14ac:dyDescent="0.35">
      <c r="F9" s="84" t="s">
        <v>45</v>
      </c>
      <c r="G9" s="84"/>
    </row>
    <row r="10" spans="1:7" x14ac:dyDescent="0.35">
      <c r="F10" s="84" t="s">
        <v>46</v>
      </c>
      <c r="G10" s="84"/>
    </row>
    <row r="11" spans="1:7" x14ac:dyDescent="0.35">
      <c r="F11" s="84" t="s">
        <v>68</v>
      </c>
      <c r="G11" s="84"/>
    </row>
    <row r="12" spans="1:7" x14ac:dyDescent="0.35">
      <c r="F12" s="84" t="s">
        <v>5</v>
      </c>
      <c r="G12" s="84"/>
    </row>
    <row r="13" spans="1:7" x14ac:dyDescent="0.35">
      <c r="F13" s="84" t="s">
        <v>48</v>
      </c>
      <c r="G13" s="84"/>
    </row>
  </sheetData>
  <sortState ref="D2:D6">
    <sortCondition ref="D2"/>
  </sortState>
  <mergeCells count="10">
    <mergeCell ref="F10:G10"/>
    <mergeCell ref="F11:G11"/>
    <mergeCell ref="F12:G12"/>
    <mergeCell ref="F13:G13"/>
    <mergeCell ref="F4:G4"/>
    <mergeCell ref="F5:G5"/>
    <mergeCell ref="F6:G6"/>
    <mergeCell ref="F7:G7"/>
    <mergeCell ref="F8:G8"/>
    <mergeCell ref="F9:G9"/>
  </mergeCells>
  <hyperlinks>
    <hyperlink ref="F5:G5" location="Entrees!A1" display="Entrées"/>
    <hyperlink ref="F6:G6" location="Sorties!A1" display="Sorties"/>
    <hyperlink ref="F7:G7" location="'Mise en Bouteilles'!A1" display="Mise en Bouteilles"/>
    <hyperlink ref="F8:G8" location="'Historique Entrees'!A1" display="Historiques Entrées"/>
    <hyperlink ref="F9:G9" location="'Historiques Sorties'!A1" display="Historiques Sorties"/>
    <hyperlink ref="F10:G10" location="'Historique Mise en Bouteilles'!A1" display="Historiques Mise en bouteilles"/>
    <hyperlink ref="F11:G11" location="'Tableau de Bord'!A1" display="Tableau de Bord"/>
    <hyperlink ref="F12:G12" location="Noms!A1" display="Nom"/>
    <hyperlink ref="F13:G13" location="Stock!A1" display="Stock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1"/>
  <sheetViews>
    <sheetView workbookViewId="0">
      <selection activeCell="H3" sqref="H3"/>
    </sheetView>
  </sheetViews>
  <sheetFormatPr baseColWidth="10" defaultRowHeight="14.5" x14ac:dyDescent="0.35"/>
  <cols>
    <col min="1" max="1" width="14.54296875" bestFit="1" customWidth="1"/>
    <col min="2" max="2" width="22.54296875" customWidth="1"/>
    <col min="3" max="3" width="22.453125" customWidth="1"/>
    <col min="4" max="4" width="13.81640625" customWidth="1"/>
    <col min="5" max="5" width="13" customWidth="1"/>
    <col min="6" max="6" width="27.1796875" customWidth="1"/>
    <col min="7" max="7" width="6.81640625" customWidth="1"/>
    <col min="8" max="8" width="30.1796875" customWidth="1"/>
  </cols>
  <sheetData>
    <row r="1" spans="1:8" x14ac:dyDescent="0.35">
      <c r="A1" s="33" t="s">
        <v>36</v>
      </c>
      <c r="B1" s="16" t="s">
        <v>5</v>
      </c>
      <c r="C1" s="16" t="s">
        <v>31</v>
      </c>
      <c r="D1" s="14" t="s">
        <v>49</v>
      </c>
      <c r="E1" s="14" t="s">
        <v>50</v>
      </c>
      <c r="F1" s="35" t="s">
        <v>61</v>
      </c>
      <c r="G1" s="14"/>
      <c r="H1" s="32" t="s">
        <v>40</v>
      </c>
    </row>
    <row r="2" spans="1:8" x14ac:dyDescent="0.35">
      <c r="A2" s="34" t="str">
        <f t="shared" ref="A2:A11" si="0">CONCATENATE(B2," ",C2)</f>
        <v>Sciaparelli Jean-Claude</v>
      </c>
      <c r="B2" s="17" t="s">
        <v>84</v>
      </c>
      <c r="C2" s="17" t="s">
        <v>85</v>
      </c>
      <c r="D2" s="2">
        <f>COUNTIF('Historique Entrees'!D:D,A2)</f>
        <v>2</v>
      </c>
      <c r="E2" s="2">
        <f ca="1">COUNTIF('Historique Sorties'!D:D,identifiant)</f>
        <v>0</v>
      </c>
      <c r="F2" s="36">
        <f ca="1">COUNTIF('Historique Mise en Bouteilles'!D:D,identifiant)</f>
        <v>0</v>
      </c>
      <c r="G2" s="2"/>
      <c r="H2" s="31" t="s">
        <v>41</v>
      </c>
    </row>
    <row r="3" spans="1:8" x14ac:dyDescent="0.35">
      <c r="A3" s="34" t="str">
        <f t="shared" si="0"/>
        <v>Equipe Ignoré</v>
      </c>
      <c r="B3" s="17" t="s">
        <v>62</v>
      </c>
      <c r="C3" s="17" t="s">
        <v>82</v>
      </c>
      <c r="D3" s="2">
        <f>COUNTIF('Historique Entrees'!D:D,A3)</f>
        <v>1</v>
      </c>
      <c r="E3" s="2">
        <f ca="1">COUNTIF('Historique Sorties'!D:D,identifiant)</f>
        <v>0</v>
      </c>
      <c r="F3" s="36">
        <f ca="1">COUNTIF('Historique Mise en Bouteilles'!D:D,identifiant)</f>
        <v>23</v>
      </c>
      <c r="G3" s="2"/>
      <c r="H3" s="31" t="s">
        <v>42</v>
      </c>
    </row>
    <row r="4" spans="1:8" x14ac:dyDescent="0.35">
      <c r="A4" s="34" t="str">
        <f t="shared" si="0"/>
        <v>Equipe 6</v>
      </c>
      <c r="B4" s="17" t="s">
        <v>62</v>
      </c>
      <c r="C4" s="17">
        <v>6</v>
      </c>
      <c r="D4" s="2">
        <f>COUNTIF('Historique Entrees'!D:D,A4)</f>
        <v>1</v>
      </c>
      <c r="E4" s="2">
        <f ca="1">COUNTIF('Historique Sorties'!D:D,identifiant)</f>
        <v>1</v>
      </c>
      <c r="F4" s="36">
        <f ca="1">COUNTIF('Historique Mise en Bouteilles'!D:D,identifiant)</f>
        <v>11</v>
      </c>
      <c r="G4" s="2"/>
      <c r="H4" s="31" t="s">
        <v>43</v>
      </c>
    </row>
    <row r="5" spans="1:8" x14ac:dyDescent="0.35">
      <c r="A5" s="34" t="str">
        <f t="shared" si="0"/>
        <v>Equipe 5</v>
      </c>
      <c r="B5" s="17" t="s">
        <v>62</v>
      </c>
      <c r="C5" s="17">
        <v>5</v>
      </c>
      <c r="D5" s="2">
        <f>COUNTIF('Historique Entrees'!D:D,A5)</f>
        <v>0</v>
      </c>
      <c r="E5" s="2">
        <f ca="1">COUNTIF('Historique Sorties'!D:D,identifiant)</f>
        <v>1</v>
      </c>
      <c r="F5" s="36">
        <f ca="1">COUNTIF('Historique Mise en Bouteilles'!D:D,identifiant)</f>
        <v>9</v>
      </c>
      <c r="G5" s="2"/>
      <c r="H5" s="31" t="s">
        <v>44</v>
      </c>
    </row>
    <row r="6" spans="1:8" x14ac:dyDescent="0.35">
      <c r="A6" s="34" t="str">
        <f t="shared" si="0"/>
        <v>Equipe 4</v>
      </c>
      <c r="B6" s="17" t="s">
        <v>62</v>
      </c>
      <c r="C6" s="17">
        <v>4</v>
      </c>
      <c r="D6" s="2">
        <f>COUNTIF('Historique Entrees'!D:D,A6)</f>
        <v>1</v>
      </c>
      <c r="E6" s="2">
        <f ca="1">COUNTIF('Historique Sorties'!D:D,identifiant)</f>
        <v>0</v>
      </c>
      <c r="F6" s="36">
        <f ca="1">COUNTIF('Historique Mise en Bouteilles'!D:D,identifiant)</f>
        <v>13</v>
      </c>
      <c r="G6" s="2"/>
      <c r="H6" s="31" t="s">
        <v>45</v>
      </c>
    </row>
    <row r="7" spans="1:8" x14ac:dyDescent="0.35">
      <c r="A7" s="34" t="str">
        <f t="shared" si="0"/>
        <v>Equipe  3</v>
      </c>
      <c r="B7" s="17" t="s">
        <v>63</v>
      </c>
      <c r="C7" s="17">
        <v>3</v>
      </c>
      <c r="D7" s="2">
        <f>COUNTIF('Historique Entrees'!D:D,A7)</f>
        <v>0</v>
      </c>
      <c r="E7" s="2">
        <f ca="1">COUNTIF('Historique Sorties'!D:D,identifiant)</f>
        <v>0</v>
      </c>
      <c r="F7" s="36">
        <f ca="1">COUNTIF('Historique Mise en Bouteilles'!D:D,identifiant)</f>
        <v>7</v>
      </c>
      <c r="G7" s="2"/>
      <c r="H7" s="31" t="s">
        <v>46</v>
      </c>
    </row>
    <row r="8" spans="1:8" x14ac:dyDescent="0.35">
      <c r="A8" s="34" t="str">
        <f t="shared" si="0"/>
        <v>Equipe 2</v>
      </c>
      <c r="B8" s="17" t="s">
        <v>62</v>
      </c>
      <c r="C8" s="17">
        <v>2</v>
      </c>
      <c r="D8" s="2">
        <f>COUNTIF('Historique Entrees'!D:D,A8)</f>
        <v>0</v>
      </c>
      <c r="E8" s="2">
        <f ca="1">COUNTIF('Historique Sorties'!D:D,identifiant)</f>
        <v>0</v>
      </c>
      <c r="F8" s="36">
        <f ca="1">COUNTIF('Historique Mise en Bouteilles'!D:D,identifiant)</f>
        <v>12</v>
      </c>
      <c r="G8" s="2"/>
      <c r="H8" s="31" t="s">
        <v>47</v>
      </c>
    </row>
    <row r="9" spans="1:8" x14ac:dyDescent="0.35">
      <c r="A9" s="34" t="str">
        <f t="shared" si="0"/>
        <v>Equipe 1</v>
      </c>
      <c r="B9" s="17" t="s">
        <v>62</v>
      </c>
      <c r="C9" s="17">
        <v>1</v>
      </c>
      <c r="D9" s="2">
        <f>COUNTIF('Historique Entrees'!D:D,A9)</f>
        <v>0</v>
      </c>
      <c r="E9" s="2">
        <f ca="1">COUNTIF('Historique Sorties'!D:D,identifiant)</f>
        <v>0</v>
      </c>
      <c r="F9" s="36">
        <f ca="1">COUNTIF('Historique Mise en Bouteilles'!D:D,identifiant)</f>
        <v>15</v>
      </c>
      <c r="G9" s="2"/>
      <c r="H9" s="31" t="s">
        <v>68</v>
      </c>
    </row>
    <row r="10" spans="1:8" x14ac:dyDescent="0.35">
      <c r="A10" s="34" t="str">
        <f t="shared" si="0"/>
        <v>Audebault Noel</v>
      </c>
      <c r="B10" s="2" t="s">
        <v>32</v>
      </c>
      <c r="C10" s="2" t="s">
        <v>33</v>
      </c>
      <c r="D10" s="2">
        <f>COUNTIF('Historique Entrees'!D:D,A10)</f>
        <v>1</v>
      </c>
      <c r="E10" s="2">
        <f ca="1">COUNTIF('Historique Sorties'!D:D,identifiant)</f>
        <v>7</v>
      </c>
      <c r="F10" s="36">
        <f ca="1">COUNTIF('Historique Mise en Bouteilles'!D:D,identifiant)</f>
        <v>0</v>
      </c>
      <c r="G10" s="2"/>
      <c r="H10" s="31" t="s">
        <v>48</v>
      </c>
    </row>
    <row r="11" spans="1:8" x14ac:dyDescent="0.35">
      <c r="A11" s="37" t="str">
        <f t="shared" si="0"/>
        <v>Gélineau Jacky</v>
      </c>
      <c r="B11" s="17" t="s">
        <v>34</v>
      </c>
      <c r="C11" s="17" t="s">
        <v>35</v>
      </c>
      <c r="D11" s="17">
        <f>COUNTIF('Historique Entrees'!D:D,A11)</f>
        <v>0</v>
      </c>
      <c r="E11" s="17">
        <f ca="1">COUNTIF('Historique Sorties'!D:D,identifiant)</f>
        <v>0</v>
      </c>
      <c r="F11" s="38">
        <f ca="1">COUNTIF('Historique Mise en Bouteilles'!D:D,identifiant)</f>
        <v>0</v>
      </c>
      <c r="G11" s="2"/>
      <c r="H11" s="31"/>
    </row>
  </sheetData>
  <hyperlinks>
    <hyperlink ref="H5" location="'Historique Entrees'!A1" display="Historiques Entrées"/>
    <hyperlink ref="H4" location="'Mise en Bouteilles'!A1" display="Mise en Bouteilles"/>
    <hyperlink ref="H6" location="'Historique Sorties'!A1" display="Historiques Sorties"/>
    <hyperlink ref="H3" location="Sorties!A1" display="Sorties"/>
    <hyperlink ref="H2" location="Entrees!A1" display="Entrées"/>
    <hyperlink ref="H7" location="'Historique Mise en Bouteilles'!A1" display="Historiques Mise en bouteilles"/>
    <hyperlink ref="H8" location="Listes!A1" display="Listes"/>
    <hyperlink ref="H9" location="'Tableau de Bord'!A1" display="Tableau de Bord"/>
    <hyperlink ref="H10" location="Stock!A1" display="Stock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Tableau de Bord</vt:lpstr>
      <vt:lpstr>Entrees</vt:lpstr>
      <vt:lpstr>Sorties</vt:lpstr>
      <vt:lpstr>Cubi</vt:lpstr>
      <vt:lpstr>Mise en Bouteilles</vt:lpstr>
      <vt:lpstr>Stock</vt:lpstr>
      <vt:lpstr>Historique Entrees</vt:lpstr>
      <vt:lpstr>Historique Sorties</vt:lpstr>
      <vt:lpstr>Historique Mise en Bouteilles</vt:lpstr>
      <vt:lpstr>TCD_MiseEnBouteilles</vt:lpstr>
      <vt:lpstr>Listes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AFEH56</cp:lastModifiedBy>
  <dcterms:created xsi:type="dcterms:W3CDTF">2016-06-07T16:30:55Z</dcterms:created>
  <dcterms:modified xsi:type="dcterms:W3CDTF">2016-06-20T17:05:22Z</dcterms:modified>
</cp:coreProperties>
</file>