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00" windowWidth="19420" windowHeight="7880" activeTab="1"/>
  </bookViews>
  <sheets>
    <sheet name="Accueil" sheetId="16" r:id="rId1"/>
    <sheet name="Devis" sheetId="5" r:id="rId2"/>
    <sheet name="Base" sheetId="10" r:id="rId3"/>
    <sheet name="Fichier_client" sheetId="9" r:id="rId4"/>
    <sheet name="MO" sheetId="13" r:id="rId5"/>
    <sheet name="Factures" sheetId="15" r:id="rId6"/>
  </sheets>
  <definedNames>
    <definedName name="Base1">OFFSET(Base!$A$1,,,COUNTA(Base!$A:$A),6)</definedName>
    <definedName name="Base2">OFFSET(Base!$A$1,,,COUNTA(Base!$A:$A),1)</definedName>
    <definedName name="BD_MO">MO!$A$1:$B$3</definedName>
    <definedName name="client">Fichier_client!$A$2:$A$3</definedName>
    <definedName name="CODA">Base!$A:$A</definedName>
    <definedName name="ctva">Devis!$G$23:$G$53</definedName>
    <definedName name="ctvaf">Factures!$G$15:$G$49</definedName>
    <definedName name="Equip_Maison">Base!$B$3:$B$107</definedName>
    <definedName name="f_cl">Fichier_client!$A$1:$H$3</definedName>
    <definedName name="_xlnm.Print_Titles" localSheetId="1">Devis!$21:$22</definedName>
    <definedName name="M_HT">Devis!$F$23:$F$53</definedName>
    <definedName name="M_HTF">Factures!$F$15:$F$49</definedName>
    <definedName name="MO">MO!$A$2:$A$3</definedName>
    <definedName name="_xlnm.Print_Area" localSheetId="1">Devis!$B$1:$G$65</definedName>
    <definedName name="_xlnm.Print_Area" localSheetId="5">Factures!$B$1:$G$65</definedName>
  </definedNames>
  <calcPr calcId="145621"/>
</workbook>
</file>

<file path=xl/calcChain.xml><?xml version="1.0" encoding="utf-8"?>
<calcChain xmlns="http://schemas.openxmlformats.org/spreadsheetml/2006/main">
  <c r="C49" i="15" l="1"/>
  <c r="C48" i="15"/>
  <c r="C47" i="15"/>
  <c r="E47" i="15" s="1"/>
  <c r="B48" i="15"/>
  <c r="B49" i="15"/>
  <c r="B47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15" i="15"/>
  <c r="G48" i="15"/>
  <c r="G49" i="15"/>
  <c r="G4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C54" i="15"/>
  <c r="C53" i="15"/>
  <c r="A3" i="10"/>
  <c r="E10" i="15"/>
  <c r="F8" i="15"/>
  <c r="F7" i="15"/>
  <c r="F4" i="15"/>
  <c r="F6" i="15"/>
  <c r="E12" i="15"/>
  <c r="E52" i="15"/>
  <c r="F49" i="15"/>
  <c r="E49" i="15"/>
  <c r="E48" i="15"/>
  <c r="F48" i="15" s="1"/>
  <c r="E45" i="15"/>
  <c r="C45" i="15"/>
  <c r="F45" i="15" s="1"/>
  <c r="E44" i="15"/>
  <c r="C44" i="15"/>
  <c r="F44" i="15" s="1"/>
  <c r="E43" i="15"/>
  <c r="C43" i="15"/>
  <c r="F43" i="15" s="1"/>
  <c r="E42" i="15"/>
  <c r="C42" i="15"/>
  <c r="F42" i="15" s="1"/>
  <c r="E41" i="15"/>
  <c r="C41" i="15"/>
  <c r="F41" i="15" s="1"/>
  <c r="E40" i="15"/>
  <c r="C40" i="15"/>
  <c r="F40" i="15" s="1"/>
  <c r="E39" i="15"/>
  <c r="C39" i="15"/>
  <c r="F39" i="15" s="1"/>
  <c r="E38" i="15"/>
  <c r="C38" i="15"/>
  <c r="F38" i="15" s="1"/>
  <c r="E37" i="15"/>
  <c r="C37" i="15"/>
  <c r="F37" i="15" s="1"/>
  <c r="E36" i="15"/>
  <c r="C36" i="15"/>
  <c r="F36" i="15" s="1"/>
  <c r="E35" i="15"/>
  <c r="C35" i="15"/>
  <c r="F35" i="15" s="1"/>
  <c r="E34" i="15"/>
  <c r="C34" i="15"/>
  <c r="F34" i="15" s="1"/>
  <c r="E33" i="15"/>
  <c r="C33" i="15"/>
  <c r="F33" i="15" s="1"/>
  <c r="E32" i="15"/>
  <c r="C32" i="15"/>
  <c r="F32" i="15" s="1"/>
  <c r="E31" i="15"/>
  <c r="C31" i="15"/>
  <c r="F31" i="15" s="1"/>
  <c r="E30" i="15"/>
  <c r="C30" i="15"/>
  <c r="F30" i="15" s="1"/>
  <c r="E29" i="15"/>
  <c r="C29" i="15"/>
  <c r="F29" i="15" s="1"/>
  <c r="E28" i="15"/>
  <c r="C28" i="15"/>
  <c r="F28" i="15" s="1"/>
  <c r="E27" i="15"/>
  <c r="C27" i="15"/>
  <c r="F27" i="15" s="1"/>
  <c r="E11" i="15"/>
  <c r="E17" i="5"/>
  <c r="E56" i="5"/>
  <c r="C58" i="5"/>
  <c r="C57" i="5"/>
  <c r="K2" i="5"/>
  <c r="F9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F22" i="10"/>
  <c r="F21" i="10"/>
  <c r="F20" i="10"/>
  <c r="F19" i="10"/>
  <c r="F18" i="10"/>
  <c r="F17" i="10"/>
  <c r="F16" i="10"/>
  <c r="F15" i="10"/>
  <c r="F10" i="10"/>
  <c r="F9" i="10"/>
  <c r="F8" i="10"/>
  <c r="F7" i="10"/>
  <c r="F6" i="10"/>
  <c r="F5" i="10"/>
  <c r="F4" i="10"/>
  <c r="F3" i="10"/>
  <c r="E40" i="5"/>
  <c r="E41" i="5"/>
  <c r="E42" i="5"/>
  <c r="E43" i="5"/>
  <c r="E44" i="5"/>
  <c r="E45" i="5"/>
  <c r="E46" i="5"/>
  <c r="E47" i="5"/>
  <c r="E48" i="5"/>
  <c r="E49" i="5"/>
  <c r="E35" i="5"/>
  <c r="E36" i="5"/>
  <c r="E37" i="5"/>
  <c r="E38" i="5"/>
  <c r="E39" i="5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4" i="10"/>
  <c r="E26" i="15" s="1"/>
  <c r="A5" i="10"/>
  <c r="A6" i="10"/>
  <c r="A7" i="10"/>
  <c r="A8" i="10"/>
  <c r="A9" i="10"/>
  <c r="A10" i="10"/>
  <c r="A11" i="10"/>
  <c r="A12" i="10"/>
  <c r="A15" i="10"/>
  <c r="A16" i="10"/>
  <c r="A17" i="10"/>
  <c r="E34" i="5" l="1"/>
  <c r="C34" i="5"/>
  <c r="C15" i="15"/>
  <c r="C16" i="15"/>
  <c r="C17" i="15"/>
  <c r="C18" i="15"/>
  <c r="C19" i="15"/>
  <c r="C20" i="15"/>
  <c r="C21" i="15"/>
  <c r="C22" i="15"/>
  <c r="C23" i="15"/>
  <c r="C24" i="15"/>
  <c r="C25" i="15"/>
  <c r="C26" i="15"/>
  <c r="F26" i="15" s="1"/>
  <c r="E15" i="15"/>
  <c r="E16" i="15"/>
  <c r="E17" i="15"/>
  <c r="E18" i="15"/>
  <c r="E19" i="15"/>
  <c r="E20" i="15"/>
  <c r="E21" i="15"/>
  <c r="F21" i="15" s="1"/>
  <c r="E22" i="15"/>
  <c r="E23" i="15"/>
  <c r="F23" i="15" s="1"/>
  <c r="E24" i="15"/>
  <c r="F24" i="15" s="1"/>
  <c r="E25" i="15"/>
  <c r="F25" i="15" s="1"/>
  <c r="F47" i="15"/>
  <c r="F20" i="15"/>
  <c r="F18" i="15"/>
  <c r="C25" i="5"/>
  <c r="E33" i="5"/>
  <c r="E31" i="5"/>
  <c r="E29" i="5"/>
  <c r="E27" i="5"/>
  <c r="E25" i="5"/>
  <c r="C23" i="5"/>
  <c r="C32" i="5"/>
  <c r="C30" i="5"/>
  <c r="C28" i="5"/>
  <c r="C26" i="5"/>
  <c r="C24" i="5"/>
  <c r="E23" i="5"/>
  <c r="E32" i="5"/>
  <c r="E30" i="5"/>
  <c r="E28" i="5"/>
  <c r="F28" i="5" s="1"/>
  <c r="E26" i="5"/>
  <c r="E24" i="5"/>
  <c r="C33" i="5"/>
  <c r="C31" i="5"/>
  <c r="C29" i="5"/>
  <c r="C27" i="5"/>
  <c r="F22" i="15" l="1"/>
  <c r="F16" i="15"/>
  <c r="F19" i="15"/>
  <c r="F15" i="15"/>
  <c r="F17" i="15"/>
  <c r="F32" i="5"/>
  <c r="D54" i="15"/>
  <c r="F24" i="5"/>
  <c r="F29" i="5"/>
  <c r="F27" i="5"/>
  <c r="F31" i="5"/>
  <c r="F26" i="5"/>
  <c r="F30" i="5"/>
  <c r="F25" i="5"/>
  <c r="K1" i="5"/>
  <c r="F51" i="15" l="1"/>
  <c r="D53" i="15"/>
  <c r="D55" i="15" s="1"/>
  <c r="F52" i="15" s="1"/>
  <c r="F49" i="5"/>
  <c r="F43" i="5"/>
  <c r="F44" i="5"/>
  <c r="F45" i="5"/>
  <c r="F34" i="5"/>
  <c r="F35" i="5"/>
  <c r="F36" i="5"/>
  <c r="F53" i="5"/>
  <c r="E53" i="5"/>
  <c r="E52" i="5"/>
  <c r="F52" i="5" s="1"/>
  <c r="E51" i="5"/>
  <c r="F51" i="5" s="1"/>
  <c r="E18" i="5"/>
  <c r="F13" i="5"/>
  <c r="F12" i="5"/>
  <c r="F11" i="5"/>
  <c r="E19" i="5" l="1"/>
  <c r="F40" i="5"/>
  <c r="F41" i="5"/>
  <c r="F42" i="5"/>
  <c r="F46" i="5"/>
  <c r="F47" i="5"/>
  <c r="F48" i="5"/>
  <c r="F33" i="5"/>
  <c r="F37" i="5"/>
  <c r="F38" i="5"/>
  <c r="F39" i="5"/>
  <c r="F23" i="5"/>
  <c r="F53" i="15" s="1"/>
  <c r="F55" i="5" l="1"/>
  <c r="D58" i="5"/>
  <c r="D57" i="5"/>
  <c r="D59" i="5" l="1"/>
  <c r="F56" i="5" s="1"/>
  <c r="F57" i="5" s="1"/>
</calcChain>
</file>

<file path=xl/sharedStrings.xml><?xml version="1.0" encoding="utf-8"?>
<sst xmlns="http://schemas.openxmlformats.org/spreadsheetml/2006/main" count="177" uniqueCount="120">
  <si>
    <t>Nom</t>
  </si>
  <si>
    <t>Adresse</t>
  </si>
  <si>
    <t>Téléphone</t>
  </si>
  <si>
    <t>Code postal - Ville</t>
  </si>
  <si>
    <t>Nom de la société (ou logo)</t>
  </si>
  <si>
    <t>Total HT</t>
  </si>
  <si>
    <t>Total TTC</t>
  </si>
  <si>
    <t>Adresse e-mail</t>
  </si>
  <si>
    <t>Désignation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</si>
  <si>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</si>
  <si>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</si>
  <si>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</si>
  <si>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Quantité</t>
  </si>
  <si>
    <t>Prix HT</t>
  </si>
  <si>
    <t>Montant HT</t>
  </si>
  <si>
    <t>Article</t>
  </si>
  <si>
    <t>Prix de Vente HT</t>
  </si>
  <si>
    <t>Coeff revente</t>
  </si>
  <si>
    <t>Tab 3R</t>
  </si>
  <si>
    <t>Coffret Galéo13 3R 39MOD</t>
  </si>
  <si>
    <t>Coffret Galéo13 4R 52MOD</t>
  </si>
  <si>
    <t>Tab 4R</t>
  </si>
  <si>
    <t>ID 40AC 30ma</t>
  </si>
  <si>
    <t>Inter Dif FH202S AC-40/0,03</t>
  </si>
  <si>
    <t>Dij Div 10A</t>
  </si>
  <si>
    <t>Disj Ph/N SN201L-C10 / 4,5KA</t>
  </si>
  <si>
    <t>Dij Div 16A</t>
  </si>
  <si>
    <t>Disj Ph/N SN201L-C16 / 4,5KA</t>
  </si>
  <si>
    <t>Dij Div 20A</t>
  </si>
  <si>
    <t>Disj Ph/N SN201L-C20 / 4,5KA</t>
  </si>
  <si>
    <t>Peigne Horiz</t>
  </si>
  <si>
    <t>Peigne ID+11 SN201 (N+P+Capot)</t>
  </si>
  <si>
    <t>Coupure Gén tétra</t>
  </si>
  <si>
    <t>Inter 4P EP204 32A G</t>
  </si>
  <si>
    <t xml:space="preserve">PC </t>
  </si>
  <si>
    <t>Odace Prise de courant 2P+T blanc, à vis</t>
  </si>
  <si>
    <t>VV</t>
  </si>
  <si>
    <t>Odace Va et vient blanc, 10A, à vis</t>
  </si>
  <si>
    <t>dble VV</t>
  </si>
  <si>
    <t>Odace Double Va et vient blanc, à vis</t>
  </si>
  <si>
    <t>BP</t>
  </si>
  <si>
    <t>Odace Poussoir Blanc, 10A, à vis</t>
  </si>
  <si>
    <t>TV</t>
  </si>
  <si>
    <t>Odace Prise TV blanc, à vis</t>
  </si>
  <si>
    <t>RJ45</t>
  </si>
  <si>
    <t>Odace Prise RJ45 blanc, Grade , à vis</t>
  </si>
  <si>
    <t>plaque 1 poste</t>
  </si>
  <si>
    <t>Odace styl, Plaque blanc 1 poste</t>
  </si>
  <si>
    <t>Odace styl, Plaque blanc 2 postes</t>
  </si>
  <si>
    <t>plaque 2 postes</t>
  </si>
  <si>
    <t>Pose appareillage</t>
  </si>
  <si>
    <t xml:space="preserve">Noms </t>
  </si>
  <si>
    <t>Adresses</t>
  </si>
  <si>
    <t>CP</t>
  </si>
  <si>
    <t>Ville</t>
  </si>
  <si>
    <t>Email</t>
  </si>
  <si>
    <t>Tél</t>
  </si>
  <si>
    <t>EQUIPEMENTS MAISON</t>
  </si>
  <si>
    <t>EQUIPEMENTS TABLEAU</t>
  </si>
  <si>
    <t>1 Rue Bleue</t>
  </si>
  <si>
    <t>56000</t>
  </si>
  <si>
    <t>VANNES</t>
  </si>
  <si>
    <t>DUPONT JEAN</t>
  </si>
  <si>
    <t>valable jusqu'au</t>
  </si>
  <si>
    <t>Tirage des Gaines</t>
  </si>
  <si>
    <t>Saisir quantité en col B</t>
  </si>
  <si>
    <t>jean.dupont@orange.fr</t>
  </si>
  <si>
    <t>Devis N°:</t>
  </si>
  <si>
    <t>du</t>
  </si>
  <si>
    <t xml:space="preserve">La TVA peut être modifiée </t>
  </si>
  <si>
    <t>par le bouton "Changer le taux de TVA"</t>
  </si>
  <si>
    <t>CODE</t>
  </si>
  <si>
    <t>Code</t>
  </si>
  <si>
    <t>MAIN D'ŒUVRE (Désignation)</t>
  </si>
  <si>
    <t>Double-clic pour créer nouveau client</t>
  </si>
  <si>
    <t>Double-clic pour changer le Taux de TVA</t>
  </si>
  <si>
    <t>&lt;--Saisir quantité en col B</t>
  </si>
  <si>
    <t>Double-clic pour Réinitialiser les données</t>
  </si>
  <si>
    <t>Double-clic pour Imprimer le Devis</t>
  </si>
  <si>
    <t>Double-clic pour Sauvegarder en PDF</t>
  </si>
  <si>
    <t>Double-clic pour Commencer la SAISIE(Base)</t>
  </si>
  <si>
    <t>Double-clic pour Ajouter 5 lignes supplémentaires</t>
  </si>
  <si>
    <t>TVA</t>
  </si>
  <si>
    <t>Codes</t>
  </si>
  <si>
    <t>Taux</t>
  </si>
  <si>
    <t>Montants</t>
  </si>
  <si>
    <t>TOTAL TVA</t>
  </si>
  <si>
    <t>tva</t>
  </si>
  <si>
    <t xml:space="preserve">&lt;--Saisir code TVA 1 ou 2 </t>
  </si>
  <si>
    <t>j.dupuis@free.fr</t>
  </si>
  <si>
    <t>02 97 54 12 22</t>
  </si>
  <si>
    <t>1 Rue Verte</t>
  </si>
  <si>
    <t>DUPUIS JACQUES</t>
  </si>
  <si>
    <t>Facture N°:</t>
  </si>
  <si>
    <t>A régler avant le:</t>
  </si>
  <si>
    <t>c3</t>
  </si>
  <si>
    <t>c4</t>
  </si>
  <si>
    <t>c5</t>
  </si>
  <si>
    <t>c6</t>
  </si>
  <si>
    <t>c7</t>
  </si>
  <si>
    <t>c8</t>
  </si>
  <si>
    <t>c9</t>
  </si>
  <si>
    <t>2013_000</t>
  </si>
  <si>
    <t>2013_001</t>
  </si>
  <si>
    <t>2013_002</t>
  </si>
  <si>
    <t>Date Devis</t>
  </si>
  <si>
    <t>Date Facture</t>
  </si>
  <si>
    <t>M_Facture</t>
  </si>
  <si>
    <t>Date Paiement</t>
  </si>
  <si>
    <t>c15</t>
  </si>
  <si>
    <t>c17</t>
  </si>
  <si>
    <t>c19</t>
  </si>
  <si>
    <t>c20</t>
  </si>
  <si>
    <t>c21</t>
  </si>
  <si>
    <t>1</t>
  </si>
  <si>
    <t>02 97 54 12 50</t>
  </si>
  <si>
    <t>Double-clic pour Imprimer la Facture</t>
  </si>
  <si>
    <t>Date et Signature</t>
  </si>
  <si>
    <t>BON POUR ACCORD,</t>
  </si>
  <si>
    <t>Liste déroulante  pour la 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</si>
</sst>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\j\.m\.\a\a;@"/>
    <numFmt numFmtId="166" formatCode="dd/mm/yy;@"/>
    <numFmt numFmtId="167" formatCode="0#&quot; &quot;##&quot; &quot;##&quot; &quot;##&quot; &quot;##"/>
    <numFmt numFmtId="168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4"/>
      <color theme="1"/>
      <name val="Verdana"/>
      <family val="2"/>
    </font>
    <font>
      <b/>
      <sz val="10"/>
      <color rgb="FFFF0000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6337778862885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7" borderId="0" applyNumberFormat="0" applyBorder="0" applyAlignment="0" applyProtection="0"/>
  </cellStyleXfs>
  <cellXfs count="142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166" fontId="11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 indent="2"/>
    </xf>
    <xf numFmtId="165" fontId="9" fillId="2" borderId="0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9" fillId="5" borderId="0" xfId="3" applyNumberFormat="1" applyFont="1" applyBorder="1" applyAlignment="1">
      <alignment horizontal="left" vertical="center"/>
    </xf>
    <xf numFmtId="0" fontId="0" fillId="0" borderId="2" xfId="0" applyBorder="1"/>
    <xf numFmtId="0" fontId="20" fillId="7" borderId="3" xfId="5" applyFont="1" applyBorder="1"/>
    <xf numFmtId="0" fontId="20" fillId="7" borderId="3" xfId="5" applyFont="1" applyBorder="1" applyAlignment="1">
      <alignment horizontal="center"/>
    </xf>
    <xf numFmtId="0" fontId="0" fillId="0" borderId="6" xfId="0" applyBorder="1"/>
    <xf numFmtId="0" fontId="16" fillId="0" borderId="0" xfId="2"/>
    <xf numFmtId="167" fontId="0" fillId="0" borderId="0" xfId="0" applyNumberFormat="1"/>
    <xf numFmtId="2" fontId="12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horizontal="center" vertical="center"/>
    </xf>
    <xf numFmtId="2" fontId="19" fillId="5" borderId="0" xfId="3" applyNumberFormat="1" applyFont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2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167" fontId="12" fillId="3" borderId="0" xfId="0" applyNumberFormat="1" applyFont="1" applyFill="1" applyBorder="1" applyAlignment="1">
      <alignment horizontal="left" vertical="center"/>
    </xf>
    <xf numFmtId="0" fontId="0" fillId="0" borderId="10" xfId="0" applyFill="1" applyBorder="1"/>
    <xf numFmtId="2" fontId="20" fillId="7" borderId="4" xfId="5" applyNumberFormat="1" applyFont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0" xfId="0" applyNumberFormat="1"/>
    <xf numFmtId="0" fontId="17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left" vertical="center" wrapText="1"/>
    </xf>
    <xf numFmtId="14" fontId="10" fillId="3" borderId="0" xfId="0" applyNumberFormat="1" applyFont="1" applyFill="1" applyBorder="1" applyAlignment="1">
      <alignment horizontal="left" vertical="center"/>
    </xf>
    <xf numFmtId="14" fontId="25" fillId="3" borderId="0" xfId="0" applyNumberFormat="1" applyFont="1" applyFill="1" applyBorder="1" applyAlignment="1">
      <alignment horizontal="left" vertical="center"/>
    </xf>
    <xf numFmtId="0" fontId="10" fillId="8" borderId="0" xfId="0" applyFont="1" applyFill="1" applyBorder="1" applyAlignment="1">
      <alignment vertical="center" wrapText="1"/>
    </xf>
    <xf numFmtId="0" fontId="12" fillId="8" borderId="0" xfId="0" applyFont="1" applyFill="1" applyBorder="1" applyAlignment="1">
      <alignment horizontal="left" vertical="center"/>
    </xf>
    <xf numFmtId="167" fontId="12" fillId="8" borderId="0" xfId="0" applyNumberFormat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vertical="center"/>
    </xf>
    <xf numFmtId="2" fontId="20" fillId="7" borderId="3" xfId="5" applyNumberFormat="1" applyFont="1" applyBorder="1" applyAlignment="1">
      <alignment horizontal="center"/>
    </xf>
    <xf numFmtId="2" fontId="0" fillId="0" borderId="2" xfId="0" applyNumberFormat="1" applyBorder="1"/>
    <xf numFmtId="2" fontId="0" fillId="0" borderId="6" xfId="0" applyNumberFormat="1" applyBorder="1"/>
    <xf numFmtId="0" fontId="9" fillId="3" borderId="0" xfId="0" applyNumberFormat="1" applyFont="1" applyFill="1" applyBorder="1" applyAlignment="1" applyProtection="1">
      <alignment horizontal="left" vertical="center"/>
      <protection locked="0"/>
    </xf>
    <xf numFmtId="0" fontId="10" fillId="8" borderId="0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0" fontId="27" fillId="3" borderId="0" xfId="0" applyNumberFormat="1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right" vertical="center"/>
    </xf>
    <xf numFmtId="168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/>
    </xf>
    <xf numFmtId="0" fontId="0" fillId="0" borderId="11" xfId="0" applyBorder="1"/>
    <xf numFmtId="2" fontId="0" fillId="0" borderId="11" xfId="0" applyNumberFormat="1" applyBorder="1"/>
    <xf numFmtId="2" fontId="0" fillId="0" borderId="12" xfId="0" applyNumberFormat="1" applyBorder="1"/>
    <xf numFmtId="0" fontId="24" fillId="9" borderId="0" xfId="0" applyFont="1" applyFill="1" applyBorder="1" applyAlignment="1" applyProtection="1">
      <alignment horizontal="center" vertical="center"/>
      <protection locked="0"/>
    </xf>
    <xf numFmtId="0" fontId="24" fillId="9" borderId="0" xfId="0" applyFont="1" applyFill="1" applyBorder="1" applyAlignment="1" applyProtection="1">
      <alignment horizontal="center"/>
      <protection locked="0"/>
    </xf>
    <xf numFmtId="0" fontId="25" fillId="3" borderId="0" xfId="0" applyFont="1" applyFill="1" applyBorder="1" applyAlignment="1">
      <alignment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vertical="center"/>
    </xf>
    <xf numFmtId="2" fontId="9" fillId="3" borderId="17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2" fontId="29" fillId="3" borderId="0" xfId="0" applyNumberFormat="1" applyFont="1" applyFill="1" applyBorder="1" applyAlignment="1">
      <alignment horizontal="left" vertical="center"/>
    </xf>
    <xf numFmtId="2" fontId="30" fillId="3" borderId="0" xfId="0" applyNumberFormat="1" applyFont="1" applyFill="1" applyBorder="1" applyAlignment="1">
      <alignment horizontal="left" vertical="center"/>
    </xf>
    <xf numFmtId="2" fontId="31" fillId="3" borderId="0" xfId="0" applyNumberFormat="1" applyFont="1" applyFill="1" applyBorder="1" applyAlignment="1">
      <alignment horizontal="left" vertical="center"/>
    </xf>
    <xf numFmtId="1" fontId="9" fillId="3" borderId="0" xfId="0" applyNumberFormat="1" applyFont="1" applyFill="1" applyBorder="1" applyAlignment="1" applyProtection="1">
      <alignment horizontal="center" vertical="center"/>
      <protection locked="0"/>
    </xf>
    <xf numFmtId="1" fontId="19" fillId="5" borderId="0" xfId="3" applyNumberFormat="1" applyFont="1" applyBorder="1" applyAlignment="1" applyProtection="1">
      <alignment horizontal="center" vertical="center" textRotation="90"/>
      <protection locked="0"/>
    </xf>
    <xf numFmtId="2" fontId="27" fillId="3" borderId="0" xfId="0" applyNumberFormat="1" applyFont="1" applyFill="1" applyBorder="1" applyAlignment="1">
      <alignment vertical="center"/>
    </xf>
    <xf numFmtId="2" fontId="22" fillId="6" borderId="0" xfId="4" applyNumberFormat="1" applyFont="1" applyBorder="1" applyAlignment="1">
      <alignment horizontal="right" vertical="center"/>
    </xf>
    <xf numFmtId="2" fontId="23" fillId="6" borderId="0" xfId="4" applyNumberFormat="1" applyFont="1" applyBorder="1" applyAlignment="1">
      <alignment horizontal="right" vertical="center"/>
    </xf>
    <xf numFmtId="0" fontId="16" fillId="8" borderId="0" xfId="2" applyFill="1" applyBorder="1" applyAlignment="1">
      <alignment vertical="center" wrapText="1"/>
    </xf>
    <xf numFmtId="0" fontId="16" fillId="8" borderId="0" xfId="2" applyFill="1" applyBorder="1" applyAlignment="1">
      <alignment horizontal="left" vertical="center"/>
    </xf>
    <xf numFmtId="14" fontId="0" fillId="0" borderId="0" xfId="0" applyNumberFormat="1"/>
    <xf numFmtId="14" fontId="16" fillId="0" borderId="0" xfId="2" applyNumberFormat="1"/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2" fontId="8" fillId="4" borderId="0" xfId="0" applyNumberFormat="1" applyFont="1" applyFill="1" applyBorder="1" applyAlignment="1">
      <alignment horizontal="center" vertical="center" textRotation="90"/>
    </xf>
    <xf numFmtId="0" fontId="4" fillId="9" borderId="0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0" fontId="0" fillId="0" borderId="0" xfId="0" quotePrefix="1"/>
    <xf numFmtId="1" fontId="9" fillId="3" borderId="0" xfId="0" applyNumberFormat="1" applyFont="1" applyFill="1" applyBorder="1" applyAlignment="1" applyProtection="1">
      <alignment horizontal="center" vertical="center"/>
    </xf>
    <xf numFmtId="0" fontId="9" fillId="3" borderId="0" xfId="0" applyNumberFormat="1" applyFont="1" applyFill="1" applyBorder="1" applyAlignment="1" applyProtection="1">
      <alignment horizontal="left" vertical="center"/>
    </xf>
    <xf numFmtId="0" fontId="9" fillId="3" borderId="0" xfId="0" applyNumberFormat="1" applyFont="1" applyFill="1" applyBorder="1" applyAlignment="1" applyProtection="1">
      <alignment horizontal="center" vertical="center"/>
    </xf>
    <xf numFmtId="0" fontId="13" fillId="3" borderId="0" xfId="0" applyFont="1" applyFill="1" applyBorder="1" applyAlignment="1">
      <alignment vertical="top" wrapText="1"/>
    </xf>
    <xf numFmtId="0" fontId="13" fillId="3" borderId="9" xfId="0" applyFont="1" applyFill="1" applyBorder="1" applyAlignment="1">
      <alignment vertical="top" wrapText="1"/>
    </xf>
    <xf numFmtId="0" fontId="13" fillId="15" borderId="21" xfId="0" applyFont="1" applyFill="1" applyBorder="1" applyAlignment="1">
      <alignment vertical="top" wrapText="1"/>
    </xf>
    <xf numFmtId="0" fontId="13" fillId="15" borderId="22" xfId="0" applyFont="1" applyFill="1" applyBorder="1" applyAlignment="1">
      <alignment vertical="top" wrapText="1"/>
    </xf>
    <xf numFmtId="0" fontId="13" fillId="15" borderId="23" xfId="0" applyFont="1" applyFill="1" applyBorder="1" applyAlignment="1">
      <alignment vertical="top" wrapText="1"/>
    </xf>
    <xf numFmtId="0" fontId="25" fillId="9" borderId="13" xfId="0" applyFont="1" applyFill="1" applyBorder="1" applyAlignment="1" applyProtection="1">
      <alignment horizontal="center" vertical="center" wrapText="1"/>
      <protection locked="0"/>
    </xf>
    <xf numFmtId="0" fontId="25" fillId="9" borderId="14" xfId="0" applyFont="1" applyFill="1" applyBorder="1" applyAlignment="1" applyProtection="1">
      <alignment horizontal="center" vertical="center" wrapText="1"/>
      <protection locked="0"/>
    </xf>
    <xf numFmtId="0" fontId="25" fillId="12" borderId="13" xfId="0" applyFont="1" applyFill="1" applyBorder="1" applyAlignment="1" applyProtection="1">
      <alignment horizontal="center" vertical="center" wrapText="1"/>
      <protection locked="0"/>
    </xf>
    <xf numFmtId="0" fontId="25" fillId="12" borderId="14" xfId="0" applyFont="1" applyFill="1" applyBorder="1" applyAlignment="1" applyProtection="1">
      <alignment horizontal="center" vertical="center" wrapText="1"/>
      <protection locked="0"/>
    </xf>
    <xf numFmtId="0" fontId="25" fillId="13" borderId="13" xfId="0" applyFont="1" applyFill="1" applyBorder="1" applyAlignment="1" applyProtection="1">
      <alignment horizontal="center" vertical="center" wrapText="1"/>
      <protection locked="0"/>
    </xf>
    <xf numFmtId="0" fontId="25" fillId="13" borderId="14" xfId="0" applyFont="1" applyFill="1" applyBorder="1" applyAlignment="1" applyProtection="1">
      <alignment horizontal="center" vertical="center" wrapText="1"/>
      <protection locked="0"/>
    </xf>
    <xf numFmtId="0" fontId="25" fillId="14" borderId="13" xfId="0" applyFont="1" applyFill="1" applyBorder="1" applyAlignment="1" applyProtection="1">
      <alignment horizontal="center" vertical="center" wrapText="1"/>
      <protection locked="0"/>
    </xf>
    <xf numFmtId="0" fontId="25" fillId="14" borderId="15" xfId="0" applyFont="1" applyFill="1" applyBorder="1" applyAlignment="1" applyProtection="1">
      <alignment horizontal="center" vertical="center" wrapText="1"/>
      <protection locked="0"/>
    </xf>
    <xf numFmtId="0" fontId="25" fillId="14" borderId="14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</xf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 wrapText="1"/>
    </xf>
    <xf numFmtId="2" fontId="8" fillId="4" borderId="0" xfId="0" applyNumberFormat="1" applyFont="1" applyFill="1" applyBorder="1" applyAlignment="1">
      <alignment horizontal="center" vertical="center" textRotation="90"/>
    </xf>
    <xf numFmtId="0" fontId="4" fillId="9" borderId="0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9" fillId="5" borderId="0" xfId="3" applyFont="1" applyBorder="1" applyAlignment="1">
      <alignment horizontal="center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top" wrapText="1"/>
    </xf>
    <xf numFmtId="0" fontId="13" fillId="3" borderId="9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center" wrapText="1"/>
    </xf>
    <xf numFmtId="0" fontId="28" fillId="10" borderId="13" xfId="0" applyFont="1" applyFill="1" applyBorder="1" applyAlignment="1" applyProtection="1">
      <alignment horizontal="center" vertical="center" wrapText="1"/>
      <protection locked="0"/>
    </xf>
    <xf numFmtId="0" fontId="28" fillId="10" borderId="15" xfId="0" applyFont="1" applyFill="1" applyBorder="1" applyAlignment="1" applyProtection="1">
      <alignment horizontal="center" vertical="center" wrapText="1"/>
      <protection locked="0"/>
    </xf>
    <xf numFmtId="0" fontId="28" fillId="10" borderId="14" xfId="0" applyFont="1" applyFill="1" applyBorder="1" applyAlignment="1" applyProtection="1">
      <alignment horizontal="center" vertical="center" wrapText="1"/>
      <protection locked="0"/>
    </xf>
    <xf numFmtId="0" fontId="25" fillId="10" borderId="13" xfId="0" applyFont="1" applyFill="1" applyBorder="1" applyAlignment="1" applyProtection="1">
      <alignment horizontal="center" vertical="center" wrapText="1"/>
      <protection locked="0"/>
    </xf>
    <xf numFmtId="0" fontId="25" fillId="10" borderId="14" xfId="0" applyFont="1" applyFill="1" applyBorder="1" applyAlignment="1" applyProtection="1">
      <alignment horizontal="center" vertical="center" wrapText="1"/>
      <protection locked="0"/>
    </xf>
    <xf numFmtId="0" fontId="25" fillId="11" borderId="13" xfId="0" applyFont="1" applyFill="1" applyBorder="1" applyAlignment="1" applyProtection="1">
      <alignment horizontal="center" vertical="center" wrapText="1"/>
      <protection locked="0"/>
    </xf>
    <xf numFmtId="0" fontId="25" fillId="11" borderId="15" xfId="0" applyFont="1" applyFill="1" applyBorder="1" applyAlignment="1" applyProtection="1">
      <alignment horizontal="center" vertical="center" wrapText="1"/>
      <protection locked="0"/>
    </xf>
    <xf numFmtId="0" fontId="25" fillId="11" borderId="14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6">
    <cellStyle name="40 % - Accent6" xfId="5" builtinId="51"/>
    <cellStyle name="Accent1" xfId="3" builtinId="29"/>
    <cellStyle name="Accent6" xfId="4" builtinId="49"/>
    <cellStyle name="Euro" xfId="1"/>
    <cellStyle name="Lien hypertexte" xfId="2" builtinId="8"/>
    <cellStyle name="Normal" xfId="0" builtinId="0"/>
  </cellStyles>
  <dxfs count="2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12</xdr:row>
      <xdr:rowOff>123825</xdr:rowOff>
    </xdr:from>
    <xdr:to>
      <xdr:col>4</xdr:col>
      <xdr:colOff>400050</xdr:colOff>
      <xdr:row>17</xdr:row>
      <xdr:rowOff>104775</xdr:rowOff>
    </xdr:to>
    <xdr:sp macro="[0]!modification" textlink="">
      <xdr:nvSpPr>
        <xdr:cNvPr id="2" name="Pentagone 1"/>
        <xdr:cNvSpPr/>
      </xdr:nvSpPr>
      <xdr:spPr>
        <a:xfrm>
          <a:off x="1619250" y="2409825"/>
          <a:ext cx="1828800" cy="933450"/>
        </a:xfrm>
        <a:prstGeom prst="homePlat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Fichier</a:t>
          </a:r>
          <a:r>
            <a:rPr lang="fr-FR" sz="1100" baseline="0"/>
            <a:t> CLIENTS</a:t>
          </a:r>
          <a:endParaRPr lang="fr-FR" sz="1100"/>
        </a:p>
      </xdr:txBody>
    </xdr:sp>
    <xdr:clientData/>
  </xdr:twoCellAnchor>
  <xdr:twoCellAnchor>
    <xdr:from>
      <xdr:col>5</xdr:col>
      <xdr:colOff>323850</xdr:colOff>
      <xdr:row>18</xdr:row>
      <xdr:rowOff>57151</xdr:rowOff>
    </xdr:from>
    <xdr:to>
      <xdr:col>7</xdr:col>
      <xdr:colOff>483108</xdr:colOff>
      <xdr:row>22</xdr:row>
      <xdr:rowOff>180975</xdr:rowOff>
    </xdr:to>
    <xdr:sp macro="[0]!va_devis" textlink="">
      <xdr:nvSpPr>
        <xdr:cNvPr id="3" name="Pentagone 2"/>
        <xdr:cNvSpPr/>
      </xdr:nvSpPr>
      <xdr:spPr>
        <a:xfrm>
          <a:off x="4133850" y="3486151"/>
          <a:ext cx="1683258" cy="885824"/>
        </a:xfrm>
        <a:prstGeom prst="homePlat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DEVIS</a:t>
          </a:r>
        </a:p>
      </xdr:txBody>
    </xdr:sp>
    <xdr:clientData/>
  </xdr:twoCellAnchor>
  <xdr:twoCellAnchor>
    <xdr:from>
      <xdr:col>9</xdr:col>
      <xdr:colOff>9525</xdr:colOff>
      <xdr:row>23</xdr:row>
      <xdr:rowOff>152400</xdr:rowOff>
    </xdr:from>
    <xdr:to>
      <xdr:col>11</xdr:col>
      <xdr:colOff>168783</xdr:colOff>
      <xdr:row>27</xdr:row>
      <xdr:rowOff>179832</xdr:rowOff>
    </xdr:to>
    <xdr:sp macro="[0]!va_Facture" textlink="">
      <xdr:nvSpPr>
        <xdr:cNvPr id="4" name="Pentagone 3"/>
        <xdr:cNvSpPr/>
      </xdr:nvSpPr>
      <xdr:spPr>
        <a:xfrm>
          <a:off x="6867525" y="4533900"/>
          <a:ext cx="1683258" cy="789432"/>
        </a:xfrm>
        <a:prstGeom prst="homePlat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FACTURES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341312</xdr:colOff>
      <xdr:row>3</xdr:row>
      <xdr:rowOff>206372</xdr:rowOff>
    </xdr:from>
    <xdr:to>
      <xdr:col>3</xdr:col>
      <xdr:colOff>3532188</xdr:colOff>
      <xdr:row>10</xdr:row>
      <xdr:rowOff>226785</xdr:rowOff>
    </xdr:to>
    <xdr:sp macro="" textlink="">
      <xdr:nvSpPr>
        <xdr:cNvPr id="5" name="ZoneTexte 4"/>
        <xdr:cNvSpPr txBox="1"/>
      </xdr:nvSpPr>
      <xdr:spPr>
        <a:xfrm>
          <a:off x="1361848" y="1090836"/>
          <a:ext cx="4150935" cy="1842259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u="sng"/>
            <a:t>Nouvelle</a:t>
          </a:r>
          <a:r>
            <a:rPr lang="fr-FR" sz="1100" u="sng" baseline="0"/>
            <a:t> version  7:</a:t>
          </a:r>
        </a:p>
        <a:p>
          <a:r>
            <a:rPr lang="fr-FR" sz="1100"/>
            <a:t>Colonne G=  Codes TVA (la saisie est limitée aux chiffres 1 ou 2) correspondant à 19,6% ou 7%. Ces taux peuvent être modifiées par le bouton de commande BLEU.</a:t>
          </a:r>
        </a:p>
        <a:p>
          <a:r>
            <a:rPr lang="fr-FR" sz="1100"/>
            <a:t>Suppression de la colonne</a:t>
          </a:r>
          <a:r>
            <a:rPr lang="fr-FR" sz="1100" baseline="0"/>
            <a:t> Montant TTC.</a:t>
          </a:r>
        </a:p>
        <a:p>
          <a:r>
            <a:rPr lang="fr-FR" sz="1100" baseline="0"/>
            <a:t>Nouveau bouton de commande en H66 pour ajouter 5 lignes supplémentaires si nécessaire. Toujours par Double-clic.</a:t>
          </a:r>
        </a:p>
        <a:p>
          <a:r>
            <a:rPr lang="fr-FR" sz="1100" baseline="0"/>
            <a:t>Les cellules J1 à K2  contenant les infos de la TVA sont masquées,</a:t>
          </a:r>
        </a:p>
        <a:p>
          <a:r>
            <a:rPr lang="fr-FR" sz="1100" baseline="0"/>
            <a:t>Cette feuille est protégée sans mot de passe pour conserver les formules intactes.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752474</xdr:colOff>
      <xdr:row>5</xdr:row>
      <xdr:rowOff>9524</xdr:rowOff>
    </xdr:from>
    <xdr:to>
      <xdr:col>8</xdr:col>
      <xdr:colOff>647699</xdr:colOff>
      <xdr:row>9</xdr:row>
      <xdr:rowOff>152400</xdr:rowOff>
    </xdr:to>
    <xdr:sp macro="[0]!va_devis" textlink="">
      <xdr:nvSpPr>
        <xdr:cNvPr id="2" name="Flèche gauche 1"/>
        <xdr:cNvSpPr/>
      </xdr:nvSpPr>
      <xdr:spPr>
        <a:xfrm>
          <a:off x="7486649" y="971549"/>
          <a:ext cx="1552575" cy="904876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Fin de saisie</a:t>
          </a:r>
        </a:p>
        <a:p>
          <a:pPr algn="ctr"/>
          <a:r>
            <a:rPr lang="fr-FR" sz="1100"/>
            <a:t>(Retour Devis)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sai@orange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ssai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"/>
  <sheetViews>
    <sheetView workbookViewId="0">
      <selection activeCell="G31" sqref="G31"/>
    </sheetView>
  </sheetViews>
  <sheetFormatPr baseColWidth="10" defaultRowHeight="14.5" x14ac:dyDescent="0.35"/>
  <sheetData>
    <row r="2" spans="5:5" x14ac:dyDescent="0.35">
      <c r="E2" s="2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5"/>
  <sheetViews>
    <sheetView tabSelected="1" zoomScale="84" zoomScaleNormal="84" workbookViewId="0">
      <selection activeCell="C51" sqref="C51:D51"/>
    </sheetView>
  </sheetViews>
  <sheetFormatPr baseColWidth="10" defaultColWidth="35.1796875" defaultRowHeight="23.25" customHeight="1" x14ac:dyDescent="0.35"/>
  <cols>
    <col min="1" max="1" width="4.26953125" style="1" customWidth="1"/>
    <col min="2" max="2" width="10.453125" style="1" customWidth="1"/>
    <col min="3" max="3" width="13.7265625" style="1" customWidth="1"/>
    <col min="4" max="4" width="71.1796875" style="1" customWidth="1"/>
    <col min="5" max="5" width="29.81640625" style="34" bestFit="1" customWidth="1"/>
    <col min="6" max="6" width="33" style="34" customWidth="1"/>
    <col min="7" max="7" width="3.453125" style="34" customWidth="1"/>
    <col min="8" max="8" width="27.1796875" style="1" customWidth="1"/>
    <col min="9" max="9" width="35.1796875" style="1"/>
    <col min="10" max="11" width="35.1796875" style="1" hidden="1" customWidth="1"/>
    <col min="12" max="16384" width="35.1796875" style="1"/>
  </cols>
  <sheetData>
    <row r="1" spans="2:11" ht="23.25" customHeight="1" thickTop="1" x14ac:dyDescent="0.35">
      <c r="B1" s="138"/>
      <c r="C1" s="138"/>
      <c r="D1" s="138"/>
      <c r="E1" s="25"/>
      <c r="F1" s="25"/>
      <c r="G1" s="25"/>
      <c r="H1" s="133" t="s">
        <v>74</v>
      </c>
      <c r="J1" s="60">
        <v>19.600000000000001</v>
      </c>
      <c r="K1" s="59">
        <f>(100+J1)/100</f>
        <v>1.196</v>
      </c>
    </row>
    <row r="2" spans="2:11" ht="23.25" customHeight="1" thickBot="1" x14ac:dyDescent="0.4">
      <c r="B2" s="138"/>
      <c r="C2" s="138"/>
      <c r="D2" s="138"/>
      <c r="E2" s="26"/>
      <c r="F2" s="26"/>
      <c r="G2" s="26"/>
      <c r="H2" s="134"/>
      <c r="J2" s="60">
        <v>7</v>
      </c>
      <c r="K2" s="59">
        <f>(100+J2)/100</f>
        <v>1.07</v>
      </c>
    </row>
    <row r="3" spans="2:11" ht="23.25" customHeight="1" thickTop="1" thickBot="1" x14ac:dyDescent="0.4">
      <c r="B3" s="7"/>
      <c r="C3" s="7"/>
      <c r="D3" s="7"/>
      <c r="E3" s="25"/>
      <c r="F3" s="25"/>
      <c r="G3" s="25"/>
    </row>
    <row r="4" spans="2:11" ht="23.25" customHeight="1" thickTop="1" x14ac:dyDescent="0.35">
      <c r="B4" s="7"/>
      <c r="C4" s="9"/>
      <c r="D4" s="7"/>
      <c r="E4" s="27"/>
      <c r="F4" s="27"/>
      <c r="G4" s="27"/>
      <c r="H4" s="101" t="s">
        <v>77</v>
      </c>
    </row>
    <row r="5" spans="2:11" ht="23.5" customHeight="1" thickBot="1" x14ac:dyDescent="0.4">
      <c r="B5" s="7"/>
      <c r="C5" s="11"/>
      <c r="D5" s="8"/>
      <c r="E5" s="27"/>
      <c r="F5" s="27"/>
      <c r="G5" s="27"/>
      <c r="H5" s="102"/>
    </row>
    <row r="6" spans="2:11" ht="23.25" customHeight="1" thickTop="1" thickBot="1" x14ac:dyDescent="0.4">
      <c r="B6" s="10"/>
      <c r="C6" s="10"/>
      <c r="D6" s="10"/>
      <c r="E6" s="27"/>
      <c r="F6" s="27"/>
      <c r="G6" s="27"/>
    </row>
    <row r="7" spans="2:11" s="17" customFormat="1" ht="18.75" customHeight="1" thickTop="1" x14ac:dyDescent="0.35">
      <c r="B7" s="139"/>
      <c r="C7" s="139"/>
      <c r="D7" s="35"/>
      <c r="E7" s="36" t="s">
        <v>10</v>
      </c>
      <c r="F7" s="43"/>
      <c r="G7" s="43"/>
      <c r="H7" s="103" t="s">
        <v>78</v>
      </c>
    </row>
    <row r="8" spans="2:11" s="17" customFormat="1" ht="18.75" customHeight="1" thickBot="1" x14ac:dyDescent="0.4">
      <c r="B8" s="112"/>
      <c r="C8" s="112"/>
      <c r="D8" s="35"/>
      <c r="E8" s="44" t="s">
        <v>0</v>
      </c>
      <c r="F8" s="55" t="s">
        <v>62</v>
      </c>
      <c r="G8" s="55"/>
      <c r="H8" s="104"/>
    </row>
    <row r="9" spans="2:11" s="17" customFormat="1" ht="18.75" customHeight="1" thickTop="1" thickBot="1" x14ac:dyDescent="0.4">
      <c r="B9" s="112"/>
      <c r="C9" s="112"/>
      <c r="D9" s="35"/>
      <c r="E9" s="44" t="s">
        <v>1</v>
      </c>
      <c r="F9" s="48" t="str">
        <f>VLOOKUP(Devis!$F$8,f_cl,2,FALSE)</f>
        <v>1 Rue Bleue</v>
      </c>
      <c r="G9" s="48"/>
      <c r="H9" s="68"/>
    </row>
    <row r="10" spans="2:11" s="17" customFormat="1" ht="18.75" customHeight="1" thickTop="1" x14ac:dyDescent="0.35">
      <c r="B10" s="112"/>
      <c r="C10" s="112"/>
      <c r="D10" s="35"/>
      <c r="E10" s="44"/>
      <c r="F10" s="82"/>
      <c r="G10" s="47"/>
      <c r="H10" s="105" t="s">
        <v>79</v>
      </c>
    </row>
    <row r="11" spans="2:11" s="17" customFormat="1" ht="18.75" customHeight="1" thickBot="1" x14ac:dyDescent="0.4">
      <c r="B11" s="112"/>
      <c r="C11" s="112"/>
      <c r="D11" s="35"/>
      <c r="E11" s="44" t="s">
        <v>3</v>
      </c>
      <c r="F11" s="48" t="str">
        <f>VLOOKUP(Devis!$F$8,f_cl,3,FALSE) &amp; "-" &amp; VLOOKUP(Devis!$F$8,f_cl,4,FALSE)</f>
        <v>56000-VANNES</v>
      </c>
      <c r="G11" s="48"/>
      <c r="H11" s="106"/>
    </row>
    <row r="12" spans="2:11" s="17" customFormat="1" ht="18.75" customHeight="1" thickTop="1" thickBot="1" x14ac:dyDescent="0.4">
      <c r="B12" s="112"/>
      <c r="C12" s="112"/>
      <c r="D12" s="35"/>
      <c r="E12" s="44" t="s">
        <v>7</v>
      </c>
      <c r="F12" s="83" t="str">
        <f>VLOOKUP(Devis!$F$8,f_cl,5,FALSE)</f>
        <v>jean.dupont@orange.fr</v>
      </c>
      <c r="G12" s="48"/>
    </row>
    <row r="13" spans="2:11" s="17" customFormat="1" ht="18.75" customHeight="1" thickTop="1" x14ac:dyDescent="0.35">
      <c r="B13" s="112"/>
      <c r="C13" s="112"/>
      <c r="D13" s="37"/>
      <c r="E13" s="44" t="s">
        <v>2</v>
      </c>
      <c r="F13" s="49" t="str">
        <f>VLOOKUP(Devis!$F$8,f_cl,6,FALSE)</f>
        <v>02 97 54 12 50</v>
      </c>
      <c r="G13" s="49"/>
      <c r="H13" s="135" t="s">
        <v>75</v>
      </c>
    </row>
    <row r="14" spans="2:11" s="17" customFormat="1" ht="18.75" customHeight="1" x14ac:dyDescent="0.35">
      <c r="B14" s="113"/>
      <c r="C14" s="113"/>
      <c r="D14" s="35"/>
      <c r="E14" s="27"/>
      <c r="F14" s="27"/>
      <c r="G14" s="27"/>
      <c r="H14" s="136"/>
    </row>
    <row r="15" spans="2:11" ht="23.25" customHeight="1" thickBot="1" x14ac:dyDescent="0.4">
      <c r="B15" s="12"/>
      <c r="C15" s="12"/>
      <c r="D15" s="13"/>
      <c r="E15" s="27"/>
      <c r="F15" s="27"/>
      <c r="G15" s="27"/>
      <c r="H15" s="137"/>
    </row>
    <row r="16" spans="2:11" ht="23.25" customHeight="1" thickTop="1" thickBot="1" x14ac:dyDescent="0.4">
      <c r="B16" s="6"/>
      <c r="C16" s="6"/>
      <c r="D16" s="5"/>
      <c r="E16" s="28"/>
      <c r="F16" s="28"/>
      <c r="G16" s="28"/>
    </row>
    <row r="17" spans="1:8" ht="23.25" customHeight="1" thickTop="1" x14ac:dyDescent="0.35">
      <c r="B17" s="6"/>
      <c r="C17" s="6"/>
      <c r="D17" s="58" t="s">
        <v>67</v>
      </c>
      <c r="E17" s="57" t="str">
        <f>IFERROR(VLOOKUP($F$8,f_cl,7,FALSE),"")</f>
        <v>1</v>
      </c>
      <c r="F17" s="28"/>
      <c r="G17" s="28"/>
      <c r="H17" s="107" t="s">
        <v>80</v>
      </c>
    </row>
    <row r="18" spans="1:8" ht="23.25" customHeight="1" x14ac:dyDescent="0.35">
      <c r="B18" s="6"/>
      <c r="C18" s="6"/>
      <c r="D18" s="14" t="s">
        <v>68</v>
      </c>
      <c r="E18" s="45">
        <f ca="1">TODAY()</f>
        <v>41901</v>
      </c>
      <c r="F18" s="28"/>
      <c r="G18" s="28"/>
      <c r="H18" s="108"/>
    </row>
    <row r="19" spans="1:8" ht="23.25" customHeight="1" thickBot="1" x14ac:dyDescent="0.4">
      <c r="B19" s="2"/>
      <c r="C19" s="2"/>
      <c r="D19" s="14" t="s">
        <v>63</v>
      </c>
      <c r="E19" s="46">
        <f ca="1">TODAY()+60</f>
        <v>41961</v>
      </c>
      <c r="F19" s="28"/>
      <c r="G19" s="28"/>
      <c r="H19" s="109"/>
    </row>
    <row r="20" spans="1:8" ht="23.25" customHeight="1" thickTop="1" x14ac:dyDescent="0.35">
      <c r="B20" s="3"/>
      <c r="C20" s="4"/>
      <c r="D20" s="4"/>
      <c r="E20" s="29"/>
      <c r="F20" s="29"/>
      <c r="G20" s="29"/>
    </row>
    <row r="21" spans="1:8" ht="23.25" customHeight="1" x14ac:dyDescent="0.35">
      <c r="A21" s="115" t="s">
        <v>71</v>
      </c>
      <c r="B21" s="116" t="s">
        <v>12</v>
      </c>
      <c r="C21" s="117" t="s">
        <v>8</v>
      </c>
      <c r="D21" s="117"/>
      <c r="E21" s="111" t="s">
        <v>13</v>
      </c>
      <c r="F21" s="111" t="s">
        <v>14</v>
      </c>
      <c r="G21" s="114" t="s">
        <v>82</v>
      </c>
    </row>
    <row r="22" spans="1:8" ht="23.25" customHeight="1" x14ac:dyDescent="0.35">
      <c r="A22" s="115"/>
      <c r="B22" s="116"/>
      <c r="C22" s="117"/>
      <c r="D22" s="117"/>
      <c r="E22" s="111"/>
      <c r="F22" s="111"/>
      <c r="G22" s="114"/>
    </row>
    <row r="23" spans="1:8" ht="23.25" customHeight="1" x14ac:dyDescent="0.35">
      <c r="A23" s="66" t="s">
        <v>95</v>
      </c>
      <c r="B23" s="61">
        <v>1</v>
      </c>
      <c r="C23" s="110" t="str">
        <f t="shared" ref="C23:C49" ca="1" si="0">IF($A23="","",(INDEX(Base1,MATCH($A23,Base2,0),3)))</f>
        <v>Coffret Galéo13 3R 39MOD</v>
      </c>
      <c r="D23" s="110"/>
      <c r="E23" s="30">
        <f t="shared" ref="E23:E49" ca="1" si="1">IF($A23="","",(INDEX(Base1,MATCH($A23,Base2,0),6)))</f>
        <v>57.744</v>
      </c>
      <c r="F23" s="30">
        <f ca="1">IF(C23="","",E23*B23)</f>
        <v>57.744</v>
      </c>
      <c r="G23" s="77">
        <v>1</v>
      </c>
      <c r="H23" s="50" t="s">
        <v>76</v>
      </c>
    </row>
    <row r="24" spans="1:8" ht="23.25" customHeight="1" x14ac:dyDescent="0.35">
      <c r="A24" s="66" t="s">
        <v>96</v>
      </c>
      <c r="B24" s="61">
        <v>1</v>
      </c>
      <c r="C24" s="110" t="str">
        <f t="shared" ca="1" si="0"/>
        <v>Coffret Galéo13 4R 52MOD</v>
      </c>
      <c r="D24" s="110"/>
      <c r="E24" s="30">
        <f t="shared" ca="1" si="1"/>
        <v>64.656000000000006</v>
      </c>
      <c r="F24" s="30">
        <f t="shared" ref="F24:F31" ca="1" si="2">IF(C24="","",E24*B24)</f>
        <v>64.656000000000006</v>
      </c>
      <c r="G24" s="77">
        <v>1</v>
      </c>
      <c r="H24" s="50" t="s">
        <v>88</v>
      </c>
    </row>
    <row r="25" spans="1:8" ht="23.25" customHeight="1" x14ac:dyDescent="0.35">
      <c r="A25" s="66" t="s">
        <v>97</v>
      </c>
      <c r="B25" s="61">
        <v>1</v>
      </c>
      <c r="C25" s="110" t="str">
        <f t="shared" ca="1" si="0"/>
        <v>Inter Dif FH202S AC-40/0,03</v>
      </c>
      <c r="D25" s="110"/>
      <c r="E25" s="30">
        <f t="shared" ca="1" si="1"/>
        <v>42.875999999999998</v>
      </c>
      <c r="F25" s="30">
        <f t="shared" ca="1" si="2"/>
        <v>42.875999999999998</v>
      </c>
      <c r="G25" s="77">
        <v>1</v>
      </c>
    </row>
    <row r="26" spans="1:8" ht="23.25" customHeight="1" x14ac:dyDescent="0.35">
      <c r="A26" s="66" t="s">
        <v>98</v>
      </c>
      <c r="B26" s="61">
        <v>1</v>
      </c>
      <c r="C26" s="110" t="str">
        <f t="shared" ca="1" si="0"/>
        <v>Disj Ph/N SN201L-C10 / 4,5KA</v>
      </c>
      <c r="D26" s="110"/>
      <c r="E26" s="30">
        <f t="shared" ca="1" si="1"/>
        <v>8.7959999999999994</v>
      </c>
      <c r="F26" s="30">
        <f t="shared" ca="1" si="2"/>
        <v>8.7959999999999994</v>
      </c>
      <c r="G26" s="77">
        <v>1</v>
      </c>
    </row>
    <row r="27" spans="1:8" ht="23.25" customHeight="1" x14ac:dyDescent="0.35">
      <c r="A27" s="66" t="s">
        <v>99</v>
      </c>
      <c r="B27" s="61">
        <v>1</v>
      </c>
      <c r="C27" s="110" t="str">
        <f t="shared" ca="1" si="0"/>
        <v>Disj Ph/N SN201L-C16 / 4,5KA</v>
      </c>
      <c r="D27" s="110"/>
      <c r="E27" s="30">
        <f t="shared" ca="1" si="1"/>
        <v>8.7959999999999994</v>
      </c>
      <c r="F27" s="30">
        <f t="shared" ca="1" si="2"/>
        <v>8.7959999999999994</v>
      </c>
      <c r="G27" s="77">
        <v>1</v>
      </c>
    </row>
    <row r="28" spans="1:8" ht="23.25" customHeight="1" x14ac:dyDescent="0.35">
      <c r="A28" s="66" t="s">
        <v>100</v>
      </c>
      <c r="B28" s="61">
        <v>1</v>
      </c>
      <c r="C28" s="110" t="str">
        <f t="shared" ca="1" si="0"/>
        <v>Disj Ph/N SN201L-C20 / 4,5KA</v>
      </c>
      <c r="D28" s="110"/>
      <c r="E28" s="30">
        <f t="shared" ca="1" si="1"/>
        <v>8.7959999999999994</v>
      </c>
      <c r="F28" s="30">
        <f t="shared" ca="1" si="2"/>
        <v>8.7959999999999994</v>
      </c>
      <c r="G28" s="77">
        <v>1</v>
      </c>
    </row>
    <row r="29" spans="1:8" ht="23.25" customHeight="1" x14ac:dyDescent="0.35">
      <c r="A29" s="66" t="s">
        <v>101</v>
      </c>
      <c r="B29" s="61">
        <v>1</v>
      </c>
      <c r="C29" s="110" t="str">
        <f t="shared" ca="1" si="0"/>
        <v>Peigne ID+11 SN201 (N+P+Capot)</v>
      </c>
      <c r="D29" s="110"/>
      <c r="E29" s="30">
        <f t="shared" ca="1" si="1"/>
        <v>9.24</v>
      </c>
      <c r="F29" s="30">
        <f t="shared" ca="1" si="2"/>
        <v>9.24</v>
      </c>
      <c r="G29" s="77">
        <v>1</v>
      </c>
    </row>
    <row r="30" spans="1:8" ht="23.25" customHeight="1" x14ac:dyDescent="0.35">
      <c r="A30" s="66" t="s">
        <v>109</v>
      </c>
      <c r="B30" s="61">
        <v>5</v>
      </c>
      <c r="C30" s="110" t="str">
        <f t="shared" ca="1" si="0"/>
        <v>Odace Prise de courant 2P+T blanc, à vis</v>
      </c>
      <c r="D30" s="110"/>
      <c r="E30" s="30">
        <f t="shared" ca="1" si="1"/>
        <v>3.6531000000000002</v>
      </c>
      <c r="F30" s="30">
        <f t="shared" ca="1" si="2"/>
        <v>18.265500000000003</v>
      </c>
      <c r="G30" s="77">
        <v>1</v>
      </c>
    </row>
    <row r="31" spans="1:8" ht="23.25" customHeight="1" x14ac:dyDescent="0.35">
      <c r="A31" s="66" t="s">
        <v>110</v>
      </c>
      <c r="B31" s="61">
        <v>5</v>
      </c>
      <c r="C31" s="110" t="str">
        <f t="shared" ca="1" si="0"/>
        <v>Odace Double Va et vient blanc, à vis</v>
      </c>
      <c r="D31" s="110"/>
      <c r="E31" s="30">
        <f t="shared" ca="1" si="1"/>
        <v>9.0036000000000005</v>
      </c>
      <c r="F31" s="30">
        <f t="shared" ca="1" si="2"/>
        <v>45.018000000000001</v>
      </c>
      <c r="G31" s="77">
        <v>1</v>
      </c>
    </row>
    <row r="32" spans="1:8" ht="23.25" customHeight="1" x14ac:dyDescent="0.3">
      <c r="A32" s="67" t="s">
        <v>111</v>
      </c>
      <c r="B32" s="61">
        <v>5</v>
      </c>
      <c r="C32" s="110" t="str">
        <f t="shared" ca="1" si="0"/>
        <v>Odace Prise TV blanc, à vis</v>
      </c>
      <c r="D32" s="110"/>
      <c r="E32" s="30">
        <f t="shared" ca="1" si="1"/>
        <v>7.1586000000000007</v>
      </c>
      <c r="F32" s="30">
        <f ca="1">IF(C32="","",E32*B32)</f>
        <v>35.793000000000006</v>
      </c>
      <c r="G32" s="77">
        <v>1</v>
      </c>
    </row>
    <row r="33" spans="1:7" ht="23.25" customHeight="1" x14ac:dyDescent="0.3">
      <c r="A33" s="67" t="s">
        <v>112</v>
      </c>
      <c r="B33" s="61">
        <v>5</v>
      </c>
      <c r="C33" s="110" t="str">
        <f t="shared" ca="1" si="0"/>
        <v>Odace Prise RJ45 blanc, Grade , à vis</v>
      </c>
      <c r="D33" s="110"/>
      <c r="E33" s="30">
        <f t="shared" ca="1" si="1"/>
        <v>9.5816999999999997</v>
      </c>
      <c r="F33" s="30">
        <f ca="1">IF(C33="","",E33*B33)</f>
        <v>47.908499999999997</v>
      </c>
      <c r="G33" s="77">
        <v>1</v>
      </c>
    </row>
    <row r="34" spans="1:7" ht="23.25" customHeight="1" x14ac:dyDescent="0.3">
      <c r="A34" s="67" t="s">
        <v>113</v>
      </c>
      <c r="B34" s="61">
        <v>5</v>
      </c>
      <c r="C34" s="110" t="str">
        <f t="shared" ca="1" si="0"/>
        <v>Odace styl, Plaque blanc 1 poste</v>
      </c>
      <c r="D34" s="110"/>
      <c r="E34" s="30">
        <f t="shared" ca="1" si="1"/>
        <v>1.1193</v>
      </c>
      <c r="F34" s="30">
        <f t="shared" ref="F34:F36" ca="1" si="3">IF(C34="","",E34*B34)</f>
        <v>5.5964999999999998</v>
      </c>
      <c r="G34" s="77">
        <v>1</v>
      </c>
    </row>
    <row r="35" spans="1:7" ht="23.25" customHeight="1" x14ac:dyDescent="0.3">
      <c r="A35" s="67"/>
      <c r="B35" s="61"/>
      <c r="C35" s="110" t="str">
        <f t="shared" si="0"/>
        <v/>
      </c>
      <c r="D35" s="110"/>
      <c r="E35" s="30" t="str">
        <f t="shared" si="1"/>
        <v/>
      </c>
      <c r="F35" s="30" t="str">
        <f t="shared" si="3"/>
        <v/>
      </c>
      <c r="G35" s="77"/>
    </row>
    <row r="36" spans="1:7" ht="23.25" customHeight="1" x14ac:dyDescent="0.3">
      <c r="A36" s="67"/>
      <c r="B36" s="61"/>
      <c r="C36" s="110" t="str">
        <f t="shared" si="0"/>
        <v/>
      </c>
      <c r="D36" s="110"/>
      <c r="E36" s="30" t="str">
        <f t="shared" si="1"/>
        <v/>
      </c>
      <c r="F36" s="30" t="str">
        <f t="shared" si="3"/>
        <v/>
      </c>
      <c r="G36" s="77"/>
    </row>
    <row r="37" spans="1:7" ht="23.25" customHeight="1" x14ac:dyDescent="0.3">
      <c r="A37" s="67"/>
      <c r="B37" s="61"/>
      <c r="C37" s="110" t="str">
        <f t="shared" si="0"/>
        <v/>
      </c>
      <c r="D37" s="110"/>
      <c r="E37" s="30" t="str">
        <f t="shared" si="1"/>
        <v/>
      </c>
      <c r="F37" s="30" t="str">
        <f t="shared" ref="F37:F42" si="4">IF(C37="","",E37*B37)</f>
        <v/>
      </c>
      <c r="G37" s="77"/>
    </row>
    <row r="38" spans="1:7" ht="23.25" customHeight="1" x14ac:dyDescent="0.3">
      <c r="A38" s="67"/>
      <c r="B38" s="61"/>
      <c r="C38" s="110" t="str">
        <f t="shared" si="0"/>
        <v/>
      </c>
      <c r="D38" s="110"/>
      <c r="E38" s="30" t="str">
        <f t="shared" si="1"/>
        <v/>
      </c>
      <c r="F38" s="30" t="str">
        <f t="shared" si="4"/>
        <v/>
      </c>
      <c r="G38" s="77"/>
    </row>
    <row r="39" spans="1:7" ht="23.25" customHeight="1" x14ac:dyDescent="0.3">
      <c r="A39" s="67"/>
      <c r="B39" s="61"/>
      <c r="C39" s="110" t="str">
        <f t="shared" si="0"/>
        <v/>
      </c>
      <c r="D39" s="110"/>
      <c r="E39" s="30" t="str">
        <f t="shared" si="1"/>
        <v/>
      </c>
      <c r="F39" s="30" t="str">
        <f t="shared" si="4"/>
        <v/>
      </c>
      <c r="G39" s="77"/>
    </row>
    <row r="40" spans="1:7" ht="23.25" customHeight="1" x14ac:dyDescent="0.3">
      <c r="A40" s="67"/>
      <c r="B40" s="61"/>
      <c r="C40" s="110" t="str">
        <f t="shared" si="0"/>
        <v/>
      </c>
      <c r="D40" s="110"/>
      <c r="E40" s="30" t="str">
        <f t="shared" si="1"/>
        <v/>
      </c>
      <c r="F40" s="30" t="str">
        <f t="shared" si="4"/>
        <v/>
      </c>
      <c r="G40" s="77"/>
    </row>
    <row r="41" spans="1:7" ht="23.25" customHeight="1" x14ac:dyDescent="0.3">
      <c r="A41" s="67"/>
      <c r="B41" s="61"/>
      <c r="C41" s="110" t="str">
        <f t="shared" si="0"/>
        <v/>
      </c>
      <c r="D41" s="110"/>
      <c r="E41" s="30" t="str">
        <f t="shared" si="1"/>
        <v/>
      </c>
      <c r="F41" s="30" t="str">
        <f t="shared" si="4"/>
        <v/>
      </c>
      <c r="G41" s="77"/>
    </row>
    <row r="42" spans="1:7" ht="23.25" customHeight="1" x14ac:dyDescent="0.3">
      <c r="A42" s="67"/>
      <c r="B42" s="61"/>
      <c r="C42" s="110" t="str">
        <f t="shared" si="0"/>
        <v/>
      </c>
      <c r="D42" s="110"/>
      <c r="E42" s="30" t="str">
        <f t="shared" si="1"/>
        <v/>
      </c>
      <c r="F42" s="30" t="str">
        <f t="shared" si="4"/>
        <v/>
      </c>
      <c r="G42" s="77"/>
    </row>
    <row r="43" spans="1:7" ht="23.25" customHeight="1" x14ac:dyDescent="0.3">
      <c r="A43" s="67"/>
      <c r="B43" s="61"/>
      <c r="C43" s="110" t="str">
        <f t="shared" si="0"/>
        <v/>
      </c>
      <c r="D43" s="110"/>
      <c r="E43" s="30" t="str">
        <f t="shared" si="1"/>
        <v/>
      </c>
      <c r="F43" s="30" t="str">
        <f t="shared" ref="F43:F45" si="5">IF(C43="","",E43*B43)</f>
        <v/>
      </c>
      <c r="G43" s="77"/>
    </row>
    <row r="44" spans="1:7" ht="23.25" customHeight="1" x14ac:dyDescent="0.3">
      <c r="A44" s="67"/>
      <c r="B44" s="61"/>
      <c r="C44" s="110" t="str">
        <f t="shared" si="0"/>
        <v/>
      </c>
      <c r="D44" s="110"/>
      <c r="E44" s="30" t="str">
        <f t="shared" si="1"/>
        <v/>
      </c>
      <c r="F44" s="30" t="str">
        <f t="shared" si="5"/>
        <v/>
      </c>
      <c r="G44" s="77"/>
    </row>
    <row r="45" spans="1:7" ht="23.25" customHeight="1" x14ac:dyDescent="0.3">
      <c r="A45" s="67"/>
      <c r="B45" s="61"/>
      <c r="C45" s="110" t="str">
        <f t="shared" si="0"/>
        <v/>
      </c>
      <c r="D45" s="110"/>
      <c r="E45" s="30" t="str">
        <f t="shared" si="1"/>
        <v/>
      </c>
      <c r="F45" s="30" t="str">
        <f t="shared" si="5"/>
        <v/>
      </c>
      <c r="G45" s="77"/>
    </row>
    <row r="46" spans="1:7" ht="23.25" customHeight="1" x14ac:dyDescent="0.3">
      <c r="A46" s="67"/>
      <c r="B46" s="61"/>
      <c r="C46" s="110" t="str">
        <f t="shared" si="0"/>
        <v/>
      </c>
      <c r="D46" s="110"/>
      <c r="E46" s="30" t="str">
        <f t="shared" si="1"/>
        <v/>
      </c>
      <c r="F46" s="30" t="str">
        <f t="shared" ref="F46:F49" si="6">IF(C46="","",E46*B46)</f>
        <v/>
      </c>
      <c r="G46" s="77"/>
    </row>
    <row r="47" spans="1:7" ht="23.25" customHeight="1" x14ac:dyDescent="0.3">
      <c r="A47" s="67"/>
      <c r="B47" s="61"/>
      <c r="C47" s="110" t="str">
        <f t="shared" si="0"/>
        <v/>
      </c>
      <c r="D47" s="110"/>
      <c r="E47" s="30" t="str">
        <f t="shared" si="1"/>
        <v/>
      </c>
      <c r="F47" s="30" t="str">
        <f t="shared" si="6"/>
        <v/>
      </c>
      <c r="G47" s="77"/>
    </row>
    <row r="48" spans="1:7" ht="23.25" customHeight="1" x14ac:dyDescent="0.3">
      <c r="A48" s="67"/>
      <c r="B48" s="61"/>
      <c r="C48" s="110" t="str">
        <f t="shared" si="0"/>
        <v/>
      </c>
      <c r="D48" s="110"/>
      <c r="E48" s="30" t="str">
        <f t="shared" si="1"/>
        <v/>
      </c>
      <c r="F48" s="30" t="str">
        <f t="shared" si="6"/>
        <v/>
      </c>
      <c r="G48" s="77"/>
    </row>
    <row r="49" spans="1:8" ht="23.25" customHeight="1" x14ac:dyDescent="0.3">
      <c r="A49" s="67"/>
      <c r="B49" s="61"/>
      <c r="C49" s="110" t="str">
        <f t="shared" si="0"/>
        <v/>
      </c>
      <c r="D49" s="110"/>
      <c r="E49" s="30" t="str">
        <f t="shared" si="1"/>
        <v/>
      </c>
      <c r="F49" s="30" t="str">
        <f t="shared" si="6"/>
        <v/>
      </c>
      <c r="G49" s="77"/>
    </row>
    <row r="50" spans="1:8" ht="23.25" customHeight="1" x14ac:dyDescent="0.3">
      <c r="A50" s="62"/>
      <c r="B50" s="18" t="s">
        <v>12</v>
      </c>
      <c r="C50" s="121" t="s">
        <v>73</v>
      </c>
      <c r="D50" s="121"/>
      <c r="E50" s="31" t="s">
        <v>13</v>
      </c>
      <c r="F50" s="31" t="s">
        <v>14</v>
      </c>
      <c r="G50" s="78" t="s">
        <v>87</v>
      </c>
    </row>
    <row r="51" spans="1:8" ht="23.25" customHeight="1" x14ac:dyDescent="0.3">
      <c r="A51" s="62"/>
      <c r="B51" s="54">
        <v>2</v>
      </c>
      <c r="C51" s="122" t="s">
        <v>64</v>
      </c>
      <c r="D51" s="122"/>
      <c r="E51" s="30">
        <f>IF(C51="","",VLOOKUP(C51,BD_MO,2,FALSE))</f>
        <v>35</v>
      </c>
      <c r="F51" s="30">
        <f>IF(C51="","",B51*E51)</f>
        <v>70</v>
      </c>
      <c r="G51" s="77">
        <v>2</v>
      </c>
      <c r="H51" s="50" t="s">
        <v>119</v>
      </c>
    </row>
    <row r="52" spans="1:8" ht="23.25" customHeight="1" x14ac:dyDescent="0.3">
      <c r="A52" s="62"/>
      <c r="B52" s="54">
        <v>20</v>
      </c>
      <c r="C52" s="122" t="s">
        <v>50</v>
      </c>
      <c r="D52" s="122"/>
      <c r="E52" s="30">
        <f>IF(C52="","",VLOOKUP(C52,BD_MO,2,FALSE))</f>
        <v>35</v>
      </c>
      <c r="F52" s="30">
        <f t="shared" ref="F52:F53" si="7">IF(C52="","",B52*E52)</f>
        <v>700</v>
      </c>
      <c r="G52" s="77">
        <v>2</v>
      </c>
      <c r="H52" s="50" t="s">
        <v>65</v>
      </c>
    </row>
    <row r="53" spans="1:8" ht="23.25" customHeight="1" x14ac:dyDescent="0.3">
      <c r="A53" s="62"/>
      <c r="B53" s="54"/>
      <c r="C53" s="122"/>
      <c r="D53" s="122"/>
      <c r="E53" s="30" t="str">
        <f>IF(C53="","",VLOOKUP(C53,BD_MO,2,FALSE))</f>
        <v/>
      </c>
      <c r="F53" s="30" t="str">
        <f t="shared" si="7"/>
        <v/>
      </c>
      <c r="G53" s="77"/>
    </row>
    <row r="54" spans="1:8" ht="9" customHeight="1" x14ac:dyDescent="0.35">
      <c r="B54" s="15"/>
      <c r="C54" s="129"/>
      <c r="D54" s="129"/>
      <c r="E54" s="32"/>
      <c r="F54" s="32"/>
      <c r="G54" s="32"/>
    </row>
    <row r="55" spans="1:8" ht="19.5" customHeight="1" x14ac:dyDescent="0.35">
      <c r="B55" s="125" t="s">
        <v>82</v>
      </c>
      <c r="C55" s="126"/>
      <c r="D55" s="71"/>
      <c r="E55" s="80" t="s">
        <v>5</v>
      </c>
      <c r="F55" s="79">
        <f ca="1">SUM(M_HT)</f>
        <v>1123.4855</v>
      </c>
      <c r="G55" s="28"/>
    </row>
    <row r="56" spans="1:8" ht="19.5" customHeight="1" x14ac:dyDescent="0.35">
      <c r="B56" s="69" t="s">
        <v>83</v>
      </c>
      <c r="C56" s="70" t="s">
        <v>84</v>
      </c>
      <c r="D56" s="16" t="s">
        <v>85</v>
      </c>
      <c r="E56" s="81" t="str">
        <f>"TVA "</f>
        <v xml:space="preserve">TVA </v>
      </c>
      <c r="F56" s="79">
        <f ca="1">D59</f>
        <v>123.18315799999999</v>
      </c>
      <c r="G56" s="28"/>
      <c r="H56" s="50" t="s">
        <v>69</v>
      </c>
    </row>
    <row r="57" spans="1:8" ht="24.75" customHeight="1" x14ac:dyDescent="0.35">
      <c r="B57" s="73">
        <v>1</v>
      </c>
      <c r="C57" s="72">
        <f>J1</f>
        <v>19.600000000000001</v>
      </c>
      <c r="D57" s="75">
        <f ca="1">SUMIF(ctva,1,M_HT)*J1/100</f>
        <v>69.283158</v>
      </c>
      <c r="E57" s="80" t="s">
        <v>6</v>
      </c>
      <c r="F57" s="79">
        <f ca="1">F55+F56</f>
        <v>1246.6686580000001</v>
      </c>
      <c r="G57" s="28"/>
      <c r="H57" s="50" t="s">
        <v>70</v>
      </c>
    </row>
    <row r="58" spans="1:8" ht="19.5" customHeight="1" x14ac:dyDescent="0.35">
      <c r="B58" s="73">
        <v>2</v>
      </c>
      <c r="C58" s="72">
        <f>J2</f>
        <v>7</v>
      </c>
      <c r="D58" s="76">
        <f>SUMIF(ctva,2,M_HT)*J2/100</f>
        <v>53.9</v>
      </c>
      <c r="E58" s="33"/>
      <c r="F58" s="28"/>
      <c r="G58" s="28"/>
    </row>
    <row r="59" spans="1:8" ht="19.5" customHeight="1" thickBot="1" x14ac:dyDescent="0.4">
      <c r="B59" s="123" t="s">
        <v>86</v>
      </c>
      <c r="C59" s="124"/>
      <c r="D59" s="74">
        <f ca="1">D57+D58</f>
        <v>123.18315799999999</v>
      </c>
      <c r="E59" s="28"/>
      <c r="F59" s="28"/>
      <c r="G59" s="28"/>
    </row>
    <row r="60" spans="1:8" ht="29.5" customHeight="1" thickTop="1" x14ac:dyDescent="0.35">
      <c r="B60" s="127"/>
      <c r="C60" s="127"/>
      <c r="D60" s="127"/>
      <c r="E60" s="98" t="s">
        <v>118</v>
      </c>
      <c r="F60" s="96"/>
      <c r="G60" s="96"/>
    </row>
    <row r="61" spans="1:8" ht="23.25" customHeight="1" thickBot="1" x14ac:dyDescent="0.4">
      <c r="B61" s="127"/>
      <c r="C61" s="127"/>
      <c r="D61" s="127"/>
      <c r="E61" s="99" t="s">
        <v>117</v>
      </c>
      <c r="F61" s="96"/>
      <c r="G61" s="96"/>
    </row>
    <row r="62" spans="1:8" ht="23.25" customHeight="1" thickTop="1" x14ac:dyDescent="0.35">
      <c r="B62" s="127"/>
      <c r="C62" s="127"/>
      <c r="D62" s="127"/>
      <c r="E62" s="99"/>
      <c r="F62" s="96"/>
      <c r="G62" s="96"/>
      <c r="H62" s="130" t="s">
        <v>81</v>
      </c>
    </row>
    <row r="63" spans="1:8" ht="23.25" customHeight="1" thickBot="1" x14ac:dyDescent="0.4">
      <c r="B63" s="127"/>
      <c r="C63" s="127"/>
      <c r="D63" s="127"/>
      <c r="E63" s="100"/>
      <c r="F63" s="96"/>
      <c r="G63" s="96"/>
      <c r="H63" s="131"/>
    </row>
    <row r="64" spans="1:8" ht="23.25" customHeight="1" thickBot="1" x14ac:dyDescent="0.4">
      <c r="B64" s="127"/>
      <c r="C64" s="127"/>
      <c r="D64" s="127"/>
      <c r="E64" s="96"/>
      <c r="F64" s="96"/>
      <c r="G64" s="96"/>
      <c r="H64" s="132"/>
    </row>
    <row r="65" spans="2:7" ht="23.25" customHeight="1" thickTop="1" thickBot="1" x14ac:dyDescent="0.4">
      <c r="B65" s="128"/>
      <c r="C65" s="128"/>
      <c r="D65" s="128"/>
      <c r="E65" s="97"/>
      <c r="F65" s="97"/>
      <c r="G65" s="97"/>
    </row>
  </sheetData>
  <sheetProtection sheet="1" objects="1" scenarios="1" selectLockedCells="1"/>
  <mergeCells count="57">
    <mergeCell ref="B1:D2"/>
    <mergeCell ref="B7:C7"/>
    <mergeCell ref="F21:F22"/>
    <mergeCell ref="C29:D29"/>
    <mergeCell ref="C30:D30"/>
    <mergeCell ref="C31:D31"/>
    <mergeCell ref="H62:H64"/>
    <mergeCell ref="H1:H2"/>
    <mergeCell ref="H13:H15"/>
    <mergeCell ref="C32:D32"/>
    <mergeCell ref="C41:D41"/>
    <mergeCell ref="C34:D34"/>
    <mergeCell ref="C35:D35"/>
    <mergeCell ref="C36:D36"/>
    <mergeCell ref="C33:D33"/>
    <mergeCell ref="C37:D37"/>
    <mergeCell ref="C38:D38"/>
    <mergeCell ref="C39:D39"/>
    <mergeCell ref="C40:D40"/>
    <mergeCell ref="C42:D42"/>
    <mergeCell ref="C46:D46"/>
    <mergeCell ref="C47:D47"/>
    <mergeCell ref="C43:D43"/>
    <mergeCell ref="C44:D44"/>
    <mergeCell ref="C45:D45"/>
    <mergeCell ref="C54:D54"/>
    <mergeCell ref="C52:D52"/>
    <mergeCell ref="C48:D48"/>
    <mergeCell ref="C49:D49"/>
    <mergeCell ref="C50:D50"/>
    <mergeCell ref="C51:D51"/>
    <mergeCell ref="C53:D53"/>
    <mergeCell ref="B59:C59"/>
    <mergeCell ref="B55:C55"/>
    <mergeCell ref="B60:D65"/>
    <mergeCell ref="A21:A22"/>
    <mergeCell ref="C24:D24"/>
    <mergeCell ref="C25:D25"/>
    <mergeCell ref="C26:D26"/>
    <mergeCell ref="C27:D27"/>
    <mergeCell ref="C23:D23"/>
    <mergeCell ref="B21:B22"/>
    <mergeCell ref="C21:D22"/>
    <mergeCell ref="H4:H5"/>
    <mergeCell ref="H7:H8"/>
    <mergeCell ref="H10:H11"/>
    <mergeCell ref="H17:H19"/>
    <mergeCell ref="C28:D28"/>
    <mergeCell ref="E21:E22"/>
    <mergeCell ref="B8:C8"/>
    <mergeCell ref="B9:C9"/>
    <mergeCell ref="B10:C10"/>
    <mergeCell ref="B11:C11"/>
    <mergeCell ref="B12:C12"/>
    <mergeCell ref="B13:C13"/>
    <mergeCell ref="B14:C14"/>
    <mergeCell ref="G21:G22"/>
  </mergeCells>
  <conditionalFormatting sqref="B60">
    <cfRule type="cellIs" dxfId="1" priority="2" stopIfTrue="1" operator="equal">
      <formula>#REF!</formula>
    </cfRule>
  </conditionalFormatting>
  <dataValidations count="3">
    <dataValidation type="list" allowBlank="1" showInputMessage="1" showErrorMessage="1" sqref="C51:D53">
      <formula1>MO</formula1>
    </dataValidation>
    <dataValidation type="list" allowBlank="1" showInputMessage="1" showErrorMessage="1" sqref="F8:G8">
      <formula1>client</formula1>
    </dataValidation>
    <dataValidation type="whole" allowBlank="1" showInputMessage="1" showErrorMessage="1" error="Saisir 1 ou 2" sqref="G23:G49 G51:G53">
      <formula1>1</formula1>
      <formula2>2</formula2>
    </dataValidation>
  </dataValidations>
  <hyperlinks>
    <hyperlink ref="F12" r:id="rId1" display="mailto:essai@orange.fr"/>
  </hyperlinks>
  <pageMargins left="0.51181102362204722" right="0.39370078740157483" top="0.55118110236220474" bottom="0.74803149606299213" header="0.31496062992125984" footer="0.31496062992125984"/>
  <pageSetup paperSize="9" scale="50" orientation="portrait" r:id="rId2"/>
  <headerFooter>
    <oddHeader>&amp;L&amp;"-,Gras italique"&amp;14NOM de la SOCIETE (ou LOGO)
Adresse
Tél:
Mobile:</oddHeader>
    <oddFooter>&amp;LN° Siret:
Domiciliation bancaire:&amp;R&amp;P/&amp;N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7"/>
  <sheetViews>
    <sheetView workbookViewId="0">
      <selection activeCell="I22" sqref="I22"/>
    </sheetView>
  </sheetViews>
  <sheetFormatPr baseColWidth="10" defaultRowHeight="14.5" x14ac:dyDescent="0.35"/>
  <cols>
    <col min="1" max="1" width="5.453125" customWidth="1"/>
    <col min="2" max="2" width="16.453125" customWidth="1"/>
    <col min="3" max="3" width="42" customWidth="1"/>
    <col min="4" max="4" width="10.81640625" style="42"/>
    <col min="5" max="5" width="12.1796875" customWidth="1"/>
    <col min="6" max="6" width="14.1796875" style="42" customWidth="1"/>
    <col min="8" max="8" width="13.453125" customWidth="1"/>
  </cols>
  <sheetData>
    <row r="1" spans="1:6" ht="15" thickBot="1" x14ac:dyDescent="0.4">
      <c r="B1" s="140" t="s">
        <v>58</v>
      </c>
      <c r="C1" s="140"/>
      <c r="D1" s="140"/>
      <c r="E1" s="140"/>
      <c r="F1" s="140"/>
    </row>
    <row r="2" spans="1:6" x14ac:dyDescent="0.35">
      <c r="A2" s="20" t="s">
        <v>72</v>
      </c>
      <c r="B2" s="20" t="s">
        <v>15</v>
      </c>
      <c r="C2" s="20" t="s">
        <v>8</v>
      </c>
      <c r="D2" s="51" t="s">
        <v>13</v>
      </c>
      <c r="E2" s="21" t="s">
        <v>17</v>
      </c>
      <c r="F2" s="39" t="s">
        <v>16</v>
      </c>
    </row>
    <row r="3" spans="1:6" x14ac:dyDescent="0.35">
      <c r="A3" t="str">
        <f>CONCATENATE("c",ROW())</f>
        <v>c3</v>
      </c>
      <c r="B3" s="19" t="s">
        <v>18</v>
      </c>
      <c r="C3" s="19" t="s">
        <v>19</v>
      </c>
      <c r="D3" s="52">
        <v>48.12</v>
      </c>
      <c r="E3" s="19">
        <v>0.2</v>
      </c>
      <c r="F3" s="40">
        <f>D3*E3+D3</f>
        <v>57.744</v>
      </c>
    </row>
    <row r="4" spans="1:6" x14ac:dyDescent="0.35">
      <c r="A4" t="str">
        <f t="shared" ref="A4:A65" si="0">CONCATENATE("c",ROW())</f>
        <v>c4</v>
      </c>
      <c r="B4" s="19" t="s">
        <v>21</v>
      </c>
      <c r="C4" s="19" t="s">
        <v>20</v>
      </c>
      <c r="D4" s="52">
        <v>53.88</v>
      </c>
      <c r="E4" s="19">
        <v>0.2</v>
      </c>
      <c r="F4" s="40">
        <f>D4*E4+D4</f>
        <v>64.656000000000006</v>
      </c>
    </row>
    <row r="5" spans="1:6" x14ac:dyDescent="0.35">
      <c r="A5" t="str">
        <f t="shared" si="0"/>
        <v>c5</v>
      </c>
      <c r="B5" s="19" t="s">
        <v>22</v>
      </c>
      <c r="C5" s="19" t="s">
        <v>23</v>
      </c>
      <c r="D5" s="52">
        <v>35.729999999999997</v>
      </c>
      <c r="E5" s="19">
        <v>0.2</v>
      </c>
      <c r="F5" s="40">
        <f t="shared" ref="F5:F10" si="1">D5*E5+D5</f>
        <v>42.875999999999998</v>
      </c>
    </row>
    <row r="6" spans="1:6" x14ac:dyDescent="0.35">
      <c r="A6" t="str">
        <f t="shared" si="0"/>
        <v>c6</v>
      </c>
      <c r="B6" s="19" t="s">
        <v>24</v>
      </c>
      <c r="C6" s="19" t="s">
        <v>25</v>
      </c>
      <c r="D6" s="52">
        <v>7.33</v>
      </c>
      <c r="E6" s="19">
        <v>0.2</v>
      </c>
      <c r="F6" s="40">
        <f t="shared" si="1"/>
        <v>8.7959999999999994</v>
      </c>
    </row>
    <row r="7" spans="1:6" x14ac:dyDescent="0.35">
      <c r="A7" t="str">
        <f t="shared" si="0"/>
        <v>c7</v>
      </c>
      <c r="B7" s="19" t="s">
        <v>26</v>
      </c>
      <c r="C7" s="19" t="s">
        <v>27</v>
      </c>
      <c r="D7" s="52">
        <v>7.33</v>
      </c>
      <c r="E7" s="19">
        <v>0.2</v>
      </c>
      <c r="F7" s="40">
        <f t="shared" si="1"/>
        <v>8.7959999999999994</v>
      </c>
    </row>
    <row r="8" spans="1:6" x14ac:dyDescent="0.35">
      <c r="A8" t="str">
        <f t="shared" si="0"/>
        <v>c8</v>
      </c>
      <c r="B8" s="19" t="s">
        <v>28</v>
      </c>
      <c r="C8" s="19" t="s">
        <v>29</v>
      </c>
      <c r="D8" s="52">
        <v>7.33</v>
      </c>
      <c r="E8" s="19">
        <v>0.2</v>
      </c>
      <c r="F8" s="40">
        <f t="shared" si="1"/>
        <v>8.7959999999999994</v>
      </c>
    </row>
    <row r="9" spans="1:6" x14ac:dyDescent="0.35">
      <c r="A9" t="str">
        <f t="shared" si="0"/>
        <v>c9</v>
      </c>
      <c r="B9" s="19" t="s">
        <v>30</v>
      </c>
      <c r="C9" s="19" t="s">
        <v>31</v>
      </c>
      <c r="D9" s="52">
        <v>7.7</v>
      </c>
      <c r="E9" s="19">
        <v>0.2</v>
      </c>
      <c r="F9" s="40">
        <f t="shared" si="1"/>
        <v>9.24</v>
      </c>
    </row>
    <row r="10" spans="1:6" x14ac:dyDescent="0.35">
      <c r="A10" t="str">
        <f t="shared" si="0"/>
        <v>c10</v>
      </c>
      <c r="B10" s="19" t="s">
        <v>32</v>
      </c>
      <c r="C10" s="19" t="s">
        <v>33</v>
      </c>
      <c r="D10" s="52">
        <v>51.72</v>
      </c>
      <c r="E10" s="19">
        <v>0.2</v>
      </c>
      <c r="F10" s="40">
        <f t="shared" si="1"/>
        <v>62.064</v>
      </c>
    </row>
    <row r="11" spans="1:6" x14ac:dyDescent="0.35">
      <c r="A11" t="str">
        <f t="shared" si="0"/>
        <v>c11</v>
      </c>
      <c r="B11" s="38"/>
      <c r="C11" s="38"/>
    </row>
    <row r="12" spans="1:6" x14ac:dyDescent="0.35">
      <c r="A12" t="str">
        <f t="shared" si="0"/>
        <v>c12</v>
      </c>
      <c r="B12" s="38"/>
      <c r="C12" s="38"/>
    </row>
    <row r="13" spans="1:6" ht="15" thickBot="1" x14ac:dyDescent="0.4">
      <c r="B13" s="141" t="s">
        <v>57</v>
      </c>
      <c r="C13" s="141"/>
      <c r="D13" s="141"/>
      <c r="E13" s="141"/>
      <c r="F13" s="141"/>
    </row>
    <row r="14" spans="1:6" x14ac:dyDescent="0.35">
      <c r="B14" s="20" t="s">
        <v>15</v>
      </c>
      <c r="C14" s="20" t="s">
        <v>8</v>
      </c>
      <c r="D14" s="51" t="s">
        <v>13</v>
      </c>
      <c r="E14" s="21" t="s">
        <v>17</v>
      </c>
      <c r="F14" s="39" t="s">
        <v>16</v>
      </c>
    </row>
    <row r="15" spans="1:6" x14ac:dyDescent="0.35">
      <c r="A15" t="str">
        <f t="shared" si="0"/>
        <v>c15</v>
      </c>
      <c r="B15" s="19" t="s">
        <v>34</v>
      </c>
      <c r="C15" s="19" t="s">
        <v>35</v>
      </c>
      <c r="D15" s="52">
        <v>2.97</v>
      </c>
      <c r="E15" s="19">
        <v>0.23</v>
      </c>
      <c r="F15" s="40">
        <f t="shared" ref="F15:F22" si="2">D15*E15+D15</f>
        <v>3.6531000000000002</v>
      </c>
    </row>
    <row r="16" spans="1:6" x14ac:dyDescent="0.35">
      <c r="A16" t="str">
        <f t="shared" si="0"/>
        <v>c16</v>
      </c>
      <c r="B16" s="19" t="s">
        <v>36</v>
      </c>
      <c r="C16" s="19" t="s">
        <v>37</v>
      </c>
      <c r="D16" s="52">
        <v>2.88</v>
      </c>
      <c r="E16" s="19">
        <v>0.23</v>
      </c>
      <c r="F16" s="40">
        <f t="shared" si="2"/>
        <v>3.5423999999999998</v>
      </c>
    </row>
    <row r="17" spans="1:6" x14ac:dyDescent="0.35">
      <c r="A17" t="str">
        <f t="shared" si="0"/>
        <v>c17</v>
      </c>
      <c r="B17" s="19" t="s">
        <v>38</v>
      </c>
      <c r="C17" s="19" t="s">
        <v>39</v>
      </c>
      <c r="D17" s="52">
        <v>7.32</v>
      </c>
      <c r="E17" s="19">
        <v>0.23</v>
      </c>
      <c r="F17" s="40">
        <f t="shared" si="2"/>
        <v>9.0036000000000005</v>
      </c>
    </row>
    <row r="18" spans="1:6" x14ac:dyDescent="0.35">
      <c r="A18" t="str">
        <f t="shared" si="0"/>
        <v>c18</v>
      </c>
      <c r="B18" s="19" t="s">
        <v>40</v>
      </c>
      <c r="C18" s="19" t="s">
        <v>41</v>
      </c>
      <c r="D18" s="52">
        <v>5.05</v>
      </c>
      <c r="E18" s="19">
        <v>0.23</v>
      </c>
      <c r="F18" s="40">
        <f t="shared" si="2"/>
        <v>6.2115</v>
      </c>
    </row>
    <row r="19" spans="1:6" x14ac:dyDescent="0.35">
      <c r="A19" t="str">
        <f t="shared" si="0"/>
        <v>c19</v>
      </c>
      <c r="B19" s="19" t="s">
        <v>42</v>
      </c>
      <c r="C19" s="19" t="s">
        <v>43</v>
      </c>
      <c r="D19" s="52">
        <v>5.82</v>
      </c>
      <c r="E19" s="19">
        <v>0.23</v>
      </c>
      <c r="F19" s="40">
        <f t="shared" si="2"/>
        <v>7.1586000000000007</v>
      </c>
    </row>
    <row r="20" spans="1:6" x14ac:dyDescent="0.35">
      <c r="A20" t="str">
        <f t="shared" si="0"/>
        <v>c20</v>
      </c>
      <c r="B20" s="19" t="s">
        <v>44</v>
      </c>
      <c r="C20" s="19" t="s">
        <v>45</v>
      </c>
      <c r="D20" s="52">
        <v>7.79</v>
      </c>
      <c r="E20" s="19">
        <v>0.23</v>
      </c>
      <c r="F20" s="40">
        <f t="shared" si="2"/>
        <v>9.5816999999999997</v>
      </c>
    </row>
    <row r="21" spans="1:6" x14ac:dyDescent="0.35">
      <c r="A21" t="str">
        <f t="shared" si="0"/>
        <v>c21</v>
      </c>
      <c r="B21" s="19" t="s">
        <v>46</v>
      </c>
      <c r="C21" s="19" t="s">
        <v>47</v>
      </c>
      <c r="D21" s="52">
        <v>0.91</v>
      </c>
      <c r="E21" s="19">
        <v>0.23</v>
      </c>
      <c r="F21" s="40">
        <f t="shared" si="2"/>
        <v>1.1193</v>
      </c>
    </row>
    <row r="22" spans="1:6" x14ac:dyDescent="0.35">
      <c r="A22" t="str">
        <f t="shared" si="0"/>
        <v>c22</v>
      </c>
      <c r="B22" s="19" t="s">
        <v>49</v>
      </c>
      <c r="C22" s="19" t="s">
        <v>48</v>
      </c>
      <c r="D22" s="52">
        <v>1.93</v>
      </c>
      <c r="E22" s="19">
        <v>0.23</v>
      </c>
      <c r="F22" s="40">
        <f t="shared" si="2"/>
        <v>2.3738999999999999</v>
      </c>
    </row>
    <row r="23" spans="1:6" x14ac:dyDescent="0.35">
      <c r="A23" t="str">
        <f t="shared" si="0"/>
        <v>c23</v>
      </c>
      <c r="B23" s="63"/>
      <c r="C23" s="63"/>
      <c r="D23" s="64"/>
      <c r="E23" s="63"/>
      <c r="F23" s="65"/>
    </row>
    <row r="24" spans="1:6" x14ac:dyDescent="0.35">
      <c r="A24" t="str">
        <f t="shared" si="0"/>
        <v>c24</v>
      </c>
      <c r="B24" s="19"/>
      <c r="C24" s="19"/>
      <c r="D24" s="52"/>
      <c r="E24" s="19"/>
      <c r="F24" s="40"/>
    </row>
    <row r="25" spans="1:6" x14ac:dyDescent="0.35">
      <c r="A25" t="str">
        <f t="shared" si="0"/>
        <v>c25</v>
      </c>
      <c r="B25" s="19"/>
      <c r="C25" s="19"/>
      <c r="D25" s="52"/>
      <c r="E25" s="19"/>
      <c r="F25" s="40"/>
    </row>
    <row r="26" spans="1:6" x14ac:dyDescent="0.35">
      <c r="A26" t="str">
        <f t="shared" si="0"/>
        <v>c26</v>
      </c>
      <c r="B26" s="19"/>
      <c r="C26" s="19"/>
      <c r="D26" s="52"/>
      <c r="E26" s="19"/>
      <c r="F26" s="40"/>
    </row>
    <row r="27" spans="1:6" x14ac:dyDescent="0.35">
      <c r="A27" t="str">
        <f t="shared" si="0"/>
        <v>c27</v>
      </c>
      <c r="B27" s="19"/>
      <c r="C27" s="19"/>
      <c r="D27" s="52"/>
      <c r="E27" s="19"/>
      <c r="F27" s="40"/>
    </row>
    <row r="28" spans="1:6" x14ac:dyDescent="0.35">
      <c r="A28" t="str">
        <f t="shared" si="0"/>
        <v>c28</v>
      </c>
      <c r="B28" s="19"/>
      <c r="C28" s="19"/>
      <c r="D28" s="52"/>
      <c r="E28" s="19"/>
      <c r="F28" s="40"/>
    </row>
    <row r="29" spans="1:6" x14ac:dyDescent="0.35">
      <c r="A29" t="str">
        <f t="shared" si="0"/>
        <v>c29</v>
      </c>
      <c r="B29" s="19"/>
      <c r="C29" s="19"/>
      <c r="D29" s="52"/>
      <c r="E29" s="19"/>
      <c r="F29" s="40"/>
    </row>
    <row r="30" spans="1:6" x14ac:dyDescent="0.35">
      <c r="A30" t="str">
        <f t="shared" si="0"/>
        <v>c30</v>
      </c>
      <c r="B30" s="19"/>
      <c r="C30" s="19"/>
      <c r="D30" s="52"/>
      <c r="E30" s="19"/>
      <c r="F30" s="40"/>
    </row>
    <row r="31" spans="1:6" ht="15" thickBot="1" x14ac:dyDescent="0.4">
      <c r="A31" t="str">
        <f t="shared" si="0"/>
        <v>c31</v>
      </c>
      <c r="B31" s="22"/>
      <c r="C31" s="22"/>
      <c r="D31" s="53"/>
      <c r="E31" s="22"/>
      <c r="F31" s="41"/>
    </row>
    <row r="32" spans="1:6" x14ac:dyDescent="0.35">
      <c r="A32" t="str">
        <f t="shared" si="0"/>
        <v>c32</v>
      </c>
    </row>
    <row r="33" spans="1:1" x14ac:dyDescent="0.35">
      <c r="A33" t="str">
        <f t="shared" si="0"/>
        <v>c33</v>
      </c>
    </row>
    <row r="34" spans="1:1" x14ac:dyDescent="0.35">
      <c r="A34" t="str">
        <f t="shared" si="0"/>
        <v>c34</v>
      </c>
    </row>
    <row r="35" spans="1:1" x14ac:dyDescent="0.35">
      <c r="A35" t="str">
        <f t="shared" si="0"/>
        <v>c35</v>
      </c>
    </row>
    <row r="36" spans="1:1" x14ac:dyDescent="0.35">
      <c r="A36" t="str">
        <f t="shared" si="0"/>
        <v>c36</v>
      </c>
    </row>
    <row r="37" spans="1:1" x14ac:dyDescent="0.35">
      <c r="A37" t="str">
        <f t="shared" si="0"/>
        <v>c37</v>
      </c>
    </row>
    <row r="38" spans="1:1" x14ac:dyDescent="0.35">
      <c r="A38" t="str">
        <f t="shared" si="0"/>
        <v>c38</v>
      </c>
    </row>
    <row r="39" spans="1:1" x14ac:dyDescent="0.35">
      <c r="A39" t="str">
        <f t="shared" si="0"/>
        <v>c39</v>
      </c>
    </row>
    <row r="40" spans="1:1" x14ac:dyDescent="0.35">
      <c r="A40" t="str">
        <f t="shared" si="0"/>
        <v>c40</v>
      </c>
    </row>
    <row r="41" spans="1:1" x14ac:dyDescent="0.35">
      <c r="A41" t="str">
        <f t="shared" si="0"/>
        <v>c41</v>
      </c>
    </row>
    <row r="42" spans="1:1" x14ac:dyDescent="0.35">
      <c r="A42" t="str">
        <f t="shared" si="0"/>
        <v>c42</v>
      </c>
    </row>
    <row r="43" spans="1:1" x14ac:dyDescent="0.35">
      <c r="A43" t="str">
        <f t="shared" si="0"/>
        <v>c43</v>
      </c>
    </row>
    <row r="44" spans="1:1" x14ac:dyDescent="0.35">
      <c r="A44" t="str">
        <f t="shared" si="0"/>
        <v>c44</v>
      </c>
    </row>
    <row r="45" spans="1:1" x14ac:dyDescent="0.35">
      <c r="A45" t="str">
        <f t="shared" si="0"/>
        <v>c45</v>
      </c>
    </row>
    <row r="46" spans="1:1" x14ac:dyDescent="0.35">
      <c r="A46" t="str">
        <f t="shared" si="0"/>
        <v>c46</v>
      </c>
    </row>
    <row r="47" spans="1:1" x14ac:dyDescent="0.35">
      <c r="A47" t="str">
        <f t="shared" si="0"/>
        <v>c47</v>
      </c>
    </row>
    <row r="48" spans="1:1" x14ac:dyDescent="0.35">
      <c r="A48" t="str">
        <f t="shared" si="0"/>
        <v>c48</v>
      </c>
    </row>
    <row r="49" spans="1:1" x14ac:dyDescent="0.35">
      <c r="A49" t="str">
        <f t="shared" si="0"/>
        <v>c49</v>
      </c>
    </row>
    <row r="50" spans="1:1" x14ac:dyDescent="0.35">
      <c r="A50" t="str">
        <f t="shared" si="0"/>
        <v>c50</v>
      </c>
    </row>
    <row r="51" spans="1:1" x14ac:dyDescent="0.35">
      <c r="A51" t="str">
        <f t="shared" si="0"/>
        <v>c51</v>
      </c>
    </row>
    <row r="52" spans="1:1" x14ac:dyDescent="0.35">
      <c r="A52" t="str">
        <f t="shared" si="0"/>
        <v>c52</v>
      </c>
    </row>
    <row r="53" spans="1:1" x14ac:dyDescent="0.35">
      <c r="A53" t="str">
        <f t="shared" si="0"/>
        <v>c53</v>
      </c>
    </row>
    <row r="54" spans="1:1" x14ac:dyDescent="0.35">
      <c r="A54" t="str">
        <f t="shared" si="0"/>
        <v>c54</v>
      </c>
    </row>
    <row r="55" spans="1:1" x14ac:dyDescent="0.35">
      <c r="A55" t="str">
        <f t="shared" si="0"/>
        <v>c55</v>
      </c>
    </row>
    <row r="56" spans="1:1" x14ac:dyDescent="0.35">
      <c r="A56" t="str">
        <f t="shared" si="0"/>
        <v>c56</v>
      </c>
    </row>
    <row r="57" spans="1:1" x14ac:dyDescent="0.35">
      <c r="A57" t="str">
        <f t="shared" si="0"/>
        <v>c57</v>
      </c>
    </row>
    <row r="58" spans="1:1" x14ac:dyDescent="0.35">
      <c r="A58" t="str">
        <f t="shared" si="0"/>
        <v>c58</v>
      </c>
    </row>
    <row r="59" spans="1:1" x14ac:dyDescent="0.35">
      <c r="A59" t="str">
        <f t="shared" si="0"/>
        <v>c59</v>
      </c>
    </row>
    <row r="60" spans="1:1" x14ac:dyDescent="0.35">
      <c r="A60" t="str">
        <f t="shared" si="0"/>
        <v>c60</v>
      </c>
    </row>
    <row r="61" spans="1:1" x14ac:dyDescent="0.35">
      <c r="A61" t="str">
        <f t="shared" si="0"/>
        <v>c61</v>
      </c>
    </row>
    <row r="62" spans="1:1" x14ac:dyDescent="0.35">
      <c r="A62" t="str">
        <f t="shared" si="0"/>
        <v>c62</v>
      </c>
    </row>
    <row r="63" spans="1:1" x14ac:dyDescent="0.35">
      <c r="A63" t="str">
        <f t="shared" si="0"/>
        <v>c63</v>
      </c>
    </row>
    <row r="64" spans="1:1" x14ac:dyDescent="0.35">
      <c r="A64" t="str">
        <f t="shared" si="0"/>
        <v>c64</v>
      </c>
    </row>
    <row r="65" spans="1:1" x14ac:dyDescent="0.35">
      <c r="A65" t="str">
        <f t="shared" si="0"/>
        <v>c65</v>
      </c>
    </row>
    <row r="66" spans="1:1" x14ac:dyDescent="0.35">
      <c r="A66" t="str">
        <f t="shared" ref="A66:A107" si="3">CONCATENATE("c",ROW())</f>
        <v>c66</v>
      </c>
    </row>
    <row r="67" spans="1:1" x14ac:dyDescent="0.35">
      <c r="A67" t="str">
        <f t="shared" si="3"/>
        <v>c67</v>
      </c>
    </row>
    <row r="68" spans="1:1" x14ac:dyDescent="0.35">
      <c r="A68" t="str">
        <f t="shared" si="3"/>
        <v>c68</v>
      </c>
    </row>
    <row r="69" spans="1:1" x14ac:dyDescent="0.35">
      <c r="A69" t="str">
        <f t="shared" si="3"/>
        <v>c69</v>
      </c>
    </row>
    <row r="70" spans="1:1" x14ac:dyDescent="0.35">
      <c r="A70" t="str">
        <f t="shared" si="3"/>
        <v>c70</v>
      </c>
    </row>
    <row r="71" spans="1:1" x14ac:dyDescent="0.35">
      <c r="A71" t="str">
        <f t="shared" si="3"/>
        <v>c71</v>
      </c>
    </row>
    <row r="72" spans="1:1" x14ac:dyDescent="0.35">
      <c r="A72" t="str">
        <f t="shared" si="3"/>
        <v>c72</v>
      </c>
    </row>
    <row r="73" spans="1:1" x14ac:dyDescent="0.35">
      <c r="A73" t="str">
        <f t="shared" si="3"/>
        <v>c73</v>
      </c>
    </row>
    <row r="74" spans="1:1" x14ac:dyDescent="0.35">
      <c r="A74" t="str">
        <f t="shared" si="3"/>
        <v>c74</v>
      </c>
    </row>
    <row r="75" spans="1:1" x14ac:dyDescent="0.35">
      <c r="A75" t="str">
        <f t="shared" si="3"/>
        <v>c75</v>
      </c>
    </row>
    <row r="76" spans="1:1" x14ac:dyDescent="0.35">
      <c r="A76" t="str">
        <f t="shared" si="3"/>
        <v>c76</v>
      </c>
    </row>
    <row r="77" spans="1:1" x14ac:dyDescent="0.35">
      <c r="A77" t="str">
        <f t="shared" si="3"/>
        <v>c77</v>
      </c>
    </row>
    <row r="78" spans="1:1" x14ac:dyDescent="0.35">
      <c r="A78" t="str">
        <f t="shared" si="3"/>
        <v>c78</v>
      </c>
    </row>
    <row r="79" spans="1:1" x14ac:dyDescent="0.35">
      <c r="A79" t="str">
        <f t="shared" si="3"/>
        <v>c79</v>
      </c>
    </row>
    <row r="80" spans="1:1" x14ac:dyDescent="0.35">
      <c r="A80" t="str">
        <f t="shared" si="3"/>
        <v>c80</v>
      </c>
    </row>
    <row r="81" spans="1:1" x14ac:dyDescent="0.35">
      <c r="A81" t="str">
        <f t="shared" si="3"/>
        <v>c81</v>
      </c>
    </row>
    <row r="82" spans="1:1" x14ac:dyDescent="0.35">
      <c r="A82" t="str">
        <f t="shared" si="3"/>
        <v>c82</v>
      </c>
    </row>
    <row r="83" spans="1:1" x14ac:dyDescent="0.35">
      <c r="A83" t="str">
        <f t="shared" si="3"/>
        <v>c83</v>
      </c>
    </row>
    <row r="84" spans="1:1" x14ac:dyDescent="0.35">
      <c r="A84" t="str">
        <f t="shared" si="3"/>
        <v>c84</v>
      </c>
    </row>
    <row r="85" spans="1:1" x14ac:dyDescent="0.35">
      <c r="A85" t="str">
        <f t="shared" si="3"/>
        <v>c85</v>
      </c>
    </row>
    <row r="86" spans="1:1" x14ac:dyDescent="0.35">
      <c r="A86" t="str">
        <f t="shared" si="3"/>
        <v>c86</v>
      </c>
    </row>
    <row r="87" spans="1:1" x14ac:dyDescent="0.35">
      <c r="A87" t="str">
        <f t="shared" si="3"/>
        <v>c87</v>
      </c>
    </row>
    <row r="88" spans="1:1" x14ac:dyDescent="0.35">
      <c r="A88" t="str">
        <f t="shared" si="3"/>
        <v>c88</v>
      </c>
    </row>
    <row r="89" spans="1:1" x14ac:dyDescent="0.35">
      <c r="A89" t="str">
        <f t="shared" si="3"/>
        <v>c89</v>
      </c>
    </row>
    <row r="90" spans="1:1" x14ac:dyDescent="0.35">
      <c r="A90" t="str">
        <f t="shared" si="3"/>
        <v>c90</v>
      </c>
    </row>
    <row r="91" spans="1:1" x14ac:dyDescent="0.35">
      <c r="A91" t="str">
        <f t="shared" si="3"/>
        <v>c91</v>
      </c>
    </row>
    <row r="92" spans="1:1" x14ac:dyDescent="0.35">
      <c r="A92" t="str">
        <f t="shared" si="3"/>
        <v>c92</v>
      </c>
    </row>
    <row r="93" spans="1:1" x14ac:dyDescent="0.35">
      <c r="A93" t="str">
        <f t="shared" si="3"/>
        <v>c93</v>
      </c>
    </row>
    <row r="94" spans="1:1" x14ac:dyDescent="0.35">
      <c r="A94" t="str">
        <f t="shared" si="3"/>
        <v>c94</v>
      </c>
    </row>
    <row r="95" spans="1:1" x14ac:dyDescent="0.35">
      <c r="A95" t="str">
        <f t="shared" si="3"/>
        <v>c95</v>
      </c>
    </row>
    <row r="96" spans="1:1" x14ac:dyDescent="0.35">
      <c r="A96" t="str">
        <f t="shared" si="3"/>
        <v>c96</v>
      </c>
    </row>
    <row r="97" spans="1:1" x14ac:dyDescent="0.35">
      <c r="A97" t="str">
        <f t="shared" si="3"/>
        <v>c97</v>
      </c>
    </row>
    <row r="98" spans="1:1" x14ac:dyDescent="0.35">
      <c r="A98" t="str">
        <f t="shared" si="3"/>
        <v>c98</v>
      </c>
    </row>
    <row r="99" spans="1:1" x14ac:dyDescent="0.35">
      <c r="A99" t="str">
        <f t="shared" si="3"/>
        <v>c99</v>
      </c>
    </row>
    <row r="100" spans="1:1" x14ac:dyDescent="0.35">
      <c r="A100" t="str">
        <f t="shared" si="3"/>
        <v>c100</v>
      </c>
    </row>
    <row r="101" spans="1:1" x14ac:dyDescent="0.35">
      <c r="A101" t="str">
        <f t="shared" si="3"/>
        <v>c101</v>
      </c>
    </row>
    <row r="102" spans="1:1" x14ac:dyDescent="0.35">
      <c r="A102" t="str">
        <f t="shared" si="3"/>
        <v>c102</v>
      </c>
    </row>
    <row r="103" spans="1:1" x14ac:dyDescent="0.35">
      <c r="A103" t="str">
        <f t="shared" si="3"/>
        <v>c103</v>
      </c>
    </row>
    <row r="104" spans="1:1" x14ac:dyDescent="0.35">
      <c r="A104" t="str">
        <f t="shared" si="3"/>
        <v>c104</v>
      </c>
    </row>
    <row r="105" spans="1:1" x14ac:dyDescent="0.35">
      <c r="A105" t="str">
        <f t="shared" si="3"/>
        <v>c105</v>
      </c>
    </row>
    <row r="106" spans="1:1" x14ac:dyDescent="0.35">
      <c r="A106" t="str">
        <f t="shared" si="3"/>
        <v>c106</v>
      </c>
    </row>
    <row r="107" spans="1:1" x14ac:dyDescent="0.35">
      <c r="A107" t="str">
        <f t="shared" si="3"/>
        <v>c107</v>
      </c>
    </row>
  </sheetData>
  <mergeCells count="2">
    <mergeCell ref="B1:F1"/>
    <mergeCell ref="B13:F1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9"/>
  <sheetViews>
    <sheetView workbookViewId="0">
      <selection activeCell="E11" sqref="E11"/>
    </sheetView>
  </sheetViews>
  <sheetFormatPr baseColWidth="10" defaultRowHeight="14.5" x14ac:dyDescent="0.35"/>
  <cols>
    <col min="1" max="1" width="19.26953125" customWidth="1"/>
    <col min="2" max="2" width="29.26953125" customWidth="1"/>
    <col min="5" max="5" width="23.26953125" customWidth="1"/>
    <col min="6" max="6" width="15.1796875" style="24" customWidth="1"/>
    <col min="7" max="7" width="2.81640625" customWidth="1"/>
    <col min="8" max="8" width="9.7265625" customWidth="1"/>
    <col min="9" max="9" width="11.453125" style="84"/>
    <col min="10" max="10" width="15.1796875" customWidth="1"/>
    <col min="11" max="11" width="11.453125" style="42"/>
    <col min="12" max="12" width="14.1796875" customWidth="1"/>
  </cols>
  <sheetData>
    <row r="1" spans="1:12" x14ac:dyDescent="0.3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s="24" t="s">
        <v>56</v>
      </c>
      <c r="G1">
        <v>0</v>
      </c>
      <c r="H1" s="92" t="s">
        <v>102</v>
      </c>
      <c r="I1" s="84" t="s">
        <v>105</v>
      </c>
      <c r="J1" t="s">
        <v>106</v>
      </c>
      <c r="K1" s="42" t="s">
        <v>107</v>
      </c>
      <c r="L1" t="s">
        <v>108</v>
      </c>
    </row>
    <row r="2" spans="1:12" x14ac:dyDescent="0.35">
      <c r="A2" t="s">
        <v>62</v>
      </c>
      <c r="B2" t="s">
        <v>59</v>
      </c>
      <c r="C2" t="s">
        <v>60</v>
      </c>
      <c r="D2" t="s">
        <v>61</v>
      </c>
      <c r="E2" s="23" t="s">
        <v>66</v>
      </c>
      <c r="F2" s="24" t="s">
        <v>115</v>
      </c>
      <c r="G2" s="56" t="s">
        <v>114</v>
      </c>
      <c r="H2" t="s">
        <v>103</v>
      </c>
      <c r="I2" s="84">
        <v>41557</v>
      </c>
      <c r="J2" s="84">
        <v>41567</v>
      </c>
      <c r="K2" s="42">
        <v>1246.67</v>
      </c>
    </row>
    <row r="3" spans="1:12" x14ac:dyDescent="0.35">
      <c r="A3" t="s">
        <v>92</v>
      </c>
      <c r="B3" t="s">
        <v>91</v>
      </c>
      <c r="C3" t="s">
        <v>60</v>
      </c>
      <c r="D3" t="s">
        <v>61</v>
      </c>
      <c r="E3" s="23" t="s">
        <v>89</v>
      </c>
      <c r="F3" s="24" t="s">
        <v>90</v>
      </c>
      <c r="G3">
        <v>2</v>
      </c>
      <c r="H3" s="92" t="s">
        <v>104</v>
      </c>
      <c r="I3" s="84">
        <v>41562</v>
      </c>
    </row>
    <row r="4" spans="1:12" x14ac:dyDescent="0.35">
      <c r="E4" s="23"/>
      <c r="I4" s="85"/>
    </row>
    <row r="5" spans="1:12" x14ac:dyDescent="0.35">
      <c r="E5" s="23"/>
    </row>
    <row r="6" spans="1:12" x14ac:dyDescent="0.35">
      <c r="E6" s="23"/>
    </row>
    <row r="7" spans="1:12" x14ac:dyDescent="0.35">
      <c r="E7" s="23"/>
    </row>
    <row r="8" spans="1:12" x14ac:dyDescent="0.35">
      <c r="E8" s="23"/>
    </row>
    <row r="9" spans="1:12" x14ac:dyDescent="0.35">
      <c r="E9" s="23"/>
    </row>
    <row r="10" spans="1:12" x14ac:dyDescent="0.35">
      <c r="E10" s="23"/>
    </row>
    <row r="11" spans="1:12" x14ac:dyDescent="0.35">
      <c r="E11" s="23"/>
    </row>
    <row r="12" spans="1:12" x14ac:dyDescent="0.35">
      <c r="E12" s="23"/>
    </row>
    <row r="13" spans="1:12" x14ac:dyDescent="0.35">
      <c r="E13" s="23"/>
    </row>
    <row r="14" spans="1:12" x14ac:dyDescent="0.35">
      <c r="E14" s="23"/>
    </row>
    <row r="15" spans="1:12" x14ac:dyDescent="0.35">
      <c r="E15" s="23"/>
    </row>
    <row r="16" spans="1:12" x14ac:dyDescent="0.35">
      <c r="E16" s="23"/>
    </row>
    <row r="17" spans="5:5" x14ac:dyDescent="0.35">
      <c r="E17" s="23"/>
    </row>
    <row r="18" spans="5:5" x14ac:dyDescent="0.35">
      <c r="E18" s="23"/>
    </row>
    <row r="19" spans="5:5" x14ac:dyDescent="0.35">
      <c r="E19" s="23"/>
    </row>
    <row r="20" spans="5:5" x14ac:dyDescent="0.35">
      <c r="E20" s="23"/>
    </row>
    <row r="21" spans="5:5" x14ac:dyDescent="0.35">
      <c r="E21" s="23"/>
    </row>
    <row r="22" spans="5:5" x14ac:dyDescent="0.35">
      <c r="E22" s="23"/>
    </row>
    <row r="23" spans="5:5" x14ac:dyDescent="0.35">
      <c r="E23" s="23"/>
    </row>
    <row r="24" spans="5:5" x14ac:dyDescent="0.35">
      <c r="E24" s="23"/>
    </row>
    <row r="25" spans="5:5" x14ac:dyDescent="0.35">
      <c r="E25" s="23"/>
    </row>
    <row r="26" spans="5:5" x14ac:dyDescent="0.35">
      <c r="E26" s="23"/>
    </row>
    <row r="27" spans="5:5" x14ac:dyDescent="0.35">
      <c r="E27" s="23"/>
    </row>
    <row r="28" spans="5:5" x14ac:dyDescent="0.35">
      <c r="E28" s="23"/>
    </row>
    <row r="29" spans="5:5" x14ac:dyDescent="0.35">
      <c r="E29" s="23"/>
    </row>
    <row r="30" spans="5:5" x14ac:dyDescent="0.35">
      <c r="E30" s="23"/>
    </row>
    <row r="31" spans="5:5" x14ac:dyDescent="0.35">
      <c r="E31" s="23"/>
    </row>
    <row r="32" spans="5:5" x14ac:dyDescent="0.35">
      <c r="E32" s="23"/>
    </row>
    <row r="33" spans="5:5" x14ac:dyDescent="0.35">
      <c r="E33" s="23"/>
    </row>
    <row r="34" spans="5:5" x14ac:dyDescent="0.35">
      <c r="E34" s="23"/>
    </row>
    <row r="35" spans="5:5" x14ac:dyDescent="0.35">
      <c r="E35" s="23"/>
    </row>
    <row r="36" spans="5:5" x14ac:dyDescent="0.35">
      <c r="E36" s="23"/>
    </row>
    <row r="37" spans="5:5" x14ac:dyDescent="0.35">
      <c r="E37" s="23"/>
    </row>
    <row r="38" spans="5:5" x14ac:dyDescent="0.35">
      <c r="E38" s="23"/>
    </row>
    <row r="39" spans="5:5" x14ac:dyDescent="0.35">
      <c r="E39" s="23"/>
    </row>
    <row r="40" spans="5:5" x14ac:dyDescent="0.35">
      <c r="E40" s="23"/>
    </row>
    <row r="41" spans="5:5" x14ac:dyDescent="0.35">
      <c r="E41" s="23"/>
    </row>
    <row r="42" spans="5:5" x14ac:dyDescent="0.35">
      <c r="E42" s="23"/>
    </row>
    <row r="43" spans="5:5" x14ac:dyDescent="0.35">
      <c r="E43" s="23"/>
    </row>
    <row r="44" spans="5:5" x14ac:dyDescent="0.35">
      <c r="E44" s="23"/>
    </row>
    <row r="45" spans="5:5" x14ac:dyDescent="0.35">
      <c r="E45" s="23"/>
    </row>
    <row r="46" spans="5:5" x14ac:dyDescent="0.35">
      <c r="E46" s="23"/>
    </row>
    <row r="47" spans="5:5" x14ac:dyDescent="0.35">
      <c r="E47" s="23"/>
    </row>
    <row r="48" spans="5:5" x14ac:dyDescent="0.35">
      <c r="E48" s="23"/>
    </row>
    <row r="49" spans="5:5" x14ac:dyDescent="0.35">
      <c r="E49" s="23"/>
    </row>
    <row r="50" spans="5:5" x14ac:dyDescent="0.35">
      <c r="E50" s="23"/>
    </row>
    <row r="51" spans="5:5" x14ac:dyDescent="0.35">
      <c r="E51" s="23"/>
    </row>
    <row r="52" spans="5:5" x14ac:dyDescent="0.35">
      <c r="E52" s="23"/>
    </row>
    <row r="53" spans="5:5" x14ac:dyDescent="0.35">
      <c r="E53" s="23"/>
    </row>
    <row r="54" spans="5:5" x14ac:dyDescent="0.35">
      <c r="E54" s="23"/>
    </row>
    <row r="55" spans="5:5" x14ac:dyDescent="0.35">
      <c r="E55" s="23"/>
    </row>
    <row r="56" spans="5:5" x14ac:dyDescent="0.35">
      <c r="E56" s="23"/>
    </row>
    <row r="57" spans="5:5" x14ac:dyDescent="0.35">
      <c r="E57" s="23"/>
    </row>
    <row r="58" spans="5:5" x14ac:dyDescent="0.35">
      <c r="E58" s="23"/>
    </row>
    <row r="59" spans="5:5" x14ac:dyDescent="0.35">
      <c r="E59" s="23"/>
    </row>
    <row r="60" spans="5:5" x14ac:dyDescent="0.35">
      <c r="E60" s="23"/>
    </row>
    <row r="61" spans="5:5" x14ac:dyDescent="0.35">
      <c r="E61" s="23"/>
    </row>
    <row r="62" spans="5:5" x14ac:dyDescent="0.35">
      <c r="E62" s="23"/>
    </row>
    <row r="63" spans="5:5" x14ac:dyDescent="0.35">
      <c r="E63" s="23"/>
    </row>
    <row r="64" spans="5:5" x14ac:dyDescent="0.35">
      <c r="E64" s="23"/>
    </row>
    <row r="65" spans="5:5" x14ac:dyDescent="0.35">
      <c r="E65" s="23"/>
    </row>
    <row r="66" spans="5:5" x14ac:dyDescent="0.35">
      <c r="E66" s="23"/>
    </row>
    <row r="67" spans="5:5" x14ac:dyDescent="0.35">
      <c r="E67" s="23"/>
    </row>
    <row r="68" spans="5:5" x14ac:dyDescent="0.35">
      <c r="E68" s="23"/>
    </row>
    <row r="69" spans="5:5" x14ac:dyDescent="0.35">
      <c r="E69" s="23"/>
    </row>
    <row r="70" spans="5:5" x14ac:dyDescent="0.35">
      <c r="E70" s="23"/>
    </row>
    <row r="71" spans="5:5" x14ac:dyDescent="0.35">
      <c r="E71" s="23"/>
    </row>
    <row r="72" spans="5:5" x14ac:dyDescent="0.35">
      <c r="E72" s="23"/>
    </row>
    <row r="73" spans="5:5" x14ac:dyDescent="0.35">
      <c r="E73" s="23"/>
    </row>
    <row r="74" spans="5:5" x14ac:dyDescent="0.35">
      <c r="E74" s="23"/>
    </row>
    <row r="75" spans="5:5" x14ac:dyDescent="0.35">
      <c r="E75" s="23"/>
    </row>
    <row r="76" spans="5:5" x14ac:dyDescent="0.35">
      <c r="E76" s="23"/>
    </row>
    <row r="77" spans="5:5" x14ac:dyDescent="0.35">
      <c r="E77" s="23"/>
    </row>
    <row r="78" spans="5:5" x14ac:dyDescent="0.35">
      <c r="E78" s="23"/>
    </row>
    <row r="79" spans="5:5" x14ac:dyDescent="0.35">
      <c r="E79" s="23"/>
    </row>
    <row r="80" spans="5:5" x14ac:dyDescent="0.35">
      <c r="E80" s="23"/>
    </row>
    <row r="81" spans="5:5" x14ac:dyDescent="0.35">
      <c r="E81" s="23"/>
    </row>
    <row r="82" spans="5:5" x14ac:dyDescent="0.35">
      <c r="E82" s="23"/>
    </row>
    <row r="83" spans="5:5" x14ac:dyDescent="0.35">
      <c r="E83" s="23"/>
    </row>
    <row r="84" spans="5:5" x14ac:dyDescent="0.35">
      <c r="E84" s="23"/>
    </row>
    <row r="85" spans="5:5" x14ac:dyDescent="0.35">
      <c r="E85" s="23"/>
    </row>
    <row r="86" spans="5:5" x14ac:dyDescent="0.35">
      <c r="E86" s="23"/>
    </row>
    <row r="87" spans="5:5" x14ac:dyDescent="0.35">
      <c r="E87" s="23"/>
    </row>
    <row r="88" spans="5:5" x14ac:dyDescent="0.35">
      <c r="E88" s="23"/>
    </row>
    <row r="89" spans="5:5" x14ac:dyDescent="0.35">
      <c r="E89" s="23"/>
    </row>
    <row r="90" spans="5:5" x14ac:dyDescent="0.35">
      <c r="E90" s="23"/>
    </row>
    <row r="91" spans="5:5" x14ac:dyDescent="0.35">
      <c r="E91" s="23"/>
    </row>
    <row r="92" spans="5:5" x14ac:dyDescent="0.35">
      <c r="E92" s="23"/>
    </row>
    <row r="93" spans="5:5" x14ac:dyDescent="0.35">
      <c r="E93" s="23"/>
    </row>
    <row r="94" spans="5:5" x14ac:dyDescent="0.35">
      <c r="E94" s="23"/>
    </row>
    <row r="95" spans="5:5" x14ac:dyDescent="0.35">
      <c r="E95" s="23"/>
    </row>
    <row r="96" spans="5:5" x14ac:dyDescent="0.35">
      <c r="E96" s="23"/>
    </row>
    <row r="97" spans="5:5" x14ac:dyDescent="0.35">
      <c r="E97" s="23"/>
    </row>
    <row r="98" spans="5:5" x14ac:dyDescent="0.35">
      <c r="E98" s="23"/>
    </row>
    <row r="99" spans="5:5" x14ac:dyDescent="0.35">
      <c r="E99" s="2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"/>
  <sheetViews>
    <sheetView workbookViewId="0">
      <selection sqref="A1:B3"/>
    </sheetView>
  </sheetViews>
  <sheetFormatPr baseColWidth="10" defaultRowHeight="14.5" x14ac:dyDescent="0.35"/>
  <cols>
    <col min="1" max="1" width="44" customWidth="1"/>
    <col min="2" max="2" width="10.81640625" style="42"/>
  </cols>
  <sheetData>
    <row r="1" spans="1:2" x14ac:dyDescent="0.35">
      <c r="A1" t="s">
        <v>8</v>
      </c>
      <c r="B1" s="42" t="s">
        <v>13</v>
      </c>
    </row>
    <row r="2" spans="1:2" x14ac:dyDescent="0.35">
      <c r="A2" t="s">
        <v>64</v>
      </c>
      <c r="B2" s="42">
        <v>35</v>
      </c>
    </row>
    <row r="3" spans="1:2" x14ac:dyDescent="0.35">
      <c r="A3" t="s">
        <v>50</v>
      </c>
      <c r="B3" s="42">
        <v>35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5"/>
  <sheetViews>
    <sheetView topLeftCell="A33" zoomScale="90" zoomScaleNormal="90" workbookViewId="0">
      <selection activeCell="A28" sqref="A28"/>
    </sheetView>
  </sheetViews>
  <sheetFormatPr baseColWidth="10" defaultRowHeight="14.5" x14ac:dyDescent="0.35"/>
  <cols>
    <col min="1" max="1" width="3.54296875" customWidth="1"/>
    <col min="3" max="3" width="24" customWidth="1"/>
    <col min="4" max="4" width="64.26953125" customWidth="1"/>
    <col min="5" max="5" width="24.7265625" customWidth="1"/>
    <col min="6" max="6" width="36.81640625" customWidth="1"/>
    <col min="7" max="7" width="3.1796875" customWidth="1"/>
    <col min="8" max="8" width="26.1796875" customWidth="1"/>
  </cols>
  <sheetData>
    <row r="1" spans="1:8" ht="92.25" customHeight="1" x14ac:dyDescent="0.35">
      <c r="A1" s="1"/>
      <c r="B1" s="138" t="s">
        <v>4</v>
      </c>
      <c r="C1" s="138"/>
      <c r="D1" s="138"/>
      <c r="E1" s="25"/>
      <c r="F1" s="25"/>
      <c r="G1" s="25"/>
    </row>
    <row r="2" spans="1:8" ht="15" x14ac:dyDescent="0.35">
      <c r="A2" s="17"/>
      <c r="B2" s="139"/>
      <c r="C2" s="139"/>
      <c r="D2" s="35"/>
      <c r="E2" s="91" t="s">
        <v>10</v>
      </c>
      <c r="F2" s="43"/>
      <c r="G2" s="43"/>
    </row>
    <row r="3" spans="1:8" ht="15" x14ac:dyDescent="0.35">
      <c r="A3" s="17"/>
      <c r="B3" s="112"/>
      <c r="C3" s="112"/>
      <c r="D3" s="35"/>
      <c r="E3" s="44" t="s">
        <v>0</v>
      </c>
      <c r="F3" s="55" t="s">
        <v>62</v>
      </c>
      <c r="G3" s="55"/>
    </row>
    <row r="4" spans="1:8" ht="15" x14ac:dyDescent="0.35">
      <c r="A4" s="17"/>
      <c r="B4" s="112"/>
      <c r="C4" s="112"/>
      <c r="D4" s="35"/>
      <c r="E4" s="44" t="s">
        <v>1</v>
      </c>
      <c r="F4" s="48" t="str">
        <f>VLOOKUP($F$3,f_cl,2,FALSE)</f>
        <v>1 Rue Bleue</v>
      </c>
      <c r="G4" s="48"/>
    </row>
    <row r="5" spans="1:8" ht="15" x14ac:dyDescent="0.35">
      <c r="A5" s="17"/>
      <c r="B5" s="112"/>
      <c r="C5" s="112"/>
      <c r="D5" s="35"/>
      <c r="E5" s="44"/>
      <c r="F5" s="82"/>
      <c r="G5" s="47"/>
    </row>
    <row r="6" spans="1:8" ht="18" customHeight="1" thickBot="1" x14ac:dyDescent="0.4">
      <c r="A6" s="17"/>
      <c r="B6" s="112"/>
      <c r="C6" s="112"/>
      <c r="D6" s="35"/>
      <c r="E6" s="44" t="s">
        <v>3</v>
      </c>
      <c r="F6" s="48" t="str">
        <f>VLOOKUP($F$3,f_cl,3,FALSE) &amp; "-" &amp; VLOOKUP($F$3,f_cl,4,FALSE)</f>
        <v>56000-VANNES</v>
      </c>
      <c r="G6" s="48"/>
    </row>
    <row r="7" spans="1:8" ht="19.5" customHeight="1" thickTop="1" x14ac:dyDescent="0.35">
      <c r="A7" s="17"/>
      <c r="B7" s="112"/>
      <c r="C7" s="112"/>
      <c r="D7" s="35"/>
      <c r="E7" s="44" t="s">
        <v>7</v>
      </c>
      <c r="F7" s="83" t="str">
        <f>VLOOKUP($F$3,f_cl,5,FALSE)</f>
        <v>jean.dupont@orange.fr</v>
      </c>
      <c r="G7" s="48"/>
      <c r="H7" s="103" t="s">
        <v>116</v>
      </c>
    </row>
    <row r="8" spans="1:8" ht="23.25" customHeight="1" thickBot="1" x14ac:dyDescent="0.4">
      <c r="A8" s="17"/>
      <c r="B8" s="112"/>
      <c r="C8" s="112"/>
      <c r="D8" s="37"/>
      <c r="E8" s="44" t="s">
        <v>2</v>
      </c>
      <c r="F8" s="49" t="str">
        <f>VLOOKUP($F$3,f_cl,6,FALSE)</f>
        <v>02 97 54 12 50</v>
      </c>
      <c r="G8" s="49"/>
      <c r="H8" s="104"/>
    </row>
    <row r="9" spans="1:8" ht="39" customHeight="1" thickTop="1" thickBot="1" x14ac:dyDescent="0.4">
      <c r="A9" s="17"/>
      <c r="B9" s="87"/>
      <c r="C9" s="87"/>
      <c r="D9" s="37"/>
      <c r="E9" s="44"/>
      <c r="F9" s="28"/>
      <c r="G9" s="28"/>
    </row>
    <row r="10" spans="1:8" ht="20" thickTop="1" x14ac:dyDescent="0.35">
      <c r="A10" s="1"/>
      <c r="B10" s="6"/>
      <c r="C10" s="6"/>
      <c r="D10" s="58" t="s">
        <v>93</v>
      </c>
      <c r="E10" s="57" t="str">
        <f>VLOOKUP($F$3,f_cl,8,FALSE)</f>
        <v>2013_001</v>
      </c>
      <c r="F10" s="28"/>
      <c r="G10" s="28"/>
      <c r="H10" s="105" t="s">
        <v>79</v>
      </c>
    </row>
    <row r="11" spans="1:8" ht="15.5" thickBot="1" x14ac:dyDescent="0.4">
      <c r="A11" s="1"/>
      <c r="B11" s="6"/>
      <c r="C11" s="6"/>
      <c r="D11" s="14" t="s">
        <v>68</v>
      </c>
      <c r="E11" s="45">
        <f ca="1">TODAY()</f>
        <v>41901</v>
      </c>
      <c r="F11" s="28"/>
      <c r="G11" s="28"/>
      <c r="H11" s="106"/>
    </row>
    <row r="12" spans="1:8" ht="15.5" thickTop="1" x14ac:dyDescent="0.35">
      <c r="A12" s="1"/>
      <c r="B12" s="2"/>
      <c r="C12" s="2"/>
      <c r="D12" s="14" t="s">
        <v>94</v>
      </c>
      <c r="E12" s="46">
        <f ca="1">TODAY()+30</f>
        <v>41931</v>
      </c>
      <c r="F12" s="28"/>
      <c r="G12" s="28"/>
    </row>
    <row r="13" spans="1:8" ht="12" customHeight="1" x14ac:dyDescent="0.35">
      <c r="A13" s="1"/>
      <c r="B13" s="3"/>
      <c r="C13" s="4"/>
      <c r="D13" s="4"/>
      <c r="E13" s="29"/>
      <c r="F13" s="29"/>
      <c r="G13" s="29"/>
    </row>
    <row r="14" spans="1:8" ht="38.25" customHeight="1" x14ac:dyDescent="0.35">
      <c r="A14" s="89" t="s">
        <v>71</v>
      </c>
      <c r="B14" s="90" t="s">
        <v>12</v>
      </c>
      <c r="C14" s="117" t="s">
        <v>8</v>
      </c>
      <c r="D14" s="117"/>
      <c r="E14" s="86" t="s">
        <v>13</v>
      </c>
      <c r="F14" s="86" t="s">
        <v>14</v>
      </c>
      <c r="G14" s="88" t="s">
        <v>82</v>
      </c>
    </row>
    <row r="15" spans="1:8" ht="20.149999999999999" customHeight="1" x14ac:dyDescent="0.35">
      <c r="A15" s="66" t="s">
        <v>95</v>
      </c>
      <c r="B15" s="95">
        <f>IF(Devis!B23="","",Devis!B23)</f>
        <v>1</v>
      </c>
      <c r="C15" s="110" t="str">
        <f t="shared" ref="C15:C45" ca="1" si="0">IF($A15="","",(INDEX(Base1,MATCH($A15,Base2,0),3)))</f>
        <v>Coffret Galéo13 3R 39MOD</v>
      </c>
      <c r="D15" s="110"/>
      <c r="E15" s="30">
        <f t="shared" ref="E15:E45" ca="1" si="1">IF($A15="","",(INDEX(Base1,MATCH($A15,Base2,0),6)))</f>
        <v>57.744</v>
      </c>
      <c r="F15" s="30">
        <f ca="1">IF(C15="","",E15*B15)</f>
        <v>57.744</v>
      </c>
      <c r="G15" s="93">
        <f>IF(Devis!G23="","",Devis!G23)</f>
        <v>1</v>
      </c>
    </row>
    <row r="16" spans="1:8" ht="20.149999999999999" customHeight="1" x14ac:dyDescent="0.35">
      <c r="A16" s="66" t="s">
        <v>96</v>
      </c>
      <c r="B16" s="95">
        <f>IF(Devis!B24="","",Devis!B24)</f>
        <v>1</v>
      </c>
      <c r="C16" s="110" t="str">
        <f t="shared" ca="1" si="0"/>
        <v>Coffret Galéo13 4R 52MOD</v>
      </c>
      <c r="D16" s="110"/>
      <c r="E16" s="30">
        <f t="shared" ca="1" si="1"/>
        <v>64.656000000000006</v>
      </c>
      <c r="F16" s="30">
        <f t="shared" ref="F16:F23" ca="1" si="2">IF(C16="","",E16*B16)</f>
        <v>64.656000000000006</v>
      </c>
      <c r="G16" s="93">
        <f>IF(Devis!G24="","",Devis!G24)</f>
        <v>1</v>
      </c>
    </row>
    <row r="17" spans="1:7" ht="20.149999999999999" customHeight="1" x14ac:dyDescent="0.35">
      <c r="A17" s="66" t="s">
        <v>97</v>
      </c>
      <c r="B17" s="95">
        <f>IF(Devis!B25="","",Devis!B25)</f>
        <v>1</v>
      </c>
      <c r="C17" s="110" t="str">
        <f t="shared" ca="1" si="0"/>
        <v>Inter Dif FH202S AC-40/0,03</v>
      </c>
      <c r="D17" s="110"/>
      <c r="E17" s="30">
        <f t="shared" ca="1" si="1"/>
        <v>42.875999999999998</v>
      </c>
      <c r="F17" s="30">
        <f t="shared" ca="1" si="2"/>
        <v>42.875999999999998</v>
      </c>
      <c r="G17" s="93">
        <f>IF(Devis!G25="","",Devis!G25)</f>
        <v>1</v>
      </c>
    </row>
    <row r="18" spans="1:7" ht="20.149999999999999" customHeight="1" x14ac:dyDescent="0.35">
      <c r="A18" s="66" t="s">
        <v>98</v>
      </c>
      <c r="B18" s="95">
        <f>IF(Devis!B26="","",Devis!B26)</f>
        <v>1</v>
      </c>
      <c r="C18" s="110" t="str">
        <f t="shared" ca="1" si="0"/>
        <v>Disj Ph/N SN201L-C10 / 4,5KA</v>
      </c>
      <c r="D18" s="110"/>
      <c r="E18" s="30">
        <f t="shared" ca="1" si="1"/>
        <v>8.7959999999999994</v>
      </c>
      <c r="F18" s="30">
        <f t="shared" ca="1" si="2"/>
        <v>8.7959999999999994</v>
      </c>
      <c r="G18" s="93">
        <f>IF(Devis!G26="","",Devis!G26)</f>
        <v>1</v>
      </c>
    </row>
    <row r="19" spans="1:7" ht="20.149999999999999" customHeight="1" x14ac:dyDescent="0.35">
      <c r="A19" s="66" t="s">
        <v>99</v>
      </c>
      <c r="B19" s="95">
        <f>IF(Devis!B27="","",Devis!B27)</f>
        <v>1</v>
      </c>
      <c r="C19" s="110" t="str">
        <f t="shared" ca="1" si="0"/>
        <v>Disj Ph/N SN201L-C16 / 4,5KA</v>
      </c>
      <c r="D19" s="110"/>
      <c r="E19" s="30">
        <f t="shared" ca="1" si="1"/>
        <v>8.7959999999999994</v>
      </c>
      <c r="F19" s="30">
        <f t="shared" ca="1" si="2"/>
        <v>8.7959999999999994</v>
      </c>
      <c r="G19" s="93">
        <f>IF(Devis!G27="","",Devis!G27)</f>
        <v>1</v>
      </c>
    </row>
    <row r="20" spans="1:7" ht="20.149999999999999" customHeight="1" x14ac:dyDescent="0.35">
      <c r="A20" s="66" t="s">
        <v>100</v>
      </c>
      <c r="B20" s="95">
        <f>IF(Devis!B28="","",Devis!B28)</f>
        <v>1</v>
      </c>
      <c r="C20" s="110" t="str">
        <f t="shared" ca="1" si="0"/>
        <v>Disj Ph/N SN201L-C20 / 4,5KA</v>
      </c>
      <c r="D20" s="110"/>
      <c r="E20" s="30">
        <f t="shared" ca="1" si="1"/>
        <v>8.7959999999999994</v>
      </c>
      <c r="F20" s="30">
        <f t="shared" ca="1" si="2"/>
        <v>8.7959999999999994</v>
      </c>
      <c r="G20" s="93">
        <f>IF(Devis!G28="","",Devis!G28)</f>
        <v>1</v>
      </c>
    </row>
    <row r="21" spans="1:7" ht="20.149999999999999" customHeight="1" x14ac:dyDescent="0.35">
      <c r="A21" s="66" t="s">
        <v>101</v>
      </c>
      <c r="B21" s="95">
        <f>IF(Devis!B29="","",Devis!B29)</f>
        <v>1</v>
      </c>
      <c r="C21" s="110" t="str">
        <f t="shared" ca="1" si="0"/>
        <v>Peigne ID+11 SN201 (N+P+Capot)</v>
      </c>
      <c r="D21" s="110"/>
      <c r="E21" s="30">
        <f t="shared" ca="1" si="1"/>
        <v>9.24</v>
      </c>
      <c r="F21" s="30">
        <f t="shared" ca="1" si="2"/>
        <v>9.24</v>
      </c>
      <c r="G21" s="93">
        <f>IF(Devis!G29="","",Devis!G29)</f>
        <v>1</v>
      </c>
    </row>
    <row r="22" spans="1:7" ht="20.149999999999999" customHeight="1" x14ac:dyDescent="0.35">
      <c r="A22" s="66" t="s">
        <v>109</v>
      </c>
      <c r="B22" s="95">
        <f>IF(Devis!B30="","",Devis!B30)</f>
        <v>5</v>
      </c>
      <c r="C22" s="110" t="str">
        <f t="shared" ca="1" si="0"/>
        <v>Odace Prise de courant 2P+T blanc, à vis</v>
      </c>
      <c r="D22" s="110"/>
      <c r="E22" s="30">
        <f t="shared" ca="1" si="1"/>
        <v>3.6531000000000002</v>
      </c>
      <c r="F22" s="30">
        <f t="shared" ca="1" si="2"/>
        <v>18.265500000000003</v>
      </c>
      <c r="G22" s="93">
        <f>IF(Devis!G30="","",Devis!G30)</f>
        <v>1</v>
      </c>
    </row>
    <row r="23" spans="1:7" ht="20.149999999999999" customHeight="1" x14ac:dyDescent="0.35">
      <c r="A23" s="66" t="s">
        <v>110</v>
      </c>
      <c r="B23" s="95">
        <f>IF(Devis!B31="","",Devis!B31)</f>
        <v>5</v>
      </c>
      <c r="C23" s="110" t="str">
        <f t="shared" ca="1" si="0"/>
        <v>Odace Double Va et vient blanc, à vis</v>
      </c>
      <c r="D23" s="110"/>
      <c r="E23" s="30">
        <f t="shared" ca="1" si="1"/>
        <v>9.0036000000000005</v>
      </c>
      <c r="F23" s="30">
        <f t="shared" ca="1" si="2"/>
        <v>45.018000000000001</v>
      </c>
      <c r="G23" s="93">
        <f>IF(Devis!G31="","",Devis!G31)</f>
        <v>1</v>
      </c>
    </row>
    <row r="24" spans="1:7" ht="20.149999999999999" customHeight="1" x14ac:dyDescent="0.35">
      <c r="A24" s="67" t="s">
        <v>111</v>
      </c>
      <c r="B24" s="95">
        <f>IF(Devis!B32="","",Devis!B32)</f>
        <v>5</v>
      </c>
      <c r="C24" s="110" t="str">
        <f t="shared" ca="1" si="0"/>
        <v>Odace Prise TV blanc, à vis</v>
      </c>
      <c r="D24" s="110"/>
      <c r="E24" s="30">
        <f t="shared" ca="1" si="1"/>
        <v>7.1586000000000007</v>
      </c>
      <c r="F24" s="30">
        <f ca="1">IF(C24="","",E24*B24)</f>
        <v>35.793000000000006</v>
      </c>
      <c r="G24" s="93">
        <f>IF(Devis!G32="","",Devis!G32)</f>
        <v>1</v>
      </c>
    </row>
    <row r="25" spans="1:7" ht="20.149999999999999" customHeight="1" x14ac:dyDescent="0.35">
      <c r="A25" s="67" t="s">
        <v>112</v>
      </c>
      <c r="B25" s="95">
        <f>IF(Devis!B33="","",Devis!B33)</f>
        <v>5</v>
      </c>
      <c r="C25" s="110" t="str">
        <f t="shared" ca="1" si="0"/>
        <v>Odace Prise RJ45 blanc, Grade , à vis</v>
      </c>
      <c r="D25" s="110"/>
      <c r="E25" s="30">
        <f t="shared" ca="1" si="1"/>
        <v>9.5816999999999997</v>
      </c>
      <c r="F25" s="30">
        <f ca="1">IF(C25="","",E25*B25)</f>
        <v>47.908499999999997</v>
      </c>
      <c r="G25" s="93">
        <f>IF(Devis!G33="","",Devis!G33)</f>
        <v>1</v>
      </c>
    </row>
    <row r="26" spans="1:7" ht="20.149999999999999" customHeight="1" x14ac:dyDescent="0.35">
      <c r="A26" s="67" t="s">
        <v>113</v>
      </c>
      <c r="B26" s="95">
        <f>IF(Devis!B34="","",Devis!B34)</f>
        <v>5</v>
      </c>
      <c r="C26" s="110" t="str">
        <f t="shared" ca="1" si="0"/>
        <v>Odace styl, Plaque blanc 1 poste</v>
      </c>
      <c r="D26" s="110"/>
      <c r="E26" s="30">
        <f t="shared" ca="1" si="1"/>
        <v>1.1193</v>
      </c>
      <c r="F26" s="30">
        <f t="shared" ref="F26:F45" ca="1" si="3">IF(C26="","",E26*B26)</f>
        <v>5.5964999999999998</v>
      </c>
      <c r="G26" s="93">
        <f>IF(Devis!G34="","",Devis!G34)</f>
        <v>1</v>
      </c>
    </row>
    <row r="27" spans="1:7" ht="20.149999999999999" customHeight="1" x14ac:dyDescent="0.35">
      <c r="A27" s="67"/>
      <c r="B27" s="95" t="str">
        <f>IF(Devis!B35="","",Devis!B35)</f>
        <v/>
      </c>
      <c r="C27" s="110" t="str">
        <f t="shared" si="0"/>
        <v/>
      </c>
      <c r="D27" s="110"/>
      <c r="E27" s="30" t="str">
        <f t="shared" si="1"/>
        <v/>
      </c>
      <c r="F27" s="30" t="str">
        <f t="shared" si="3"/>
        <v/>
      </c>
      <c r="G27" s="93" t="str">
        <f>IF(Devis!G35="","",Devis!G35)</f>
        <v/>
      </c>
    </row>
    <row r="28" spans="1:7" ht="20.149999999999999" customHeight="1" x14ac:dyDescent="0.35">
      <c r="A28" s="67"/>
      <c r="B28" s="95" t="str">
        <f>IF(Devis!B36="","",Devis!B36)</f>
        <v/>
      </c>
      <c r="C28" s="110" t="str">
        <f t="shared" si="0"/>
        <v/>
      </c>
      <c r="D28" s="110"/>
      <c r="E28" s="30" t="str">
        <f t="shared" si="1"/>
        <v/>
      </c>
      <c r="F28" s="30" t="str">
        <f t="shared" si="3"/>
        <v/>
      </c>
      <c r="G28" s="93" t="str">
        <f>IF(Devis!G36="","",Devis!G36)</f>
        <v/>
      </c>
    </row>
    <row r="29" spans="1:7" ht="20.149999999999999" customHeight="1" x14ac:dyDescent="0.35">
      <c r="A29" s="67"/>
      <c r="B29" s="95" t="str">
        <f>IF(Devis!B37="","",Devis!B37)</f>
        <v/>
      </c>
      <c r="C29" s="110" t="str">
        <f t="shared" si="0"/>
        <v/>
      </c>
      <c r="D29" s="110"/>
      <c r="E29" s="30" t="str">
        <f t="shared" si="1"/>
        <v/>
      </c>
      <c r="F29" s="30" t="str">
        <f t="shared" si="3"/>
        <v/>
      </c>
      <c r="G29" s="93" t="str">
        <f>IF(Devis!G37="","",Devis!G37)</f>
        <v/>
      </c>
    </row>
    <row r="30" spans="1:7" ht="20.149999999999999" customHeight="1" x14ac:dyDescent="0.35">
      <c r="A30" s="67"/>
      <c r="B30" s="95" t="str">
        <f>IF(Devis!B38="","",Devis!B38)</f>
        <v/>
      </c>
      <c r="C30" s="110" t="str">
        <f t="shared" si="0"/>
        <v/>
      </c>
      <c r="D30" s="110"/>
      <c r="E30" s="30" t="str">
        <f t="shared" si="1"/>
        <v/>
      </c>
      <c r="F30" s="30" t="str">
        <f t="shared" si="3"/>
        <v/>
      </c>
      <c r="G30" s="93" t="str">
        <f>IF(Devis!G38="","",Devis!G38)</f>
        <v/>
      </c>
    </row>
    <row r="31" spans="1:7" ht="20.149999999999999" customHeight="1" x14ac:dyDescent="0.35">
      <c r="A31" s="67"/>
      <c r="B31" s="95" t="str">
        <f>IF(Devis!B39="","",Devis!B39)</f>
        <v/>
      </c>
      <c r="C31" s="110" t="str">
        <f t="shared" si="0"/>
        <v/>
      </c>
      <c r="D31" s="110"/>
      <c r="E31" s="30" t="str">
        <f t="shared" si="1"/>
        <v/>
      </c>
      <c r="F31" s="30" t="str">
        <f t="shared" si="3"/>
        <v/>
      </c>
      <c r="G31" s="93" t="str">
        <f>IF(Devis!G39="","",Devis!G39)</f>
        <v/>
      </c>
    </row>
    <row r="32" spans="1:7" ht="20.149999999999999" customHeight="1" x14ac:dyDescent="0.35">
      <c r="A32" s="67"/>
      <c r="B32" s="95" t="str">
        <f>IF(Devis!B40="","",Devis!B40)</f>
        <v/>
      </c>
      <c r="C32" s="110" t="str">
        <f t="shared" si="0"/>
        <v/>
      </c>
      <c r="D32" s="110"/>
      <c r="E32" s="30" t="str">
        <f t="shared" si="1"/>
        <v/>
      </c>
      <c r="F32" s="30" t="str">
        <f t="shared" si="3"/>
        <v/>
      </c>
      <c r="G32" s="93" t="str">
        <f>IF(Devis!G40="","",Devis!G40)</f>
        <v/>
      </c>
    </row>
    <row r="33" spans="1:7" ht="20.149999999999999" customHeight="1" x14ac:dyDescent="0.35">
      <c r="A33" s="67"/>
      <c r="B33" s="95" t="str">
        <f>IF(Devis!B41="","",Devis!B41)</f>
        <v/>
      </c>
      <c r="C33" s="110" t="str">
        <f t="shared" si="0"/>
        <v/>
      </c>
      <c r="D33" s="110"/>
      <c r="E33" s="30" t="str">
        <f t="shared" si="1"/>
        <v/>
      </c>
      <c r="F33" s="30" t="str">
        <f t="shared" si="3"/>
        <v/>
      </c>
      <c r="G33" s="93" t="str">
        <f>IF(Devis!G41="","",Devis!G41)</f>
        <v/>
      </c>
    </row>
    <row r="34" spans="1:7" ht="20.149999999999999" customHeight="1" x14ac:dyDescent="0.35">
      <c r="A34" s="67"/>
      <c r="B34" s="95" t="str">
        <f>IF(Devis!B42="","",Devis!B42)</f>
        <v/>
      </c>
      <c r="C34" s="110" t="str">
        <f t="shared" si="0"/>
        <v/>
      </c>
      <c r="D34" s="110"/>
      <c r="E34" s="30" t="str">
        <f t="shared" si="1"/>
        <v/>
      </c>
      <c r="F34" s="30" t="str">
        <f t="shared" si="3"/>
        <v/>
      </c>
      <c r="G34" s="93" t="str">
        <f>IF(Devis!G42="","",Devis!G42)</f>
        <v/>
      </c>
    </row>
    <row r="35" spans="1:7" ht="20.149999999999999" customHeight="1" x14ac:dyDescent="0.35">
      <c r="A35" s="67"/>
      <c r="B35" s="95" t="str">
        <f>IF(Devis!B43="","",Devis!B43)</f>
        <v/>
      </c>
      <c r="C35" s="110" t="str">
        <f t="shared" si="0"/>
        <v/>
      </c>
      <c r="D35" s="110"/>
      <c r="E35" s="30" t="str">
        <f t="shared" si="1"/>
        <v/>
      </c>
      <c r="F35" s="30" t="str">
        <f t="shared" si="3"/>
        <v/>
      </c>
      <c r="G35" s="93" t="str">
        <f>IF(Devis!G43="","",Devis!G43)</f>
        <v/>
      </c>
    </row>
    <row r="36" spans="1:7" ht="20.149999999999999" customHeight="1" x14ac:dyDescent="0.35">
      <c r="A36" s="67"/>
      <c r="B36" s="95" t="str">
        <f>IF(Devis!B44="","",Devis!B44)</f>
        <v/>
      </c>
      <c r="C36" s="110" t="str">
        <f t="shared" si="0"/>
        <v/>
      </c>
      <c r="D36" s="110"/>
      <c r="E36" s="30" t="str">
        <f t="shared" si="1"/>
        <v/>
      </c>
      <c r="F36" s="30" t="str">
        <f t="shared" si="3"/>
        <v/>
      </c>
      <c r="G36" s="93" t="str">
        <f>IF(Devis!G44="","",Devis!G44)</f>
        <v/>
      </c>
    </row>
    <row r="37" spans="1:7" ht="20.149999999999999" customHeight="1" x14ac:dyDescent="0.35">
      <c r="A37" s="67"/>
      <c r="B37" s="95" t="str">
        <f>IF(Devis!B45="","",Devis!B45)</f>
        <v/>
      </c>
      <c r="C37" s="110" t="str">
        <f t="shared" si="0"/>
        <v/>
      </c>
      <c r="D37" s="110"/>
      <c r="E37" s="30" t="str">
        <f t="shared" si="1"/>
        <v/>
      </c>
      <c r="F37" s="30" t="str">
        <f t="shared" si="3"/>
        <v/>
      </c>
      <c r="G37" s="93" t="str">
        <f>IF(Devis!G45="","",Devis!G45)</f>
        <v/>
      </c>
    </row>
    <row r="38" spans="1:7" ht="20.149999999999999" customHeight="1" x14ac:dyDescent="0.35">
      <c r="A38" s="67"/>
      <c r="B38" s="95" t="str">
        <f>IF(Devis!B46="","",Devis!B46)</f>
        <v/>
      </c>
      <c r="C38" s="110" t="str">
        <f t="shared" si="0"/>
        <v/>
      </c>
      <c r="D38" s="110"/>
      <c r="E38" s="30" t="str">
        <f t="shared" si="1"/>
        <v/>
      </c>
      <c r="F38" s="30" t="str">
        <f t="shared" si="3"/>
        <v/>
      </c>
      <c r="G38" s="93" t="str">
        <f>IF(Devis!G46="","",Devis!G46)</f>
        <v/>
      </c>
    </row>
    <row r="39" spans="1:7" ht="20.149999999999999" customHeight="1" x14ac:dyDescent="0.35">
      <c r="A39" s="67"/>
      <c r="B39" s="95" t="str">
        <f>IF(Devis!B47="","",Devis!B47)</f>
        <v/>
      </c>
      <c r="C39" s="110" t="str">
        <f t="shared" si="0"/>
        <v/>
      </c>
      <c r="D39" s="110"/>
      <c r="E39" s="30" t="str">
        <f t="shared" si="1"/>
        <v/>
      </c>
      <c r="F39" s="30" t="str">
        <f t="shared" si="3"/>
        <v/>
      </c>
      <c r="G39" s="93" t="str">
        <f>IF(Devis!G47="","",Devis!G47)</f>
        <v/>
      </c>
    </row>
    <row r="40" spans="1:7" ht="20.149999999999999" customHeight="1" x14ac:dyDescent="0.35">
      <c r="A40" s="67"/>
      <c r="B40" s="95" t="str">
        <f>IF(Devis!B48="","",Devis!B48)</f>
        <v/>
      </c>
      <c r="C40" s="110" t="str">
        <f t="shared" si="0"/>
        <v/>
      </c>
      <c r="D40" s="110"/>
      <c r="E40" s="30" t="str">
        <f t="shared" si="1"/>
        <v/>
      </c>
      <c r="F40" s="30" t="str">
        <f t="shared" si="3"/>
        <v/>
      </c>
      <c r="G40" s="93" t="str">
        <f>IF(Devis!G48="","",Devis!G48)</f>
        <v/>
      </c>
    </row>
    <row r="41" spans="1:7" ht="20.149999999999999" customHeight="1" x14ac:dyDescent="0.35">
      <c r="A41" s="67"/>
      <c r="B41" s="95" t="str">
        <f>IF(Devis!B49="","",Devis!B49)</f>
        <v/>
      </c>
      <c r="C41" s="110" t="str">
        <f t="shared" si="0"/>
        <v/>
      </c>
      <c r="D41" s="110"/>
      <c r="E41" s="30" t="str">
        <f t="shared" si="1"/>
        <v/>
      </c>
      <c r="F41" s="30" t="str">
        <f t="shared" si="3"/>
        <v/>
      </c>
      <c r="G41" s="93" t="str">
        <f>IF(Devis!G49="","",Devis!G49)</f>
        <v/>
      </c>
    </row>
    <row r="42" spans="1:7" ht="20.149999999999999" customHeight="1" x14ac:dyDescent="0.35">
      <c r="A42" s="67"/>
      <c r="B42" s="95" t="e">
        <f>IF(Devis!#REF!="","",Devis!#REF!)</f>
        <v>#REF!</v>
      </c>
      <c r="C42" s="110" t="str">
        <f t="shared" si="0"/>
        <v/>
      </c>
      <c r="D42" s="110"/>
      <c r="E42" s="30" t="str">
        <f t="shared" si="1"/>
        <v/>
      </c>
      <c r="F42" s="30" t="str">
        <f t="shared" si="3"/>
        <v/>
      </c>
      <c r="G42" s="93" t="e">
        <f>IF(Devis!#REF!="","",Devis!#REF!)</f>
        <v>#REF!</v>
      </c>
    </row>
    <row r="43" spans="1:7" ht="20.149999999999999" customHeight="1" x14ac:dyDescent="0.35">
      <c r="A43" s="67"/>
      <c r="B43" s="95" t="e">
        <f>IF(Devis!#REF!="","",Devis!#REF!)</f>
        <v>#REF!</v>
      </c>
      <c r="C43" s="110" t="str">
        <f t="shared" si="0"/>
        <v/>
      </c>
      <c r="D43" s="110"/>
      <c r="E43" s="30" t="str">
        <f t="shared" si="1"/>
        <v/>
      </c>
      <c r="F43" s="30" t="str">
        <f t="shared" si="3"/>
        <v/>
      </c>
      <c r="G43" s="93" t="e">
        <f>IF(Devis!#REF!="","",Devis!#REF!)</f>
        <v>#REF!</v>
      </c>
    </row>
    <row r="44" spans="1:7" ht="20.149999999999999" customHeight="1" x14ac:dyDescent="0.35">
      <c r="A44" s="67"/>
      <c r="B44" s="95" t="e">
        <f>IF(Devis!#REF!="","",Devis!#REF!)</f>
        <v>#REF!</v>
      </c>
      <c r="C44" s="110" t="str">
        <f t="shared" si="0"/>
        <v/>
      </c>
      <c r="D44" s="110"/>
      <c r="E44" s="30" t="str">
        <f t="shared" si="1"/>
        <v/>
      </c>
      <c r="F44" s="30" t="str">
        <f t="shared" si="3"/>
        <v/>
      </c>
      <c r="G44" s="93" t="e">
        <f>IF(Devis!#REF!="","",Devis!#REF!)</f>
        <v>#REF!</v>
      </c>
    </row>
    <row r="45" spans="1:7" ht="20.149999999999999" customHeight="1" x14ac:dyDescent="0.35">
      <c r="A45" s="67"/>
      <c r="B45" s="95" t="e">
        <f>IF(Devis!#REF!="","",Devis!#REF!)</f>
        <v>#REF!</v>
      </c>
      <c r="C45" s="110" t="str">
        <f t="shared" si="0"/>
        <v/>
      </c>
      <c r="D45" s="110"/>
      <c r="E45" s="30" t="str">
        <f t="shared" si="1"/>
        <v/>
      </c>
      <c r="F45" s="30" t="str">
        <f t="shared" si="3"/>
        <v/>
      </c>
      <c r="G45" s="93" t="e">
        <f>IF(Devis!#REF!="","",Devis!#REF!)</f>
        <v>#REF!</v>
      </c>
    </row>
    <row r="46" spans="1:7" ht="19" x14ac:dyDescent="0.35">
      <c r="A46" s="62"/>
      <c r="B46" s="18" t="s">
        <v>12</v>
      </c>
      <c r="C46" s="121" t="s">
        <v>73</v>
      </c>
      <c r="D46" s="121"/>
      <c r="E46" s="31" t="s">
        <v>13</v>
      </c>
      <c r="F46" s="31" t="s">
        <v>14</v>
      </c>
      <c r="G46" s="78" t="s">
        <v>87</v>
      </c>
    </row>
    <row r="47" spans="1:7" ht="20.149999999999999" customHeight="1" x14ac:dyDescent="0.35">
      <c r="A47" s="62"/>
      <c r="B47" s="94">
        <f>IF(Devis!B51="","",Devis!B51)</f>
        <v>2</v>
      </c>
      <c r="C47" s="94" t="str">
        <f>IF(Devis!C51="","",Devis!C51)</f>
        <v>Tirage des Gaines</v>
      </c>
      <c r="D47" s="54"/>
      <c r="E47" s="30">
        <f>IF(C47="","",VLOOKUP(C47,BD_MO,2,FALSE))</f>
        <v>35</v>
      </c>
      <c r="F47" s="30">
        <f>IF(C47="","",B47*E47)</f>
        <v>70</v>
      </c>
      <c r="G47" s="93">
        <f>IF(Devis!G51="","",Devis!G51)</f>
        <v>2</v>
      </c>
    </row>
    <row r="48" spans="1:7" ht="20.149999999999999" customHeight="1" x14ac:dyDescent="0.35">
      <c r="A48" s="62"/>
      <c r="B48" s="94">
        <f>IF(Devis!B52="","",Devis!B52)</f>
        <v>20</v>
      </c>
      <c r="C48" s="94" t="str">
        <f>IF(Devis!C52="","",Devis!C52)</f>
        <v>Pose appareillage</v>
      </c>
      <c r="D48" s="54"/>
      <c r="E48" s="30">
        <f>IF(C48="","",VLOOKUP(C48,BD_MO,2,FALSE))</f>
        <v>35</v>
      </c>
      <c r="F48" s="30">
        <f t="shared" ref="F48:F49" si="4">IF(C48="","",B48*E48)</f>
        <v>700</v>
      </c>
      <c r="G48" s="93">
        <f>IF(Devis!G52="","",Devis!G52)</f>
        <v>2</v>
      </c>
    </row>
    <row r="49" spans="1:7" ht="20.149999999999999" customHeight="1" x14ac:dyDescent="0.35">
      <c r="A49" s="62"/>
      <c r="B49" s="94" t="str">
        <f>IF(Devis!B53="","",Devis!B53)</f>
        <v/>
      </c>
      <c r="C49" s="94" t="str">
        <f>IF(Devis!C53="","",Devis!C53)</f>
        <v/>
      </c>
      <c r="D49" s="54"/>
      <c r="E49" s="30" t="str">
        <f>IF(C49="","",VLOOKUP(C49,BD_MO,2,FALSE))</f>
        <v/>
      </c>
      <c r="F49" s="30" t="str">
        <f t="shared" si="4"/>
        <v/>
      </c>
      <c r="G49" s="93" t="str">
        <f>IF(Devis!G53="","",Devis!G53)</f>
        <v/>
      </c>
    </row>
    <row r="50" spans="1:7" x14ac:dyDescent="0.35">
      <c r="A50" s="1"/>
      <c r="B50" s="15"/>
      <c r="C50" s="129"/>
      <c r="D50" s="129"/>
      <c r="E50" s="32"/>
      <c r="F50" s="32"/>
      <c r="G50" s="32"/>
    </row>
    <row r="51" spans="1:7" ht="21" x14ac:dyDescent="0.35">
      <c r="A51" s="1"/>
      <c r="B51" s="125" t="s">
        <v>82</v>
      </c>
      <c r="C51" s="126"/>
      <c r="D51" s="71"/>
      <c r="E51" s="80" t="s">
        <v>5</v>
      </c>
      <c r="F51" s="79">
        <f ca="1">SUM(M_HTF)</f>
        <v>1123.4855</v>
      </c>
      <c r="G51" s="28"/>
    </row>
    <row r="52" spans="1:7" ht="19.5" x14ac:dyDescent="0.35">
      <c r="A52" s="1"/>
      <c r="B52" s="69" t="s">
        <v>83</v>
      </c>
      <c r="C52" s="70" t="s">
        <v>84</v>
      </c>
      <c r="D52" s="16" t="s">
        <v>85</v>
      </c>
      <c r="E52" s="81" t="str">
        <f>"TVA "</f>
        <v xml:space="preserve">TVA </v>
      </c>
      <c r="F52" s="79">
        <f ca="1">D55</f>
        <v>123.18315799999999</v>
      </c>
      <c r="G52" s="28"/>
    </row>
    <row r="53" spans="1:7" ht="21" x14ac:dyDescent="0.35">
      <c r="A53" s="1"/>
      <c r="B53" s="73">
        <v>1</v>
      </c>
      <c r="C53" s="72">
        <f>Devis!J1</f>
        <v>19.600000000000001</v>
      </c>
      <c r="D53" s="75">
        <f ca="1">SUMIF(ctvaf,1,M_HTF)*Devis!J1/100</f>
        <v>69.283158</v>
      </c>
      <c r="E53" s="80" t="s">
        <v>6</v>
      </c>
      <c r="F53" s="79">
        <f ca="1">F51+F52</f>
        <v>1246.6686580000001</v>
      </c>
      <c r="G53" s="28"/>
    </row>
    <row r="54" spans="1:7" x14ac:dyDescent="0.35">
      <c r="A54" s="1"/>
      <c r="B54" s="73">
        <v>2</v>
      </c>
      <c r="C54" s="72">
        <f>Devis!J2</f>
        <v>7</v>
      </c>
      <c r="D54" s="76">
        <f>SUMIF(ctvaf,2,M_HTF)*Devis!J2/100</f>
        <v>53.9</v>
      </c>
      <c r="E54" s="33"/>
      <c r="F54" s="28"/>
      <c r="G54" s="28"/>
    </row>
    <row r="55" spans="1:7" ht="15" thickBot="1" x14ac:dyDescent="0.4">
      <c r="A55" s="1"/>
      <c r="B55" s="123" t="s">
        <v>86</v>
      </c>
      <c r="C55" s="124"/>
      <c r="D55" s="74">
        <f ca="1">D53+D54</f>
        <v>123.18315799999999</v>
      </c>
      <c r="E55" s="28"/>
      <c r="F55" s="28"/>
      <c r="G55" s="28"/>
    </row>
    <row r="56" spans="1:7" ht="15" thickTop="1" x14ac:dyDescent="0.35">
      <c r="A56" s="1"/>
      <c r="B56" s="127" t="s">
        <v>11</v>
      </c>
      <c r="C56" s="127"/>
      <c r="D56" s="127"/>
      <c r="E56" s="127"/>
      <c r="F56" s="127"/>
      <c r="G56" s="127"/>
    </row>
    <row r="57" spans="1:7" x14ac:dyDescent="0.35">
      <c r="A57" s="1"/>
      <c r="B57" s="127"/>
      <c r="C57" s="127"/>
      <c r="D57" s="127"/>
      <c r="E57" s="127"/>
      <c r="F57" s="127"/>
      <c r="G57" s="127"/>
    </row>
    <row r="58" spans="1:7" x14ac:dyDescent="0.35">
      <c r="A58" s="1"/>
      <c r="B58" s="127"/>
      <c r="C58" s="127"/>
      <c r="D58" s="127"/>
      <c r="E58" s="127"/>
      <c r="F58" s="127"/>
      <c r="G58" s="127"/>
    </row>
    <row r="59" spans="1:7" x14ac:dyDescent="0.35">
      <c r="A59" s="1"/>
      <c r="B59" s="127"/>
      <c r="C59" s="127"/>
      <c r="D59" s="127"/>
      <c r="E59" s="127"/>
      <c r="F59" s="127"/>
      <c r="G59" s="127"/>
    </row>
    <row r="60" spans="1:7" x14ac:dyDescent="0.35">
      <c r="A60" s="1"/>
      <c r="B60" s="127"/>
      <c r="C60" s="127"/>
      <c r="D60" s="127"/>
      <c r="E60" s="127"/>
      <c r="F60" s="127"/>
      <c r="G60" s="127"/>
    </row>
    <row r="61" spans="1:7" ht="58.5" customHeight="1" thickBot="1" x14ac:dyDescent="0.4">
      <c r="A61" s="1"/>
      <c r="B61" s="127"/>
      <c r="C61" s="127"/>
      <c r="D61" s="127"/>
      <c r="E61" s="127"/>
      <c r="F61" s="127"/>
      <c r="G61" s="127"/>
    </row>
    <row r="62" spans="1:7" x14ac:dyDescent="0.35">
      <c r="A62" s="1"/>
      <c r="B62" s="118" t="s">
        <v>9</v>
      </c>
      <c r="C62" s="119"/>
      <c r="D62" s="119"/>
      <c r="E62" s="119"/>
      <c r="F62" s="119"/>
      <c r="G62" s="119"/>
    </row>
    <row r="63" spans="1:7" x14ac:dyDescent="0.35">
      <c r="A63" s="1"/>
      <c r="B63" s="120"/>
      <c r="C63" s="120"/>
      <c r="D63" s="120"/>
      <c r="E63" s="120"/>
      <c r="F63" s="120"/>
      <c r="G63" s="120"/>
    </row>
    <row r="64" spans="1:7" x14ac:dyDescent="0.35">
      <c r="A64" s="1"/>
      <c r="B64" s="120"/>
      <c r="C64" s="120"/>
      <c r="D64" s="120"/>
      <c r="E64" s="120"/>
      <c r="F64" s="120"/>
      <c r="G64" s="120"/>
    </row>
    <row r="65" spans="1:7" x14ac:dyDescent="0.35">
      <c r="A65" s="1"/>
      <c r="B65" s="1"/>
      <c r="C65" s="1"/>
      <c r="D65" s="1"/>
      <c r="E65" s="34"/>
      <c r="F65" s="34"/>
      <c r="G65" s="34"/>
    </row>
  </sheetData>
  <sheetProtection sheet="1" objects="1" scenarios="1" selectLockedCells="1"/>
  <mergeCells count="48">
    <mergeCell ref="B6:C6"/>
    <mergeCell ref="B1:D1"/>
    <mergeCell ref="B2:C2"/>
    <mergeCell ref="B3:C3"/>
    <mergeCell ref="B4:C4"/>
    <mergeCell ref="B5:C5"/>
    <mergeCell ref="C23:D23"/>
    <mergeCell ref="C15:D15"/>
    <mergeCell ref="C16:D16"/>
    <mergeCell ref="C17:D17"/>
    <mergeCell ref="B7:C7"/>
    <mergeCell ref="B8:C8"/>
    <mergeCell ref="C14:D14"/>
    <mergeCell ref="C18:D18"/>
    <mergeCell ref="C19:D19"/>
    <mergeCell ref="C20:D20"/>
    <mergeCell ref="C21:D21"/>
    <mergeCell ref="C22:D22"/>
    <mergeCell ref="C40:D40"/>
    <mergeCell ref="C41:D41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B62:G64"/>
    <mergeCell ref="H7:H8"/>
    <mergeCell ref="H10:H11"/>
    <mergeCell ref="C50:D50"/>
    <mergeCell ref="B51:C51"/>
    <mergeCell ref="B55:C55"/>
    <mergeCell ref="B56:G61"/>
    <mergeCell ref="C42:D42"/>
    <mergeCell ref="C43:D43"/>
    <mergeCell ref="C44:D44"/>
    <mergeCell ref="C45:D45"/>
    <mergeCell ref="C46:D46"/>
    <mergeCell ref="C36:D36"/>
    <mergeCell ref="C37:D37"/>
    <mergeCell ref="C38:D38"/>
    <mergeCell ref="C39:D39"/>
  </mergeCells>
  <conditionalFormatting sqref="B62 B56">
    <cfRule type="cellIs" dxfId="0" priority="1" stopIfTrue="1" operator="equal">
      <formula>#REF!</formula>
    </cfRule>
  </conditionalFormatting>
  <dataValidations count="1">
    <dataValidation type="list" allowBlank="1" showInputMessage="1" showErrorMessage="1" sqref="F3:G3">
      <formula1>client</formula1>
    </dataValidation>
  </dataValidations>
  <hyperlinks>
    <hyperlink ref="F7" r:id="rId1" display="mailto:essai@orange.fr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Accueil</vt:lpstr>
      <vt:lpstr>Devis</vt:lpstr>
      <vt:lpstr>Base</vt:lpstr>
      <vt:lpstr>Fichier_client</vt:lpstr>
      <vt:lpstr>MO</vt:lpstr>
      <vt:lpstr>Factures</vt:lpstr>
      <vt:lpstr>BD_MO</vt:lpstr>
      <vt:lpstr>client</vt:lpstr>
      <vt:lpstr>CODA</vt:lpstr>
      <vt:lpstr>ctva</vt:lpstr>
      <vt:lpstr>ctvaf</vt:lpstr>
      <vt:lpstr>Equip_Maison</vt:lpstr>
      <vt:lpstr>f_cl</vt:lpstr>
      <vt:lpstr>Devis!Impression_des_titres</vt:lpstr>
      <vt:lpstr>M_HT</vt:lpstr>
      <vt:lpstr>M_HTF</vt:lpstr>
      <vt:lpstr>MO</vt:lpstr>
      <vt:lpstr>Devis!Zone_d_impression</vt:lpstr>
      <vt:lpstr>Factures!Zone_d_impression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AFEH</cp:lastModifiedBy>
  <cp:lastPrinted>2014-09-19T15:18:05Z</cp:lastPrinted>
  <dcterms:created xsi:type="dcterms:W3CDTF">2013-02-21T12:37:54Z</dcterms:created>
  <dcterms:modified xsi:type="dcterms:W3CDTF">2014-09-19T15:22:48Z</dcterms:modified>
</cp:coreProperties>
</file>