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drawings/drawing3.xml" ContentType="application/vnd.openxmlformats-officedocument.drawing+xml"/>
  <Override PartName="/xl/activeX/activeX2.xml" ContentType="application/vnd.ms-office.activeX+xml"/>
  <Override PartName="/xl/drawings/drawing4.xml" ContentType="application/vnd.openxmlformats-officedocument.drawing+xml"/>
  <Override PartName="/xl/activeX/activeX3.xml" ContentType="application/vnd.ms-office.activeX+xml"/>
  <Override PartName="/xl/drawings/drawing5.xml" ContentType="application/vnd.openxmlformats-officedocument.drawing+xml"/>
  <Override PartName="/xl/activeX/activeX4.xml" ContentType="application/vnd.ms-office.activeX+xml"/>
  <Override PartName="/xl/drawings/drawing6.xml" ContentType="application/vnd.openxmlformats-officedocument.drawing+xml"/>
  <Override PartName="/xl/activeX/activeX5.xml" ContentType="application/vnd.ms-office.activeX+xml"/>
  <Override PartName="/xl/drawings/drawing7.xml" ContentType="application/vnd.openxmlformats-officedocument.drawing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30" windowWidth="20115" windowHeight="9780" tabRatio="884" activeTab="2"/>
  </bookViews>
  <sheets>
    <sheet name="Production" sheetId="17" r:id="rId1"/>
    <sheet name="Demande" sheetId="20" r:id="rId2"/>
    <sheet name="Traitement" sheetId="19" r:id="rId3"/>
    <sheet name="2017" sheetId="21" r:id="rId4"/>
    <sheet name="Recap Dates" sheetId="8" r:id="rId5"/>
    <sheet name="Broyeur1" sheetId="1" r:id="rId6"/>
    <sheet name="Broyeur2" sheetId="3" r:id="rId7"/>
    <sheet name="Broyeur3" sheetId="5" r:id="rId8"/>
    <sheet name="Engin" sheetId="31" r:id="rId9"/>
    <sheet name="JoursFeries" sheetId="4" r:id="rId10"/>
  </sheets>
  <calcPr calcId="145621"/>
</workbook>
</file>

<file path=xl/calcChain.xml><?xml version="1.0" encoding="utf-8"?>
<calcChain xmlns="http://schemas.openxmlformats.org/spreadsheetml/2006/main">
  <c r="D253" i="31" l="1"/>
  <c r="F253" i="31" s="1"/>
  <c r="D147" i="31"/>
  <c r="D148" i="31"/>
  <c r="D149" i="31"/>
  <c r="F149" i="31" s="1"/>
  <c r="D151" i="31"/>
  <c r="F151" i="31" s="1"/>
  <c r="D152" i="31"/>
  <c r="F152" i="31" s="1"/>
  <c r="D153" i="31"/>
  <c r="F153" i="31" s="1"/>
  <c r="D154" i="31"/>
  <c r="F154" i="31" s="1"/>
  <c r="D155" i="31"/>
  <c r="F155" i="31" s="1"/>
  <c r="D156" i="31"/>
  <c r="F156" i="31" s="1"/>
  <c r="D157" i="31"/>
  <c r="F157" i="31" s="1"/>
  <c r="D158" i="31"/>
  <c r="F158" i="31" s="1"/>
  <c r="D159" i="31"/>
  <c r="F159" i="31" s="1"/>
  <c r="D160" i="31"/>
  <c r="F160" i="31" s="1"/>
  <c r="D161" i="31"/>
  <c r="F161" i="31" s="1"/>
  <c r="D163" i="31"/>
  <c r="F163" i="31" s="1"/>
  <c r="D164" i="31"/>
  <c r="F164" i="31" s="1"/>
  <c r="D165" i="31"/>
  <c r="F165" i="31" s="1"/>
  <c r="D166" i="31"/>
  <c r="F166" i="31" s="1"/>
  <c r="D167" i="31"/>
  <c r="F167" i="31" s="1"/>
  <c r="D168" i="31"/>
  <c r="F168" i="31" s="1"/>
  <c r="D169" i="31"/>
  <c r="F169" i="31" s="1"/>
  <c r="D170" i="31"/>
  <c r="F170" i="31" s="1"/>
  <c r="D171" i="31"/>
  <c r="F171" i="31" s="1"/>
  <c r="D172" i="31"/>
  <c r="F172" i="31" s="1"/>
  <c r="D173" i="31"/>
  <c r="F173" i="31" s="1"/>
  <c r="D175" i="31"/>
  <c r="F175" i="31" s="1"/>
  <c r="D176" i="31"/>
  <c r="F176" i="31" s="1"/>
  <c r="D177" i="31"/>
  <c r="F177" i="31" s="1"/>
  <c r="D178" i="31"/>
  <c r="F178" i="31" s="1"/>
  <c r="D179" i="31"/>
  <c r="F179" i="31" s="1"/>
  <c r="D180" i="31"/>
  <c r="F180" i="31" s="1"/>
  <c r="D181" i="31"/>
  <c r="F181" i="31" s="1"/>
  <c r="D182" i="31"/>
  <c r="F182" i="31" s="1"/>
  <c r="D183" i="31"/>
  <c r="F183" i="31" s="1"/>
  <c r="D184" i="31"/>
  <c r="F184" i="31" s="1"/>
  <c r="D185" i="31"/>
  <c r="F185" i="31" s="1"/>
  <c r="D187" i="31"/>
  <c r="F187" i="31" s="1"/>
  <c r="D188" i="31"/>
  <c r="F188" i="31" s="1"/>
  <c r="D189" i="31"/>
  <c r="F189" i="31" s="1"/>
  <c r="D190" i="31"/>
  <c r="F190" i="31" s="1"/>
  <c r="D191" i="31"/>
  <c r="F191" i="31" s="1"/>
  <c r="D192" i="31"/>
  <c r="F192" i="31" s="1"/>
  <c r="D193" i="31"/>
  <c r="F193" i="31" s="1"/>
  <c r="D194" i="31"/>
  <c r="F194" i="31" s="1"/>
  <c r="D195" i="31"/>
  <c r="F195" i="31" s="1"/>
  <c r="D196" i="31"/>
  <c r="F196" i="31" s="1"/>
  <c r="D197" i="31"/>
  <c r="F197" i="31" s="1"/>
  <c r="D199" i="31"/>
  <c r="F199" i="31" s="1"/>
  <c r="D200" i="31"/>
  <c r="F200" i="31" s="1"/>
  <c r="D201" i="31"/>
  <c r="F201" i="31" s="1"/>
  <c r="D202" i="31"/>
  <c r="F202" i="31" s="1"/>
  <c r="D203" i="31"/>
  <c r="F203" i="31" s="1"/>
  <c r="D204" i="31"/>
  <c r="F204" i="31" s="1"/>
  <c r="D205" i="31"/>
  <c r="F205" i="31" s="1"/>
  <c r="D206" i="31"/>
  <c r="F206" i="31" s="1"/>
  <c r="D207" i="31"/>
  <c r="F207" i="31" s="1"/>
  <c r="D208" i="31"/>
  <c r="F208" i="31" s="1"/>
  <c r="D209" i="31"/>
  <c r="F209" i="31" s="1"/>
  <c r="D211" i="31"/>
  <c r="F211" i="31" s="1"/>
  <c r="D212" i="31"/>
  <c r="F212" i="31" s="1"/>
  <c r="D213" i="31"/>
  <c r="F213" i="31" s="1"/>
  <c r="D214" i="31"/>
  <c r="F214" i="31" s="1"/>
  <c r="D215" i="31"/>
  <c r="F215" i="31" s="1"/>
  <c r="D216" i="31"/>
  <c r="F216" i="31" s="1"/>
  <c r="D217" i="31"/>
  <c r="F217" i="31" s="1"/>
  <c r="D218" i="31"/>
  <c r="F218" i="31" s="1"/>
  <c r="D219" i="31"/>
  <c r="F219" i="31" s="1"/>
  <c r="D220" i="31"/>
  <c r="F220" i="31" s="1"/>
  <c r="D221" i="31"/>
  <c r="F221" i="31" s="1"/>
  <c r="D223" i="31"/>
  <c r="F223" i="31" s="1"/>
  <c r="D224" i="31"/>
  <c r="F224" i="31" s="1"/>
  <c r="D225" i="31"/>
  <c r="F225" i="31" s="1"/>
  <c r="D226" i="31"/>
  <c r="F226" i="31" s="1"/>
  <c r="D227" i="31"/>
  <c r="F227" i="31" s="1"/>
  <c r="D228" i="31"/>
  <c r="F228" i="31" s="1"/>
  <c r="D229" i="31"/>
  <c r="F229" i="31" s="1"/>
  <c r="D230" i="31"/>
  <c r="F230" i="31" s="1"/>
  <c r="D231" i="31"/>
  <c r="F231" i="31" s="1"/>
  <c r="D232" i="31"/>
  <c r="F232" i="31" s="1"/>
  <c r="D233" i="31"/>
  <c r="F233" i="31" s="1"/>
  <c r="D235" i="31"/>
  <c r="F235" i="31" s="1"/>
  <c r="D236" i="31"/>
  <c r="F236" i="31" s="1"/>
  <c r="D237" i="31"/>
  <c r="F237" i="31" s="1"/>
  <c r="D238" i="31"/>
  <c r="F238" i="31" s="1"/>
  <c r="D239" i="31"/>
  <c r="F239" i="31" s="1"/>
  <c r="D240" i="31"/>
  <c r="F240" i="31" s="1"/>
  <c r="D241" i="31"/>
  <c r="F241" i="31" s="1"/>
  <c r="D242" i="31"/>
  <c r="F242" i="31" s="1"/>
  <c r="D243" i="31"/>
  <c r="F243" i="31" s="1"/>
  <c r="D244" i="31"/>
  <c r="F244" i="31" s="1"/>
  <c r="D245" i="31"/>
  <c r="F245" i="31" s="1"/>
  <c r="D247" i="31"/>
  <c r="F247" i="31" s="1"/>
  <c r="D248" i="31"/>
  <c r="F248" i="31" s="1"/>
  <c r="D249" i="31"/>
  <c r="F249" i="31" s="1"/>
  <c r="D250" i="31"/>
  <c r="F250" i="31" s="1"/>
  <c r="D251" i="31"/>
  <c r="F251" i="31" s="1"/>
  <c r="D252" i="31"/>
  <c r="F252" i="31" s="1"/>
  <c r="C8" i="31"/>
  <c r="C9" i="31"/>
  <c r="C10" i="31"/>
  <c r="C11" i="31"/>
  <c r="C12" i="31"/>
  <c r="C13" i="31"/>
  <c r="D13" i="31" s="1"/>
  <c r="F13" i="31" s="1"/>
  <c r="C14" i="31"/>
  <c r="C15" i="31"/>
  <c r="C16" i="31"/>
  <c r="C17" i="31"/>
  <c r="C19" i="31"/>
  <c r="C20" i="31"/>
  <c r="C21" i="31"/>
  <c r="C22" i="31"/>
  <c r="D22" i="31" s="1"/>
  <c r="F22" i="31" s="1"/>
  <c r="C23" i="31"/>
  <c r="C24" i="31"/>
  <c r="C25" i="31"/>
  <c r="C26" i="31"/>
  <c r="C27" i="31"/>
  <c r="C28" i="31"/>
  <c r="C29" i="31"/>
  <c r="D29" i="31" s="1"/>
  <c r="F29" i="31" s="1"/>
  <c r="C31" i="31"/>
  <c r="C32" i="31"/>
  <c r="C33" i="31"/>
  <c r="C34" i="31"/>
  <c r="D34" i="31" s="1"/>
  <c r="F34" i="31" s="1"/>
  <c r="C35" i="31"/>
  <c r="C36" i="31"/>
  <c r="C37" i="31"/>
  <c r="C38" i="31"/>
  <c r="D38" i="31" s="1"/>
  <c r="F38" i="31" s="1"/>
  <c r="C39" i="31"/>
  <c r="C40" i="31"/>
  <c r="C41" i="31"/>
  <c r="C43" i="31"/>
  <c r="C44" i="31"/>
  <c r="C45" i="31"/>
  <c r="D45" i="31" s="1"/>
  <c r="F45" i="31" s="1"/>
  <c r="C46" i="31"/>
  <c r="C47" i="31"/>
  <c r="C48" i="31"/>
  <c r="C49" i="31"/>
  <c r="C50" i="31"/>
  <c r="D50" i="31" s="1"/>
  <c r="F50" i="31" s="1"/>
  <c r="C51" i="31"/>
  <c r="C52" i="31"/>
  <c r="C53" i="31"/>
  <c r="C55" i="31"/>
  <c r="C56" i="31"/>
  <c r="C57" i="31"/>
  <c r="C58" i="31"/>
  <c r="C59" i="31"/>
  <c r="C60" i="31"/>
  <c r="C61" i="31"/>
  <c r="D61" i="31" s="1"/>
  <c r="F61" i="31" s="1"/>
  <c r="C62" i="31"/>
  <c r="C63" i="31"/>
  <c r="C64" i="31"/>
  <c r="C65" i="31"/>
  <c r="C67" i="31"/>
  <c r="C68" i="31"/>
  <c r="C69" i="31"/>
  <c r="C70" i="31"/>
  <c r="D70" i="31" s="1"/>
  <c r="F70" i="31" s="1"/>
  <c r="C71" i="31"/>
  <c r="C72" i="31"/>
  <c r="C73" i="31"/>
  <c r="C74" i="31"/>
  <c r="C75" i="31"/>
  <c r="C76" i="31"/>
  <c r="C77" i="31"/>
  <c r="D77" i="31" s="1"/>
  <c r="F77" i="31" s="1"/>
  <c r="C79" i="31"/>
  <c r="C80" i="31"/>
  <c r="C81" i="31"/>
  <c r="C82" i="31"/>
  <c r="C83" i="31"/>
  <c r="C84" i="31"/>
  <c r="C85" i="31"/>
  <c r="C86" i="31"/>
  <c r="C87" i="31"/>
  <c r="D87" i="31" s="1"/>
  <c r="F87" i="31" s="1"/>
  <c r="C88" i="31"/>
  <c r="C89" i="31"/>
  <c r="D89" i="31" s="1"/>
  <c r="F89" i="31" s="1"/>
  <c r="C91" i="31"/>
  <c r="C92" i="31"/>
  <c r="C93" i="31"/>
  <c r="C94" i="31"/>
  <c r="D94" i="31" s="1"/>
  <c r="F94" i="31" s="1"/>
  <c r="C95" i="31"/>
  <c r="C96" i="31"/>
  <c r="C97" i="31"/>
  <c r="C98" i="31"/>
  <c r="C99" i="31"/>
  <c r="C100" i="31"/>
  <c r="C101" i="31"/>
  <c r="D101" i="31" s="1"/>
  <c r="F101" i="31" s="1"/>
  <c r="C103" i="31"/>
  <c r="C104" i="31"/>
  <c r="C105" i="31"/>
  <c r="C106" i="31"/>
  <c r="D106" i="31" s="1"/>
  <c r="F106" i="31" s="1"/>
  <c r="C107" i="31"/>
  <c r="C108" i="31"/>
  <c r="C109" i="31"/>
  <c r="C110" i="31"/>
  <c r="D110" i="31" s="1"/>
  <c r="F110" i="31" s="1"/>
  <c r="C111" i="31"/>
  <c r="C112" i="31"/>
  <c r="C113" i="31"/>
  <c r="C115" i="31"/>
  <c r="C116" i="31"/>
  <c r="C117" i="31"/>
  <c r="C118" i="31"/>
  <c r="C119" i="31"/>
  <c r="D119" i="31" s="1"/>
  <c r="F119" i="31" s="1"/>
  <c r="C120" i="31"/>
  <c r="C121" i="31"/>
  <c r="C122" i="31"/>
  <c r="D122" i="31" s="1"/>
  <c r="F122" i="31" s="1"/>
  <c r="C123" i="31"/>
  <c r="C124" i="31"/>
  <c r="C125" i="31"/>
  <c r="C127" i="31"/>
  <c r="C128" i="31"/>
  <c r="C129" i="31"/>
  <c r="D129" i="31" s="1"/>
  <c r="F129" i="31" s="1"/>
  <c r="C130" i="31"/>
  <c r="C131" i="31"/>
  <c r="C132" i="31"/>
  <c r="C133" i="31"/>
  <c r="C134" i="31"/>
  <c r="D134" i="31" s="1"/>
  <c r="F134" i="31" s="1"/>
  <c r="C135" i="31"/>
  <c r="C136" i="31"/>
  <c r="C137" i="31"/>
  <c r="C139" i="31"/>
  <c r="C140" i="31"/>
  <c r="C141" i="31"/>
  <c r="C142" i="31"/>
  <c r="D142" i="31" s="1"/>
  <c r="F142" i="31" s="1"/>
  <c r="C143" i="31"/>
  <c r="C144" i="31"/>
  <c r="C145" i="31"/>
  <c r="C146" i="31"/>
  <c r="C147" i="31"/>
  <c r="F147" i="31" s="1"/>
  <c r="C148" i="31"/>
  <c r="C149" i="31"/>
  <c r="C151" i="31"/>
  <c r="C152" i="31"/>
  <c r="C153" i="31"/>
  <c r="C154" i="31"/>
  <c r="C155" i="31"/>
  <c r="C156" i="31"/>
  <c r="C157" i="31"/>
  <c r="C158" i="31"/>
  <c r="C159" i="31"/>
  <c r="C160" i="31"/>
  <c r="C161" i="31"/>
  <c r="C163" i="31"/>
  <c r="C164" i="31"/>
  <c r="C165" i="31"/>
  <c r="C166" i="31"/>
  <c r="C167" i="31"/>
  <c r="C168" i="31"/>
  <c r="C169" i="31"/>
  <c r="C170" i="31"/>
  <c r="C171" i="31"/>
  <c r="C172" i="31"/>
  <c r="C173" i="31"/>
  <c r="C175" i="31"/>
  <c r="C176" i="31"/>
  <c r="C177" i="31"/>
  <c r="C178" i="31"/>
  <c r="C179" i="31"/>
  <c r="C180" i="31"/>
  <c r="C181" i="31"/>
  <c r="C182" i="31"/>
  <c r="C183" i="31"/>
  <c r="C184" i="31"/>
  <c r="C185" i="31"/>
  <c r="C187" i="31"/>
  <c r="C188" i="31"/>
  <c r="C189" i="31"/>
  <c r="C190" i="31"/>
  <c r="C191" i="31"/>
  <c r="C192" i="31"/>
  <c r="C193" i="31"/>
  <c r="C194" i="31"/>
  <c r="C195" i="31"/>
  <c r="C196" i="31"/>
  <c r="C197" i="31"/>
  <c r="C199" i="31"/>
  <c r="C200" i="31"/>
  <c r="C201" i="31"/>
  <c r="C202" i="31"/>
  <c r="C203" i="31"/>
  <c r="C204" i="31"/>
  <c r="C205" i="31"/>
  <c r="C206" i="31"/>
  <c r="C207" i="31"/>
  <c r="C208" i="31"/>
  <c r="C209" i="31"/>
  <c r="C211" i="31"/>
  <c r="C212" i="31"/>
  <c r="C213" i="31"/>
  <c r="C214" i="31"/>
  <c r="C215" i="31"/>
  <c r="C216" i="31"/>
  <c r="C217" i="31"/>
  <c r="C218" i="31"/>
  <c r="C219" i="31"/>
  <c r="C220" i="31"/>
  <c r="C221" i="31"/>
  <c r="C223" i="31"/>
  <c r="C224" i="31"/>
  <c r="C225" i="31"/>
  <c r="C226" i="31"/>
  <c r="C227" i="31"/>
  <c r="C228" i="31"/>
  <c r="C229" i="31"/>
  <c r="C230" i="31"/>
  <c r="C231" i="31"/>
  <c r="C232" i="31"/>
  <c r="C233" i="31"/>
  <c r="C235" i="31"/>
  <c r="C236" i="31"/>
  <c r="C237" i="31"/>
  <c r="C238" i="31"/>
  <c r="C239" i="31"/>
  <c r="C240" i="31"/>
  <c r="C241" i="31"/>
  <c r="C242" i="31"/>
  <c r="C243" i="31"/>
  <c r="C244" i="31"/>
  <c r="C245" i="31"/>
  <c r="C247" i="31"/>
  <c r="C248" i="31"/>
  <c r="C249" i="31"/>
  <c r="C250" i="31"/>
  <c r="C251" i="31"/>
  <c r="C252" i="31"/>
  <c r="B8" i="31"/>
  <c r="B9" i="31"/>
  <c r="B10" i="31"/>
  <c r="B11" i="31"/>
  <c r="B12" i="31"/>
  <c r="B13" i="31"/>
  <c r="B14" i="31"/>
  <c r="B15" i="31"/>
  <c r="B16" i="31"/>
  <c r="B17" i="31"/>
  <c r="B19" i="31"/>
  <c r="B20" i="31"/>
  <c r="B21" i="31"/>
  <c r="B22" i="31"/>
  <c r="B23" i="31"/>
  <c r="B24" i="31"/>
  <c r="B25" i="31"/>
  <c r="B26" i="31"/>
  <c r="B27" i="31"/>
  <c r="B28" i="31"/>
  <c r="B29" i="31"/>
  <c r="B31" i="31"/>
  <c r="B32" i="31"/>
  <c r="B33" i="31"/>
  <c r="B34" i="31"/>
  <c r="B35" i="31"/>
  <c r="B36" i="31"/>
  <c r="B37" i="31"/>
  <c r="B38" i="31"/>
  <c r="B39" i="31"/>
  <c r="B40" i="31"/>
  <c r="B41" i="31"/>
  <c r="B43" i="31"/>
  <c r="B44" i="31"/>
  <c r="B45" i="31"/>
  <c r="B46" i="31"/>
  <c r="B47" i="31"/>
  <c r="B48" i="31"/>
  <c r="B49" i="31"/>
  <c r="B50" i="31"/>
  <c r="B51" i="31"/>
  <c r="B52" i="31"/>
  <c r="B53" i="31"/>
  <c r="B55" i="31"/>
  <c r="B56" i="31"/>
  <c r="B57" i="31"/>
  <c r="B58" i="31"/>
  <c r="B59" i="31"/>
  <c r="B60" i="31"/>
  <c r="B61" i="31"/>
  <c r="B62" i="31"/>
  <c r="B63" i="31"/>
  <c r="B64" i="31"/>
  <c r="B65" i="31"/>
  <c r="B67" i="31"/>
  <c r="B68" i="31"/>
  <c r="B69" i="31"/>
  <c r="B70" i="31"/>
  <c r="B71" i="31"/>
  <c r="B72" i="31"/>
  <c r="B73" i="31"/>
  <c r="B74" i="31"/>
  <c r="B75" i="31"/>
  <c r="B76" i="31"/>
  <c r="B77" i="31"/>
  <c r="B79" i="31"/>
  <c r="B80" i="31"/>
  <c r="B81" i="31"/>
  <c r="B82" i="31"/>
  <c r="D82" i="31" s="1"/>
  <c r="F82" i="31" s="1"/>
  <c r="B83" i="31"/>
  <c r="B84" i="31"/>
  <c r="B85" i="31"/>
  <c r="B86" i="31"/>
  <c r="D86" i="31" s="1"/>
  <c r="F86" i="31" s="1"/>
  <c r="B87" i="31"/>
  <c r="B88" i="31"/>
  <c r="B89" i="31"/>
  <c r="B91" i="31"/>
  <c r="B92" i="31"/>
  <c r="B93" i="31"/>
  <c r="B94" i="31"/>
  <c r="B95" i="31"/>
  <c r="B96" i="31"/>
  <c r="B97" i="31"/>
  <c r="B98" i="31"/>
  <c r="D98" i="31" s="1"/>
  <c r="F98" i="31" s="1"/>
  <c r="B99" i="31"/>
  <c r="B100" i="31"/>
  <c r="B101" i="31"/>
  <c r="B103" i="31"/>
  <c r="B104" i="31"/>
  <c r="B105" i="31"/>
  <c r="B106" i="31"/>
  <c r="B107" i="31"/>
  <c r="B108" i="31"/>
  <c r="B109" i="31"/>
  <c r="B110" i="31"/>
  <c r="B111" i="31"/>
  <c r="B112" i="31"/>
  <c r="B113" i="31"/>
  <c r="B115" i="31"/>
  <c r="B116" i="31"/>
  <c r="B117" i="31"/>
  <c r="B118" i="31"/>
  <c r="D118" i="31" s="1"/>
  <c r="F118" i="31" s="1"/>
  <c r="B119" i="31"/>
  <c r="B120" i="31"/>
  <c r="B121" i="31"/>
  <c r="B122" i="31"/>
  <c r="B123" i="31"/>
  <c r="B124" i="31"/>
  <c r="B125" i="31"/>
  <c r="B127" i="31"/>
  <c r="B128" i="31"/>
  <c r="B129" i="31"/>
  <c r="B130" i="31"/>
  <c r="D130" i="31" s="1"/>
  <c r="F130" i="31" s="1"/>
  <c r="B131" i="31"/>
  <c r="B132" i="31"/>
  <c r="B133" i="31"/>
  <c r="B134" i="31"/>
  <c r="B135" i="31"/>
  <c r="B136" i="31"/>
  <c r="B137" i="31"/>
  <c r="B139" i="31"/>
  <c r="B140" i="31"/>
  <c r="B141" i="31"/>
  <c r="B142" i="31"/>
  <c r="B143" i="31"/>
  <c r="B144" i="31"/>
  <c r="B145" i="31"/>
  <c r="B146" i="31"/>
  <c r="D146" i="31" s="1"/>
  <c r="F146" i="31" s="1"/>
  <c r="B147" i="31"/>
  <c r="B148" i="31"/>
  <c r="B149" i="31"/>
  <c r="B151" i="31"/>
  <c r="B152" i="31"/>
  <c r="B153" i="31"/>
  <c r="B154" i="31"/>
  <c r="B155" i="31"/>
  <c r="B156" i="31"/>
  <c r="B157" i="31"/>
  <c r="B158" i="31"/>
  <c r="B159" i="31"/>
  <c r="B160" i="31"/>
  <c r="B161" i="31"/>
  <c r="B163" i="31"/>
  <c r="B164" i="31"/>
  <c r="B165" i="31"/>
  <c r="B166" i="31"/>
  <c r="B167" i="31"/>
  <c r="B168" i="31"/>
  <c r="B169" i="31"/>
  <c r="B170" i="31"/>
  <c r="B171" i="31"/>
  <c r="B172" i="31"/>
  <c r="B173" i="31"/>
  <c r="B175" i="31"/>
  <c r="B176" i="31"/>
  <c r="B177" i="31"/>
  <c r="B178" i="31"/>
  <c r="B179" i="31"/>
  <c r="B180" i="31"/>
  <c r="B181" i="31"/>
  <c r="B182" i="31"/>
  <c r="B183" i="31"/>
  <c r="B184" i="31"/>
  <c r="B185" i="31"/>
  <c r="B187" i="31"/>
  <c r="B188" i="31"/>
  <c r="B189" i="31"/>
  <c r="B190" i="31"/>
  <c r="B191" i="31"/>
  <c r="B192" i="31"/>
  <c r="B193" i="31"/>
  <c r="B194" i="31"/>
  <c r="B195" i="31"/>
  <c r="B196" i="31"/>
  <c r="B197" i="31"/>
  <c r="B199" i="31"/>
  <c r="B200" i="31"/>
  <c r="B201" i="31"/>
  <c r="B202" i="31"/>
  <c r="B203" i="31"/>
  <c r="B204" i="31"/>
  <c r="B205" i="31"/>
  <c r="B206" i="31"/>
  <c r="B207" i="31"/>
  <c r="B208" i="31"/>
  <c r="B209" i="31"/>
  <c r="B211" i="31"/>
  <c r="B212" i="31"/>
  <c r="B213" i="31"/>
  <c r="B214" i="31"/>
  <c r="B215" i="31"/>
  <c r="B216" i="31"/>
  <c r="B217" i="31"/>
  <c r="B218" i="31"/>
  <c r="B219" i="31"/>
  <c r="B220" i="31"/>
  <c r="B221" i="31"/>
  <c r="B223" i="31"/>
  <c r="B224" i="31"/>
  <c r="B225" i="31"/>
  <c r="B226" i="31"/>
  <c r="B227" i="31"/>
  <c r="B228" i="31"/>
  <c r="B229" i="31"/>
  <c r="B230" i="31"/>
  <c r="B231" i="31"/>
  <c r="B232" i="31"/>
  <c r="B233" i="31"/>
  <c r="B235" i="31"/>
  <c r="B236" i="31"/>
  <c r="B237" i="31"/>
  <c r="B238" i="31"/>
  <c r="B239" i="31"/>
  <c r="B240" i="31"/>
  <c r="B241" i="31"/>
  <c r="B242" i="31"/>
  <c r="B243" i="31"/>
  <c r="B244" i="31"/>
  <c r="B245" i="31"/>
  <c r="B247" i="31"/>
  <c r="B248" i="31"/>
  <c r="B249" i="31"/>
  <c r="B250" i="31"/>
  <c r="B251" i="31"/>
  <c r="B252" i="31"/>
  <c r="B7" i="31"/>
  <c r="F148" i="31"/>
  <c r="D145" i="31"/>
  <c r="F145" i="31" s="1"/>
  <c r="D144" i="31"/>
  <c r="F144" i="31" s="1"/>
  <c r="D141" i="31"/>
  <c r="F141" i="31" s="1"/>
  <c r="D140" i="31"/>
  <c r="F140" i="31" s="1"/>
  <c r="D137" i="31"/>
  <c r="F137" i="31" s="1"/>
  <c r="D136" i="31"/>
  <c r="F136" i="31" s="1"/>
  <c r="D133" i="31"/>
  <c r="F133" i="31" s="1"/>
  <c r="D132" i="31"/>
  <c r="F132" i="31" s="1"/>
  <c r="D128" i="31"/>
  <c r="F128" i="31" s="1"/>
  <c r="D125" i="31"/>
  <c r="F125" i="31" s="1"/>
  <c r="D124" i="31"/>
  <c r="F124" i="31" s="1"/>
  <c r="D121" i="31"/>
  <c r="F121" i="31" s="1"/>
  <c r="D120" i="31"/>
  <c r="F120" i="31" s="1"/>
  <c r="D117" i="31"/>
  <c r="F117" i="31" s="1"/>
  <c r="D116" i="31"/>
  <c r="F116" i="31" s="1"/>
  <c r="D113" i="31"/>
  <c r="F113" i="31" s="1"/>
  <c r="D112" i="31"/>
  <c r="F112" i="31" s="1"/>
  <c r="D109" i="31"/>
  <c r="F109" i="31" s="1"/>
  <c r="D108" i="31"/>
  <c r="F108" i="31" s="1"/>
  <c r="D105" i="31"/>
  <c r="F105" i="31" s="1"/>
  <c r="D104" i="31"/>
  <c r="F104" i="31" s="1"/>
  <c r="D103" i="31"/>
  <c r="F103" i="31" s="1"/>
  <c r="D100" i="31"/>
  <c r="F100" i="31" s="1"/>
  <c r="D97" i="31"/>
  <c r="F97" i="31" s="1"/>
  <c r="D96" i="31"/>
  <c r="F96" i="31" s="1"/>
  <c r="D93" i="31"/>
  <c r="F93" i="31" s="1"/>
  <c r="D92" i="31"/>
  <c r="F92" i="31" s="1"/>
  <c r="D88" i="31"/>
  <c r="F88" i="31" s="1"/>
  <c r="D85" i="31"/>
  <c r="F85" i="31" s="1"/>
  <c r="D84" i="31"/>
  <c r="F84" i="31" s="1"/>
  <c r="D81" i="31"/>
  <c r="F81" i="31" s="1"/>
  <c r="D80" i="31"/>
  <c r="F80" i="31" s="1"/>
  <c r="D76" i="31"/>
  <c r="F76" i="31" s="1"/>
  <c r="D74" i="31"/>
  <c r="F74" i="31" s="1"/>
  <c r="D73" i="31"/>
  <c r="F73" i="31" s="1"/>
  <c r="D72" i="31"/>
  <c r="F72" i="31" s="1"/>
  <c r="D69" i="31"/>
  <c r="F69" i="31" s="1"/>
  <c r="D68" i="31"/>
  <c r="F68" i="31" s="1"/>
  <c r="D65" i="31"/>
  <c r="F65" i="31" s="1"/>
  <c r="D64" i="31"/>
  <c r="F64" i="31" s="1"/>
  <c r="D62" i="31"/>
  <c r="F62" i="31" s="1"/>
  <c r="D60" i="31"/>
  <c r="F60" i="31" s="1"/>
  <c r="D58" i="31"/>
  <c r="F58" i="31" s="1"/>
  <c r="D57" i="31"/>
  <c r="F57" i="31" s="1"/>
  <c r="D56" i="31"/>
  <c r="F56" i="31" s="1"/>
  <c r="D53" i="31"/>
  <c r="F53" i="31" s="1"/>
  <c r="D52" i="31"/>
  <c r="F52" i="31" s="1"/>
  <c r="D49" i="31"/>
  <c r="F49" i="31" s="1"/>
  <c r="D48" i="31"/>
  <c r="F48" i="31" s="1"/>
  <c r="D46" i="31"/>
  <c r="F46" i="31" s="1"/>
  <c r="D44" i="31"/>
  <c r="F44" i="31" s="1"/>
  <c r="D41" i="31"/>
  <c r="F41" i="31" s="1"/>
  <c r="D40" i="31"/>
  <c r="F40" i="31" s="1"/>
  <c r="D37" i="31"/>
  <c r="F37" i="31" s="1"/>
  <c r="D36" i="31"/>
  <c r="F36" i="31" s="1"/>
  <c r="D33" i="31"/>
  <c r="F33" i="31" s="1"/>
  <c r="D32" i="31"/>
  <c r="F32" i="31" s="1"/>
  <c r="D28" i="31"/>
  <c r="F28" i="31" s="1"/>
  <c r="D26" i="31"/>
  <c r="F26" i="31" s="1"/>
  <c r="D25" i="31"/>
  <c r="F25" i="31" s="1"/>
  <c r="D24" i="31"/>
  <c r="F24" i="31" s="1"/>
  <c r="D21" i="31"/>
  <c r="F21" i="31" s="1"/>
  <c r="D20" i="31"/>
  <c r="F20" i="31" s="1"/>
  <c r="D17" i="31"/>
  <c r="F17" i="31" s="1"/>
  <c r="D16" i="31"/>
  <c r="F16" i="31" s="1"/>
  <c r="D14" i="31"/>
  <c r="F14" i="31" s="1"/>
  <c r="D12" i="31"/>
  <c r="F12" i="31" s="1"/>
  <c r="D10" i="31"/>
  <c r="F10" i="31" s="1"/>
  <c r="D9" i="31"/>
  <c r="F9" i="31" s="1"/>
  <c r="D8" i="31"/>
  <c r="F8" i="31" s="1"/>
  <c r="C7" i="31"/>
  <c r="D7" i="31" s="1"/>
  <c r="F7" i="31" s="1"/>
  <c r="D143" i="31" l="1"/>
  <c r="F143" i="31" s="1"/>
  <c r="D139" i="31"/>
  <c r="F139" i="31" s="1"/>
  <c r="D135" i="31"/>
  <c r="F135" i="31" s="1"/>
  <c r="D131" i="31"/>
  <c r="F131" i="31" s="1"/>
  <c r="D127" i="31"/>
  <c r="F127" i="31" s="1"/>
  <c r="D123" i="31"/>
  <c r="F123" i="31" s="1"/>
  <c r="D115" i="31"/>
  <c r="F115" i="31" s="1"/>
  <c r="D111" i="31"/>
  <c r="F111" i="31" s="1"/>
  <c r="D107" i="31"/>
  <c r="F107" i="31" s="1"/>
  <c r="D99" i="31"/>
  <c r="F99" i="31" s="1"/>
  <c r="D95" i="31"/>
  <c r="F95" i="31" s="1"/>
  <c r="D91" i="31"/>
  <c r="F91" i="31" s="1"/>
  <c r="D83" i="31"/>
  <c r="F83" i="31" s="1"/>
  <c r="D79" i="31"/>
  <c r="F79" i="31" s="1"/>
  <c r="D75" i="31"/>
  <c r="F75" i="31" s="1"/>
  <c r="D71" i="31"/>
  <c r="F71" i="31" s="1"/>
  <c r="D67" i="31"/>
  <c r="F67" i="31" s="1"/>
  <c r="D63" i="31"/>
  <c r="F63" i="31" s="1"/>
  <c r="D59" i="31"/>
  <c r="F59" i="31" s="1"/>
  <c r="D55" i="31"/>
  <c r="F55" i="31" s="1"/>
  <c r="D51" i="31"/>
  <c r="F51" i="31" s="1"/>
  <c r="D47" i="31"/>
  <c r="F47" i="31" s="1"/>
  <c r="D43" i="31"/>
  <c r="F43" i="31" s="1"/>
  <c r="D39" i="31"/>
  <c r="F39" i="31" s="1"/>
  <c r="D35" i="31"/>
  <c r="F35" i="31" s="1"/>
  <c r="D31" i="31"/>
  <c r="F31" i="31" s="1"/>
  <c r="D27" i="31"/>
  <c r="F27" i="31" s="1"/>
  <c r="D23" i="31"/>
  <c r="F23" i="31" s="1"/>
  <c r="D19" i="31"/>
  <c r="F19" i="31" s="1"/>
  <c r="D15" i="31"/>
  <c r="F15" i="31" s="1"/>
  <c r="D11" i="31"/>
  <c r="F11" i="31" s="1"/>
  <c r="A32" i="31" l="1"/>
  <c r="A44" i="31" s="1"/>
  <c r="A56" i="31" s="1"/>
  <c r="A68" i="31" s="1"/>
  <c r="A80" i="31" s="1"/>
  <c r="A92" i="31" s="1"/>
  <c r="A104" i="31" s="1"/>
  <c r="A116" i="31" s="1"/>
  <c r="A128" i="31" s="1"/>
  <c r="A140" i="31" s="1"/>
  <c r="A152" i="31" s="1"/>
  <c r="A164" i="31" s="1"/>
  <c r="A176" i="31" s="1"/>
  <c r="A188" i="31" s="1"/>
  <c r="A200" i="31" s="1"/>
  <c r="A212" i="31" s="1"/>
  <c r="A224" i="31" s="1"/>
  <c r="A236" i="31" s="1"/>
  <c r="A248" i="31" s="1"/>
  <c r="A35" i="31"/>
  <c r="A47" i="31" s="1"/>
  <c r="A59" i="31" s="1"/>
  <c r="A71" i="31" s="1"/>
  <c r="A83" i="31" s="1"/>
  <c r="A95" i="31" s="1"/>
  <c r="A107" i="31" s="1"/>
  <c r="A119" i="31" s="1"/>
  <c r="A131" i="31" s="1"/>
  <c r="A143" i="31" s="1"/>
  <c r="A155" i="31" s="1"/>
  <c r="A167" i="31" s="1"/>
  <c r="A179" i="31" s="1"/>
  <c r="A191" i="31" s="1"/>
  <c r="A203" i="31" s="1"/>
  <c r="A215" i="31" s="1"/>
  <c r="A227" i="31" s="1"/>
  <c r="A239" i="31" s="1"/>
  <c r="A251" i="31" s="1"/>
  <c r="A40" i="31"/>
  <c r="A52" i="31" s="1"/>
  <c r="A64" i="31" s="1"/>
  <c r="A76" i="31" s="1"/>
  <c r="A88" i="31" s="1"/>
  <c r="A100" i="31" s="1"/>
  <c r="A112" i="31" s="1"/>
  <c r="A124" i="31" s="1"/>
  <c r="A136" i="31" s="1"/>
  <c r="A148" i="31" s="1"/>
  <c r="A160" i="31" s="1"/>
  <c r="A172" i="31" s="1"/>
  <c r="A184" i="31" s="1"/>
  <c r="A196" i="31" s="1"/>
  <c r="A208" i="31" s="1"/>
  <c r="A220" i="31" s="1"/>
  <c r="A232" i="31" s="1"/>
  <c r="A244" i="31" s="1"/>
  <c r="A29" i="31"/>
  <c r="A41" i="31" s="1"/>
  <c r="A53" i="31" s="1"/>
  <c r="A65" i="31" s="1"/>
  <c r="A77" i="31" s="1"/>
  <c r="A89" i="31" s="1"/>
  <c r="A101" i="31" s="1"/>
  <c r="A113" i="31" s="1"/>
  <c r="A125" i="31" s="1"/>
  <c r="A137" i="31" s="1"/>
  <c r="A149" i="31" s="1"/>
  <c r="A161" i="31" s="1"/>
  <c r="A173" i="31" s="1"/>
  <c r="A185" i="31" s="1"/>
  <c r="A197" i="31" s="1"/>
  <c r="A209" i="31" s="1"/>
  <c r="A221" i="31" s="1"/>
  <c r="A233" i="31" s="1"/>
  <c r="A245" i="31" s="1"/>
  <c r="A28" i="31"/>
  <c r="A27" i="31"/>
  <c r="A39" i="31" s="1"/>
  <c r="A51" i="31" s="1"/>
  <c r="A63" i="31" s="1"/>
  <c r="A75" i="31" s="1"/>
  <c r="A87" i="31" s="1"/>
  <c r="A99" i="31" s="1"/>
  <c r="A111" i="31" s="1"/>
  <c r="A123" i="31" s="1"/>
  <c r="A135" i="31" s="1"/>
  <c r="A147" i="31" s="1"/>
  <c r="A159" i="31" s="1"/>
  <c r="A171" i="31" s="1"/>
  <c r="A183" i="31" s="1"/>
  <c r="A195" i="31" s="1"/>
  <c r="A207" i="31" s="1"/>
  <c r="A219" i="31" s="1"/>
  <c r="A231" i="31" s="1"/>
  <c r="A243" i="31" s="1"/>
  <c r="A26" i="31"/>
  <c r="A38" i="31" s="1"/>
  <c r="A50" i="31" s="1"/>
  <c r="A62" i="31" s="1"/>
  <c r="A74" i="31" s="1"/>
  <c r="A86" i="31" s="1"/>
  <c r="A98" i="31" s="1"/>
  <c r="A110" i="31" s="1"/>
  <c r="A122" i="31" s="1"/>
  <c r="A134" i="31" s="1"/>
  <c r="A146" i="31" s="1"/>
  <c r="A158" i="31" s="1"/>
  <c r="A170" i="31" s="1"/>
  <c r="A182" i="31" s="1"/>
  <c r="A194" i="31" s="1"/>
  <c r="A206" i="31" s="1"/>
  <c r="A218" i="31" s="1"/>
  <c r="A230" i="31" s="1"/>
  <c r="A242" i="31" s="1"/>
  <c r="A25" i="31"/>
  <c r="A37" i="31" s="1"/>
  <c r="A49" i="31" s="1"/>
  <c r="A61" i="31" s="1"/>
  <c r="A73" i="31" s="1"/>
  <c r="A85" i="31" s="1"/>
  <c r="A97" i="31" s="1"/>
  <c r="A109" i="31" s="1"/>
  <c r="A121" i="31" s="1"/>
  <c r="A133" i="31" s="1"/>
  <c r="A145" i="31" s="1"/>
  <c r="A157" i="31" s="1"/>
  <c r="A169" i="31" s="1"/>
  <c r="A181" i="31" s="1"/>
  <c r="A193" i="31" s="1"/>
  <c r="A205" i="31" s="1"/>
  <c r="A217" i="31" s="1"/>
  <c r="A229" i="31" s="1"/>
  <c r="A241" i="31" s="1"/>
  <c r="A24" i="31"/>
  <c r="A36" i="31" s="1"/>
  <c r="A48" i="31" s="1"/>
  <c r="A60" i="31" s="1"/>
  <c r="A72" i="31" s="1"/>
  <c r="A84" i="31" s="1"/>
  <c r="A96" i="31" s="1"/>
  <c r="A108" i="31" s="1"/>
  <c r="A120" i="31" s="1"/>
  <c r="A132" i="31" s="1"/>
  <c r="A144" i="31" s="1"/>
  <c r="A156" i="31" s="1"/>
  <c r="A168" i="31" s="1"/>
  <c r="A180" i="31" s="1"/>
  <c r="A192" i="31" s="1"/>
  <c r="A204" i="31" s="1"/>
  <c r="A216" i="31" s="1"/>
  <c r="A228" i="31" s="1"/>
  <c r="A240" i="31" s="1"/>
  <c r="A252" i="31" s="1"/>
  <c r="A23" i="31"/>
  <c r="A22" i="31"/>
  <c r="A34" i="31" s="1"/>
  <c r="A46" i="31" s="1"/>
  <c r="A58" i="31" s="1"/>
  <c r="A70" i="31" s="1"/>
  <c r="A82" i="31" s="1"/>
  <c r="A94" i="31" s="1"/>
  <c r="A106" i="31" s="1"/>
  <c r="A118" i="31" s="1"/>
  <c r="A130" i="31" s="1"/>
  <c r="A142" i="31" s="1"/>
  <c r="A154" i="31" s="1"/>
  <c r="A166" i="31" s="1"/>
  <c r="A178" i="31" s="1"/>
  <c r="A190" i="31" s="1"/>
  <c r="A202" i="31" s="1"/>
  <c r="A214" i="31" s="1"/>
  <c r="A226" i="31" s="1"/>
  <c r="A238" i="31" s="1"/>
  <c r="A250" i="31" s="1"/>
  <c r="A21" i="31"/>
  <c r="A33" i="31" s="1"/>
  <c r="A45" i="31" s="1"/>
  <c r="A57" i="31" s="1"/>
  <c r="A69" i="31" s="1"/>
  <c r="A81" i="31" s="1"/>
  <c r="A93" i="31" s="1"/>
  <c r="A105" i="31" s="1"/>
  <c r="A117" i="31" s="1"/>
  <c r="A129" i="31" s="1"/>
  <c r="A141" i="31" s="1"/>
  <c r="A153" i="31" s="1"/>
  <c r="A165" i="31" s="1"/>
  <c r="A177" i="31" s="1"/>
  <c r="A189" i="31" s="1"/>
  <c r="A201" i="31" s="1"/>
  <c r="A213" i="31" s="1"/>
  <c r="A225" i="31" s="1"/>
  <c r="A237" i="31" s="1"/>
  <c r="A249" i="31" s="1"/>
  <c r="A20" i="31"/>
  <c r="A19" i="31"/>
  <c r="A31" i="31" s="1"/>
  <c r="A43" i="31" s="1"/>
  <c r="A55" i="31" s="1"/>
  <c r="A67" i="31" s="1"/>
  <c r="A79" i="31" s="1"/>
  <c r="A91" i="31" s="1"/>
  <c r="A103" i="31" s="1"/>
  <c r="A115" i="31" s="1"/>
  <c r="A127" i="31" s="1"/>
  <c r="A139" i="31" s="1"/>
  <c r="A151" i="31" s="1"/>
  <c r="A163" i="31" s="1"/>
  <c r="A175" i="31" s="1"/>
  <c r="A187" i="31" s="1"/>
  <c r="A199" i="31" s="1"/>
  <c r="A211" i="31" s="1"/>
  <c r="A223" i="31" s="1"/>
  <c r="A235" i="31" s="1"/>
  <c r="A247" i="31" s="1"/>
  <c r="A18" i="31"/>
  <c r="A30" i="31" l="1"/>
  <c r="B18" i="31"/>
  <c r="C18" i="31" s="1"/>
  <c r="D18" i="31" s="1"/>
  <c r="F18" i="31" s="1"/>
  <c r="B7" i="19"/>
  <c r="B8" i="19"/>
  <c r="A42" i="31" l="1"/>
  <c r="B30" i="31"/>
  <c r="C30" i="31" s="1"/>
  <c r="D30" i="31" s="1"/>
  <c r="F30" i="31" s="1"/>
  <c r="D6" i="21"/>
  <c r="A54" i="31" l="1"/>
  <c r="B42" i="31"/>
  <c r="C42" i="31" s="1"/>
  <c r="D42" i="31" s="1"/>
  <c r="F42" i="31" s="1"/>
  <c r="C6" i="21"/>
  <c r="A66" i="31" l="1"/>
  <c r="B54" i="31"/>
  <c r="C54" i="31" s="1"/>
  <c r="D54" i="31" s="1"/>
  <c r="F54" i="31" s="1"/>
  <c r="D7" i="21"/>
  <c r="B6" i="21"/>
  <c r="A6" i="21"/>
  <c r="A78" i="31" l="1"/>
  <c r="B66" i="31"/>
  <c r="C66" i="31" s="1"/>
  <c r="D66" i="31" s="1"/>
  <c r="F66" i="31" s="1"/>
  <c r="C7" i="21"/>
  <c r="D8" i="21"/>
  <c r="B7" i="21"/>
  <c r="A7" i="21"/>
  <c r="A90" i="31" l="1"/>
  <c r="B78" i="31"/>
  <c r="C78" i="31" s="1"/>
  <c r="D78" i="31" s="1"/>
  <c r="F78" i="31" s="1"/>
  <c r="C8" i="21"/>
  <c r="D9" i="21"/>
  <c r="A8" i="21"/>
  <c r="B8" i="21"/>
  <c r="N351" i="17"/>
  <c r="L351" i="17"/>
  <c r="K351" i="17"/>
  <c r="H351" i="17"/>
  <c r="G351" i="17"/>
  <c r="F351" i="17"/>
  <c r="AG350" i="17"/>
  <c r="AF350" i="17"/>
  <c r="AD350" i="17"/>
  <c r="AC350" i="17"/>
  <c r="AA350" i="17"/>
  <c r="Z350" i="17"/>
  <c r="X350" i="17"/>
  <c r="W350" i="17"/>
  <c r="U350" i="17"/>
  <c r="T350" i="17"/>
  <c r="R350" i="17"/>
  <c r="Q350" i="17"/>
  <c r="O350" i="17"/>
  <c r="N350" i="17"/>
  <c r="L350" i="17"/>
  <c r="K350" i="17"/>
  <c r="H350" i="17"/>
  <c r="G350" i="17"/>
  <c r="F350" i="17"/>
  <c r="A350" i="17"/>
  <c r="A349" i="17" s="1"/>
  <c r="A348" i="17" s="1"/>
  <c r="A347" i="17" s="1"/>
  <c r="A346" i="17" s="1"/>
  <c r="A345" i="17" s="1"/>
  <c r="A344" i="17" s="1"/>
  <c r="A343" i="17" s="1"/>
  <c r="A342" i="17" s="1"/>
  <c r="A341" i="17" s="1"/>
  <c r="A340" i="17" s="1"/>
  <c r="A339" i="17" s="1"/>
  <c r="A338" i="17" s="1"/>
  <c r="A337" i="17" s="1"/>
  <c r="A336" i="17" s="1"/>
  <c r="A335" i="17" s="1"/>
  <c r="A334" i="17" s="1"/>
  <c r="A333" i="17" s="1"/>
  <c r="A332" i="17" s="1"/>
  <c r="A331" i="17" s="1"/>
  <c r="A330" i="17" s="1"/>
  <c r="A329" i="17" s="1"/>
  <c r="A328" i="17" s="1"/>
  <c r="A327" i="17" s="1"/>
  <c r="A326" i="17" s="1"/>
  <c r="A325" i="17" s="1"/>
  <c r="A324" i="17" s="1"/>
  <c r="A323" i="17" s="1"/>
  <c r="A322" i="17" s="1"/>
  <c r="A321" i="17" s="1"/>
  <c r="A320" i="17" s="1"/>
  <c r="A319" i="17" s="1"/>
  <c r="A318" i="17" s="1"/>
  <c r="A317" i="17" s="1"/>
  <c r="A316" i="17" s="1"/>
  <c r="A315" i="17" s="1"/>
  <c r="A314" i="17" s="1"/>
  <c r="A313" i="17" s="1"/>
  <c r="A312" i="17" s="1"/>
  <c r="A311" i="17" s="1"/>
  <c r="A310" i="17" s="1"/>
  <c r="A309" i="17" s="1"/>
  <c r="A308" i="17" s="1"/>
  <c r="A307" i="17" s="1"/>
  <c r="A306" i="17" s="1"/>
  <c r="A305" i="17" s="1"/>
  <c r="A304" i="17" s="1"/>
  <c r="A303" i="17" s="1"/>
  <c r="A302" i="17" s="1"/>
  <c r="A301" i="17" s="1"/>
  <c r="A300" i="17" s="1"/>
  <c r="A299" i="17" s="1"/>
  <c r="A298" i="17" s="1"/>
  <c r="A297" i="17" s="1"/>
  <c r="A296" i="17" s="1"/>
  <c r="A295" i="17" s="1"/>
  <c r="A294" i="17" s="1"/>
  <c r="A293" i="17" s="1"/>
  <c r="A292" i="17" s="1"/>
  <c r="A291" i="17" s="1"/>
  <c r="A290" i="17" s="1"/>
  <c r="A289" i="17" s="1"/>
  <c r="A288" i="17" s="1"/>
  <c r="A287" i="17" s="1"/>
  <c r="A286" i="17" s="1"/>
  <c r="A285" i="17" s="1"/>
  <c r="A284" i="17" s="1"/>
  <c r="A283" i="17" s="1"/>
  <c r="A282" i="17" s="1"/>
  <c r="A281" i="17" s="1"/>
  <c r="A280" i="17" s="1"/>
  <c r="A279" i="17" s="1"/>
  <c r="A278" i="17" s="1"/>
  <c r="A277" i="17" s="1"/>
  <c r="A276" i="17" s="1"/>
  <c r="A275" i="17" s="1"/>
  <c r="A274" i="17" s="1"/>
  <c r="A273" i="17" s="1"/>
  <c r="A272" i="17" s="1"/>
  <c r="A271" i="17" s="1"/>
  <c r="A270" i="17" s="1"/>
  <c r="A269" i="17" s="1"/>
  <c r="A268" i="17" s="1"/>
  <c r="A267" i="17" s="1"/>
  <c r="A266" i="17" s="1"/>
  <c r="A265" i="17" s="1"/>
  <c r="A264" i="17" s="1"/>
  <c r="A263" i="17" s="1"/>
  <c r="A262" i="17" s="1"/>
  <c r="A261" i="17" s="1"/>
  <c r="A260" i="17" s="1"/>
  <c r="A259" i="17" s="1"/>
  <c r="A258" i="17" s="1"/>
  <c r="A257" i="17" s="1"/>
  <c r="A256" i="17" s="1"/>
  <c r="A255" i="17" s="1"/>
  <c r="A254" i="17" s="1"/>
  <c r="A253" i="17" s="1"/>
  <c r="A252" i="17" s="1"/>
  <c r="A251" i="17" s="1"/>
  <c r="A250" i="17" s="1"/>
  <c r="A249" i="17" s="1"/>
  <c r="A248" i="17" s="1"/>
  <c r="A247" i="17" s="1"/>
  <c r="A246" i="17" s="1"/>
  <c r="A245" i="17" s="1"/>
  <c r="A244" i="17" s="1"/>
  <c r="A243" i="17" s="1"/>
  <c r="A242" i="17" s="1"/>
  <c r="A241" i="17" s="1"/>
  <c r="A240" i="17" s="1"/>
  <c r="A239" i="17" s="1"/>
  <c r="A238" i="17" s="1"/>
  <c r="A237" i="17" s="1"/>
  <c r="A236" i="17" s="1"/>
  <c r="A235" i="17" s="1"/>
  <c r="A234" i="17" s="1"/>
  <c r="A233" i="17" s="1"/>
  <c r="A232" i="17" s="1"/>
  <c r="A231" i="17" s="1"/>
  <c r="A230" i="17" s="1"/>
  <c r="A229" i="17" s="1"/>
  <c r="A228" i="17" s="1"/>
  <c r="A227" i="17" s="1"/>
  <c r="A226" i="17" s="1"/>
  <c r="A225" i="17" s="1"/>
  <c r="A224" i="17" s="1"/>
  <c r="A223" i="17" s="1"/>
  <c r="A222" i="17" s="1"/>
  <c r="A221" i="17" s="1"/>
  <c r="A220" i="17" s="1"/>
  <c r="A219" i="17" s="1"/>
  <c r="A218" i="17" s="1"/>
  <c r="A217" i="17" s="1"/>
  <c r="A216" i="17" s="1"/>
  <c r="A215" i="17" s="1"/>
  <c r="A214" i="17" s="1"/>
  <c r="A213" i="17" s="1"/>
  <c r="A212" i="17" s="1"/>
  <c r="A211" i="17" s="1"/>
  <c r="A210" i="17" s="1"/>
  <c r="A209" i="17" s="1"/>
  <c r="A208" i="17" s="1"/>
  <c r="A207" i="17" s="1"/>
  <c r="A206" i="17" s="1"/>
  <c r="A205" i="17" s="1"/>
  <c r="A204" i="17" s="1"/>
  <c r="A203" i="17" s="1"/>
  <c r="A202" i="17" s="1"/>
  <c r="A201" i="17" s="1"/>
  <c r="A200" i="17" s="1"/>
  <c r="A199" i="17" s="1"/>
  <c r="A198" i="17" s="1"/>
  <c r="A197" i="17" s="1"/>
  <c r="A196" i="17" s="1"/>
  <c r="A195" i="17" s="1"/>
  <c r="A194" i="17" s="1"/>
  <c r="A193" i="17" s="1"/>
  <c r="A192" i="17" s="1"/>
  <c r="A191" i="17" s="1"/>
  <c r="A190" i="17" s="1"/>
  <c r="A189" i="17" s="1"/>
  <c r="A188" i="17" s="1"/>
  <c r="A187" i="17" s="1"/>
  <c r="A186" i="17" s="1"/>
  <c r="A185" i="17" s="1"/>
  <c r="A184" i="17" s="1"/>
  <c r="A183" i="17" s="1"/>
  <c r="A182" i="17" s="1"/>
  <c r="A181" i="17" s="1"/>
  <c r="A180" i="17" s="1"/>
  <c r="A179" i="17" s="1"/>
  <c r="A178" i="17" s="1"/>
  <c r="A177" i="17" s="1"/>
  <c r="A176" i="17" s="1"/>
  <c r="A175" i="17" s="1"/>
  <c r="A174" i="17" s="1"/>
  <c r="A173" i="17" s="1"/>
  <c r="A172" i="17" s="1"/>
  <c r="A171" i="17" s="1"/>
  <c r="A170" i="17" s="1"/>
  <c r="A169" i="17" s="1"/>
  <c r="A168" i="17" s="1"/>
  <c r="A167" i="17" s="1"/>
  <c r="A166" i="17" s="1"/>
  <c r="A165" i="17" s="1"/>
  <c r="A164" i="17" s="1"/>
  <c r="A163" i="17" s="1"/>
  <c r="A162" i="17" s="1"/>
  <c r="A161" i="17" s="1"/>
  <c r="A160" i="17" s="1"/>
  <c r="A159" i="17" s="1"/>
  <c r="A158" i="17" s="1"/>
  <c r="A157" i="17" s="1"/>
  <c r="A156" i="17" s="1"/>
  <c r="A155" i="17" s="1"/>
  <c r="A154" i="17" s="1"/>
  <c r="A153" i="17" s="1"/>
  <c r="A152" i="17" s="1"/>
  <c r="A151" i="17" s="1"/>
  <c r="A150" i="17" s="1"/>
  <c r="A149" i="17" s="1"/>
  <c r="A148" i="17" s="1"/>
  <c r="A147" i="17" s="1"/>
  <c r="A146" i="17" s="1"/>
  <c r="A145" i="17" s="1"/>
  <c r="A144" i="17" s="1"/>
  <c r="A143" i="17" s="1"/>
  <c r="A142" i="17" s="1"/>
  <c r="A141" i="17" s="1"/>
  <c r="A140" i="17" s="1"/>
  <c r="A139" i="17" s="1"/>
  <c r="A138" i="17" s="1"/>
  <c r="A137" i="17" s="1"/>
  <c r="A136" i="17" s="1"/>
  <c r="A135" i="17" s="1"/>
  <c r="A134" i="17" s="1"/>
  <c r="A133" i="17" s="1"/>
  <c r="A132" i="17" s="1"/>
  <c r="A131" i="17" s="1"/>
  <c r="A130" i="17" s="1"/>
  <c r="A129" i="17" s="1"/>
  <c r="A128" i="17" s="1"/>
  <c r="A127" i="17" s="1"/>
  <c r="A126" i="17" s="1"/>
  <c r="A125" i="17" s="1"/>
  <c r="A124" i="17" s="1"/>
  <c r="A123" i="17" s="1"/>
  <c r="A122" i="17" s="1"/>
  <c r="A121" i="17" s="1"/>
  <c r="A120" i="17" s="1"/>
  <c r="A119" i="17" s="1"/>
  <c r="A118" i="17" s="1"/>
  <c r="A117" i="17" s="1"/>
  <c r="A116" i="17" s="1"/>
  <c r="A115" i="17" s="1"/>
  <c r="A114" i="17" s="1"/>
  <c r="A113" i="17" s="1"/>
  <c r="A112" i="17" s="1"/>
  <c r="A111" i="17" s="1"/>
  <c r="A110" i="17" s="1"/>
  <c r="A109" i="17" s="1"/>
  <c r="A108" i="17" s="1"/>
  <c r="A107" i="17" s="1"/>
  <c r="A106" i="17" s="1"/>
  <c r="A105" i="17" s="1"/>
  <c r="A104" i="17" s="1"/>
  <c r="A103" i="17" s="1"/>
  <c r="A102" i="17" s="1"/>
  <c r="A101" i="17" s="1"/>
  <c r="A100" i="17" s="1"/>
  <c r="A99" i="17" s="1"/>
  <c r="A98" i="17" s="1"/>
  <c r="A97" i="17" s="1"/>
  <c r="A96" i="17" s="1"/>
  <c r="A95" i="17" s="1"/>
  <c r="A94" i="17" s="1"/>
  <c r="A93" i="17" s="1"/>
  <c r="A92" i="17" s="1"/>
  <c r="A91" i="17" s="1"/>
  <c r="A90" i="17" s="1"/>
  <c r="A89" i="17" s="1"/>
  <c r="A88" i="17" s="1"/>
  <c r="A87" i="17" s="1"/>
  <c r="A86" i="17" s="1"/>
  <c r="A85" i="17" s="1"/>
  <c r="A84" i="17" s="1"/>
  <c r="A83" i="17" s="1"/>
  <c r="A82" i="17" s="1"/>
  <c r="A81" i="17" s="1"/>
  <c r="A80" i="17" s="1"/>
  <c r="A79" i="17" s="1"/>
  <c r="A78" i="17" s="1"/>
  <c r="A77" i="17" s="1"/>
  <c r="A76" i="17" s="1"/>
  <c r="A75" i="17" s="1"/>
  <c r="A74" i="17" s="1"/>
  <c r="A73" i="17" s="1"/>
  <c r="A72" i="17" s="1"/>
  <c r="A71" i="17" s="1"/>
  <c r="A70" i="17" s="1"/>
  <c r="A69" i="17" s="1"/>
  <c r="A68" i="17" s="1"/>
  <c r="A67" i="17" s="1"/>
  <c r="A66" i="17" s="1"/>
  <c r="A65" i="17" s="1"/>
  <c r="A64" i="17" s="1"/>
  <c r="A63" i="17" s="1"/>
  <c r="A62" i="17" s="1"/>
  <c r="A61" i="17" s="1"/>
  <c r="A60" i="17" s="1"/>
  <c r="A59" i="17" s="1"/>
  <c r="A58" i="17" s="1"/>
  <c r="A57" i="17" s="1"/>
  <c r="A56" i="17" s="1"/>
  <c r="A55" i="17" s="1"/>
  <c r="A54" i="17" s="1"/>
  <c r="A53" i="17" s="1"/>
  <c r="A52" i="17" s="1"/>
  <c r="A51" i="17" s="1"/>
  <c r="A50" i="17" s="1"/>
  <c r="A49" i="17" s="1"/>
  <c r="A48" i="17" s="1"/>
  <c r="A47" i="17" s="1"/>
  <c r="A46" i="17" s="1"/>
  <c r="A45" i="17" s="1"/>
  <c r="A44" i="17" s="1"/>
  <c r="A43" i="17" s="1"/>
  <c r="A42" i="17" s="1"/>
  <c r="A41" i="17" s="1"/>
  <c r="A40" i="17" s="1"/>
  <c r="A39" i="17" s="1"/>
  <c r="A38" i="17" s="1"/>
  <c r="A37" i="17" s="1"/>
  <c r="A36" i="17" s="1"/>
  <c r="A35" i="17" s="1"/>
  <c r="A34" i="17" s="1"/>
  <c r="A33" i="17" s="1"/>
  <c r="A32" i="17" s="1"/>
  <c r="A31" i="17" s="1"/>
  <c r="A30" i="17" s="1"/>
  <c r="A29" i="17" s="1"/>
  <c r="A28" i="17" s="1"/>
  <c r="A27" i="17" s="1"/>
  <c r="A26" i="17" s="1"/>
  <c r="A25" i="17" s="1"/>
  <c r="A24" i="17" s="1"/>
  <c r="A23" i="17" s="1"/>
  <c r="A22" i="17" s="1"/>
  <c r="A21" i="17" s="1"/>
  <c r="A20" i="17" s="1"/>
  <c r="A19" i="17" s="1"/>
  <c r="A18" i="17" s="1"/>
  <c r="A17" i="17" s="1"/>
  <c r="A16" i="17" s="1"/>
  <c r="A15" i="17" s="1"/>
  <c r="AG349" i="17"/>
  <c r="AF349" i="17"/>
  <c r="AD349" i="17"/>
  <c r="AC349" i="17"/>
  <c r="AA349" i="17"/>
  <c r="Z349" i="17"/>
  <c r="X349" i="17"/>
  <c r="W349" i="17"/>
  <c r="U349" i="17"/>
  <c r="T349" i="17"/>
  <c r="R349" i="17"/>
  <c r="Q349" i="17"/>
  <c r="O349" i="17"/>
  <c r="N349" i="17"/>
  <c r="L349" i="17"/>
  <c r="K349" i="17"/>
  <c r="H349" i="17"/>
  <c r="G349" i="17"/>
  <c r="F349" i="17"/>
  <c r="AG348" i="17"/>
  <c r="AF348" i="17"/>
  <c r="AD348" i="17"/>
  <c r="AC348" i="17"/>
  <c r="AA348" i="17"/>
  <c r="Z348" i="17"/>
  <c r="X348" i="17"/>
  <c r="W348" i="17"/>
  <c r="U348" i="17"/>
  <c r="T348" i="17"/>
  <c r="R348" i="17"/>
  <c r="Q348" i="17"/>
  <c r="O348" i="17"/>
  <c r="N348" i="17"/>
  <c r="L348" i="17"/>
  <c r="K348" i="17"/>
  <c r="H348" i="17"/>
  <c r="G348" i="17"/>
  <c r="F348" i="17"/>
  <c r="AG347" i="17"/>
  <c r="AF347" i="17"/>
  <c r="AC347" i="17"/>
  <c r="AA347" i="17"/>
  <c r="Z347" i="17"/>
  <c r="X347" i="17"/>
  <c r="W347" i="17"/>
  <c r="T347" i="17"/>
  <c r="Q347" i="17"/>
  <c r="N347" i="17"/>
  <c r="K347" i="17"/>
  <c r="E347" i="17"/>
  <c r="AG346" i="17"/>
  <c r="AF346" i="17"/>
  <c r="AC346" i="17"/>
  <c r="AA346" i="17"/>
  <c r="Z346" i="17"/>
  <c r="X346" i="17"/>
  <c r="W346" i="17"/>
  <c r="T346" i="17"/>
  <c r="Q346" i="17"/>
  <c r="N346" i="17"/>
  <c r="K346" i="17"/>
  <c r="E346" i="17"/>
  <c r="AG345" i="17"/>
  <c r="AF345" i="17"/>
  <c r="AD345" i="17"/>
  <c r="AC345" i="17"/>
  <c r="AA345" i="17"/>
  <c r="Z345" i="17"/>
  <c r="X345" i="17"/>
  <c r="W345" i="17"/>
  <c r="U345" i="17"/>
  <c r="T345" i="17"/>
  <c r="R345" i="17"/>
  <c r="Q345" i="17"/>
  <c r="O345" i="17"/>
  <c r="N345" i="17"/>
  <c r="L345" i="17"/>
  <c r="K345" i="17"/>
  <c r="H345" i="17"/>
  <c r="AG344" i="17"/>
  <c r="AF344" i="17"/>
  <c r="AC344" i="17"/>
  <c r="AA344" i="17"/>
  <c r="Z344" i="17"/>
  <c r="X344" i="17"/>
  <c r="W344" i="17"/>
  <c r="T344" i="17"/>
  <c r="Q344" i="17"/>
  <c r="N344" i="17"/>
  <c r="K344" i="17"/>
  <c r="E344" i="17"/>
  <c r="AG343" i="17"/>
  <c r="AF343" i="17"/>
  <c r="AC343" i="17"/>
  <c r="AA343" i="17"/>
  <c r="Z343" i="17"/>
  <c r="W343" i="17"/>
  <c r="U343" i="17"/>
  <c r="T343" i="17"/>
  <c r="Q343" i="17"/>
  <c r="N343" i="17"/>
  <c r="K343" i="17"/>
  <c r="E343" i="17"/>
  <c r="AG342" i="17"/>
  <c r="AF342" i="17"/>
  <c r="AC342" i="17"/>
  <c r="AA342" i="17"/>
  <c r="Z342" i="17"/>
  <c r="W342" i="17"/>
  <c r="U342" i="17"/>
  <c r="T342" i="17"/>
  <c r="Q342" i="17"/>
  <c r="N342" i="17"/>
  <c r="K342" i="17"/>
  <c r="E342" i="17"/>
  <c r="AG341" i="17"/>
  <c r="AF341" i="17"/>
  <c r="AD341" i="17"/>
  <c r="AC341" i="17"/>
  <c r="AA341" i="17"/>
  <c r="Z341" i="17"/>
  <c r="X341" i="17"/>
  <c r="W341" i="17"/>
  <c r="U341" i="17"/>
  <c r="T341" i="17"/>
  <c r="R341" i="17"/>
  <c r="Q341" i="17"/>
  <c r="O341" i="17"/>
  <c r="N341" i="17"/>
  <c r="L341" i="17"/>
  <c r="K341" i="17"/>
  <c r="H341" i="17"/>
  <c r="G341" i="17"/>
  <c r="F341" i="17"/>
  <c r="AF340" i="17"/>
  <c r="AC340" i="17"/>
  <c r="AA340" i="17"/>
  <c r="Z340" i="17"/>
  <c r="X340" i="17"/>
  <c r="W340" i="17"/>
  <c r="U340" i="17"/>
  <c r="T340" i="17"/>
  <c r="Q340" i="17"/>
  <c r="N340" i="17"/>
  <c r="K340" i="17"/>
  <c r="E340" i="17"/>
  <c r="AF339" i="17"/>
  <c r="AC339" i="17"/>
  <c r="AA339" i="17"/>
  <c r="Z339" i="17"/>
  <c r="X339" i="17"/>
  <c r="W339" i="17"/>
  <c r="U339" i="17"/>
  <c r="T339" i="17"/>
  <c r="Q339" i="17"/>
  <c r="N339" i="17"/>
  <c r="K339" i="17"/>
  <c r="E339" i="17"/>
  <c r="AF338" i="17"/>
  <c r="AC338" i="17"/>
  <c r="AA338" i="17"/>
  <c r="Z338" i="17"/>
  <c r="X338" i="17"/>
  <c r="W338" i="17"/>
  <c r="U338" i="17"/>
  <c r="T338" i="17"/>
  <c r="Q338" i="17"/>
  <c r="N338" i="17"/>
  <c r="K338" i="17"/>
  <c r="E338" i="17"/>
  <c r="AG337" i="17"/>
  <c r="AF337" i="17"/>
  <c r="AD337" i="17"/>
  <c r="AC337" i="17"/>
  <c r="AA337" i="17"/>
  <c r="Z337" i="17"/>
  <c r="X337" i="17"/>
  <c r="W337" i="17"/>
  <c r="U337" i="17"/>
  <c r="T337" i="17"/>
  <c r="R337" i="17"/>
  <c r="Q337" i="17"/>
  <c r="O337" i="17"/>
  <c r="N337" i="17"/>
  <c r="L337" i="17"/>
  <c r="K337" i="17"/>
  <c r="H337" i="17"/>
  <c r="AF336" i="17"/>
  <c r="AC336" i="17"/>
  <c r="AA336" i="17"/>
  <c r="Z336" i="17"/>
  <c r="X336" i="17"/>
  <c r="W336" i="17"/>
  <c r="U336" i="17"/>
  <c r="T336" i="17"/>
  <c r="Q336" i="17"/>
  <c r="N336" i="17"/>
  <c r="K336" i="17"/>
  <c r="E336" i="17"/>
  <c r="AF335" i="17"/>
  <c r="AC335" i="17"/>
  <c r="AA335" i="17"/>
  <c r="Z335" i="17"/>
  <c r="X335" i="17"/>
  <c r="W335" i="17"/>
  <c r="U335" i="17"/>
  <c r="T335" i="17"/>
  <c r="Q335" i="17"/>
  <c r="N335" i="17"/>
  <c r="K335" i="17"/>
  <c r="E335" i="17"/>
  <c r="AF334" i="17"/>
  <c r="AC334" i="17"/>
  <c r="AA334" i="17"/>
  <c r="Z334" i="17"/>
  <c r="X334" i="17"/>
  <c r="W334" i="17"/>
  <c r="U334" i="17"/>
  <c r="T334" i="17"/>
  <c r="Q334" i="17"/>
  <c r="N334" i="17"/>
  <c r="K334" i="17"/>
  <c r="E334" i="17"/>
  <c r="AF333" i="17"/>
  <c r="AC333" i="17"/>
  <c r="AA333" i="17"/>
  <c r="Z333" i="17"/>
  <c r="X333" i="17"/>
  <c r="W333" i="17"/>
  <c r="U333" i="17"/>
  <c r="T333" i="17"/>
  <c r="Q333" i="17"/>
  <c r="N333" i="17"/>
  <c r="K333" i="17"/>
  <c r="E333" i="17"/>
  <c r="AF332" i="17"/>
  <c r="AC332" i="17"/>
  <c r="AA332" i="17"/>
  <c r="Z332" i="17"/>
  <c r="X332" i="17"/>
  <c r="W332" i="17"/>
  <c r="U332" i="17"/>
  <c r="T332" i="17"/>
  <c r="Q332" i="17"/>
  <c r="N332" i="17"/>
  <c r="K332" i="17"/>
  <c r="E332" i="17"/>
  <c r="AF331" i="17"/>
  <c r="AC331" i="17"/>
  <c r="AA331" i="17"/>
  <c r="Z331" i="17"/>
  <c r="X331" i="17"/>
  <c r="W331" i="17"/>
  <c r="U331" i="17"/>
  <c r="T331" i="17"/>
  <c r="Q331" i="17"/>
  <c r="N331" i="17"/>
  <c r="K331" i="17"/>
  <c r="E331" i="17"/>
  <c r="AG330" i="17"/>
  <c r="AF330" i="17"/>
  <c r="AD330" i="17"/>
  <c r="AC330" i="17"/>
  <c r="AA330" i="17"/>
  <c r="Z330" i="17"/>
  <c r="X330" i="17"/>
  <c r="W330" i="17"/>
  <c r="U330" i="17"/>
  <c r="T330" i="17"/>
  <c r="R330" i="17"/>
  <c r="Q330" i="17"/>
  <c r="O330" i="17"/>
  <c r="N330" i="17"/>
  <c r="L330" i="17"/>
  <c r="K330" i="17"/>
  <c r="H330" i="17"/>
  <c r="G330" i="17"/>
  <c r="F330" i="17"/>
  <c r="AF329" i="17"/>
  <c r="AC329" i="17"/>
  <c r="AA329" i="17"/>
  <c r="Z329" i="17"/>
  <c r="X329" i="17"/>
  <c r="W329" i="17"/>
  <c r="U329" i="17"/>
  <c r="T329" i="17"/>
  <c r="Q329" i="17"/>
  <c r="N329" i="17"/>
  <c r="K329" i="17"/>
  <c r="E329" i="17"/>
  <c r="AG328" i="17"/>
  <c r="AF328" i="17"/>
  <c r="AD328" i="17"/>
  <c r="AC328" i="17"/>
  <c r="AA328" i="17"/>
  <c r="Z328" i="17"/>
  <c r="X328" i="17"/>
  <c r="W328" i="17"/>
  <c r="U328" i="17"/>
  <c r="T328" i="17"/>
  <c r="R328" i="17"/>
  <c r="Q328" i="17"/>
  <c r="O328" i="17"/>
  <c r="N328" i="17"/>
  <c r="L328" i="17"/>
  <c r="K328" i="17"/>
  <c r="H328" i="17"/>
  <c r="G328" i="17"/>
  <c r="F328" i="17"/>
  <c r="AG327" i="17"/>
  <c r="AF327" i="17"/>
  <c r="AD327" i="17"/>
  <c r="AC327" i="17"/>
  <c r="AA327" i="17"/>
  <c r="Z327" i="17"/>
  <c r="X327" i="17"/>
  <c r="W327" i="17"/>
  <c r="U327" i="17"/>
  <c r="T327" i="17"/>
  <c r="R327" i="17"/>
  <c r="Q327" i="17"/>
  <c r="O327" i="17"/>
  <c r="N327" i="17"/>
  <c r="L327" i="17"/>
  <c r="K327" i="17"/>
  <c r="H327" i="17"/>
  <c r="G327" i="17"/>
  <c r="F327" i="17"/>
  <c r="AG326" i="17"/>
  <c r="AF326" i="17"/>
  <c r="AD326" i="17"/>
  <c r="AC326" i="17"/>
  <c r="AA326" i="17"/>
  <c r="Z326" i="17"/>
  <c r="X326" i="17"/>
  <c r="W326" i="17"/>
  <c r="U326" i="17"/>
  <c r="T326" i="17"/>
  <c r="R326" i="17"/>
  <c r="Q326" i="17"/>
  <c r="O326" i="17"/>
  <c r="N326" i="17"/>
  <c r="L326" i="17"/>
  <c r="K326" i="17"/>
  <c r="H326" i="17"/>
  <c r="G326" i="17"/>
  <c r="F326" i="17"/>
  <c r="AF325" i="17"/>
  <c r="AC325" i="17"/>
  <c r="AA325" i="17"/>
  <c r="Z325" i="17"/>
  <c r="X325" i="17"/>
  <c r="W325" i="17"/>
  <c r="U325" i="17"/>
  <c r="T325" i="17"/>
  <c r="Q325" i="17"/>
  <c r="N325" i="17"/>
  <c r="K325" i="17"/>
  <c r="E325" i="17"/>
  <c r="AF324" i="17"/>
  <c r="AC324" i="17"/>
  <c r="AA324" i="17"/>
  <c r="Z324" i="17"/>
  <c r="X324" i="17"/>
  <c r="W324" i="17"/>
  <c r="U324" i="17"/>
  <c r="T324" i="17"/>
  <c r="Q324" i="17"/>
  <c r="N324" i="17"/>
  <c r="K324" i="17"/>
  <c r="E324" i="17"/>
  <c r="AF323" i="17"/>
  <c r="AC323" i="17"/>
  <c r="AA323" i="17"/>
  <c r="Z323" i="17"/>
  <c r="X323" i="17"/>
  <c r="W323" i="17"/>
  <c r="U323" i="17"/>
  <c r="T323" i="17"/>
  <c r="Q323" i="17"/>
  <c r="N323" i="17"/>
  <c r="K323" i="17"/>
  <c r="E323" i="17"/>
  <c r="AF322" i="17"/>
  <c r="AC322" i="17"/>
  <c r="AA322" i="17"/>
  <c r="Z322" i="17"/>
  <c r="X322" i="17"/>
  <c r="W322" i="17"/>
  <c r="U322" i="17"/>
  <c r="T322" i="17"/>
  <c r="Q322" i="17"/>
  <c r="N322" i="17"/>
  <c r="K322" i="17"/>
  <c r="E322" i="17"/>
  <c r="AG321" i="17"/>
  <c r="AF321" i="17"/>
  <c r="AD321" i="17"/>
  <c r="AC321" i="17"/>
  <c r="AA321" i="17"/>
  <c r="Z321" i="17"/>
  <c r="X321" i="17"/>
  <c r="W321" i="17"/>
  <c r="U321" i="17"/>
  <c r="T321" i="17"/>
  <c r="R321" i="17"/>
  <c r="Q321" i="17"/>
  <c r="O321" i="17"/>
  <c r="N321" i="17"/>
  <c r="L321" i="17"/>
  <c r="K321" i="17"/>
  <c r="H321" i="17"/>
  <c r="G321" i="17"/>
  <c r="F321" i="17"/>
  <c r="AG320" i="17"/>
  <c r="AF320" i="17"/>
  <c r="AD320" i="17"/>
  <c r="AC320" i="17"/>
  <c r="AA320" i="17"/>
  <c r="Z320" i="17"/>
  <c r="X320" i="17"/>
  <c r="W320" i="17"/>
  <c r="U320" i="17"/>
  <c r="T320" i="17"/>
  <c r="R320" i="17"/>
  <c r="Q320" i="17"/>
  <c r="O320" i="17"/>
  <c r="N320" i="17"/>
  <c r="L320" i="17"/>
  <c r="K320" i="17"/>
  <c r="H320" i="17"/>
  <c r="AF319" i="17"/>
  <c r="AC319" i="17"/>
  <c r="AA319" i="17"/>
  <c r="Z319" i="17"/>
  <c r="X319" i="17"/>
  <c r="W319" i="17"/>
  <c r="U319" i="17"/>
  <c r="T319" i="17"/>
  <c r="Q319" i="17"/>
  <c r="N319" i="17"/>
  <c r="K319" i="17"/>
  <c r="E319" i="17"/>
  <c r="AF318" i="17"/>
  <c r="AC318" i="17"/>
  <c r="AA318" i="17"/>
  <c r="Z318" i="17"/>
  <c r="X318" i="17"/>
  <c r="W318" i="17"/>
  <c r="U318" i="17"/>
  <c r="T318" i="17"/>
  <c r="Q318" i="17"/>
  <c r="N318" i="17"/>
  <c r="K318" i="17"/>
  <c r="E318" i="17"/>
  <c r="AG317" i="17"/>
  <c r="AF317" i="17"/>
  <c r="AD317" i="17"/>
  <c r="AC317" i="17"/>
  <c r="AA317" i="17"/>
  <c r="Z317" i="17"/>
  <c r="X317" i="17"/>
  <c r="W317" i="17"/>
  <c r="U317" i="17"/>
  <c r="T317" i="17"/>
  <c r="R317" i="17"/>
  <c r="Q317" i="17"/>
  <c r="O317" i="17"/>
  <c r="N317" i="17"/>
  <c r="L317" i="17"/>
  <c r="K317" i="17"/>
  <c r="H317" i="17"/>
  <c r="G317" i="17"/>
  <c r="F317" i="17"/>
  <c r="AG316" i="17"/>
  <c r="AF316" i="17"/>
  <c r="AD316" i="17"/>
  <c r="AC316" i="17"/>
  <c r="AA316" i="17"/>
  <c r="Z316" i="17"/>
  <c r="X316" i="17"/>
  <c r="W316" i="17"/>
  <c r="U316" i="17"/>
  <c r="T316" i="17"/>
  <c r="R316" i="17"/>
  <c r="Q316" i="17"/>
  <c r="O316" i="17"/>
  <c r="N316" i="17"/>
  <c r="L316" i="17"/>
  <c r="K316" i="17"/>
  <c r="H316" i="17"/>
  <c r="G316" i="17"/>
  <c r="F316" i="17"/>
  <c r="AG315" i="17"/>
  <c r="AF315" i="17"/>
  <c r="AC315" i="17"/>
  <c r="AA315" i="17"/>
  <c r="Z315" i="17"/>
  <c r="W315" i="17"/>
  <c r="U315" i="17"/>
  <c r="T315" i="17"/>
  <c r="Q315" i="17"/>
  <c r="N315" i="17"/>
  <c r="K315" i="17"/>
  <c r="E315" i="17"/>
  <c r="AG314" i="17"/>
  <c r="AF314" i="17"/>
  <c r="AD314" i="17"/>
  <c r="AC314" i="17"/>
  <c r="AA314" i="17"/>
  <c r="Z314" i="17"/>
  <c r="X314" i="17"/>
  <c r="W314" i="17"/>
  <c r="U314" i="17"/>
  <c r="T314" i="17"/>
  <c r="R314" i="17"/>
  <c r="Q314" i="17"/>
  <c r="O314" i="17"/>
  <c r="N314" i="17"/>
  <c r="L314" i="17"/>
  <c r="K314" i="17"/>
  <c r="H314" i="17"/>
  <c r="AG313" i="17"/>
  <c r="AF313" i="17"/>
  <c r="AC313" i="17"/>
  <c r="AA313" i="17"/>
  <c r="Z313" i="17"/>
  <c r="W313" i="17"/>
  <c r="U313" i="17"/>
  <c r="T313" i="17"/>
  <c r="Q313" i="17"/>
  <c r="N313" i="17"/>
  <c r="K313" i="17"/>
  <c r="E313" i="17"/>
  <c r="AG312" i="17"/>
  <c r="AF312" i="17"/>
  <c r="AD312" i="17"/>
  <c r="AC312" i="17"/>
  <c r="AA312" i="17"/>
  <c r="Z312" i="17"/>
  <c r="X312" i="17"/>
  <c r="W312" i="17"/>
  <c r="U312" i="17"/>
  <c r="T312" i="17"/>
  <c r="R312" i="17"/>
  <c r="Q312" i="17"/>
  <c r="O312" i="17"/>
  <c r="N312" i="17"/>
  <c r="L312" i="17"/>
  <c r="K312" i="17"/>
  <c r="H312" i="17"/>
  <c r="G312" i="17"/>
  <c r="F312" i="17"/>
  <c r="AG311" i="17"/>
  <c r="AF311" i="17"/>
  <c r="AC311" i="17"/>
  <c r="AA311" i="17"/>
  <c r="Z311" i="17"/>
  <c r="W311" i="17"/>
  <c r="U311" i="17"/>
  <c r="T311" i="17"/>
  <c r="Q311" i="17"/>
  <c r="N311" i="17"/>
  <c r="K311" i="17"/>
  <c r="E311" i="17"/>
  <c r="AG310" i="17"/>
  <c r="AF310" i="17"/>
  <c r="AC310" i="17"/>
  <c r="AA310" i="17"/>
  <c r="Z310" i="17"/>
  <c r="W310" i="17"/>
  <c r="U310" i="17"/>
  <c r="T310" i="17"/>
  <c r="Q310" i="17"/>
  <c r="N310" i="17"/>
  <c r="K310" i="17"/>
  <c r="E310" i="17"/>
  <c r="AG309" i="17"/>
  <c r="AF309" i="17"/>
  <c r="AC309" i="17"/>
  <c r="AA309" i="17"/>
  <c r="Z309" i="17"/>
  <c r="W309" i="17"/>
  <c r="U309" i="17"/>
  <c r="T309" i="17"/>
  <c r="Q309" i="17"/>
  <c r="N309" i="17"/>
  <c r="K309" i="17"/>
  <c r="E309" i="17"/>
  <c r="AG308" i="17"/>
  <c r="AF308" i="17"/>
  <c r="AD308" i="17"/>
  <c r="AC308" i="17"/>
  <c r="AA308" i="17"/>
  <c r="Z308" i="17"/>
  <c r="X308" i="17"/>
  <c r="W308" i="17"/>
  <c r="U308" i="17"/>
  <c r="T308" i="17"/>
  <c r="R308" i="17"/>
  <c r="Q308" i="17"/>
  <c r="O308" i="17"/>
  <c r="N308" i="17"/>
  <c r="L308" i="17"/>
  <c r="K308" i="17"/>
  <c r="H308" i="17"/>
  <c r="G308" i="17"/>
  <c r="F308" i="17"/>
  <c r="AG307" i="17"/>
  <c r="AF307" i="17"/>
  <c r="AD307" i="17"/>
  <c r="AC307" i="17"/>
  <c r="AA307" i="17"/>
  <c r="Z307" i="17"/>
  <c r="X307" i="17"/>
  <c r="W307" i="17"/>
  <c r="U307" i="17"/>
  <c r="T307" i="17"/>
  <c r="R307" i="17"/>
  <c r="Q307" i="17"/>
  <c r="O307" i="17"/>
  <c r="N307" i="17"/>
  <c r="L307" i="17"/>
  <c r="K307" i="17"/>
  <c r="H307" i="17"/>
  <c r="G307" i="17"/>
  <c r="F307" i="17"/>
  <c r="AG306" i="17"/>
  <c r="AF306" i="17"/>
  <c r="AD306" i="17"/>
  <c r="AC306" i="17"/>
  <c r="AA306" i="17"/>
  <c r="Z306" i="17"/>
  <c r="X306" i="17"/>
  <c r="W306" i="17"/>
  <c r="U306" i="17"/>
  <c r="T306" i="17"/>
  <c r="R306" i="17"/>
  <c r="Q306" i="17"/>
  <c r="O306" i="17"/>
  <c r="N306" i="17"/>
  <c r="L306" i="17"/>
  <c r="K306" i="17"/>
  <c r="H306" i="17"/>
  <c r="G306" i="17"/>
  <c r="F306" i="17"/>
  <c r="AG305" i="17"/>
  <c r="AF305" i="17"/>
  <c r="AD305" i="17"/>
  <c r="AC305" i="17"/>
  <c r="AA305" i="17"/>
  <c r="Z305" i="17"/>
  <c r="X305" i="17"/>
  <c r="W305" i="17"/>
  <c r="U305" i="17"/>
  <c r="T305" i="17"/>
  <c r="R305" i="17"/>
  <c r="Q305" i="17"/>
  <c r="O305" i="17"/>
  <c r="N305" i="17"/>
  <c r="L305" i="17"/>
  <c r="K305" i="17"/>
  <c r="H305" i="17"/>
  <c r="G305" i="17"/>
  <c r="F305" i="17"/>
  <c r="AG304" i="17"/>
  <c r="AF304" i="17"/>
  <c r="AD304" i="17"/>
  <c r="AC304" i="17"/>
  <c r="AA304" i="17"/>
  <c r="Z304" i="17"/>
  <c r="X304" i="17"/>
  <c r="W304" i="17"/>
  <c r="U304" i="17"/>
  <c r="T304" i="17"/>
  <c r="R304" i="17"/>
  <c r="Q304" i="17"/>
  <c r="O304" i="17"/>
  <c r="N304" i="17"/>
  <c r="L304" i="17"/>
  <c r="K304" i="17"/>
  <c r="H304" i="17"/>
  <c r="G304" i="17"/>
  <c r="F304" i="17"/>
  <c r="AG303" i="17"/>
  <c r="AF303" i="17"/>
  <c r="AD303" i="17"/>
  <c r="AC303" i="17"/>
  <c r="AA303" i="17"/>
  <c r="Z303" i="17"/>
  <c r="X303" i="17"/>
  <c r="W303" i="17"/>
  <c r="U303" i="17"/>
  <c r="T303" i="17"/>
  <c r="R303" i="17"/>
  <c r="Q303" i="17"/>
  <c r="O303" i="17"/>
  <c r="N303" i="17"/>
  <c r="L303" i="17"/>
  <c r="K303" i="17"/>
  <c r="H303" i="17"/>
  <c r="G303" i="17"/>
  <c r="F303" i="17"/>
  <c r="AG302" i="17"/>
  <c r="Y6" i="17" s="1"/>
  <c r="AF302" i="17"/>
  <c r="X6" i="17" s="1"/>
  <c r="AD302" i="17"/>
  <c r="W6" i="17" s="1"/>
  <c r="AC302" i="17"/>
  <c r="V6" i="17" s="1"/>
  <c r="AA302" i="17"/>
  <c r="U6" i="17" s="1"/>
  <c r="Z302" i="17"/>
  <c r="X302" i="17"/>
  <c r="S6" i="17" s="1"/>
  <c r="W302" i="17"/>
  <c r="R6" i="17" s="1"/>
  <c r="U302" i="17"/>
  <c r="Q6" i="17" s="1"/>
  <c r="T302" i="17"/>
  <c r="P6" i="17" s="1"/>
  <c r="R302" i="17"/>
  <c r="O6" i="17" s="1"/>
  <c r="Q302" i="17"/>
  <c r="N6" i="17" s="1"/>
  <c r="O302" i="17"/>
  <c r="M6" i="17" s="1"/>
  <c r="N302" i="17"/>
  <c r="L6" i="17" s="1"/>
  <c r="L302" i="17"/>
  <c r="K6" i="17" s="1"/>
  <c r="K302" i="17"/>
  <c r="J6" i="17" s="1"/>
  <c r="H302" i="17"/>
  <c r="F6" i="17" s="1"/>
  <c r="AG301" i="17"/>
  <c r="AF301" i="17"/>
  <c r="AD301" i="17"/>
  <c r="AC301" i="17"/>
  <c r="AA301" i="17"/>
  <c r="Z301" i="17"/>
  <c r="X301" i="17"/>
  <c r="W301" i="17"/>
  <c r="U301" i="17"/>
  <c r="T301" i="17"/>
  <c r="R301" i="17"/>
  <c r="Q301" i="17"/>
  <c r="O301" i="17"/>
  <c r="N301" i="17"/>
  <c r="L301" i="17"/>
  <c r="K301" i="17"/>
  <c r="H301" i="17"/>
  <c r="G301" i="17"/>
  <c r="F301" i="17"/>
  <c r="AG300" i="17"/>
  <c r="AF300" i="17"/>
  <c r="AD300" i="17"/>
  <c r="AC300" i="17"/>
  <c r="AA300" i="17"/>
  <c r="Z300" i="17"/>
  <c r="X300" i="17"/>
  <c r="W300" i="17"/>
  <c r="U300" i="17"/>
  <c r="T300" i="17"/>
  <c r="R300" i="17"/>
  <c r="Q300" i="17"/>
  <c r="O300" i="17"/>
  <c r="N300" i="17"/>
  <c r="L300" i="17"/>
  <c r="K300" i="17"/>
  <c r="H300" i="17"/>
  <c r="G300" i="17"/>
  <c r="F300" i="17"/>
  <c r="AG299" i="17"/>
  <c r="AF299" i="17"/>
  <c r="AD299" i="17"/>
  <c r="AC299" i="17"/>
  <c r="AA299" i="17"/>
  <c r="Z299" i="17"/>
  <c r="X299" i="17"/>
  <c r="W299" i="17"/>
  <c r="U299" i="17"/>
  <c r="T299" i="17"/>
  <c r="R299" i="17"/>
  <c r="Q299" i="17"/>
  <c r="O299" i="17"/>
  <c r="N299" i="17"/>
  <c r="L299" i="17"/>
  <c r="K299" i="17"/>
  <c r="H299" i="17"/>
  <c r="G299" i="17"/>
  <c r="F299" i="17"/>
  <c r="AG298" i="17"/>
  <c r="AF298" i="17"/>
  <c r="AD298" i="17"/>
  <c r="AC298" i="17"/>
  <c r="AA298" i="17"/>
  <c r="Z298" i="17"/>
  <c r="X298" i="17"/>
  <c r="W298" i="17"/>
  <c r="U298" i="17"/>
  <c r="T298" i="17"/>
  <c r="R298" i="17"/>
  <c r="Q298" i="17"/>
  <c r="O298" i="17"/>
  <c r="N298" i="17"/>
  <c r="L298" i="17"/>
  <c r="K298" i="17"/>
  <c r="H298" i="17"/>
  <c r="G298" i="17"/>
  <c r="F298" i="17"/>
  <c r="AG297" i="17"/>
  <c r="AF297" i="17"/>
  <c r="AD297" i="17"/>
  <c r="AC297" i="17"/>
  <c r="AA297" i="17"/>
  <c r="Z297" i="17"/>
  <c r="X297" i="17"/>
  <c r="W297" i="17"/>
  <c r="U297" i="17"/>
  <c r="T297" i="17"/>
  <c r="R297" i="17"/>
  <c r="Q297" i="17"/>
  <c r="O297" i="17"/>
  <c r="N297" i="17"/>
  <c r="L297" i="17"/>
  <c r="K297" i="17"/>
  <c r="H297" i="17"/>
  <c r="G297" i="17"/>
  <c r="F297" i="17"/>
  <c r="AG296" i="17"/>
  <c r="AF296" i="17"/>
  <c r="AD296" i="17"/>
  <c r="AC296" i="17"/>
  <c r="AA296" i="17"/>
  <c r="Z296" i="17"/>
  <c r="X296" i="17"/>
  <c r="W296" i="17"/>
  <c r="U296" i="17"/>
  <c r="T296" i="17"/>
  <c r="R296" i="17"/>
  <c r="Q296" i="17"/>
  <c r="O296" i="17"/>
  <c r="N296" i="17"/>
  <c r="L296" i="17"/>
  <c r="K296" i="17"/>
  <c r="H296" i="17"/>
  <c r="G296" i="17"/>
  <c r="F296" i="17"/>
  <c r="AG295" i="17"/>
  <c r="AF295" i="17"/>
  <c r="AD295" i="17"/>
  <c r="AC295" i="17"/>
  <c r="AA295" i="17"/>
  <c r="Z295" i="17"/>
  <c r="X295" i="17"/>
  <c r="W295" i="17"/>
  <c r="U295" i="17"/>
  <c r="T295" i="17"/>
  <c r="R295" i="17"/>
  <c r="Q295" i="17"/>
  <c r="O295" i="17"/>
  <c r="N295" i="17"/>
  <c r="L295" i="17"/>
  <c r="K295" i="17"/>
  <c r="H295" i="17"/>
  <c r="G295" i="17"/>
  <c r="F295" i="17"/>
  <c r="AG294" i="17"/>
  <c r="AF294" i="17"/>
  <c r="AD294" i="17"/>
  <c r="AC294" i="17"/>
  <c r="Z294" i="17"/>
  <c r="X294" i="17"/>
  <c r="W294" i="17"/>
  <c r="T294" i="17"/>
  <c r="Q294" i="17"/>
  <c r="N294" i="17"/>
  <c r="K294" i="17"/>
  <c r="E294" i="17"/>
  <c r="AG293" i="17"/>
  <c r="AF293" i="17"/>
  <c r="AD293" i="17"/>
  <c r="AC293" i="17"/>
  <c r="Z293" i="17"/>
  <c r="X293" i="17"/>
  <c r="W293" i="17"/>
  <c r="T293" i="17"/>
  <c r="Q293" i="17"/>
  <c r="N293" i="17"/>
  <c r="K293" i="17"/>
  <c r="E293" i="17"/>
  <c r="AG292" i="17"/>
  <c r="AF292" i="17"/>
  <c r="AD292" i="17"/>
  <c r="AC292" i="17"/>
  <c r="Z292" i="17"/>
  <c r="X292" i="17"/>
  <c r="W292" i="17"/>
  <c r="T292" i="17"/>
  <c r="Q292" i="17"/>
  <c r="N292" i="17"/>
  <c r="K292" i="17"/>
  <c r="E292" i="17"/>
  <c r="AG291" i="17"/>
  <c r="AF291" i="17"/>
  <c r="AD291" i="17"/>
  <c r="AC291" i="17"/>
  <c r="Z291" i="17"/>
  <c r="X291" i="17"/>
  <c r="W291" i="17"/>
  <c r="T291" i="17"/>
  <c r="Q291" i="17"/>
  <c r="N291" i="17"/>
  <c r="K291" i="17"/>
  <c r="E291" i="17"/>
  <c r="AG290" i="17"/>
  <c r="AF290" i="17"/>
  <c r="AD290" i="17"/>
  <c r="AC290" i="17"/>
  <c r="Z290" i="17"/>
  <c r="X290" i="17"/>
  <c r="W290" i="17"/>
  <c r="T290" i="17"/>
  <c r="Q290" i="17"/>
  <c r="N290" i="17"/>
  <c r="K290" i="17"/>
  <c r="E290" i="17"/>
  <c r="AG289" i="17"/>
  <c r="AF289" i="17"/>
  <c r="AD289" i="17"/>
  <c r="AC289" i="17"/>
  <c r="AA289" i="17"/>
  <c r="Z289" i="17"/>
  <c r="X289" i="17"/>
  <c r="W289" i="17"/>
  <c r="U289" i="17"/>
  <c r="T289" i="17"/>
  <c r="R289" i="17"/>
  <c r="Q289" i="17"/>
  <c r="O289" i="17"/>
  <c r="N289" i="17"/>
  <c r="L289" i="17"/>
  <c r="K289" i="17"/>
  <c r="H289" i="17"/>
  <c r="G289" i="17"/>
  <c r="F289" i="17"/>
  <c r="AG288" i="17"/>
  <c r="AF288" i="17"/>
  <c r="AD288" i="17"/>
  <c r="AC288" i="17"/>
  <c r="AA288" i="17"/>
  <c r="Z288" i="17"/>
  <c r="X288" i="17"/>
  <c r="W288" i="17"/>
  <c r="U288" i="17"/>
  <c r="T288" i="17"/>
  <c r="R288" i="17"/>
  <c r="Q288" i="17"/>
  <c r="O288" i="17"/>
  <c r="N288" i="17"/>
  <c r="L288" i="17"/>
  <c r="K288" i="17"/>
  <c r="H288" i="17"/>
  <c r="G288" i="17"/>
  <c r="F288" i="17"/>
  <c r="AG287" i="17"/>
  <c r="AF287" i="17"/>
  <c r="AC287" i="17"/>
  <c r="AA287" i="17"/>
  <c r="Z287" i="17"/>
  <c r="X287" i="17"/>
  <c r="W287" i="17"/>
  <c r="T287" i="17"/>
  <c r="Q287" i="17"/>
  <c r="N287" i="17"/>
  <c r="K287" i="17"/>
  <c r="E287" i="17"/>
  <c r="AG286" i="17"/>
  <c r="AF286" i="17"/>
  <c r="AD286" i="17"/>
  <c r="AC286" i="17"/>
  <c r="AA286" i="17"/>
  <c r="Z286" i="17"/>
  <c r="X286" i="17"/>
  <c r="W286" i="17"/>
  <c r="U286" i="17"/>
  <c r="T286" i="17"/>
  <c r="R286" i="17"/>
  <c r="Q286" i="17"/>
  <c r="O286" i="17"/>
  <c r="N286" i="17"/>
  <c r="L286" i="17"/>
  <c r="K286" i="17"/>
  <c r="H286" i="17"/>
  <c r="AG285" i="17"/>
  <c r="AF285" i="17"/>
  <c r="AD285" i="17"/>
  <c r="AC285" i="17"/>
  <c r="AA285" i="17"/>
  <c r="Z285" i="17"/>
  <c r="X285" i="17"/>
  <c r="W285" i="17"/>
  <c r="U285" i="17"/>
  <c r="T285" i="17"/>
  <c r="R285" i="17"/>
  <c r="Q285" i="17"/>
  <c r="O285" i="17"/>
  <c r="N285" i="17"/>
  <c r="L285" i="17"/>
  <c r="K285" i="17"/>
  <c r="H285" i="17"/>
  <c r="G285" i="17"/>
  <c r="F285" i="17"/>
  <c r="AG284" i="17"/>
  <c r="AF284" i="17"/>
  <c r="AD284" i="17"/>
  <c r="AC284" i="17"/>
  <c r="AA284" i="17"/>
  <c r="Z284" i="17"/>
  <c r="X284" i="17"/>
  <c r="W284" i="17"/>
  <c r="U284" i="17"/>
  <c r="T284" i="17"/>
  <c r="R284" i="17"/>
  <c r="Q284" i="17"/>
  <c r="O284" i="17"/>
  <c r="N284" i="17"/>
  <c r="L284" i="17"/>
  <c r="K284" i="17"/>
  <c r="H284" i="17"/>
  <c r="G284" i="17"/>
  <c r="F284" i="17"/>
  <c r="AG283" i="17"/>
  <c r="AF283" i="17"/>
  <c r="AD283" i="17"/>
  <c r="AC283" i="17"/>
  <c r="AA283" i="17"/>
  <c r="Z283" i="17"/>
  <c r="X283" i="17"/>
  <c r="W283" i="17"/>
  <c r="U283" i="17"/>
  <c r="T283" i="17"/>
  <c r="R283" i="17"/>
  <c r="Q283" i="17"/>
  <c r="O283" i="17"/>
  <c r="N283" i="17"/>
  <c r="L283" i="17"/>
  <c r="K283" i="17"/>
  <c r="H283" i="17"/>
  <c r="G283" i="17"/>
  <c r="F283" i="17"/>
  <c r="AG282" i="17"/>
  <c r="AF282" i="17"/>
  <c r="AC282" i="17"/>
  <c r="AA282" i="17"/>
  <c r="Z282" i="17"/>
  <c r="X282" i="17"/>
  <c r="W282" i="17"/>
  <c r="T282" i="17"/>
  <c r="Q282" i="17"/>
  <c r="N282" i="17"/>
  <c r="K282" i="17"/>
  <c r="E282" i="17"/>
  <c r="AG281" i="17"/>
  <c r="AF281" i="17"/>
  <c r="AC281" i="17"/>
  <c r="AA281" i="17"/>
  <c r="Z281" i="17"/>
  <c r="X281" i="17"/>
  <c r="W281" i="17"/>
  <c r="T281" i="17"/>
  <c r="Q281" i="17"/>
  <c r="N281" i="17"/>
  <c r="K281" i="17"/>
  <c r="E281" i="17"/>
  <c r="AG280" i="17"/>
  <c r="AF280" i="17"/>
  <c r="AC280" i="17"/>
  <c r="AA280" i="17"/>
  <c r="Z280" i="17"/>
  <c r="X280" i="17"/>
  <c r="W280" i="17"/>
  <c r="T280" i="17"/>
  <c r="Q280" i="17"/>
  <c r="N280" i="17"/>
  <c r="K280" i="17"/>
  <c r="E280" i="17"/>
  <c r="AG279" i="17"/>
  <c r="AF279" i="17"/>
  <c r="AD279" i="17"/>
  <c r="AC279" i="17"/>
  <c r="AA279" i="17"/>
  <c r="Z279" i="17"/>
  <c r="X279" i="17"/>
  <c r="W279" i="17"/>
  <c r="U279" i="17"/>
  <c r="T279" i="17"/>
  <c r="R279" i="17"/>
  <c r="Q279" i="17"/>
  <c r="O279" i="17"/>
  <c r="N279" i="17"/>
  <c r="L279" i="17"/>
  <c r="K279" i="17"/>
  <c r="H279" i="17"/>
  <c r="AG278" i="17"/>
  <c r="AF278" i="17"/>
  <c r="AC278" i="17"/>
  <c r="AA278" i="17"/>
  <c r="Z278" i="17"/>
  <c r="X278" i="17"/>
  <c r="W278" i="17"/>
  <c r="T278" i="17"/>
  <c r="Q278" i="17"/>
  <c r="N278" i="17"/>
  <c r="K278" i="17"/>
  <c r="E278" i="17"/>
  <c r="AG277" i="17"/>
  <c r="AF277" i="17"/>
  <c r="AD277" i="17"/>
  <c r="AC277" i="17"/>
  <c r="AA277" i="17"/>
  <c r="Z277" i="17"/>
  <c r="X277" i="17"/>
  <c r="W277" i="17"/>
  <c r="U277" i="17"/>
  <c r="T277" i="17"/>
  <c r="R277" i="17"/>
  <c r="Q277" i="17"/>
  <c r="O277" i="17"/>
  <c r="N277" i="17"/>
  <c r="L277" i="17"/>
  <c r="K277" i="17"/>
  <c r="H277" i="17"/>
  <c r="G277" i="17"/>
  <c r="F277" i="17"/>
  <c r="AG276" i="17"/>
  <c r="AF276" i="17"/>
  <c r="AC276" i="17"/>
  <c r="AA276" i="17"/>
  <c r="Z276" i="17"/>
  <c r="X276" i="17"/>
  <c r="W276" i="17"/>
  <c r="T276" i="17"/>
  <c r="Q276" i="17"/>
  <c r="N276" i="17"/>
  <c r="K276" i="17"/>
  <c r="E276" i="17"/>
  <c r="AG275" i="17"/>
  <c r="AF275" i="17"/>
  <c r="AD275" i="17"/>
  <c r="AC275" i="17"/>
  <c r="AA275" i="17"/>
  <c r="Z275" i="17"/>
  <c r="X275" i="17"/>
  <c r="W275" i="17"/>
  <c r="U275" i="17"/>
  <c r="T275" i="17"/>
  <c r="R275" i="17"/>
  <c r="Q275" i="17"/>
  <c r="O275" i="17"/>
  <c r="N275" i="17"/>
  <c r="L275" i="17"/>
  <c r="K275" i="17"/>
  <c r="H275" i="17"/>
  <c r="G275" i="17"/>
  <c r="F275" i="17"/>
  <c r="AG274" i="17"/>
  <c r="AF274" i="17"/>
  <c r="AC274" i="17"/>
  <c r="AA274" i="17"/>
  <c r="Z274" i="17"/>
  <c r="X274" i="17"/>
  <c r="W274" i="17"/>
  <c r="T274" i="17"/>
  <c r="Q274" i="17"/>
  <c r="N274" i="17"/>
  <c r="K274" i="17"/>
  <c r="E274" i="17"/>
  <c r="AG273" i="17"/>
  <c r="AF273" i="17"/>
  <c r="AC273" i="17"/>
  <c r="AA273" i="17"/>
  <c r="Z273" i="17"/>
  <c r="X273" i="17"/>
  <c r="W273" i="17"/>
  <c r="T273" i="17"/>
  <c r="Q273" i="17"/>
  <c r="N273" i="17"/>
  <c r="K273" i="17"/>
  <c r="E273" i="17"/>
  <c r="AG272" i="17"/>
  <c r="AF272" i="17"/>
  <c r="AC272" i="17"/>
  <c r="AA272" i="17"/>
  <c r="Z272" i="17"/>
  <c r="X272" i="17"/>
  <c r="W272" i="17"/>
  <c r="T272" i="17"/>
  <c r="Q272" i="17"/>
  <c r="N272" i="17"/>
  <c r="K272" i="17"/>
  <c r="E272" i="17"/>
  <c r="AG271" i="17"/>
  <c r="AF271" i="17"/>
  <c r="AD271" i="17"/>
  <c r="AC271" i="17"/>
  <c r="AA271" i="17"/>
  <c r="Z271" i="17"/>
  <c r="X271" i="17"/>
  <c r="W271" i="17"/>
  <c r="U271" i="17"/>
  <c r="T271" i="17"/>
  <c r="R271" i="17"/>
  <c r="Q271" i="17"/>
  <c r="O271" i="17"/>
  <c r="N271" i="17"/>
  <c r="L271" i="17"/>
  <c r="K271" i="17"/>
  <c r="H271" i="17"/>
  <c r="G271" i="17"/>
  <c r="F271" i="17"/>
  <c r="AG270" i="17"/>
  <c r="AF270" i="17"/>
  <c r="AD270" i="17"/>
  <c r="AC270" i="17"/>
  <c r="AA270" i="17"/>
  <c r="Z270" i="17"/>
  <c r="X270" i="17"/>
  <c r="W270" i="17"/>
  <c r="U270" i="17"/>
  <c r="T270" i="17"/>
  <c r="R270" i="17"/>
  <c r="Q270" i="17"/>
  <c r="O270" i="17"/>
  <c r="N270" i="17"/>
  <c r="L270" i="17"/>
  <c r="K270" i="17"/>
  <c r="H270" i="17"/>
  <c r="G270" i="17"/>
  <c r="F270" i="17"/>
  <c r="AF269" i="17"/>
  <c r="AC269" i="17"/>
  <c r="AA269" i="17"/>
  <c r="Z269" i="17"/>
  <c r="X269" i="17"/>
  <c r="W269" i="17"/>
  <c r="U269" i="17"/>
  <c r="T269" i="17"/>
  <c r="Q269" i="17"/>
  <c r="N269" i="17"/>
  <c r="K269" i="17"/>
  <c r="E269" i="17"/>
  <c r="AF268" i="17"/>
  <c r="AC268" i="17"/>
  <c r="AA268" i="17"/>
  <c r="Z268" i="17"/>
  <c r="X268" i="17"/>
  <c r="W268" i="17"/>
  <c r="U268" i="17"/>
  <c r="T268" i="17"/>
  <c r="Q268" i="17"/>
  <c r="N268" i="17"/>
  <c r="K268" i="17"/>
  <c r="E268" i="17"/>
  <c r="AG267" i="17"/>
  <c r="AF267" i="17"/>
  <c r="AD267" i="17"/>
  <c r="AC267" i="17"/>
  <c r="AA267" i="17"/>
  <c r="Z267" i="17"/>
  <c r="X267" i="17"/>
  <c r="W267" i="17"/>
  <c r="U267" i="17"/>
  <c r="T267" i="17"/>
  <c r="R267" i="17"/>
  <c r="Q267" i="17"/>
  <c r="O267" i="17"/>
  <c r="N267" i="17"/>
  <c r="L267" i="17"/>
  <c r="K267" i="17"/>
  <c r="H267" i="17"/>
  <c r="AF266" i="17"/>
  <c r="AC266" i="17"/>
  <c r="AA266" i="17"/>
  <c r="Z266" i="17"/>
  <c r="X266" i="17"/>
  <c r="W266" i="17"/>
  <c r="U266" i="17"/>
  <c r="T266" i="17"/>
  <c r="Q266" i="17"/>
  <c r="N266" i="17"/>
  <c r="K266" i="17"/>
  <c r="E266" i="17"/>
  <c r="AF265" i="17"/>
  <c r="AC265" i="17"/>
  <c r="AA265" i="17"/>
  <c r="Z265" i="17"/>
  <c r="X265" i="17"/>
  <c r="W265" i="17"/>
  <c r="U265" i="17"/>
  <c r="T265" i="17"/>
  <c r="Q265" i="17"/>
  <c r="N265" i="17"/>
  <c r="K265" i="17"/>
  <c r="E265" i="17"/>
  <c r="AG264" i="17"/>
  <c r="AF264" i="17"/>
  <c r="AD264" i="17"/>
  <c r="AC264" i="17"/>
  <c r="AA264" i="17"/>
  <c r="Z264" i="17"/>
  <c r="X264" i="17"/>
  <c r="W264" i="17"/>
  <c r="U264" i="17"/>
  <c r="T264" i="17"/>
  <c r="R264" i="17"/>
  <c r="Q264" i="17"/>
  <c r="O264" i="17"/>
  <c r="N264" i="17"/>
  <c r="L264" i="17"/>
  <c r="K264" i="17"/>
  <c r="H264" i="17"/>
  <c r="AG263" i="17"/>
  <c r="AF263" i="17"/>
  <c r="AD263" i="17"/>
  <c r="AC263" i="17"/>
  <c r="AA263" i="17"/>
  <c r="Z263" i="17"/>
  <c r="X263" i="17"/>
  <c r="W263" i="17"/>
  <c r="U263" i="17"/>
  <c r="T263" i="17"/>
  <c r="R263" i="17"/>
  <c r="Q263" i="17"/>
  <c r="O263" i="17"/>
  <c r="N263" i="17"/>
  <c r="L263" i="17"/>
  <c r="K263" i="17"/>
  <c r="H263" i="17"/>
  <c r="G263" i="17"/>
  <c r="F263" i="17"/>
  <c r="AG262" i="17"/>
  <c r="AF262" i="17"/>
  <c r="AD262" i="17"/>
  <c r="AC262" i="17"/>
  <c r="AA262" i="17"/>
  <c r="Z262" i="17"/>
  <c r="X262" i="17"/>
  <c r="W262" i="17"/>
  <c r="U262" i="17"/>
  <c r="T262" i="17"/>
  <c r="R262" i="17"/>
  <c r="Q262" i="17"/>
  <c r="O262" i="17"/>
  <c r="N262" i="17"/>
  <c r="L262" i="17"/>
  <c r="K262" i="17"/>
  <c r="H262" i="17"/>
  <c r="AF261" i="17"/>
  <c r="AC261" i="17"/>
  <c r="AA261" i="17"/>
  <c r="Z261" i="17"/>
  <c r="X261" i="17"/>
  <c r="W261" i="17"/>
  <c r="U261" i="17"/>
  <c r="T261" i="17"/>
  <c r="Q261" i="17"/>
  <c r="N261" i="17"/>
  <c r="K261" i="17"/>
  <c r="E261" i="17"/>
  <c r="AG260" i="17"/>
  <c r="AF260" i="17"/>
  <c r="AD260" i="17"/>
  <c r="AC260" i="17"/>
  <c r="AA260" i="17"/>
  <c r="Z260" i="17"/>
  <c r="X260" i="17"/>
  <c r="W260" i="17"/>
  <c r="U260" i="17"/>
  <c r="T260" i="17"/>
  <c r="R260" i="17"/>
  <c r="Q260" i="17"/>
  <c r="O260" i="17"/>
  <c r="N260" i="17"/>
  <c r="L260" i="17"/>
  <c r="K260" i="17"/>
  <c r="H260" i="17"/>
  <c r="AF259" i="17"/>
  <c r="AC259" i="17"/>
  <c r="AA259" i="17"/>
  <c r="Z259" i="17"/>
  <c r="X259" i="17"/>
  <c r="W259" i="17"/>
  <c r="U259" i="17"/>
  <c r="T259" i="17"/>
  <c r="Q259" i="17"/>
  <c r="N259" i="17"/>
  <c r="K259" i="17"/>
  <c r="E259" i="17"/>
  <c r="AG258" i="17"/>
  <c r="AF258" i="17"/>
  <c r="AD258" i="17"/>
  <c r="AC258" i="17"/>
  <c r="AA258" i="17"/>
  <c r="Z258" i="17"/>
  <c r="X258" i="17"/>
  <c r="W258" i="17"/>
  <c r="U258" i="17"/>
  <c r="T258" i="17"/>
  <c r="R258" i="17"/>
  <c r="Q258" i="17"/>
  <c r="O258" i="17"/>
  <c r="N258" i="17"/>
  <c r="L258" i="17"/>
  <c r="K258" i="17"/>
  <c r="H258" i="17"/>
  <c r="G258" i="17"/>
  <c r="F258" i="17"/>
  <c r="AG257" i="17"/>
  <c r="AF257" i="17"/>
  <c r="AD257" i="17"/>
  <c r="AC257" i="17"/>
  <c r="AA257" i="17"/>
  <c r="Z257" i="17"/>
  <c r="X257" i="17"/>
  <c r="W257" i="17"/>
  <c r="U257" i="17"/>
  <c r="T257" i="17"/>
  <c r="R257" i="17"/>
  <c r="Q257" i="17"/>
  <c r="O257" i="17"/>
  <c r="N257" i="17"/>
  <c r="L257" i="17"/>
  <c r="K257" i="17"/>
  <c r="H257" i="17"/>
  <c r="AF256" i="17"/>
  <c r="AC256" i="17"/>
  <c r="AA256" i="17"/>
  <c r="Z256" i="17"/>
  <c r="X256" i="17"/>
  <c r="W256" i="17"/>
  <c r="U256" i="17"/>
  <c r="T256" i="17"/>
  <c r="Q256" i="17"/>
  <c r="N256" i="17"/>
  <c r="K256" i="17"/>
  <c r="E256" i="17"/>
  <c r="AG255" i="17"/>
  <c r="AF255" i="17"/>
  <c r="AD255" i="17"/>
  <c r="AC255" i="17"/>
  <c r="AA255" i="17"/>
  <c r="Z255" i="17"/>
  <c r="X255" i="17"/>
  <c r="W255" i="17"/>
  <c r="U255" i="17"/>
  <c r="T255" i="17"/>
  <c r="R255" i="17"/>
  <c r="Q255" i="17"/>
  <c r="O255" i="17"/>
  <c r="N255" i="17"/>
  <c r="L255" i="17"/>
  <c r="K255" i="17"/>
  <c r="H255" i="17"/>
  <c r="G255" i="17"/>
  <c r="F255" i="17"/>
  <c r="AG254" i="17"/>
  <c r="AF254" i="17"/>
  <c r="AD254" i="17"/>
  <c r="AC254" i="17"/>
  <c r="AA254" i="17"/>
  <c r="Z254" i="17"/>
  <c r="X254" i="17"/>
  <c r="W254" i="17"/>
  <c r="U254" i="17"/>
  <c r="T254" i="17"/>
  <c r="R254" i="17"/>
  <c r="Q254" i="17"/>
  <c r="O254" i="17"/>
  <c r="N254" i="17"/>
  <c r="L254" i="17"/>
  <c r="K254" i="17"/>
  <c r="H254" i="17"/>
  <c r="G254" i="17"/>
  <c r="F254" i="17"/>
  <c r="AG253" i="17"/>
  <c r="AF253" i="17"/>
  <c r="AD253" i="17"/>
  <c r="AC253" i="17"/>
  <c r="AA253" i="17"/>
  <c r="Z253" i="17"/>
  <c r="X253" i="17"/>
  <c r="W253" i="17"/>
  <c r="U253" i="17"/>
  <c r="T253" i="17"/>
  <c r="R253" i="17"/>
  <c r="Q253" i="17"/>
  <c r="O253" i="17"/>
  <c r="N253" i="17"/>
  <c r="L253" i="17"/>
  <c r="K253" i="17"/>
  <c r="H253" i="17"/>
  <c r="G253" i="17"/>
  <c r="F253" i="17"/>
  <c r="AG252" i="17"/>
  <c r="AF252" i="17"/>
  <c r="AC252" i="17"/>
  <c r="AA252" i="17"/>
  <c r="Z252" i="17"/>
  <c r="X252" i="17"/>
  <c r="W252" i="17"/>
  <c r="T252" i="17"/>
  <c r="Q252" i="17"/>
  <c r="N252" i="17"/>
  <c r="K252" i="17"/>
  <c r="E252" i="17"/>
  <c r="AG251" i="17"/>
  <c r="AF251" i="17"/>
  <c r="AC251" i="17"/>
  <c r="AA251" i="17"/>
  <c r="Z251" i="17"/>
  <c r="X251" i="17"/>
  <c r="W251" i="17"/>
  <c r="T251" i="17"/>
  <c r="Q251" i="17"/>
  <c r="N251" i="17"/>
  <c r="K251" i="17"/>
  <c r="E251" i="17"/>
  <c r="AG250" i="17"/>
  <c r="AF250" i="17"/>
  <c r="AD250" i="17"/>
  <c r="AC250" i="17"/>
  <c r="AA250" i="17"/>
  <c r="Z250" i="17"/>
  <c r="X250" i="17"/>
  <c r="W250" i="17"/>
  <c r="U250" i="17"/>
  <c r="T250" i="17"/>
  <c r="R250" i="17"/>
  <c r="Q250" i="17"/>
  <c r="O250" i="17"/>
  <c r="N250" i="17"/>
  <c r="L250" i="17"/>
  <c r="K250" i="17"/>
  <c r="H250" i="17"/>
  <c r="AG249" i="17"/>
  <c r="AF249" i="17"/>
  <c r="AD249" i="17"/>
  <c r="AC249" i="17"/>
  <c r="AA249" i="17"/>
  <c r="Z249" i="17"/>
  <c r="X249" i="17"/>
  <c r="W249" i="17"/>
  <c r="U249" i="17"/>
  <c r="T249" i="17"/>
  <c r="R249" i="17"/>
  <c r="Q249" i="17"/>
  <c r="O249" i="17"/>
  <c r="N249" i="17"/>
  <c r="L249" i="17"/>
  <c r="K249" i="17"/>
  <c r="H249" i="17"/>
  <c r="G249" i="17"/>
  <c r="F249" i="17"/>
  <c r="AG248" i="17"/>
  <c r="AF248" i="17"/>
  <c r="AD248" i="17"/>
  <c r="AC248" i="17"/>
  <c r="AA248" i="17"/>
  <c r="Z248" i="17"/>
  <c r="X248" i="17"/>
  <c r="W248" i="17"/>
  <c r="U248" i="17"/>
  <c r="T248" i="17"/>
  <c r="R248" i="17"/>
  <c r="Q248" i="17"/>
  <c r="O248" i="17"/>
  <c r="N248" i="17"/>
  <c r="L248" i="17"/>
  <c r="K248" i="17"/>
  <c r="H248" i="17"/>
  <c r="AG247" i="17"/>
  <c r="AF247" i="17"/>
  <c r="AD247" i="17"/>
  <c r="AC247" i="17"/>
  <c r="AA247" i="17"/>
  <c r="Z247" i="17"/>
  <c r="X247" i="17"/>
  <c r="W247" i="17"/>
  <c r="U247" i="17"/>
  <c r="T247" i="17"/>
  <c r="R247" i="17"/>
  <c r="Q247" i="17"/>
  <c r="O247" i="17"/>
  <c r="N247" i="17"/>
  <c r="L247" i="17"/>
  <c r="K247" i="17"/>
  <c r="H247" i="17"/>
  <c r="G247" i="17"/>
  <c r="F247" i="17"/>
  <c r="AG246" i="17"/>
  <c r="AF246" i="17"/>
  <c r="AD246" i="17"/>
  <c r="AC246" i="17"/>
  <c r="AA246" i="17"/>
  <c r="Z246" i="17"/>
  <c r="X246" i="17"/>
  <c r="W246" i="17"/>
  <c r="U246" i="17"/>
  <c r="T246" i="17"/>
  <c r="R246" i="17"/>
  <c r="Q246" i="17"/>
  <c r="O246" i="17"/>
  <c r="N246" i="17"/>
  <c r="L246" i="17"/>
  <c r="K246" i="17"/>
  <c r="H246" i="17"/>
  <c r="AG245" i="17"/>
  <c r="AF245" i="17"/>
  <c r="AC245" i="17"/>
  <c r="AA245" i="17"/>
  <c r="Z245" i="17"/>
  <c r="X245" i="17"/>
  <c r="W245" i="17"/>
  <c r="T245" i="17"/>
  <c r="Q245" i="17"/>
  <c r="N245" i="17"/>
  <c r="K245" i="17"/>
  <c r="E245" i="17"/>
  <c r="AG244" i="17"/>
  <c r="AF244" i="17"/>
  <c r="AD244" i="17"/>
  <c r="AC244" i="17"/>
  <c r="AA244" i="17"/>
  <c r="Z244" i="17"/>
  <c r="X244" i="17"/>
  <c r="W244" i="17"/>
  <c r="U244" i="17"/>
  <c r="T244" i="17"/>
  <c r="R244" i="17"/>
  <c r="Q244" i="17"/>
  <c r="O244" i="17"/>
  <c r="N244" i="17"/>
  <c r="L244" i="17"/>
  <c r="K244" i="17"/>
  <c r="H244" i="17"/>
  <c r="G244" i="17"/>
  <c r="F244" i="17"/>
  <c r="AG243" i="17"/>
  <c r="AF243" i="17"/>
  <c r="AC243" i="17"/>
  <c r="AA243" i="17"/>
  <c r="Z243" i="17"/>
  <c r="X243" i="17"/>
  <c r="W243" i="17"/>
  <c r="T243" i="17"/>
  <c r="Q243" i="17"/>
  <c r="N243" i="17"/>
  <c r="K243" i="17"/>
  <c r="E243" i="17"/>
  <c r="AG242" i="17"/>
  <c r="AF242" i="17"/>
  <c r="AD242" i="17"/>
  <c r="AC242" i="17"/>
  <c r="AA242" i="17"/>
  <c r="Z242" i="17"/>
  <c r="X242" i="17"/>
  <c r="W242" i="17"/>
  <c r="U242" i="17"/>
  <c r="T242" i="17"/>
  <c r="R242" i="17"/>
  <c r="Q242" i="17"/>
  <c r="O242" i="17"/>
  <c r="N242" i="17"/>
  <c r="L242" i="17"/>
  <c r="K242" i="17"/>
  <c r="H242" i="17"/>
  <c r="AG241" i="17"/>
  <c r="AF241" i="17"/>
  <c r="AD241" i="17"/>
  <c r="AC241" i="17"/>
  <c r="AA241" i="17"/>
  <c r="Z241" i="17"/>
  <c r="X241" i="17"/>
  <c r="W241" i="17"/>
  <c r="U241" i="17"/>
  <c r="T241" i="17"/>
  <c r="R241" i="17"/>
  <c r="Q241" i="17"/>
  <c r="O241" i="17"/>
  <c r="N241" i="17"/>
  <c r="L241" i="17"/>
  <c r="K241" i="17"/>
  <c r="H241" i="17"/>
  <c r="AG240" i="17"/>
  <c r="AF240" i="17"/>
  <c r="AD240" i="17"/>
  <c r="AC240" i="17"/>
  <c r="Z240" i="17"/>
  <c r="X240" i="17"/>
  <c r="W240" i="17"/>
  <c r="T240" i="17"/>
  <c r="Q240" i="17"/>
  <c r="N240" i="17"/>
  <c r="K240" i="17"/>
  <c r="E240" i="17"/>
  <c r="AG239" i="17"/>
  <c r="AF239" i="17"/>
  <c r="AD239" i="17"/>
  <c r="AC239" i="17"/>
  <c r="AA239" i="17"/>
  <c r="Z239" i="17"/>
  <c r="X239" i="17"/>
  <c r="W239" i="17"/>
  <c r="U239" i="17"/>
  <c r="T239" i="17"/>
  <c r="R239" i="17"/>
  <c r="Q239" i="17"/>
  <c r="O239" i="17"/>
  <c r="N239" i="17"/>
  <c r="L239" i="17"/>
  <c r="K239" i="17"/>
  <c r="H239" i="17"/>
  <c r="G239" i="17"/>
  <c r="F239" i="17"/>
  <c r="AG238" i="17"/>
  <c r="AF238" i="17"/>
  <c r="AD238" i="17"/>
  <c r="AC238" i="17"/>
  <c r="Z238" i="17"/>
  <c r="X238" i="17"/>
  <c r="W238" i="17"/>
  <c r="T238" i="17"/>
  <c r="Q238" i="17"/>
  <c r="N238" i="17"/>
  <c r="K238" i="17"/>
  <c r="E238" i="17"/>
  <c r="AG237" i="17"/>
  <c r="AF237" i="17"/>
  <c r="AD237" i="17"/>
  <c r="AC237" i="17"/>
  <c r="Z237" i="17"/>
  <c r="X237" i="17"/>
  <c r="W237" i="17"/>
  <c r="T237" i="17"/>
  <c r="Q237" i="17"/>
  <c r="N237" i="17"/>
  <c r="K237" i="17"/>
  <c r="E237" i="17"/>
  <c r="AG236" i="17"/>
  <c r="AF236" i="17"/>
  <c r="AD236" i="17"/>
  <c r="AC236" i="17"/>
  <c r="Z236" i="17"/>
  <c r="X236" i="17"/>
  <c r="W236" i="17"/>
  <c r="T236" i="17"/>
  <c r="Q236" i="17"/>
  <c r="N236" i="17"/>
  <c r="K236" i="17"/>
  <c r="E236" i="17"/>
  <c r="AG235" i="17"/>
  <c r="AF235" i="17"/>
  <c r="AD235" i="17"/>
  <c r="AC235" i="17"/>
  <c r="Z235" i="17"/>
  <c r="X235" i="17"/>
  <c r="W235" i="17"/>
  <c r="T235" i="17"/>
  <c r="Q235" i="17"/>
  <c r="N235" i="17"/>
  <c r="K235" i="17"/>
  <c r="E235" i="17"/>
  <c r="AG234" i="17"/>
  <c r="AF234" i="17"/>
  <c r="AD234" i="17"/>
  <c r="AC234" i="17"/>
  <c r="Z234" i="17"/>
  <c r="X234" i="17"/>
  <c r="W234" i="17"/>
  <c r="T234" i="17"/>
  <c r="Q234" i="17"/>
  <c r="N234" i="17"/>
  <c r="K234" i="17"/>
  <c r="E234" i="17"/>
  <c r="AG233" i="17"/>
  <c r="AF233" i="17"/>
  <c r="AD233" i="17"/>
  <c r="AC233" i="17"/>
  <c r="AA233" i="17"/>
  <c r="Z233" i="17"/>
  <c r="X233" i="17"/>
  <c r="W233" i="17"/>
  <c r="U233" i="17"/>
  <c r="T233" i="17"/>
  <c r="R233" i="17"/>
  <c r="Q233" i="17"/>
  <c r="O233" i="17"/>
  <c r="N233" i="17"/>
  <c r="L233" i="17"/>
  <c r="K233" i="17"/>
  <c r="H233" i="17"/>
  <c r="G233" i="17"/>
  <c r="F233" i="17"/>
  <c r="AG232" i="17"/>
  <c r="AF232" i="17"/>
  <c r="AD232" i="17"/>
  <c r="AC232" i="17"/>
  <c r="Z232" i="17"/>
  <c r="X232" i="17"/>
  <c r="W232" i="17"/>
  <c r="T232" i="17"/>
  <c r="Q232" i="17"/>
  <c r="N232" i="17"/>
  <c r="K232" i="17"/>
  <c r="E232" i="17"/>
  <c r="AG231" i="17"/>
  <c r="AF231" i="17"/>
  <c r="AD231" i="17"/>
  <c r="AC231" i="17"/>
  <c r="Z231" i="17"/>
  <c r="X231" i="17"/>
  <c r="W231" i="17"/>
  <c r="T231" i="17"/>
  <c r="Q231" i="17"/>
  <c r="N231" i="17"/>
  <c r="K231" i="17"/>
  <c r="E231" i="17"/>
  <c r="AG230" i="17"/>
  <c r="AF230" i="17"/>
  <c r="AD230" i="17"/>
  <c r="AC230" i="17"/>
  <c r="Z230" i="17"/>
  <c r="X230" i="17"/>
  <c r="W230" i="17"/>
  <c r="T230" i="17"/>
  <c r="Q230" i="17"/>
  <c r="N230" i="17"/>
  <c r="K230" i="17"/>
  <c r="E230" i="17"/>
  <c r="AG229" i="17"/>
  <c r="AF229" i="17"/>
  <c r="AD229" i="17"/>
  <c r="AC229" i="17"/>
  <c r="Z229" i="17"/>
  <c r="X229" i="17"/>
  <c r="W229" i="17"/>
  <c r="T229" i="17"/>
  <c r="Q229" i="17"/>
  <c r="N229" i="17"/>
  <c r="K229" i="17"/>
  <c r="E229" i="17"/>
  <c r="AG228" i="17"/>
  <c r="AF228" i="17"/>
  <c r="AD228" i="17"/>
  <c r="AC228" i="17"/>
  <c r="AA228" i="17"/>
  <c r="Z228" i="17"/>
  <c r="X228" i="17"/>
  <c r="W228" i="17"/>
  <c r="U228" i="17"/>
  <c r="T228" i="17"/>
  <c r="R228" i="17"/>
  <c r="Q228" i="17"/>
  <c r="O228" i="17"/>
  <c r="N228" i="17"/>
  <c r="L228" i="17"/>
  <c r="K228" i="17"/>
  <c r="H228" i="17"/>
  <c r="G228" i="17"/>
  <c r="F228" i="17"/>
  <c r="AG227" i="17"/>
  <c r="AF227" i="17"/>
  <c r="AD227" i="17"/>
  <c r="AC227" i="17"/>
  <c r="AA227" i="17"/>
  <c r="Z227" i="17"/>
  <c r="X227" i="17"/>
  <c r="W227" i="17"/>
  <c r="U227" i="17"/>
  <c r="T227" i="17"/>
  <c r="R227" i="17"/>
  <c r="Q227" i="17"/>
  <c r="O227" i="17"/>
  <c r="N227" i="17"/>
  <c r="L227" i="17"/>
  <c r="K227" i="17"/>
  <c r="H227" i="17"/>
  <c r="G227" i="17"/>
  <c r="F227" i="17"/>
  <c r="AG226" i="17"/>
  <c r="Y8" i="17" s="1"/>
  <c r="AF226" i="17"/>
  <c r="X8" i="17" s="1"/>
  <c r="AD226" i="17"/>
  <c r="W8" i="17" s="1"/>
  <c r="AC226" i="17"/>
  <c r="V8" i="17" s="1"/>
  <c r="AA226" i="17"/>
  <c r="U8" i="17" s="1"/>
  <c r="Z226" i="17"/>
  <c r="T8" i="17" s="1"/>
  <c r="X226" i="17"/>
  <c r="S8" i="17" s="1"/>
  <c r="W226" i="17"/>
  <c r="R8" i="17" s="1"/>
  <c r="U226" i="17"/>
  <c r="Q8" i="17" s="1"/>
  <c r="T226" i="17"/>
  <c r="P8" i="17" s="1"/>
  <c r="R226" i="17"/>
  <c r="O8" i="17" s="1"/>
  <c r="Q226" i="17"/>
  <c r="N8" i="17" s="1"/>
  <c r="O226" i="17"/>
  <c r="M8" i="17" s="1"/>
  <c r="N226" i="17"/>
  <c r="L8" i="17" s="1"/>
  <c r="L226" i="17"/>
  <c r="K8" i="17" s="1"/>
  <c r="K226" i="17"/>
  <c r="J8" i="17" s="1"/>
  <c r="H226" i="17"/>
  <c r="F8" i="17" s="1"/>
  <c r="AG225" i="17"/>
  <c r="AF225" i="17"/>
  <c r="AD225" i="17"/>
  <c r="AC225" i="17"/>
  <c r="AA225" i="17"/>
  <c r="Z225" i="17"/>
  <c r="X225" i="17"/>
  <c r="W225" i="17"/>
  <c r="U225" i="17"/>
  <c r="T225" i="17"/>
  <c r="R225" i="17"/>
  <c r="Q225" i="17"/>
  <c r="O225" i="17"/>
  <c r="N225" i="17"/>
  <c r="L225" i="17"/>
  <c r="K225" i="17"/>
  <c r="H225" i="17"/>
  <c r="G225" i="17"/>
  <c r="F225" i="17"/>
  <c r="AG224" i="17"/>
  <c r="AF224" i="17"/>
  <c r="AD224" i="17"/>
  <c r="AC224" i="17"/>
  <c r="AA224" i="17"/>
  <c r="Z224" i="17"/>
  <c r="X224" i="17"/>
  <c r="W224" i="17"/>
  <c r="U224" i="17"/>
  <c r="T224" i="17"/>
  <c r="R224" i="17"/>
  <c r="Q224" i="17"/>
  <c r="O224" i="17"/>
  <c r="N224" i="17"/>
  <c r="L224" i="17"/>
  <c r="K224" i="17"/>
  <c r="H224" i="17"/>
  <c r="G224" i="17"/>
  <c r="F224" i="17"/>
  <c r="AG223" i="17"/>
  <c r="AF223" i="17"/>
  <c r="AC223" i="17"/>
  <c r="AA223" i="17"/>
  <c r="Z223" i="17"/>
  <c r="X223" i="17"/>
  <c r="W223" i="17"/>
  <c r="T223" i="17"/>
  <c r="Q223" i="17"/>
  <c r="N223" i="17"/>
  <c r="K223" i="17"/>
  <c r="E223" i="17"/>
  <c r="AG222" i="17"/>
  <c r="AF222" i="17"/>
  <c r="AC222" i="17"/>
  <c r="AA222" i="17"/>
  <c r="Z222" i="17"/>
  <c r="X222" i="17"/>
  <c r="W222" i="17"/>
  <c r="T222" i="17"/>
  <c r="Q222" i="17"/>
  <c r="N222" i="17"/>
  <c r="K222" i="17"/>
  <c r="E222" i="17"/>
  <c r="AG221" i="17"/>
  <c r="AF221" i="17"/>
  <c r="AC221" i="17"/>
  <c r="AA221" i="17"/>
  <c r="Z221" i="17"/>
  <c r="X221" i="17"/>
  <c r="W221" i="17"/>
  <c r="T221" i="17"/>
  <c r="Q221" i="17"/>
  <c r="N221" i="17"/>
  <c r="K221" i="17"/>
  <c r="E221" i="17"/>
  <c r="AG220" i="17"/>
  <c r="AF220" i="17"/>
  <c r="AC220" i="17"/>
  <c r="AA220" i="17"/>
  <c r="Z220" i="17"/>
  <c r="X220" i="17"/>
  <c r="W220" i="17"/>
  <c r="T220" i="17"/>
  <c r="Q220" i="17"/>
  <c r="N220" i="17"/>
  <c r="K220" i="17"/>
  <c r="E220" i="17"/>
  <c r="AG219" i="17"/>
  <c r="AF219" i="17"/>
  <c r="AD219" i="17"/>
  <c r="AC219" i="17"/>
  <c r="AA219" i="17"/>
  <c r="Z219" i="17"/>
  <c r="X219" i="17"/>
  <c r="W219" i="17"/>
  <c r="U219" i="17"/>
  <c r="T219" i="17"/>
  <c r="R219" i="17"/>
  <c r="Q219" i="17"/>
  <c r="O219" i="17"/>
  <c r="N219" i="17"/>
  <c r="L219" i="17"/>
  <c r="K219" i="17"/>
  <c r="H219" i="17"/>
  <c r="G219" i="17"/>
  <c r="F219" i="17"/>
  <c r="AG218" i="17"/>
  <c r="AF218" i="17"/>
  <c r="AC218" i="17"/>
  <c r="AA218" i="17"/>
  <c r="Z218" i="17"/>
  <c r="X218" i="17"/>
  <c r="W218" i="17"/>
  <c r="T218" i="17"/>
  <c r="Q218" i="17"/>
  <c r="N218" i="17"/>
  <c r="K218" i="17"/>
  <c r="E218" i="17"/>
  <c r="AG217" i="17"/>
  <c r="AF217" i="17"/>
  <c r="AD217" i="17"/>
  <c r="AC217" i="17"/>
  <c r="AA217" i="17"/>
  <c r="Z217" i="17"/>
  <c r="X217" i="17"/>
  <c r="W217" i="17"/>
  <c r="U217" i="17"/>
  <c r="T217" i="17"/>
  <c r="R217" i="17"/>
  <c r="Q217" i="17"/>
  <c r="O217" i="17"/>
  <c r="N217" i="17"/>
  <c r="L217" i="17"/>
  <c r="K217" i="17"/>
  <c r="H217" i="17"/>
  <c r="AG216" i="17"/>
  <c r="AF216" i="17"/>
  <c r="AD216" i="17"/>
  <c r="AC216" i="17"/>
  <c r="AA216" i="17"/>
  <c r="Z216" i="17"/>
  <c r="X216" i="17"/>
  <c r="W216" i="17"/>
  <c r="U216" i="17"/>
  <c r="T216" i="17"/>
  <c r="R216" i="17"/>
  <c r="Q216" i="17"/>
  <c r="O216" i="17"/>
  <c r="N216" i="17"/>
  <c r="L216" i="17"/>
  <c r="K216" i="17"/>
  <c r="H216" i="17"/>
  <c r="G216" i="17"/>
  <c r="F216" i="17"/>
  <c r="AG215" i="17"/>
  <c r="AF215" i="17"/>
  <c r="AD215" i="17"/>
  <c r="AC215" i="17"/>
  <c r="AA215" i="17"/>
  <c r="Z215" i="17"/>
  <c r="X215" i="17"/>
  <c r="W215" i="17"/>
  <c r="U215" i="17"/>
  <c r="T215" i="17"/>
  <c r="R215" i="17"/>
  <c r="Q215" i="17"/>
  <c r="O215" i="17"/>
  <c r="N215" i="17"/>
  <c r="L215" i="17"/>
  <c r="K215" i="17"/>
  <c r="H215" i="17"/>
  <c r="G215" i="17"/>
  <c r="F215" i="17"/>
  <c r="AG214" i="17"/>
  <c r="AF214" i="17"/>
  <c r="AD214" i="17"/>
  <c r="AC214" i="17"/>
  <c r="AA214" i="17"/>
  <c r="Z214" i="17"/>
  <c r="X214" i="17"/>
  <c r="W214" i="17"/>
  <c r="U214" i="17"/>
  <c r="T214" i="17"/>
  <c r="R214" i="17"/>
  <c r="Q214" i="17"/>
  <c r="O214" i="17"/>
  <c r="N214" i="17"/>
  <c r="L214" i="17"/>
  <c r="K214" i="17"/>
  <c r="H214" i="17"/>
  <c r="G214" i="17"/>
  <c r="F214" i="17"/>
  <c r="AG213" i="17"/>
  <c r="AF213" i="17"/>
  <c r="AC213" i="17"/>
  <c r="AA213" i="17"/>
  <c r="Z213" i="17"/>
  <c r="W213" i="17"/>
  <c r="U213" i="17"/>
  <c r="T213" i="17"/>
  <c r="Q213" i="17"/>
  <c r="N213" i="17"/>
  <c r="K213" i="17"/>
  <c r="E213" i="17"/>
  <c r="AG212" i="17"/>
  <c r="AF212" i="17"/>
  <c r="AC212" i="17"/>
  <c r="AA212" i="17"/>
  <c r="Z212" i="17"/>
  <c r="W212" i="17"/>
  <c r="U212" i="17"/>
  <c r="T212" i="17"/>
  <c r="Q212" i="17"/>
  <c r="N212" i="17"/>
  <c r="K212" i="17"/>
  <c r="E212" i="17"/>
  <c r="AG211" i="17"/>
  <c r="AF211" i="17"/>
  <c r="AC211" i="17"/>
  <c r="AA211" i="17"/>
  <c r="Z211" i="17"/>
  <c r="W211" i="17"/>
  <c r="U211" i="17"/>
  <c r="T211" i="17"/>
  <c r="Q211" i="17"/>
  <c r="N211" i="17"/>
  <c r="K211" i="17"/>
  <c r="E211" i="17"/>
  <c r="AG210" i="17"/>
  <c r="AF210" i="17"/>
  <c r="AD210" i="17"/>
  <c r="AC210" i="17"/>
  <c r="AA210" i="17"/>
  <c r="Z210" i="17"/>
  <c r="X210" i="17"/>
  <c r="W210" i="17"/>
  <c r="U210" i="17"/>
  <c r="T210" i="17"/>
  <c r="R210" i="17"/>
  <c r="Q210" i="17"/>
  <c r="O210" i="17"/>
  <c r="N210" i="17"/>
  <c r="L210" i="17"/>
  <c r="K210" i="17"/>
  <c r="H210" i="17"/>
  <c r="G210" i="17"/>
  <c r="F210" i="17"/>
  <c r="AG209" i="17"/>
  <c r="AF209" i="17"/>
  <c r="AD209" i="17"/>
  <c r="AC209" i="17"/>
  <c r="AA209" i="17"/>
  <c r="Z209" i="17"/>
  <c r="X209" i="17"/>
  <c r="W209" i="17"/>
  <c r="U209" i="17"/>
  <c r="T209" i="17"/>
  <c r="R209" i="17"/>
  <c r="Q209" i="17"/>
  <c r="O209" i="17"/>
  <c r="N209" i="17"/>
  <c r="L209" i="17"/>
  <c r="K209" i="17"/>
  <c r="H209" i="17"/>
  <c r="G209" i="17"/>
  <c r="F209" i="17"/>
  <c r="AG208" i="17"/>
  <c r="AF208" i="17"/>
  <c r="AD208" i="17"/>
  <c r="AC208" i="17"/>
  <c r="AA208" i="17"/>
  <c r="Z208" i="17"/>
  <c r="X208" i="17"/>
  <c r="W208" i="17"/>
  <c r="U208" i="17"/>
  <c r="T208" i="17"/>
  <c r="R208" i="17"/>
  <c r="Q208" i="17"/>
  <c r="O208" i="17"/>
  <c r="N208" i="17"/>
  <c r="L208" i="17"/>
  <c r="K208" i="17"/>
  <c r="H208" i="17"/>
  <c r="G208" i="17"/>
  <c r="F208" i="17"/>
  <c r="AG207" i="17"/>
  <c r="AF207" i="17"/>
  <c r="AC207" i="17"/>
  <c r="AA207" i="17"/>
  <c r="Z207" i="17"/>
  <c r="W207" i="17"/>
  <c r="U207" i="17"/>
  <c r="T207" i="17"/>
  <c r="Q207" i="17"/>
  <c r="O207" i="17"/>
  <c r="N207" i="17"/>
  <c r="K207" i="17"/>
  <c r="E207" i="17"/>
  <c r="AG206" i="17"/>
  <c r="AF206" i="17"/>
  <c r="AC206" i="17"/>
  <c r="AA206" i="17"/>
  <c r="Z206" i="17"/>
  <c r="W206" i="17"/>
  <c r="U206" i="17"/>
  <c r="T206" i="17"/>
  <c r="Q206" i="17"/>
  <c r="N206" i="17"/>
  <c r="K206" i="17"/>
  <c r="E206" i="17"/>
  <c r="AG205" i="17"/>
  <c r="AF205" i="17"/>
  <c r="AC205" i="17"/>
  <c r="AA205" i="17"/>
  <c r="Z205" i="17"/>
  <c r="W205" i="17"/>
  <c r="U205" i="17"/>
  <c r="T205" i="17"/>
  <c r="Q205" i="17"/>
  <c r="N205" i="17"/>
  <c r="K205" i="17"/>
  <c r="E205" i="17"/>
  <c r="AG204" i="17"/>
  <c r="AF204" i="17"/>
  <c r="AC204" i="17"/>
  <c r="AA204" i="17"/>
  <c r="Z204" i="17"/>
  <c r="W204" i="17"/>
  <c r="U204" i="17"/>
  <c r="T204" i="17"/>
  <c r="Q204" i="17"/>
  <c r="N204" i="17"/>
  <c r="K204" i="17"/>
  <c r="E204" i="17"/>
  <c r="AG203" i="17"/>
  <c r="AF203" i="17"/>
  <c r="AC203" i="17"/>
  <c r="AA203" i="17"/>
  <c r="Z203" i="17"/>
  <c r="X203" i="17"/>
  <c r="W203" i="17"/>
  <c r="T203" i="17"/>
  <c r="Q203" i="17"/>
  <c r="N203" i="17"/>
  <c r="K203" i="17"/>
  <c r="E203" i="17"/>
  <c r="AG202" i="17"/>
  <c r="AF202" i="17"/>
  <c r="AC202" i="17"/>
  <c r="AA202" i="17"/>
  <c r="Z202" i="17"/>
  <c r="X202" i="17"/>
  <c r="W202" i="17"/>
  <c r="T202" i="17"/>
  <c r="Q202" i="17"/>
  <c r="N202" i="17"/>
  <c r="K202" i="17"/>
  <c r="E202" i="17"/>
  <c r="AG201" i="17"/>
  <c r="AF201" i="17"/>
  <c r="AC201" i="17"/>
  <c r="AA201" i="17"/>
  <c r="Z201" i="17"/>
  <c r="X201" i="17"/>
  <c r="W201" i="17"/>
  <c r="T201" i="17"/>
  <c r="Q201" i="17"/>
  <c r="N201" i="17"/>
  <c r="K201" i="17"/>
  <c r="E201" i="17"/>
  <c r="AG200" i="17"/>
  <c r="AF200" i="17"/>
  <c r="AD200" i="17"/>
  <c r="AC200" i="17"/>
  <c r="AA200" i="17"/>
  <c r="Z200" i="17"/>
  <c r="X200" i="17"/>
  <c r="W200" i="17"/>
  <c r="U200" i="17"/>
  <c r="T200" i="17"/>
  <c r="R200" i="17"/>
  <c r="Q200" i="17"/>
  <c r="O200" i="17"/>
  <c r="N200" i="17"/>
  <c r="L200" i="17"/>
  <c r="K200" i="17"/>
  <c r="H200" i="17"/>
  <c r="G200" i="17"/>
  <c r="F200" i="17"/>
  <c r="AG199" i="17"/>
  <c r="AF199" i="17"/>
  <c r="AC199" i="17"/>
  <c r="AA199" i="17"/>
  <c r="Z199" i="17"/>
  <c r="X199" i="17"/>
  <c r="W199" i="17"/>
  <c r="T199" i="17"/>
  <c r="Q199" i="17"/>
  <c r="N199" i="17"/>
  <c r="K199" i="17"/>
  <c r="E199" i="17"/>
  <c r="AG198" i="17"/>
  <c r="AF198" i="17"/>
  <c r="AD198" i="17"/>
  <c r="AC198" i="17"/>
  <c r="AA198" i="17"/>
  <c r="Z198" i="17"/>
  <c r="X198" i="17"/>
  <c r="W198" i="17"/>
  <c r="U198" i="17"/>
  <c r="T198" i="17"/>
  <c r="R198" i="17"/>
  <c r="Q198" i="17"/>
  <c r="O198" i="17"/>
  <c r="N198" i="17"/>
  <c r="L198" i="17"/>
  <c r="K198" i="17"/>
  <c r="H198" i="17"/>
  <c r="AG197" i="17"/>
  <c r="AF197" i="17"/>
  <c r="AD197" i="17"/>
  <c r="AC197" i="17"/>
  <c r="AA197" i="17"/>
  <c r="Z197" i="17"/>
  <c r="X197" i="17"/>
  <c r="W197" i="17"/>
  <c r="U197" i="17"/>
  <c r="T197" i="17"/>
  <c r="R197" i="17"/>
  <c r="Q197" i="17"/>
  <c r="O197" i="17"/>
  <c r="N197" i="17"/>
  <c r="L197" i="17"/>
  <c r="K197" i="17"/>
  <c r="H197" i="17"/>
  <c r="AG196" i="17"/>
  <c r="AF196" i="17"/>
  <c r="AD196" i="17"/>
  <c r="AC196" i="17"/>
  <c r="AA196" i="17"/>
  <c r="Z196" i="17"/>
  <c r="X196" i="17"/>
  <c r="W196" i="17"/>
  <c r="U196" i="17"/>
  <c r="T196" i="17"/>
  <c r="R196" i="17"/>
  <c r="Q196" i="17"/>
  <c r="O196" i="17"/>
  <c r="N196" i="17"/>
  <c r="L196" i="17"/>
  <c r="K196" i="17"/>
  <c r="H196" i="17"/>
  <c r="AG195" i="17"/>
  <c r="AF195" i="17"/>
  <c r="AD195" i="17"/>
  <c r="AC195" i="17"/>
  <c r="AA195" i="17"/>
  <c r="Z195" i="17"/>
  <c r="X195" i="17"/>
  <c r="W195" i="17"/>
  <c r="U195" i="17"/>
  <c r="T195" i="17"/>
  <c r="R195" i="17"/>
  <c r="Q195" i="17"/>
  <c r="O195" i="17"/>
  <c r="N195" i="17"/>
  <c r="L195" i="17"/>
  <c r="K195" i="17"/>
  <c r="H195" i="17"/>
  <c r="G195" i="17"/>
  <c r="F195" i="17"/>
  <c r="AG194" i="17"/>
  <c r="AF194" i="17"/>
  <c r="AD194" i="17"/>
  <c r="AC194" i="17"/>
  <c r="AA194" i="17"/>
  <c r="Z194" i="17"/>
  <c r="X194" i="17"/>
  <c r="W194" i="17"/>
  <c r="U194" i="17"/>
  <c r="T194" i="17"/>
  <c r="R194" i="17"/>
  <c r="Q194" i="17"/>
  <c r="O194" i="17"/>
  <c r="N194" i="17"/>
  <c r="L194" i="17"/>
  <c r="K194" i="17"/>
  <c r="H194" i="17"/>
  <c r="AG193" i="17"/>
  <c r="AF193" i="17"/>
  <c r="AD193" i="17"/>
  <c r="AC193" i="17"/>
  <c r="AA193" i="17"/>
  <c r="Z193" i="17"/>
  <c r="X193" i="17"/>
  <c r="W193" i="17"/>
  <c r="U193" i="17"/>
  <c r="T193" i="17"/>
  <c r="R193" i="17"/>
  <c r="Q193" i="17"/>
  <c r="O193" i="17"/>
  <c r="N193" i="17"/>
  <c r="L193" i="17"/>
  <c r="K193" i="17"/>
  <c r="H193" i="17"/>
  <c r="AG192" i="17"/>
  <c r="AF192" i="17"/>
  <c r="AC192" i="17"/>
  <c r="AA192" i="17"/>
  <c r="Z192" i="17"/>
  <c r="X192" i="17"/>
  <c r="W192" i="17"/>
  <c r="T192" i="17"/>
  <c r="Q192" i="17"/>
  <c r="N192" i="17"/>
  <c r="K192" i="17"/>
  <c r="E192" i="17"/>
  <c r="AG191" i="17"/>
  <c r="AF191" i="17"/>
  <c r="AD191" i="17"/>
  <c r="AC191" i="17"/>
  <c r="AA191" i="17"/>
  <c r="Z191" i="17"/>
  <c r="X191" i="17"/>
  <c r="W191" i="17"/>
  <c r="U191" i="17"/>
  <c r="T191" i="17"/>
  <c r="R191" i="17"/>
  <c r="Q191" i="17"/>
  <c r="O191" i="17"/>
  <c r="N191" i="17"/>
  <c r="L191" i="17"/>
  <c r="K191" i="17"/>
  <c r="H191" i="17"/>
  <c r="AG190" i="17"/>
  <c r="AF190" i="17"/>
  <c r="AD190" i="17"/>
  <c r="AC190" i="17"/>
  <c r="AA190" i="17"/>
  <c r="Z190" i="17"/>
  <c r="X190" i="17"/>
  <c r="W190" i="17"/>
  <c r="U190" i="17"/>
  <c r="T190" i="17"/>
  <c r="R190" i="17"/>
  <c r="Q190" i="17"/>
  <c r="O190" i="17"/>
  <c r="L190" i="17"/>
  <c r="K190" i="17"/>
  <c r="H190" i="17"/>
  <c r="G190" i="17"/>
  <c r="F190" i="17"/>
  <c r="AG189" i="17"/>
  <c r="AF189" i="17"/>
  <c r="AD189" i="17"/>
  <c r="AC189" i="17"/>
  <c r="AA189" i="17"/>
  <c r="Z189" i="17"/>
  <c r="X189" i="17"/>
  <c r="W189" i="17"/>
  <c r="U189" i="17"/>
  <c r="T189" i="17"/>
  <c r="R189" i="17"/>
  <c r="Q189" i="17"/>
  <c r="O189" i="17"/>
  <c r="N189" i="17"/>
  <c r="L189" i="17"/>
  <c r="K189" i="17"/>
  <c r="H189" i="17"/>
  <c r="AG188" i="17"/>
  <c r="AF188" i="17"/>
  <c r="AC188" i="17"/>
  <c r="AA188" i="17"/>
  <c r="Z188" i="17"/>
  <c r="X188" i="17"/>
  <c r="W188" i="17"/>
  <c r="T188" i="17"/>
  <c r="Q188" i="17"/>
  <c r="N188" i="17"/>
  <c r="K188" i="17"/>
  <c r="E188" i="17"/>
  <c r="AG187" i="17"/>
  <c r="AF187" i="17"/>
  <c r="AC187" i="17"/>
  <c r="AA187" i="17"/>
  <c r="Z187" i="17"/>
  <c r="X187" i="17"/>
  <c r="W187" i="17"/>
  <c r="T187" i="17"/>
  <c r="Q187" i="17"/>
  <c r="N187" i="17"/>
  <c r="K187" i="17"/>
  <c r="E187" i="17"/>
  <c r="AG186" i="17"/>
  <c r="AF186" i="17"/>
  <c r="AD186" i="17"/>
  <c r="AC186" i="17"/>
  <c r="AA186" i="17"/>
  <c r="Z186" i="17"/>
  <c r="X186" i="17"/>
  <c r="W186" i="17"/>
  <c r="U186" i="17"/>
  <c r="T186" i="17"/>
  <c r="R186" i="17"/>
  <c r="Q186" i="17"/>
  <c r="O186" i="17"/>
  <c r="N186" i="17"/>
  <c r="L186" i="17"/>
  <c r="K186" i="17"/>
  <c r="H186" i="17"/>
  <c r="G186" i="17"/>
  <c r="F186" i="17"/>
  <c r="AG185" i="17"/>
  <c r="AF185" i="17"/>
  <c r="AD185" i="17"/>
  <c r="AC185" i="17"/>
  <c r="AA185" i="17"/>
  <c r="Z185" i="17"/>
  <c r="X185" i="17"/>
  <c r="W185" i="17"/>
  <c r="U185" i="17"/>
  <c r="T185" i="17"/>
  <c r="R185" i="17"/>
  <c r="Q185" i="17"/>
  <c r="O185" i="17"/>
  <c r="N185" i="17"/>
  <c r="L185" i="17"/>
  <c r="K185" i="17"/>
  <c r="H185" i="17"/>
  <c r="AF184" i="17"/>
  <c r="AC184" i="17"/>
  <c r="AA184" i="17"/>
  <c r="Z184" i="17"/>
  <c r="X184" i="17"/>
  <c r="W184" i="17"/>
  <c r="U184" i="17"/>
  <c r="T184" i="17"/>
  <c r="Q184" i="17"/>
  <c r="N184" i="17"/>
  <c r="K184" i="17"/>
  <c r="E184" i="17"/>
  <c r="AF183" i="17"/>
  <c r="AC183" i="17"/>
  <c r="AA183" i="17"/>
  <c r="Z183" i="17"/>
  <c r="X183" i="17"/>
  <c r="W183" i="17"/>
  <c r="U183" i="17"/>
  <c r="T183" i="17"/>
  <c r="Q183" i="17"/>
  <c r="N183" i="17"/>
  <c r="K183" i="17"/>
  <c r="E183" i="17"/>
  <c r="AF182" i="17"/>
  <c r="AC182" i="17"/>
  <c r="AA182" i="17"/>
  <c r="Z182" i="17"/>
  <c r="X182" i="17"/>
  <c r="W182" i="17"/>
  <c r="U182" i="17"/>
  <c r="T182" i="17"/>
  <c r="Q182" i="17"/>
  <c r="N182" i="17"/>
  <c r="K182" i="17"/>
  <c r="E182" i="17"/>
  <c r="AG181" i="17"/>
  <c r="AF181" i="17"/>
  <c r="AD181" i="17"/>
  <c r="AC181" i="17"/>
  <c r="AA181" i="17"/>
  <c r="Z181" i="17"/>
  <c r="X181" i="17"/>
  <c r="W181" i="17"/>
  <c r="U181" i="17"/>
  <c r="T181" i="17"/>
  <c r="R181" i="17"/>
  <c r="Q181" i="17"/>
  <c r="O181" i="17"/>
  <c r="N181" i="17"/>
  <c r="L181" i="17"/>
  <c r="K181" i="17"/>
  <c r="H181" i="17"/>
  <c r="G181" i="17"/>
  <c r="F181" i="17"/>
  <c r="AF180" i="17"/>
  <c r="AC180" i="17"/>
  <c r="AA180" i="17"/>
  <c r="Z180" i="17"/>
  <c r="X180" i="17"/>
  <c r="W180" i="17"/>
  <c r="U180" i="17"/>
  <c r="T180" i="17"/>
  <c r="Q180" i="17"/>
  <c r="N180" i="17"/>
  <c r="K180" i="17"/>
  <c r="E180" i="17"/>
  <c r="AF179" i="17"/>
  <c r="AC179" i="17"/>
  <c r="AA179" i="17"/>
  <c r="Z179" i="17"/>
  <c r="X179" i="17"/>
  <c r="W179" i="17"/>
  <c r="U179" i="17"/>
  <c r="T179" i="17"/>
  <c r="Q179" i="17"/>
  <c r="N179" i="17"/>
  <c r="K179" i="17"/>
  <c r="E179" i="17"/>
  <c r="AG178" i="17"/>
  <c r="AF178" i="17"/>
  <c r="AD178" i="17"/>
  <c r="AC178" i="17"/>
  <c r="AA178" i="17"/>
  <c r="Z178" i="17"/>
  <c r="X178" i="17"/>
  <c r="W178" i="17"/>
  <c r="U178" i="17"/>
  <c r="T178" i="17"/>
  <c r="R178" i="17"/>
  <c r="Q178" i="17"/>
  <c r="O178" i="17"/>
  <c r="N178" i="17"/>
  <c r="L178" i="17"/>
  <c r="K178" i="17"/>
  <c r="H178" i="17"/>
  <c r="G178" i="17"/>
  <c r="F178" i="17"/>
  <c r="AG177" i="17"/>
  <c r="AF177" i="17"/>
  <c r="AD177" i="17"/>
  <c r="AC177" i="17"/>
  <c r="AA177" i="17"/>
  <c r="Z177" i="17"/>
  <c r="X177" i="17"/>
  <c r="W177" i="17"/>
  <c r="U177" i="17"/>
  <c r="T177" i="17"/>
  <c r="R177" i="17"/>
  <c r="Q177" i="17"/>
  <c r="O177" i="17"/>
  <c r="N177" i="17"/>
  <c r="L177" i="17"/>
  <c r="K177" i="17"/>
  <c r="H177" i="17"/>
  <c r="G177" i="17"/>
  <c r="F177" i="17"/>
  <c r="AG176" i="17"/>
  <c r="AF176" i="17"/>
  <c r="AD176" i="17"/>
  <c r="AC176" i="17"/>
  <c r="AA176" i="17"/>
  <c r="Z176" i="17"/>
  <c r="X176" i="17"/>
  <c r="W176" i="17"/>
  <c r="U176" i="17"/>
  <c r="T176" i="17"/>
  <c r="R176" i="17"/>
  <c r="Q176" i="17"/>
  <c r="O176" i="17"/>
  <c r="N176" i="17"/>
  <c r="L176" i="17"/>
  <c r="K176" i="17"/>
  <c r="H176" i="17"/>
  <c r="G176" i="17"/>
  <c r="F176" i="17"/>
  <c r="AG175" i="17"/>
  <c r="AF175" i="17"/>
  <c r="AD175" i="17"/>
  <c r="AC175" i="17"/>
  <c r="AA175" i="17"/>
  <c r="Z175" i="17"/>
  <c r="X175" i="17"/>
  <c r="W175" i="17"/>
  <c r="U175" i="17"/>
  <c r="T175" i="17"/>
  <c r="R175" i="17"/>
  <c r="Q175" i="17"/>
  <c r="O175" i="17"/>
  <c r="N175" i="17"/>
  <c r="L175" i="17"/>
  <c r="K175" i="17"/>
  <c r="H175" i="17"/>
  <c r="G175" i="17"/>
  <c r="F175" i="17"/>
  <c r="AG174" i="17"/>
  <c r="AF174" i="17"/>
  <c r="AC174" i="17"/>
  <c r="AA174" i="17"/>
  <c r="Z174" i="17"/>
  <c r="X174" i="17"/>
  <c r="W174" i="17"/>
  <c r="T174" i="17"/>
  <c r="Q174" i="17"/>
  <c r="N174" i="17"/>
  <c r="K174" i="17"/>
  <c r="E174" i="17"/>
  <c r="AG173" i="17"/>
  <c r="AF173" i="17"/>
  <c r="AC173" i="17"/>
  <c r="AA173" i="17"/>
  <c r="Z173" i="17"/>
  <c r="X173" i="17"/>
  <c r="W173" i="17"/>
  <c r="T173" i="17"/>
  <c r="Q173" i="17"/>
  <c r="N173" i="17"/>
  <c r="K173" i="17"/>
  <c r="E173" i="17"/>
  <c r="AG172" i="17"/>
  <c r="AF172" i="17"/>
  <c r="AD172" i="17"/>
  <c r="AC172" i="17"/>
  <c r="AA172" i="17"/>
  <c r="Z172" i="17"/>
  <c r="X172" i="17"/>
  <c r="W172" i="17"/>
  <c r="U172" i="17"/>
  <c r="T172" i="17"/>
  <c r="R172" i="17"/>
  <c r="Q172" i="17"/>
  <c r="O172" i="17"/>
  <c r="N172" i="17"/>
  <c r="L172" i="17"/>
  <c r="K172" i="17"/>
  <c r="H172" i="17"/>
  <c r="G172" i="17"/>
  <c r="F172" i="17"/>
  <c r="AG171" i="17"/>
  <c r="AF171" i="17"/>
  <c r="AC171" i="17"/>
  <c r="AA171" i="17"/>
  <c r="Z171" i="17"/>
  <c r="X171" i="17"/>
  <c r="W171" i="17"/>
  <c r="T171" i="17"/>
  <c r="Q171" i="17"/>
  <c r="N171" i="17"/>
  <c r="K171" i="17"/>
  <c r="E171" i="17"/>
  <c r="AG170" i="17"/>
  <c r="AF170" i="17"/>
  <c r="AC170" i="17"/>
  <c r="AA170" i="17"/>
  <c r="Z170" i="17"/>
  <c r="X170" i="17"/>
  <c r="W170" i="17"/>
  <c r="T170" i="17"/>
  <c r="Q170" i="17"/>
  <c r="N170" i="17"/>
  <c r="K170" i="17"/>
  <c r="E170" i="17"/>
  <c r="AG169" i="17"/>
  <c r="AF169" i="17"/>
  <c r="AC169" i="17"/>
  <c r="AA169" i="17"/>
  <c r="Z169" i="17"/>
  <c r="X169" i="17"/>
  <c r="W169" i="17"/>
  <c r="T169" i="17"/>
  <c r="Q169" i="17"/>
  <c r="N169" i="17"/>
  <c r="K169" i="17"/>
  <c r="E169" i="17"/>
  <c r="AG168" i="17"/>
  <c r="AF168" i="17"/>
  <c r="AC168" i="17"/>
  <c r="AA168" i="17"/>
  <c r="Z168" i="17"/>
  <c r="X168" i="17"/>
  <c r="W168" i="17"/>
  <c r="T168" i="17"/>
  <c r="Q168" i="17"/>
  <c r="N168" i="17"/>
  <c r="K168" i="17"/>
  <c r="E168" i="17"/>
  <c r="AG167" i="17"/>
  <c r="AF167" i="17"/>
  <c r="AD167" i="17"/>
  <c r="AC167" i="17"/>
  <c r="AA167" i="17"/>
  <c r="Z167" i="17"/>
  <c r="X167" i="17"/>
  <c r="W167" i="17"/>
  <c r="U167" i="17"/>
  <c r="T167" i="17"/>
  <c r="R167" i="17"/>
  <c r="Q167" i="17"/>
  <c r="O167" i="17"/>
  <c r="N167" i="17"/>
  <c r="L167" i="17"/>
  <c r="K167" i="17"/>
  <c r="H167" i="17"/>
  <c r="G167" i="17"/>
  <c r="F167" i="17"/>
  <c r="AG166" i="17"/>
  <c r="AF166" i="17"/>
  <c r="AC166" i="17"/>
  <c r="AA166" i="17"/>
  <c r="Z166" i="17"/>
  <c r="X166" i="17"/>
  <c r="W166" i="17"/>
  <c r="T166" i="17"/>
  <c r="Q166" i="17"/>
  <c r="N166" i="17"/>
  <c r="K166" i="17"/>
  <c r="E166" i="17"/>
  <c r="AG165" i="17"/>
  <c r="AF165" i="17"/>
  <c r="AC165" i="17"/>
  <c r="AA165" i="17"/>
  <c r="Z165" i="17"/>
  <c r="X165" i="17"/>
  <c r="W165" i="17"/>
  <c r="T165" i="17"/>
  <c r="Q165" i="17"/>
  <c r="N165" i="17"/>
  <c r="K165" i="17"/>
  <c r="E165" i="17"/>
  <c r="AG164" i="17"/>
  <c r="AF164" i="17"/>
  <c r="AD164" i="17"/>
  <c r="AC164" i="17"/>
  <c r="AA164" i="17"/>
  <c r="Z164" i="17"/>
  <c r="X164" i="17"/>
  <c r="W164" i="17"/>
  <c r="U164" i="17"/>
  <c r="T164" i="17"/>
  <c r="R164" i="17"/>
  <c r="Q164" i="17"/>
  <c r="O164" i="17"/>
  <c r="N164" i="17"/>
  <c r="L164" i="17"/>
  <c r="K164" i="17"/>
  <c r="H164" i="17"/>
  <c r="AG163" i="17"/>
  <c r="AF163" i="17"/>
  <c r="AC163" i="17"/>
  <c r="AA163" i="17"/>
  <c r="Z163" i="17"/>
  <c r="X163" i="17"/>
  <c r="W163" i="17"/>
  <c r="T163" i="17"/>
  <c r="Q163" i="17"/>
  <c r="N163" i="17"/>
  <c r="K163" i="17"/>
  <c r="E163" i="17"/>
  <c r="AG162" i="17"/>
  <c r="AF162" i="17"/>
  <c r="AD162" i="17"/>
  <c r="AC162" i="17"/>
  <c r="AA162" i="17"/>
  <c r="Z162" i="17"/>
  <c r="X162" i="17"/>
  <c r="W162" i="17"/>
  <c r="U162" i="17"/>
  <c r="T162" i="17"/>
  <c r="R162" i="17"/>
  <c r="Q162" i="17"/>
  <c r="O162" i="17"/>
  <c r="N162" i="17"/>
  <c r="L162" i="17"/>
  <c r="K162" i="17"/>
  <c r="H162" i="17"/>
  <c r="G162" i="17"/>
  <c r="F162" i="17"/>
  <c r="AG161" i="17"/>
  <c r="AF161" i="17"/>
  <c r="AD161" i="17"/>
  <c r="AC161" i="17"/>
  <c r="AA161" i="17"/>
  <c r="Z161" i="17"/>
  <c r="X161" i="17"/>
  <c r="W161" i="17"/>
  <c r="U161" i="17"/>
  <c r="T161" i="17"/>
  <c r="R161" i="17"/>
  <c r="Q161" i="17"/>
  <c r="O161" i="17"/>
  <c r="N161" i="17"/>
  <c r="L161" i="17"/>
  <c r="K161" i="17"/>
  <c r="H161" i="17"/>
  <c r="G161" i="17"/>
  <c r="F161" i="17"/>
  <c r="AG160" i="17"/>
  <c r="AF160" i="17"/>
  <c r="AD160" i="17"/>
  <c r="AC160" i="17"/>
  <c r="AA160" i="17"/>
  <c r="Z160" i="17"/>
  <c r="X160" i="17"/>
  <c r="W160" i="17"/>
  <c r="U160" i="17"/>
  <c r="T160" i="17"/>
  <c r="R160" i="17"/>
  <c r="Q160" i="17"/>
  <c r="O160" i="17"/>
  <c r="N160" i="17"/>
  <c r="L160" i="17"/>
  <c r="K160" i="17"/>
  <c r="H160" i="17"/>
  <c r="G160" i="17"/>
  <c r="F160" i="17"/>
  <c r="AG159" i="17"/>
  <c r="AF159" i="17"/>
  <c r="AD159" i="17"/>
  <c r="AC159" i="17"/>
  <c r="AA159" i="17"/>
  <c r="Z159" i="17"/>
  <c r="X159" i="17"/>
  <c r="W159" i="17"/>
  <c r="T159" i="17"/>
  <c r="Q159" i="17"/>
  <c r="N159" i="17"/>
  <c r="K159" i="17"/>
  <c r="F159" i="17"/>
  <c r="AG158" i="17"/>
  <c r="AF158" i="17"/>
  <c r="AD158" i="17"/>
  <c r="AC158" i="17"/>
  <c r="AA158" i="17"/>
  <c r="Z158" i="17"/>
  <c r="X158" i="17"/>
  <c r="W158" i="17"/>
  <c r="T158" i="17"/>
  <c r="Q158" i="17"/>
  <c r="N158" i="17"/>
  <c r="K158" i="17"/>
  <c r="F158" i="17"/>
  <c r="L158" i="17"/>
  <c r="AG157" i="17"/>
  <c r="AF157" i="17"/>
  <c r="AD157" i="17"/>
  <c r="AC157" i="17"/>
  <c r="AA157" i="17"/>
  <c r="Z157" i="17"/>
  <c r="X157" i="17"/>
  <c r="W157" i="17"/>
  <c r="T157" i="17"/>
  <c r="Q157" i="17"/>
  <c r="N157" i="17"/>
  <c r="K157" i="17"/>
  <c r="F157" i="17"/>
  <c r="AG156" i="17"/>
  <c r="AF156" i="17"/>
  <c r="AC156" i="17"/>
  <c r="AA156" i="17"/>
  <c r="Z156" i="17"/>
  <c r="X156" i="17"/>
  <c r="W156" i="17"/>
  <c r="T156" i="17"/>
  <c r="Q156" i="17"/>
  <c r="N156" i="17"/>
  <c r="K156" i="17"/>
  <c r="E156" i="17"/>
  <c r="AG155" i="17"/>
  <c r="AF155" i="17"/>
  <c r="AD155" i="17"/>
  <c r="AC155" i="17"/>
  <c r="AA155" i="17"/>
  <c r="Z155" i="17"/>
  <c r="X155" i="17"/>
  <c r="W155" i="17"/>
  <c r="U155" i="17"/>
  <c r="T155" i="17"/>
  <c r="R155" i="17"/>
  <c r="Q155" i="17"/>
  <c r="O155" i="17"/>
  <c r="N155" i="17"/>
  <c r="L155" i="17"/>
  <c r="K155" i="17"/>
  <c r="H155" i="17"/>
  <c r="G155" i="17"/>
  <c r="F155" i="17"/>
  <c r="AG154" i="17"/>
  <c r="AF154" i="17"/>
  <c r="AD154" i="17"/>
  <c r="AC154" i="17"/>
  <c r="AA154" i="17"/>
  <c r="Z154" i="17"/>
  <c r="X154" i="17"/>
  <c r="W154" i="17"/>
  <c r="U154" i="17"/>
  <c r="T154" i="17"/>
  <c r="R154" i="17"/>
  <c r="Q154" i="17"/>
  <c r="O154" i="17"/>
  <c r="N154" i="17"/>
  <c r="L154" i="17"/>
  <c r="K154" i="17"/>
  <c r="H154" i="17"/>
  <c r="AF153" i="17"/>
  <c r="AC153" i="17"/>
  <c r="AA153" i="17"/>
  <c r="Z153" i="17"/>
  <c r="X153" i="17"/>
  <c r="W153" i="17"/>
  <c r="U153" i="17"/>
  <c r="T153" i="17"/>
  <c r="Q153" i="17"/>
  <c r="N153" i="17"/>
  <c r="K153" i="17"/>
  <c r="E153" i="17"/>
  <c r="AG152" i="17"/>
  <c r="AF152" i="17"/>
  <c r="AD152" i="17"/>
  <c r="AC152" i="17"/>
  <c r="AA152" i="17"/>
  <c r="Z152" i="17"/>
  <c r="X152" i="17"/>
  <c r="W152" i="17"/>
  <c r="U152" i="17"/>
  <c r="T152" i="17"/>
  <c r="R152" i="17"/>
  <c r="Q152" i="17"/>
  <c r="O152" i="17"/>
  <c r="N152" i="17"/>
  <c r="L152" i="17"/>
  <c r="K152" i="17"/>
  <c r="H152" i="17"/>
  <c r="G152" i="17"/>
  <c r="F152" i="17"/>
  <c r="AG151" i="17"/>
  <c r="AF151" i="17"/>
  <c r="AD151" i="17"/>
  <c r="AC151" i="17"/>
  <c r="AA151" i="17"/>
  <c r="Z151" i="17"/>
  <c r="X151" i="17"/>
  <c r="W151" i="17"/>
  <c r="U151" i="17"/>
  <c r="T151" i="17"/>
  <c r="R151" i="17"/>
  <c r="Q151" i="17"/>
  <c r="O151" i="17"/>
  <c r="N151" i="17"/>
  <c r="L151" i="17"/>
  <c r="K151" i="17"/>
  <c r="H151" i="17"/>
  <c r="G151" i="17"/>
  <c r="F151" i="17"/>
  <c r="AG150" i="17"/>
  <c r="AF150" i="17"/>
  <c r="AD150" i="17"/>
  <c r="AC150" i="17"/>
  <c r="AA150" i="17"/>
  <c r="Z150" i="17"/>
  <c r="X150" i="17"/>
  <c r="W150" i="17"/>
  <c r="U150" i="17"/>
  <c r="T150" i="17"/>
  <c r="R150" i="17"/>
  <c r="Q150" i="17"/>
  <c r="O150" i="17"/>
  <c r="N150" i="17"/>
  <c r="L150" i="17"/>
  <c r="K150" i="17"/>
  <c r="H150" i="17"/>
  <c r="AG149" i="17"/>
  <c r="AF149" i="17"/>
  <c r="AD149" i="17"/>
  <c r="AC149" i="17"/>
  <c r="AA149" i="17"/>
  <c r="Z149" i="17"/>
  <c r="X149" i="17"/>
  <c r="W149" i="17"/>
  <c r="U149" i="17"/>
  <c r="T149" i="17"/>
  <c r="R149" i="17"/>
  <c r="Q149" i="17"/>
  <c r="O149" i="17"/>
  <c r="N149" i="17"/>
  <c r="L149" i="17"/>
  <c r="K149" i="17"/>
  <c r="H149" i="17"/>
  <c r="AG148" i="17"/>
  <c r="AF148" i="17"/>
  <c r="AD148" i="17"/>
  <c r="AC148" i="17"/>
  <c r="AA148" i="17"/>
  <c r="Z148" i="17"/>
  <c r="X148" i="17"/>
  <c r="W148" i="17"/>
  <c r="U148" i="17"/>
  <c r="T148" i="17"/>
  <c r="R148" i="17"/>
  <c r="Q148" i="17"/>
  <c r="O148" i="17"/>
  <c r="N148" i="17"/>
  <c r="L148" i="17"/>
  <c r="K148" i="17"/>
  <c r="H148" i="17"/>
  <c r="AG147" i="17"/>
  <c r="AF147" i="17"/>
  <c r="AD147" i="17"/>
  <c r="AC147" i="17"/>
  <c r="AA147" i="17"/>
  <c r="Z147" i="17"/>
  <c r="X147" i="17"/>
  <c r="W147" i="17"/>
  <c r="U147" i="17"/>
  <c r="T147" i="17"/>
  <c r="R147" i="17"/>
  <c r="Q147" i="17"/>
  <c r="O147" i="17"/>
  <c r="N147" i="17"/>
  <c r="L147" i="17"/>
  <c r="K147" i="17"/>
  <c r="H147" i="17"/>
  <c r="AG146" i="17"/>
  <c r="AF146" i="17"/>
  <c r="AD146" i="17"/>
  <c r="AC146" i="17"/>
  <c r="AA146" i="17"/>
  <c r="Z146" i="17"/>
  <c r="X146" i="17"/>
  <c r="W146" i="17"/>
  <c r="U146" i="17"/>
  <c r="T146" i="17"/>
  <c r="R146" i="17"/>
  <c r="Q146" i="17"/>
  <c r="O146" i="17"/>
  <c r="N146" i="17"/>
  <c r="L146" i="17"/>
  <c r="K146" i="17"/>
  <c r="H146" i="17"/>
  <c r="G146" i="17"/>
  <c r="F146" i="17"/>
  <c r="AG145" i="17"/>
  <c r="AF145" i="17"/>
  <c r="AD145" i="17"/>
  <c r="AC145" i="17"/>
  <c r="AA145" i="17"/>
  <c r="Z145" i="17"/>
  <c r="X145" i="17"/>
  <c r="W145" i="17"/>
  <c r="U145" i="17"/>
  <c r="T145" i="17"/>
  <c r="R145" i="17"/>
  <c r="Q145" i="17"/>
  <c r="O145" i="17"/>
  <c r="N145" i="17"/>
  <c r="L145" i="17"/>
  <c r="K145" i="17"/>
  <c r="H145" i="17"/>
  <c r="G145" i="17"/>
  <c r="F145" i="17"/>
  <c r="AG144" i="17"/>
  <c r="AF144" i="17"/>
  <c r="AD144" i="17"/>
  <c r="AC144" i="17"/>
  <c r="AA144" i="17"/>
  <c r="Z144" i="17"/>
  <c r="X144" i="17"/>
  <c r="W144" i="17"/>
  <c r="U144" i="17"/>
  <c r="T144" i="17"/>
  <c r="R144" i="17"/>
  <c r="Q144" i="17"/>
  <c r="O144" i="17"/>
  <c r="N144" i="17"/>
  <c r="L144" i="17"/>
  <c r="K144" i="17"/>
  <c r="H144" i="17"/>
  <c r="G144" i="17"/>
  <c r="F144" i="17"/>
  <c r="AG143" i="17"/>
  <c r="AF143" i="17"/>
  <c r="AD143" i="17"/>
  <c r="AC143" i="17"/>
  <c r="AA143" i="17"/>
  <c r="Z143" i="17"/>
  <c r="X143" i="17"/>
  <c r="W143" i="17"/>
  <c r="U143" i="17"/>
  <c r="T143" i="17"/>
  <c r="R143" i="17"/>
  <c r="Q143" i="17"/>
  <c r="O143" i="17"/>
  <c r="N143" i="17"/>
  <c r="L143" i="17"/>
  <c r="K143" i="17"/>
  <c r="H143" i="17"/>
  <c r="G143" i="17"/>
  <c r="F143" i="17"/>
  <c r="AG142" i="17"/>
  <c r="AF142" i="17"/>
  <c r="AD142" i="17"/>
  <c r="AC142" i="17"/>
  <c r="AA142" i="17"/>
  <c r="Z142" i="17"/>
  <c r="X142" i="17"/>
  <c r="W142" i="17"/>
  <c r="U142" i="17"/>
  <c r="T142" i="17"/>
  <c r="R142" i="17"/>
  <c r="Q142" i="17"/>
  <c r="O142" i="17"/>
  <c r="N142" i="17"/>
  <c r="L142" i="17"/>
  <c r="K142" i="17"/>
  <c r="H142" i="17"/>
  <c r="G142" i="17"/>
  <c r="F142" i="17"/>
  <c r="AG141" i="17"/>
  <c r="AF141" i="17"/>
  <c r="AD141" i="17"/>
  <c r="AC141" i="17"/>
  <c r="AA141" i="17"/>
  <c r="Z141" i="17"/>
  <c r="X141" i="17"/>
  <c r="W141" i="17"/>
  <c r="U141" i="17"/>
  <c r="T141" i="17"/>
  <c r="R141" i="17"/>
  <c r="Q141" i="17"/>
  <c r="O141" i="17"/>
  <c r="N141" i="17"/>
  <c r="L141" i="17"/>
  <c r="K141" i="17"/>
  <c r="H141" i="17"/>
  <c r="G141" i="17"/>
  <c r="F141" i="17"/>
  <c r="AG140" i="17"/>
  <c r="AF140" i="17"/>
  <c r="AD140" i="17"/>
  <c r="AC140" i="17"/>
  <c r="AA140" i="17"/>
  <c r="Z140" i="17"/>
  <c r="X140" i="17"/>
  <c r="W140" i="17"/>
  <c r="U140" i="17"/>
  <c r="T140" i="17"/>
  <c r="R140" i="17"/>
  <c r="Q140" i="17"/>
  <c r="O140" i="17"/>
  <c r="N140" i="17"/>
  <c r="L140" i="17"/>
  <c r="K140" i="17"/>
  <c r="H140" i="17"/>
  <c r="G140" i="17"/>
  <c r="F140" i="17"/>
  <c r="AG139" i="17"/>
  <c r="AF139" i="17"/>
  <c r="AD139" i="17"/>
  <c r="AC139" i="17"/>
  <c r="AA139" i="17"/>
  <c r="Z139" i="17"/>
  <c r="X139" i="17"/>
  <c r="W139" i="17"/>
  <c r="U139" i="17"/>
  <c r="T139" i="17"/>
  <c r="R139" i="17"/>
  <c r="Q139" i="17"/>
  <c r="O139" i="17"/>
  <c r="N139" i="17"/>
  <c r="L139" i="17"/>
  <c r="K139" i="17"/>
  <c r="H139" i="17"/>
  <c r="G139" i="17"/>
  <c r="F139" i="17"/>
  <c r="AG138" i="17"/>
  <c r="AF138" i="17"/>
  <c r="AD138" i="17"/>
  <c r="AC138" i="17"/>
  <c r="AA138" i="17"/>
  <c r="Z138" i="17"/>
  <c r="X138" i="17"/>
  <c r="W138" i="17"/>
  <c r="U138" i="17"/>
  <c r="T138" i="17"/>
  <c r="R138" i="17"/>
  <c r="Q138" i="17"/>
  <c r="O138" i="17"/>
  <c r="N138" i="17"/>
  <c r="L138" i="17"/>
  <c r="K138" i="17"/>
  <c r="H138" i="17"/>
  <c r="G138" i="17"/>
  <c r="F138" i="17"/>
  <c r="AG137" i="17"/>
  <c r="AF137" i="17"/>
  <c r="AC137" i="17"/>
  <c r="AA137" i="17"/>
  <c r="Z137" i="17"/>
  <c r="W137" i="17"/>
  <c r="U137" i="17"/>
  <c r="T137" i="17"/>
  <c r="Q137" i="17"/>
  <c r="N137" i="17"/>
  <c r="K137" i="17"/>
  <c r="E137" i="17"/>
  <c r="AG136" i="17"/>
  <c r="AF136" i="17"/>
  <c r="AD136" i="17"/>
  <c r="AC136" i="17"/>
  <c r="AA136" i="17"/>
  <c r="Z136" i="17"/>
  <c r="X136" i="17"/>
  <c r="W136" i="17"/>
  <c r="U136" i="17"/>
  <c r="T136" i="17"/>
  <c r="R136" i="17"/>
  <c r="Q136" i="17"/>
  <c r="O136" i="17"/>
  <c r="N136" i="17"/>
  <c r="L136" i="17"/>
  <c r="K136" i="17"/>
  <c r="H136" i="17"/>
  <c r="G136" i="17"/>
  <c r="F136" i="17"/>
  <c r="AG135" i="17"/>
  <c r="AF135" i="17"/>
  <c r="AC135" i="17"/>
  <c r="AA135" i="17"/>
  <c r="Z135" i="17"/>
  <c r="W135" i="17"/>
  <c r="U135" i="17"/>
  <c r="T135" i="17"/>
  <c r="Q135" i="17"/>
  <c r="N135" i="17"/>
  <c r="K135" i="17"/>
  <c r="E135" i="17"/>
  <c r="AG134" i="17"/>
  <c r="AF134" i="17"/>
  <c r="AC134" i="17"/>
  <c r="AA134" i="17"/>
  <c r="Z134" i="17"/>
  <c r="W134" i="17"/>
  <c r="U134" i="17"/>
  <c r="T134" i="17"/>
  <c r="Q134" i="17"/>
  <c r="N134" i="17"/>
  <c r="K134" i="17"/>
  <c r="E134" i="17"/>
  <c r="AG133" i="17"/>
  <c r="AF133" i="17"/>
  <c r="AD133" i="17"/>
  <c r="AC133" i="17"/>
  <c r="AA133" i="17"/>
  <c r="Z133" i="17"/>
  <c r="X133" i="17"/>
  <c r="W133" i="17"/>
  <c r="U133" i="17"/>
  <c r="T133" i="17"/>
  <c r="R133" i="17"/>
  <c r="Q133" i="17"/>
  <c r="O133" i="17"/>
  <c r="N133" i="17"/>
  <c r="L133" i="17"/>
  <c r="K133" i="17"/>
  <c r="H133" i="17"/>
  <c r="AG132" i="17"/>
  <c r="AF132" i="17"/>
  <c r="AD132" i="17"/>
  <c r="AC132" i="17"/>
  <c r="AA132" i="17"/>
  <c r="Z132" i="17"/>
  <c r="X132" i="17"/>
  <c r="W132" i="17"/>
  <c r="U132" i="17"/>
  <c r="T132" i="17"/>
  <c r="R132" i="17"/>
  <c r="Q132" i="17"/>
  <c r="O132" i="17"/>
  <c r="N132" i="17"/>
  <c r="L132" i="17"/>
  <c r="K132" i="17"/>
  <c r="H132" i="17"/>
  <c r="AG131" i="17"/>
  <c r="AF131" i="17"/>
  <c r="AC131" i="17"/>
  <c r="AA131" i="17"/>
  <c r="Z131" i="17"/>
  <c r="W131" i="17"/>
  <c r="U131" i="17"/>
  <c r="T131" i="17"/>
  <c r="Q131" i="17"/>
  <c r="N131" i="17"/>
  <c r="K131" i="17"/>
  <c r="E131" i="17"/>
  <c r="AG130" i="17"/>
  <c r="AF130" i="17"/>
  <c r="AD130" i="17"/>
  <c r="AC130" i="17"/>
  <c r="AA130" i="17"/>
  <c r="Z130" i="17"/>
  <c r="X130" i="17"/>
  <c r="W130" i="17"/>
  <c r="U130" i="17"/>
  <c r="T130" i="17"/>
  <c r="R130" i="17"/>
  <c r="Q130" i="17"/>
  <c r="O130" i="17"/>
  <c r="N130" i="17"/>
  <c r="L130" i="17"/>
  <c r="K130" i="17"/>
  <c r="H130" i="17"/>
  <c r="AG129" i="17"/>
  <c r="AF129" i="17"/>
  <c r="AC129" i="17"/>
  <c r="AA129" i="17"/>
  <c r="Z129" i="17"/>
  <c r="X129" i="17"/>
  <c r="W129" i="17"/>
  <c r="T129" i="17"/>
  <c r="Q129" i="17"/>
  <c r="N129" i="17"/>
  <c r="K129" i="17"/>
  <c r="E129" i="17"/>
  <c r="AG128" i="17"/>
  <c r="AF128" i="17"/>
  <c r="AC128" i="17"/>
  <c r="AA128" i="17"/>
  <c r="Z128" i="17"/>
  <c r="X128" i="17"/>
  <c r="W128" i="17"/>
  <c r="T128" i="17"/>
  <c r="Q128" i="17"/>
  <c r="N128" i="17"/>
  <c r="K128" i="17"/>
  <c r="E128" i="17"/>
  <c r="AG127" i="17"/>
  <c r="AF127" i="17"/>
  <c r="AC127" i="17"/>
  <c r="AA127" i="17"/>
  <c r="Z127" i="17"/>
  <c r="X127" i="17"/>
  <c r="W127" i="17"/>
  <c r="T127" i="17"/>
  <c r="Q127" i="17"/>
  <c r="N127" i="17"/>
  <c r="K127" i="17"/>
  <c r="E127" i="17"/>
  <c r="AG126" i="17"/>
  <c r="AF126" i="17"/>
  <c r="AC126" i="17"/>
  <c r="AA126" i="17"/>
  <c r="Z126" i="17"/>
  <c r="X126" i="17"/>
  <c r="W126" i="17"/>
  <c r="T126" i="17"/>
  <c r="Q126" i="17"/>
  <c r="N126" i="17"/>
  <c r="K126" i="17"/>
  <c r="E126" i="17"/>
  <c r="AG125" i="17"/>
  <c r="AF125" i="17"/>
  <c r="AC125" i="17"/>
  <c r="AA125" i="17"/>
  <c r="Z125" i="17"/>
  <c r="X125" i="17"/>
  <c r="W125" i="17"/>
  <c r="T125" i="17"/>
  <c r="Q125" i="17"/>
  <c r="N125" i="17"/>
  <c r="K125" i="17"/>
  <c r="E125" i="17"/>
  <c r="AG124" i="17"/>
  <c r="AF124" i="17"/>
  <c r="AC124" i="17"/>
  <c r="AA124" i="17"/>
  <c r="Z124" i="17"/>
  <c r="X124" i="17"/>
  <c r="W124" i="17"/>
  <c r="T124" i="17"/>
  <c r="Q124" i="17"/>
  <c r="N124" i="17"/>
  <c r="K124" i="17"/>
  <c r="E124" i="17"/>
  <c r="AG123" i="17"/>
  <c r="AF123" i="17"/>
  <c r="AC123" i="17"/>
  <c r="AA123" i="17"/>
  <c r="Z123" i="17"/>
  <c r="X123" i="17"/>
  <c r="W123" i="17"/>
  <c r="T123" i="17"/>
  <c r="Q123" i="17"/>
  <c r="N123" i="17"/>
  <c r="K123" i="17"/>
  <c r="E123" i="17"/>
  <c r="AG122" i="17"/>
  <c r="AF122" i="17"/>
  <c r="AC122" i="17"/>
  <c r="AA122" i="17"/>
  <c r="Z122" i="17"/>
  <c r="X122" i="17"/>
  <c r="W122" i="17"/>
  <c r="T122" i="17"/>
  <c r="Q122" i="17"/>
  <c r="N122" i="17"/>
  <c r="K122" i="17"/>
  <c r="E122" i="17"/>
  <c r="AG121" i="17"/>
  <c r="AF121" i="17"/>
  <c r="AC121" i="17"/>
  <c r="AA121" i="17"/>
  <c r="Z121" i="17"/>
  <c r="X121" i="17"/>
  <c r="W121" i="17"/>
  <c r="T121" i="17"/>
  <c r="Q121" i="17"/>
  <c r="N121" i="17"/>
  <c r="K121" i="17"/>
  <c r="E121" i="17"/>
  <c r="AG120" i="17"/>
  <c r="AF120" i="17"/>
  <c r="AC120" i="17"/>
  <c r="AA120" i="17"/>
  <c r="Z120" i="17"/>
  <c r="X120" i="17"/>
  <c r="W120" i="17"/>
  <c r="T120" i="17"/>
  <c r="Q120" i="17"/>
  <c r="N120" i="17"/>
  <c r="K120" i="17"/>
  <c r="E120" i="17"/>
  <c r="AG119" i="17"/>
  <c r="AF119" i="17"/>
  <c r="AD119" i="17"/>
  <c r="AC119" i="17"/>
  <c r="AA119" i="17"/>
  <c r="Z119" i="17"/>
  <c r="X119" i="17"/>
  <c r="W119" i="17"/>
  <c r="U119" i="17"/>
  <c r="T119" i="17"/>
  <c r="R119" i="17"/>
  <c r="Q119" i="17"/>
  <c r="O119" i="17"/>
  <c r="N119" i="17"/>
  <c r="L119" i="17"/>
  <c r="K119" i="17"/>
  <c r="H119" i="17"/>
  <c r="AG118" i="17"/>
  <c r="AF118" i="17"/>
  <c r="AD118" i="17"/>
  <c r="AC118" i="17"/>
  <c r="AA118" i="17"/>
  <c r="Z118" i="17"/>
  <c r="X118" i="17"/>
  <c r="W118" i="17"/>
  <c r="U118" i="17"/>
  <c r="T118" i="17"/>
  <c r="R118" i="17"/>
  <c r="Q118" i="17"/>
  <c r="O118" i="17"/>
  <c r="N118" i="17"/>
  <c r="L118" i="17"/>
  <c r="K118" i="17"/>
  <c r="H118" i="17"/>
  <c r="AG117" i="17"/>
  <c r="AF117" i="17"/>
  <c r="AD117" i="17"/>
  <c r="AC117" i="17"/>
  <c r="AA117" i="17"/>
  <c r="Z117" i="17"/>
  <c r="X117" i="17"/>
  <c r="W117" i="17"/>
  <c r="U117" i="17"/>
  <c r="T117" i="17"/>
  <c r="R117" i="17"/>
  <c r="Q117" i="17"/>
  <c r="O117" i="17"/>
  <c r="N117" i="17"/>
  <c r="L117" i="17"/>
  <c r="K117" i="17"/>
  <c r="H117" i="17"/>
  <c r="AG116" i="17"/>
  <c r="AF116" i="17"/>
  <c r="AD116" i="17"/>
  <c r="AC116" i="17"/>
  <c r="AA116" i="17"/>
  <c r="Z116" i="17"/>
  <c r="X116" i="17"/>
  <c r="W116" i="17"/>
  <c r="U116" i="17"/>
  <c r="T116" i="17"/>
  <c r="R116" i="17"/>
  <c r="Q116" i="17"/>
  <c r="O116" i="17"/>
  <c r="N116" i="17"/>
  <c r="L116" i="17"/>
  <c r="K116" i="17"/>
  <c r="H116" i="17"/>
  <c r="AG115" i="17"/>
  <c r="AF115" i="17"/>
  <c r="AD115" i="17"/>
  <c r="AC115" i="17"/>
  <c r="AA115" i="17"/>
  <c r="Z115" i="17"/>
  <c r="X115" i="17"/>
  <c r="W115" i="17"/>
  <c r="U115" i="17"/>
  <c r="T115" i="17"/>
  <c r="R115" i="17"/>
  <c r="Q115" i="17"/>
  <c r="O115" i="17"/>
  <c r="N115" i="17"/>
  <c r="L115" i="17"/>
  <c r="K115" i="17"/>
  <c r="H115" i="17"/>
  <c r="AG114" i="17"/>
  <c r="AF114" i="17"/>
  <c r="AD114" i="17"/>
  <c r="AC114" i="17"/>
  <c r="AA114" i="17"/>
  <c r="Z114" i="17"/>
  <c r="X114" i="17"/>
  <c r="W114" i="17"/>
  <c r="U114" i="17"/>
  <c r="T114" i="17"/>
  <c r="R114" i="17"/>
  <c r="Q114" i="17"/>
  <c r="O114" i="17"/>
  <c r="N114" i="17"/>
  <c r="L114" i="17"/>
  <c r="K114" i="17"/>
  <c r="H114" i="17"/>
  <c r="AG113" i="17"/>
  <c r="AF113" i="17"/>
  <c r="AD113" i="17"/>
  <c r="AC113" i="17"/>
  <c r="AA113" i="17"/>
  <c r="Z113" i="17"/>
  <c r="X113" i="17"/>
  <c r="W113" i="17"/>
  <c r="U113" i="17"/>
  <c r="T113" i="17"/>
  <c r="R113" i="17"/>
  <c r="Q113" i="17"/>
  <c r="O113" i="17"/>
  <c r="N113" i="17"/>
  <c r="L113" i="17"/>
  <c r="K113" i="17"/>
  <c r="H113" i="17"/>
  <c r="AG112" i="17"/>
  <c r="AF112" i="17"/>
  <c r="AD112" i="17"/>
  <c r="AC112" i="17"/>
  <c r="AA112" i="17"/>
  <c r="Z112" i="17"/>
  <c r="X112" i="17"/>
  <c r="W112" i="17"/>
  <c r="U112" i="17"/>
  <c r="T112" i="17"/>
  <c r="R112" i="17"/>
  <c r="Q112" i="17"/>
  <c r="O112" i="17"/>
  <c r="N112" i="17"/>
  <c r="L112" i="17"/>
  <c r="K112" i="17"/>
  <c r="H112" i="17"/>
  <c r="AG111" i="17"/>
  <c r="AF111" i="17"/>
  <c r="AD111" i="17"/>
  <c r="AC111" i="17"/>
  <c r="AA111" i="17"/>
  <c r="Z111" i="17"/>
  <c r="X111" i="17"/>
  <c r="W111" i="17"/>
  <c r="U111" i="17"/>
  <c r="T111" i="17"/>
  <c r="R111" i="17"/>
  <c r="Q111" i="17"/>
  <c r="O111" i="17"/>
  <c r="N111" i="17"/>
  <c r="L111" i="17"/>
  <c r="K111" i="17"/>
  <c r="H111" i="17"/>
  <c r="AG110" i="17"/>
  <c r="AF110" i="17"/>
  <c r="AD110" i="17"/>
  <c r="AC110" i="17"/>
  <c r="AA110" i="17"/>
  <c r="Z110" i="17"/>
  <c r="X110" i="17"/>
  <c r="W110" i="17"/>
  <c r="U110" i="17"/>
  <c r="T110" i="17"/>
  <c r="R110" i="17"/>
  <c r="Q110" i="17"/>
  <c r="O110" i="17"/>
  <c r="N110" i="17"/>
  <c r="L110" i="17"/>
  <c r="K110" i="17"/>
  <c r="H110" i="17"/>
  <c r="AG109" i="17"/>
  <c r="AF109" i="17"/>
  <c r="AD109" i="17"/>
  <c r="AC109" i="17"/>
  <c r="AA109" i="17"/>
  <c r="Z109" i="17"/>
  <c r="X109" i="17"/>
  <c r="W109" i="17"/>
  <c r="U109" i="17"/>
  <c r="T109" i="17"/>
  <c r="R109" i="17"/>
  <c r="Q109" i="17"/>
  <c r="O109" i="17"/>
  <c r="N109" i="17"/>
  <c r="L109" i="17"/>
  <c r="K109" i="17"/>
  <c r="H109" i="17"/>
  <c r="AG108" i="17"/>
  <c r="AF108" i="17"/>
  <c r="AD108" i="17"/>
  <c r="AC108" i="17"/>
  <c r="AA108" i="17"/>
  <c r="Z108" i="17"/>
  <c r="X108" i="17"/>
  <c r="W108" i="17"/>
  <c r="U108" i="17"/>
  <c r="T108" i="17"/>
  <c r="R108" i="17"/>
  <c r="Q108" i="17"/>
  <c r="O108" i="17"/>
  <c r="N108" i="17"/>
  <c r="L108" i="17"/>
  <c r="K108" i="17"/>
  <c r="H108" i="17"/>
  <c r="G108" i="17"/>
  <c r="F108" i="17"/>
  <c r="AG107" i="17"/>
  <c r="AF107" i="17"/>
  <c r="AD107" i="17"/>
  <c r="AC107" i="17"/>
  <c r="AA107" i="17"/>
  <c r="Z107" i="17"/>
  <c r="X107" i="17"/>
  <c r="W107" i="17"/>
  <c r="U107" i="17"/>
  <c r="T107" i="17"/>
  <c r="R107" i="17"/>
  <c r="Q107" i="17"/>
  <c r="O107" i="17"/>
  <c r="N107" i="17"/>
  <c r="L107" i="17"/>
  <c r="K107" i="17"/>
  <c r="H107" i="17"/>
  <c r="G107" i="17"/>
  <c r="F107" i="17"/>
  <c r="AG106" i="17"/>
  <c r="AF106" i="17"/>
  <c r="AD106" i="17"/>
  <c r="AC106" i="17"/>
  <c r="AA106" i="17"/>
  <c r="Z106" i="17"/>
  <c r="X106" i="17"/>
  <c r="W106" i="17"/>
  <c r="U106" i="17"/>
  <c r="T106" i="17"/>
  <c r="R106" i="17"/>
  <c r="Q106" i="17"/>
  <c r="O106" i="17"/>
  <c r="N106" i="17"/>
  <c r="L106" i="17"/>
  <c r="K106" i="17"/>
  <c r="H106" i="17"/>
  <c r="G106" i="17"/>
  <c r="F106" i="17"/>
  <c r="AG105" i="17"/>
  <c r="AF105" i="17"/>
  <c r="AD105" i="17"/>
  <c r="AC105" i="17"/>
  <c r="AA105" i="17"/>
  <c r="Z105" i="17"/>
  <c r="X105" i="17"/>
  <c r="W105" i="17"/>
  <c r="U105" i="17"/>
  <c r="T105" i="17"/>
  <c r="R105" i="17"/>
  <c r="Q105" i="17"/>
  <c r="O105" i="17"/>
  <c r="N105" i="17"/>
  <c r="L105" i="17"/>
  <c r="K105" i="17"/>
  <c r="H105" i="17"/>
  <c r="G105" i="17"/>
  <c r="F105" i="17"/>
  <c r="AG104" i="17"/>
  <c r="AF104" i="17"/>
  <c r="AD104" i="17"/>
  <c r="AC104" i="17"/>
  <c r="AA104" i="17"/>
  <c r="Z104" i="17"/>
  <c r="X104" i="17"/>
  <c r="W104" i="17"/>
  <c r="U104" i="17"/>
  <c r="T104" i="17"/>
  <c r="R104" i="17"/>
  <c r="Q104" i="17"/>
  <c r="O104" i="17"/>
  <c r="N104" i="17"/>
  <c r="L104" i="17"/>
  <c r="K104" i="17"/>
  <c r="H104" i="17"/>
  <c r="G104" i="17"/>
  <c r="F104" i="17"/>
  <c r="AG103" i="17"/>
  <c r="AF103" i="17"/>
  <c r="AD103" i="17"/>
  <c r="AC103" i="17"/>
  <c r="AA103" i="17"/>
  <c r="Z103" i="17"/>
  <c r="X103" i="17"/>
  <c r="W103" i="17"/>
  <c r="U103" i="17"/>
  <c r="T103" i="17"/>
  <c r="R103" i="17"/>
  <c r="Q103" i="17"/>
  <c r="O103" i="17"/>
  <c r="N103" i="17"/>
  <c r="L103" i="17"/>
  <c r="K103" i="17"/>
  <c r="H103" i="17"/>
  <c r="G103" i="17"/>
  <c r="F103" i="17"/>
  <c r="AG102" i="17"/>
  <c r="AF102" i="17"/>
  <c r="AD102" i="17"/>
  <c r="AC102" i="17"/>
  <c r="AA102" i="17"/>
  <c r="Z102" i="17"/>
  <c r="X102" i="17"/>
  <c r="W102" i="17"/>
  <c r="U102" i="17"/>
  <c r="T102" i="17"/>
  <c r="R102" i="17"/>
  <c r="Q102" i="17"/>
  <c r="O102" i="17"/>
  <c r="N102" i="17"/>
  <c r="L102" i="17"/>
  <c r="K102" i="17"/>
  <c r="H102" i="17"/>
  <c r="G102" i="17"/>
  <c r="F102" i="17"/>
  <c r="AG101" i="17"/>
  <c r="AF101" i="17"/>
  <c r="AD101" i="17"/>
  <c r="AC101" i="17"/>
  <c r="AA101" i="17"/>
  <c r="Z101" i="17"/>
  <c r="X101" i="17"/>
  <c r="W101" i="17"/>
  <c r="U101" i="17"/>
  <c r="T101" i="17"/>
  <c r="R101" i="17"/>
  <c r="Q101" i="17"/>
  <c r="O101" i="17"/>
  <c r="N101" i="17"/>
  <c r="L101" i="17"/>
  <c r="K101" i="17"/>
  <c r="H101" i="17"/>
  <c r="G101" i="17"/>
  <c r="F101" i="17"/>
  <c r="AG100" i="17"/>
  <c r="AF100" i="17"/>
  <c r="AD100" i="17"/>
  <c r="AC100" i="17"/>
  <c r="AA100" i="17"/>
  <c r="Z100" i="17"/>
  <c r="X100" i="17"/>
  <c r="W100" i="17"/>
  <c r="U100" i="17"/>
  <c r="T100" i="17"/>
  <c r="R100" i="17"/>
  <c r="Q100" i="17"/>
  <c r="O100" i="17"/>
  <c r="N100" i="17"/>
  <c r="L100" i="17"/>
  <c r="K100" i="17"/>
  <c r="H100" i="17"/>
  <c r="G100" i="17"/>
  <c r="F100" i="17"/>
  <c r="AG99" i="17"/>
  <c r="AF99" i="17"/>
  <c r="AD99" i="17"/>
  <c r="AC99" i="17"/>
  <c r="AA99" i="17"/>
  <c r="Z99" i="17"/>
  <c r="X99" i="17"/>
  <c r="W99" i="17"/>
  <c r="U99" i="17"/>
  <c r="T99" i="17"/>
  <c r="R99" i="17"/>
  <c r="Q99" i="17"/>
  <c r="O99" i="17"/>
  <c r="N99" i="17"/>
  <c r="L99" i="17"/>
  <c r="K99" i="17"/>
  <c r="H99" i="17"/>
  <c r="G99" i="17"/>
  <c r="F99" i="17"/>
  <c r="AG98" i="17"/>
  <c r="AF98" i="17"/>
  <c r="AD98" i="17"/>
  <c r="AC98" i="17"/>
  <c r="AA98" i="17"/>
  <c r="Z98" i="17"/>
  <c r="X98" i="17"/>
  <c r="W98" i="17"/>
  <c r="U98" i="17"/>
  <c r="T98" i="17"/>
  <c r="R98" i="17"/>
  <c r="Q98" i="17"/>
  <c r="O98" i="17"/>
  <c r="N98" i="17"/>
  <c r="L98" i="17"/>
  <c r="K98" i="17"/>
  <c r="H98" i="17"/>
  <c r="G98" i="17"/>
  <c r="F98" i="17"/>
  <c r="AG97" i="17"/>
  <c r="AF97" i="17"/>
  <c r="AD97" i="17"/>
  <c r="AC97" i="17"/>
  <c r="AA97" i="17"/>
  <c r="Z97" i="17"/>
  <c r="X97" i="17"/>
  <c r="W97" i="17"/>
  <c r="U97" i="17"/>
  <c r="T97" i="17"/>
  <c r="R97" i="17"/>
  <c r="Q97" i="17"/>
  <c r="O97" i="17"/>
  <c r="N97" i="17"/>
  <c r="L97" i="17"/>
  <c r="K97" i="17"/>
  <c r="H97" i="17"/>
  <c r="G97" i="17"/>
  <c r="F97" i="17"/>
  <c r="AG96" i="17"/>
  <c r="AF96" i="17"/>
  <c r="AD96" i="17"/>
  <c r="AC96" i="17"/>
  <c r="AA96" i="17"/>
  <c r="Z96" i="17"/>
  <c r="X96" i="17"/>
  <c r="W96" i="17"/>
  <c r="U96" i="17"/>
  <c r="T96" i="17"/>
  <c r="R96" i="17"/>
  <c r="Q96" i="17"/>
  <c r="O96" i="17"/>
  <c r="N96" i="17"/>
  <c r="L96" i="17"/>
  <c r="K96" i="17"/>
  <c r="H96" i="17"/>
  <c r="G96" i="17"/>
  <c r="F96" i="17"/>
  <c r="AG95" i="17"/>
  <c r="AF95" i="17"/>
  <c r="AD95" i="17"/>
  <c r="AC95" i="17"/>
  <c r="AA95" i="17"/>
  <c r="Z95" i="17"/>
  <c r="X95" i="17"/>
  <c r="W95" i="17"/>
  <c r="U95" i="17"/>
  <c r="T95" i="17"/>
  <c r="R95" i="17"/>
  <c r="Q95" i="17"/>
  <c r="O95" i="17"/>
  <c r="N95" i="17"/>
  <c r="L95" i="17"/>
  <c r="K95" i="17"/>
  <c r="H95" i="17"/>
  <c r="G95" i="17"/>
  <c r="F95" i="17"/>
  <c r="AG94" i="17"/>
  <c r="AF94" i="17"/>
  <c r="AD94" i="17"/>
  <c r="AC94" i="17"/>
  <c r="AA94" i="17"/>
  <c r="Z94" i="17"/>
  <c r="X94" i="17"/>
  <c r="W94" i="17"/>
  <c r="U94" i="17"/>
  <c r="T94" i="17"/>
  <c r="R94" i="17"/>
  <c r="Q94" i="17"/>
  <c r="O94" i="17"/>
  <c r="N94" i="17"/>
  <c r="L94" i="17"/>
  <c r="K94" i="17"/>
  <c r="H94" i="17"/>
  <c r="G94" i="17"/>
  <c r="F94" i="17"/>
  <c r="AG93" i="17"/>
  <c r="AF93" i="17"/>
  <c r="AD93" i="17"/>
  <c r="AC93" i="17"/>
  <c r="AA93" i="17"/>
  <c r="Z93" i="17"/>
  <c r="X93" i="17"/>
  <c r="W93" i="17"/>
  <c r="U93" i="17"/>
  <c r="T93" i="17"/>
  <c r="R93" i="17"/>
  <c r="Q93" i="17"/>
  <c r="O93" i="17"/>
  <c r="N93" i="17"/>
  <c r="L93" i="17"/>
  <c r="K93" i="17"/>
  <c r="H93" i="17"/>
  <c r="G93" i="17"/>
  <c r="F93" i="17"/>
  <c r="AG92" i="17"/>
  <c r="AF92" i="17"/>
  <c r="AD92" i="17"/>
  <c r="AC92" i="17"/>
  <c r="AA92" i="17"/>
  <c r="Z92" i="17"/>
  <c r="X92" i="17"/>
  <c r="W92" i="17"/>
  <c r="U92" i="17"/>
  <c r="T92" i="17"/>
  <c r="R92" i="17"/>
  <c r="Q92" i="17"/>
  <c r="O92" i="17"/>
  <c r="N92" i="17"/>
  <c r="L92" i="17"/>
  <c r="K92" i="17"/>
  <c r="H92" i="17"/>
  <c r="G92" i="17"/>
  <c r="F92" i="17"/>
  <c r="AG91" i="17"/>
  <c r="AF91" i="17"/>
  <c r="AD91" i="17"/>
  <c r="AC91" i="17"/>
  <c r="AA91" i="17"/>
  <c r="Z91" i="17"/>
  <c r="X91" i="17"/>
  <c r="W91" i="17"/>
  <c r="U91" i="17"/>
  <c r="T91" i="17"/>
  <c r="R91" i="17"/>
  <c r="Q91" i="17"/>
  <c r="O91" i="17"/>
  <c r="N91" i="17"/>
  <c r="L91" i="17"/>
  <c r="K91" i="17"/>
  <c r="H91" i="17"/>
  <c r="G91" i="17"/>
  <c r="F91" i="17"/>
  <c r="AG90" i="17"/>
  <c r="AF90" i="17"/>
  <c r="AD90" i="17"/>
  <c r="AC90" i="17"/>
  <c r="AA90" i="17"/>
  <c r="Z90" i="17"/>
  <c r="X90" i="17"/>
  <c r="W90" i="17"/>
  <c r="U90" i="17"/>
  <c r="T90" i="17"/>
  <c r="R90" i="17"/>
  <c r="Q90" i="17"/>
  <c r="O90" i="17"/>
  <c r="N90" i="17"/>
  <c r="L90" i="17"/>
  <c r="K90" i="17"/>
  <c r="H90" i="17"/>
  <c r="G90" i="17"/>
  <c r="F90" i="17"/>
  <c r="AG89" i="17"/>
  <c r="AF89" i="17"/>
  <c r="AD89" i="17"/>
  <c r="AC89" i="17"/>
  <c r="AA89" i="17"/>
  <c r="Z89" i="17"/>
  <c r="X89" i="17"/>
  <c r="W89" i="17"/>
  <c r="U89" i="17"/>
  <c r="T89" i="17"/>
  <c r="R89" i="17"/>
  <c r="Q89" i="17"/>
  <c r="O89" i="17"/>
  <c r="N89" i="17"/>
  <c r="L89" i="17"/>
  <c r="K89" i="17"/>
  <c r="H89" i="17"/>
  <c r="G89" i="17"/>
  <c r="F89" i="17"/>
  <c r="AG88" i="17"/>
  <c r="AF88" i="17"/>
  <c r="AD88" i="17"/>
  <c r="AC88" i="17"/>
  <c r="AA88" i="17"/>
  <c r="Z88" i="17"/>
  <c r="X88" i="17"/>
  <c r="W88" i="17"/>
  <c r="U88" i="17"/>
  <c r="T88" i="17"/>
  <c r="R88" i="17"/>
  <c r="Q88" i="17"/>
  <c r="O88" i="17"/>
  <c r="N88" i="17"/>
  <c r="L88" i="17"/>
  <c r="K88" i="17"/>
  <c r="H88" i="17"/>
  <c r="G88" i="17"/>
  <c r="F88" i="17"/>
  <c r="AG87" i="17"/>
  <c r="AF87" i="17"/>
  <c r="AD87" i="17"/>
  <c r="AC87" i="17"/>
  <c r="AA87" i="17"/>
  <c r="Z87" i="17"/>
  <c r="X87" i="17"/>
  <c r="W87" i="17"/>
  <c r="U87" i="17"/>
  <c r="T87" i="17"/>
  <c r="R87" i="17"/>
  <c r="Q87" i="17"/>
  <c r="O87" i="17"/>
  <c r="N87" i="17"/>
  <c r="L87" i="17"/>
  <c r="K87" i="17"/>
  <c r="H87" i="17"/>
  <c r="G87" i="17"/>
  <c r="F87" i="17"/>
  <c r="AG86" i="17"/>
  <c r="AF86" i="17"/>
  <c r="AD86" i="17"/>
  <c r="AC86" i="17"/>
  <c r="AA86" i="17"/>
  <c r="Z86" i="17"/>
  <c r="X86" i="17"/>
  <c r="W86" i="17"/>
  <c r="U86" i="17"/>
  <c r="T86" i="17"/>
  <c r="R86" i="17"/>
  <c r="Q86" i="17"/>
  <c r="O86" i="17"/>
  <c r="N86" i="17"/>
  <c r="L86" i="17"/>
  <c r="K86" i="17"/>
  <c r="H86" i="17"/>
  <c r="G86" i="17"/>
  <c r="F86" i="17"/>
  <c r="AG85" i="17"/>
  <c r="AF85" i="17"/>
  <c r="AD85" i="17"/>
  <c r="AC85" i="17"/>
  <c r="AA85" i="17"/>
  <c r="Z85" i="17"/>
  <c r="X85" i="17"/>
  <c r="W85" i="17"/>
  <c r="U85" i="17"/>
  <c r="T85" i="17"/>
  <c r="R85" i="17"/>
  <c r="Q85" i="17"/>
  <c r="O85" i="17"/>
  <c r="N85" i="17"/>
  <c r="L85" i="17"/>
  <c r="K85" i="17"/>
  <c r="H85" i="17"/>
  <c r="G85" i="17"/>
  <c r="F85" i="17"/>
  <c r="AG84" i="17"/>
  <c r="AF84" i="17"/>
  <c r="AD84" i="17"/>
  <c r="AC84" i="17"/>
  <c r="AA84" i="17"/>
  <c r="Z84" i="17"/>
  <c r="X84" i="17"/>
  <c r="W84" i="17"/>
  <c r="U84" i="17"/>
  <c r="T84" i="17"/>
  <c r="R84" i="17"/>
  <c r="Q84" i="17"/>
  <c r="O84" i="17"/>
  <c r="N84" i="17"/>
  <c r="L84" i="17"/>
  <c r="K84" i="17"/>
  <c r="H84" i="17"/>
  <c r="G84" i="17"/>
  <c r="F84" i="17"/>
  <c r="AG83" i="17"/>
  <c r="AF83" i="17"/>
  <c r="AD83" i="17"/>
  <c r="AC83" i="17"/>
  <c r="AA83" i="17"/>
  <c r="Z83" i="17"/>
  <c r="X83" i="17"/>
  <c r="W83" i="17"/>
  <c r="U83" i="17"/>
  <c r="T83" i="17"/>
  <c r="R83" i="17"/>
  <c r="Q83" i="17"/>
  <c r="O83" i="17"/>
  <c r="N83" i="17"/>
  <c r="L83" i="17"/>
  <c r="K83" i="17"/>
  <c r="H83" i="17"/>
  <c r="G83" i="17"/>
  <c r="F83" i="17"/>
  <c r="AG82" i="17"/>
  <c r="AF82" i="17"/>
  <c r="AD82" i="17"/>
  <c r="AC82" i="17"/>
  <c r="AA82" i="17"/>
  <c r="Z82" i="17"/>
  <c r="X82" i="17"/>
  <c r="W82" i="17"/>
  <c r="U82" i="17"/>
  <c r="T82" i="17"/>
  <c r="R82" i="17"/>
  <c r="Q82" i="17"/>
  <c r="O82" i="17"/>
  <c r="N82" i="17"/>
  <c r="L82" i="17"/>
  <c r="K82" i="17"/>
  <c r="H82" i="17"/>
  <c r="G82" i="17"/>
  <c r="F82" i="17"/>
  <c r="AG81" i="17"/>
  <c r="AF81" i="17"/>
  <c r="AD81" i="17"/>
  <c r="AC81" i="17"/>
  <c r="AA81" i="17"/>
  <c r="Z81" i="17"/>
  <c r="X81" i="17"/>
  <c r="W81" i="17"/>
  <c r="U81" i="17"/>
  <c r="T81" i="17"/>
  <c r="R81" i="17"/>
  <c r="Q81" i="17"/>
  <c r="O81" i="17"/>
  <c r="N81" i="17"/>
  <c r="L81" i="17"/>
  <c r="K81" i="17"/>
  <c r="H81" i="17"/>
  <c r="G81" i="17"/>
  <c r="F81" i="17"/>
  <c r="AG80" i="17"/>
  <c r="AF80" i="17"/>
  <c r="AD80" i="17"/>
  <c r="AC80" i="17"/>
  <c r="AA80" i="17"/>
  <c r="Z80" i="17"/>
  <c r="X80" i="17"/>
  <c r="W80" i="17"/>
  <c r="U80" i="17"/>
  <c r="T80" i="17"/>
  <c r="R80" i="17"/>
  <c r="Q80" i="17"/>
  <c r="O80" i="17"/>
  <c r="N80" i="17"/>
  <c r="L80" i="17"/>
  <c r="K80" i="17"/>
  <c r="H80" i="17"/>
  <c r="G80" i="17"/>
  <c r="F80" i="17"/>
  <c r="AG79" i="17"/>
  <c r="AF79" i="17"/>
  <c r="AD79" i="17"/>
  <c r="AC79" i="17"/>
  <c r="AA79" i="17"/>
  <c r="Z79" i="17"/>
  <c r="X79" i="17"/>
  <c r="W79" i="17"/>
  <c r="U79" i="17"/>
  <c r="T79" i="17"/>
  <c r="R79" i="17"/>
  <c r="Q79" i="17"/>
  <c r="O79" i="17"/>
  <c r="N79" i="17"/>
  <c r="L79" i="17"/>
  <c r="K79" i="17"/>
  <c r="H79" i="17"/>
  <c r="G79" i="17"/>
  <c r="F79" i="17"/>
  <c r="AG78" i="17"/>
  <c r="AF78" i="17"/>
  <c r="AD78" i="17"/>
  <c r="AC78" i="17"/>
  <c r="AA78" i="17"/>
  <c r="Z78" i="17"/>
  <c r="X78" i="17"/>
  <c r="W78" i="17"/>
  <c r="U78" i="17"/>
  <c r="T78" i="17"/>
  <c r="R78" i="17"/>
  <c r="Q78" i="17"/>
  <c r="O78" i="17"/>
  <c r="N78" i="17"/>
  <c r="L78" i="17"/>
  <c r="K78" i="17"/>
  <c r="H78" i="17"/>
  <c r="G78" i="17"/>
  <c r="F78" i="17"/>
  <c r="AG77" i="17"/>
  <c r="AF77" i="17"/>
  <c r="AC77" i="17"/>
  <c r="AA77" i="17"/>
  <c r="Z77" i="17"/>
  <c r="X77" i="17"/>
  <c r="W77" i="17"/>
  <c r="T77" i="17"/>
  <c r="Q77" i="17"/>
  <c r="N77" i="17"/>
  <c r="K77" i="17"/>
  <c r="E77" i="17"/>
  <c r="AG76" i="17"/>
  <c r="AF76" i="17"/>
  <c r="AC76" i="17"/>
  <c r="AA76" i="17"/>
  <c r="Z76" i="17"/>
  <c r="X76" i="17"/>
  <c r="W76" i="17"/>
  <c r="T76" i="17"/>
  <c r="Q76" i="17"/>
  <c r="N76" i="17"/>
  <c r="K76" i="17"/>
  <c r="E76" i="17"/>
  <c r="AG75" i="17"/>
  <c r="AF75" i="17"/>
  <c r="AD75" i="17"/>
  <c r="AC75" i="17"/>
  <c r="AA75" i="17"/>
  <c r="Z75" i="17"/>
  <c r="X75" i="17"/>
  <c r="W75" i="17"/>
  <c r="U75" i="17"/>
  <c r="T75" i="17"/>
  <c r="R75" i="17"/>
  <c r="Q75" i="17"/>
  <c r="O75" i="17"/>
  <c r="N75" i="17"/>
  <c r="L75" i="17"/>
  <c r="K75" i="17"/>
  <c r="H75" i="17"/>
  <c r="AG74" i="17"/>
  <c r="AF74" i="17"/>
  <c r="AD74" i="17"/>
  <c r="AC74" i="17"/>
  <c r="AA74" i="17"/>
  <c r="Z74" i="17"/>
  <c r="X74" i="17"/>
  <c r="W74" i="17"/>
  <c r="U74" i="17"/>
  <c r="T74" i="17"/>
  <c r="R74" i="17"/>
  <c r="Q74" i="17"/>
  <c r="O74" i="17"/>
  <c r="N74" i="17"/>
  <c r="L74" i="17"/>
  <c r="K74" i="17"/>
  <c r="H74" i="17"/>
  <c r="AG73" i="17"/>
  <c r="AF73" i="17"/>
  <c r="AD73" i="17"/>
  <c r="AC73" i="17"/>
  <c r="AA73" i="17"/>
  <c r="Z73" i="17"/>
  <c r="X73" i="17"/>
  <c r="W73" i="17"/>
  <c r="U73" i="17"/>
  <c r="T73" i="17"/>
  <c r="R73" i="17"/>
  <c r="Q73" i="17"/>
  <c r="O73" i="17"/>
  <c r="N73" i="17"/>
  <c r="L73" i="17"/>
  <c r="K73" i="17"/>
  <c r="H73" i="17"/>
  <c r="AG72" i="17"/>
  <c r="AF72" i="17"/>
  <c r="AD72" i="17"/>
  <c r="AC72" i="17"/>
  <c r="AA72" i="17"/>
  <c r="Z72" i="17"/>
  <c r="X72" i="17"/>
  <c r="W72" i="17"/>
  <c r="U72" i="17"/>
  <c r="T72" i="17"/>
  <c r="R72" i="17"/>
  <c r="Q72" i="17"/>
  <c r="O72" i="17"/>
  <c r="N72" i="17"/>
  <c r="L72" i="17"/>
  <c r="K72" i="17"/>
  <c r="H72" i="17"/>
  <c r="AG71" i="17"/>
  <c r="AF71" i="17"/>
  <c r="AD71" i="17"/>
  <c r="AC71" i="17"/>
  <c r="AA71" i="17"/>
  <c r="Z71" i="17"/>
  <c r="X71" i="17"/>
  <c r="W71" i="17"/>
  <c r="U71" i="17"/>
  <c r="T71" i="17"/>
  <c r="R71" i="17"/>
  <c r="Q71" i="17"/>
  <c r="O71" i="17"/>
  <c r="N71" i="17"/>
  <c r="L71" i="17"/>
  <c r="K71" i="17"/>
  <c r="H71" i="17"/>
  <c r="G71" i="17"/>
  <c r="F71" i="17"/>
  <c r="AG70" i="17"/>
  <c r="AF70" i="17"/>
  <c r="AD70" i="17"/>
  <c r="AC70" i="17"/>
  <c r="AA70" i="17"/>
  <c r="Z70" i="17"/>
  <c r="X70" i="17"/>
  <c r="W70" i="17"/>
  <c r="U70" i="17"/>
  <c r="T70" i="17"/>
  <c r="R70" i="17"/>
  <c r="Q70" i="17"/>
  <c r="O70" i="17"/>
  <c r="N70" i="17"/>
  <c r="L70" i="17"/>
  <c r="K70" i="17"/>
  <c r="H70" i="17"/>
  <c r="AG69" i="17"/>
  <c r="AF69" i="17"/>
  <c r="AC69" i="17"/>
  <c r="AA69" i="17"/>
  <c r="Z69" i="17"/>
  <c r="W69" i="17"/>
  <c r="U69" i="17"/>
  <c r="T69" i="17"/>
  <c r="Q69" i="17"/>
  <c r="N69" i="17"/>
  <c r="K69" i="17"/>
  <c r="E69" i="17"/>
  <c r="AG68" i="17"/>
  <c r="AF68" i="17"/>
  <c r="AC68" i="17"/>
  <c r="AA68" i="17"/>
  <c r="Z68" i="17"/>
  <c r="W68" i="17"/>
  <c r="U68" i="17"/>
  <c r="T68" i="17"/>
  <c r="Q68" i="17"/>
  <c r="N68" i="17"/>
  <c r="K68" i="17"/>
  <c r="E68" i="17"/>
  <c r="AG67" i="17"/>
  <c r="AF67" i="17"/>
  <c r="AC67" i="17"/>
  <c r="AA67" i="17"/>
  <c r="Z67" i="17"/>
  <c r="W67" i="17"/>
  <c r="U67" i="17"/>
  <c r="T67" i="17"/>
  <c r="Q67" i="17"/>
  <c r="N67" i="17"/>
  <c r="K67" i="17"/>
  <c r="E67" i="17"/>
  <c r="AG66" i="17"/>
  <c r="AF66" i="17"/>
  <c r="AD66" i="17"/>
  <c r="AC66" i="17"/>
  <c r="AA66" i="17"/>
  <c r="Z66" i="17"/>
  <c r="X66" i="17"/>
  <c r="W66" i="17"/>
  <c r="U66" i="17"/>
  <c r="T66" i="17"/>
  <c r="R66" i="17"/>
  <c r="Q66" i="17"/>
  <c r="O66" i="17"/>
  <c r="N66" i="17"/>
  <c r="L66" i="17"/>
  <c r="K66" i="17"/>
  <c r="H66" i="17"/>
  <c r="G66" i="17"/>
  <c r="F66" i="17"/>
  <c r="AG65" i="17"/>
  <c r="AF65" i="17"/>
  <c r="AD65" i="17"/>
  <c r="AC65" i="17"/>
  <c r="AA65" i="17"/>
  <c r="Z65" i="17"/>
  <c r="X65" i="17"/>
  <c r="W65" i="17"/>
  <c r="U65" i="17"/>
  <c r="T65" i="17"/>
  <c r="R65" i="17"/>
  <c r="Q65" i="17"/>
  <c r="O65" i="17"/>
  <c r="N65" i="17"/>
  <c r="L65" i="17"/>
  <c r="K65" i="17"/>
  <c r="H65" i="17"/>
  <c r="AG64" i="17"/>
  <c r="AF64" i="17"/>
  <c r="AD64" i="17"/>
  <c r="AC64" i="17"/>
  <c r="AA64" i="17"/>
  <c r="Z64" i="17"/>
  <c r="X64" i="17"/>
  <c r="W64" i="17"/>
  <c r="U64" i="17"/>
  <c r="T64" i="17"/>
  <c r="R64" i="17"/>
  <c r="Q64" i="17"/>
  <c r="O64" i="17"/>
  <c r="N64" i="17"/>
  <c r="L64" i="17"/>
  <c r="K64" i="17"/>
  <c r="H64" i="17"/>
  <c r="AG63" i="17"/>
  <c r="AF63" i="17"/>
  <c r="AD63" i="17"/>
  <c r="AC63" i="17"/>
  <c r="AA63" i="17"/>
  <c r="Z63" i="17"/>
  <c r="X63" i="17"/>
  <c r="W63" i="17"/>
  <c r="U63" i="17"/>
  <c r="T63" i="17"/>
  <c r="R63" i="17"/>
  <c r="Q63" i="17"/>
  <c r="O63" i="17"/>
  <c r="N63" i="17"/>
  <c r="L63" i="17"/>
  <c r="K63" i="17"/>
  <c r="H63" i="17"/>
  <c r="AG62" i="17"/>
  <c r="AF62" i="17"/>
  <c r="AD62" i="17"/>
  <c r="AC62" i="17"/>
  <c r="AA62" i="17"/>
  <c r="Z62" i="17"/>
  <c r="X62" i="17"/>
  <c r="W62" i="17"/>
  <c r="U62" i="17"/>
  <c r="T62" i="17"/>
  <c r="R62" i="17"/>
  <c r="Q62" i="17"/>
  <c r="O62" i="17"/>
  <c r="N62" i="17"/>
  <c r="L62" i="17"/>
  <c r="K62" i="17"/>
  <c r="H62" i="17"/>
  <c r="G62" i="17"/>
  <c r="F62" i="17"/>
  <c r="AG61" i="17"/>
  <c r="AF61" i="17"/>
  <c r="AD61" i="17"/>
  <c r="AC61" i="17"/>
  <c r="AA61" i="17"/>
  <c r="Z61" i="17"/>
  <c r="X61" i="17"/>
  <c r="W61" i="17"/>
  <c r="U61" i="17"/>
  <c r="T61" i="17"/>
  <c r="R61" i="17"/>
  <c r="Q61" i="17"/>
  <c r="O61" i="17"/>
  <c r="N61" i="17"/>
  <c r="L61" i="17"/>
  <c r="K61" i="17"/>
  <c r="H61" i="17"/>
  <c r="G61" i="17"/>
  <c r="F61" i="17"/>
  <c r="AG60" i="17"/>
  <c r="AF60" i="17"/>
  <c r="AD60" i="17"/>
  <c r="AC60" i="17"/>
  <c r="AA60" i="17"/>
  <c r="Z60" i="17"/>
  <c r="X60" i="17"/>
  <c r="W60" i="17"/>
  <c r="U60" i="17"/>
  <c r="T60" i="17"/>
  <c r="R60" i="17"/>
  <c r="Q60" i="17"/>
  <c r="O60" i="17"/>
  <c r="N60" i="17"/>
  <c r="L60" i="17"/>
  <c r="K60" i="17"/>
  <c r="H60" i="17"/>
  <c r="AG59" i="17"/>
  <c r="AF59" i="17"/>
  <c r="AD59" i="17"/>
  <c r="AC59" i="17"/>
  <c r="AA59" i="17"/>
  <c r="Z59" i="17"/>
  <c r="X59" i="17"/>
  <c r="W59" i="17"/>
  <c r="U59" i="17"/>
  <c r="T59" i="17"/>
  <c r="R59" i="17"/>
  <c r="Q59" i="17"/>
  <c r="O59" i="17"/>
  <c r="N59" i="17"/>
  <c r="L59" i="17"/>
  <c r="K59" i="17"/>
  <c r="H59" i="17"/>
  <c r="AF58" i="17"/>
  <c r="AC58" i="17"/>
  <c r="AA58" i="17"/>
  <c r="Z58" i="17"/>
  <c r="X58" i="17"/>
  <c r="W58" i="17"/>
  <c r="U58" i="17"/>
  <c r="T58" i="17"/>
  <c r="Q58" i="17"/>
  <c r="N58" i="17"/>
  <c r="K58" i="17"/>
  <c r="E58" i="17"/>
  <c r="AG57" i="17"/>
  <c r="AF57" i="17"/>
  <c r="AD57" i="17"/>
  <c r="AC57" i="17"/>
  <c r="AA57" i="17"/>
  <c r="Z57" i="17"/>
  <c r="X57" i="17"/>
  <c r="W57" i="17"/>
  <c r="U57" i="17"/>
  <c r="T57" i="17"/>
  <c r="R57" i="17"/>
  <c r="Q57" i="17"/>
  <c r="O57" i="17"/>
  <c r="N57" i="17"/>
  <c r="L57" i="17"/>
  <c r="K57" i="17"/>
  <c r="H57" i="17"/>
  <c r="AG56" i="17"/>
  <c r="AF56" i="17"/>
  <c r="AD56" i="17"/>
  <c r="AC56" i="17"/>
  <c r="AA56" i="17"/>
  <c r="Z56" i="17"/>
  <c r="X56" i="17"/>
  <c r="W56" i="17"/>
  <c r="U56" i="17"/>
  <c r="T56" i="17"/>
  <c r="R56" i="17"/>
  <c r="Q56" i="17"/>
  <c r="O56" i="17"/>
  <c r="N56" i="17"/>
  <c r="L56" i="17"/>
  <c r="K56" i="17"/>
  <c r="H56" i="17"/>
  <c r="AG55" i="17"/>
  <c r="AF55" i="17"/>
  <c r="AD55" i="17"/>
  <c r="AC55" i="17"/>
  <c r="AA55" i="17"/>
  <c r="Z55" i="17"/>
  <c r="X55" i="17"/>
  <c r="W55" i="17"/>
  <c r="U55" i="17"/>
  <c r="T55" i="17"/>
  <c r="R55" i="17"/>
  <c r="Q55" i="17"/>
  <c r="O55" i="17"/>
  <c r="N55" i="17"/>
  <c r="L55" i="17"/>
  <c r="K55" i="17"/>
  <c r="H55" i="17"/>
  <c r="AG54" i="17"/>
  <c r="AF54" i="17"/>
  <c r="AD54" i="17"/>
  <c r="AC54" i="17"/>
  <c r="AA54" i="17"/>
  <c r="Z54" i="17"/>
  <c r="X54" i="17"/>
  <c r="W54" i="17"/>
  <c r="U54" i="17"/>
  <c r="T54" i="17"/>
  <c r="R54" i="17"/>
  <c r="Q54" i="17"/>
  <c r="O54" i="17"/>
  <c r="N54" i="17"/>
  <c r="L54" i="17"/>
  <c r="K54" i="17"/>
  <c r="H54" i="17"/>
  <c r="AG53" i="17"/>
  <c r="AF53" i="17"/>
  <c r="AD53" i="17"/>
  <c r="AC53" i="17"/>
  <c r="AA53" i="17"/>
  <c r="Z53" i="17"/>
  <c r="X53" i="17"/>
  <c r="W53" i="17"/>
  <c r="U53" i="17"/>
  <c r="T53" i="17"/>
  <c r="R53" i="17"/>
  <c r="Q53" i="17"/>
  <c r="O53" i="17"/>
  <c r="N53" i="17"/>
  <c r="L53" i="17"/>
  <c r="K53" i="17"/>
  <c r="H53" i="17"/>
  <c r="AG52" i="17"/>
  <c r="AF52" i="17"/>
  <c r="AC52" i="17"/>
  <c r="AA52" i="17"/>
  <c r="Z52" i="17"/>
  <c r="X52" i="17"/>
  <c r="W52" i="17"/>
  <c r="U52" i="17"/>
  <c r="T52" i="17"/>
  <c r="Q52" i="17"/>
  <c r="N52" i="17"/>
  <c r="K52" i="17"/>
  <c r="E52" i="17"/>
  <c r="AG51" i="17"/>
  <c r="AF51" i="17"/>
  <c r="AD51" i="17"/>
  <c r="AC51" i="17"/>
  <c r="AA51" i="17"/>
  <c r="Z51" i="17"/>
  <c r="X51" i="17"/>
  <c r="W51" i="17"/>
  <c r="U51" i="17"/>
  <c r="T51" i="17"/>
  <c r="R51" i="17"/>
  <c r="Q51" i="17"/>
  <c r="O51" i="17"/>
  <c r="N51" i="17"/>
  <c r="L51" i="17"/>
  <c r="K51" i="17"/>
  <c r="H51" i="17"/>
  <c r="G51" i="17"/>
  <c r="F51" i="17"/>
  <c r="AG50" i="17"/>
  <c r="AF50" i="17"/>
  <c r="AC50" i="17"/>
  <c r="AA50" i="17"/>
  <c r="Z50" i="17"/>
  <c r="X50" i="17"/>
  <c r="W50" i="17"/>
  <c r="T50" i="17"/>
  <c r="Q50" i="17"/>
  <c r="N50" i="17"/>
  <c r="K50" i="17"/>
  <c r="E50" i="17"/>
  <c r="AG49" i="17"/>
  <c r="AF49" i="17"/>
  <c r="AD49" i="17"/>
  <c r="AC49" i="17"/>
  <c r="AA49" i="17"/>
  <c r="Z49" i="17"/>
  <c r="X49" i="17"/>
  <c r="W49" i="17"/>
  <c r="U49" i="17"/>
  <c r="T49" i="17"/>
  <c r="R49" i="17"/>
  <c r="Q49" i="17"/>
  <c r="O49" i="17"/>
  <c r="N49" i="17"/>
  <c r="L49" i="17"/>
  <c r="K49" i="17"/>
  <c r="H49" i="17"/>
  <c r="AG48" i="17"/>
  <c r="AF48" i="17"/>
  <c r="AD48" i="17"/>
  <c r="AC48" i="17"/>
  <c r="AA48" i="17"/>
  <c r="Z48" i="17"/>
  <c r="X48" i="17"/>
  <c r="W48" i="17"/>
  <c r="U48" i="17"/>
  <c r="T48" i="17"/>
  <c r="R48" i="17"/>
  <c r="Q48" i="17"/>
  <c r="O48" i="17"/>
  <c r="N48" i="17"/>
  <c r="L48" i="17"/>
  <c r="K48" i="17"/>
  <c r="H48" i="17"/>
  <c r="AG47" i="17"/>
  <c r="AF47" i="17"/>
  <c r="AD47" i="17"/>
  <c r="AC47" i="17"/>
  <c r="AA47" i="17"/>
  <c r="Z47" i="17"/>
  <c r="X47" i="17"/>
  <c r="W47" i="17"/>
  <c r="U47" i="17"/>
  <c r="T47" i="17"/>
  <c r="R47" i="17"/>
  <c r="Q47" i="17"/>
  <c r="O47" i="17"/>
  <c r="N47" i="17"/>
  <c r="L47" i="17"/>
  <c r="K47" i="17"/>
  <c r="H47" i="17"/>
  <c r="AG46" i="17"/>
  <c r="AF46" i="17"/>
  <c r="AD46" i="17"/>
  <c r="AC46" i="17"/>
  <c r="AA46" i="17"/>
  <c r="Z46" i="17"/>
  <c r="X46" i="17"/>
  <c r="W46" i="17"/>
  <c r="U46" i="17"/>
  <c r="T46" i="17"/>
  <c r="R46" i="17"/>
  <c r="Q46" i="17"/>
  <c r="O46" i="17"/>
  <c r="N46" i="17"/>
  <c r="L46" i="17"/>
  <c r="K46" i="17"/>
  <c r="H46" i="17"/>
  <c r="AG45" i="17"/>
  <c r="AF45" i="17"/>
  <c r="AD45" i="17"/>
  <c r="AC45" i="17"/>
  <c r="AA45" i="17"/>
  <c r="Z45" i="17"/>
  <c r="X45" i="17"/>
  <c r="W45" i="17"/>
  <c r="U45" i="17"/>
  <c r="T45" i="17"/>
  <c r="R45" i="17"/>
  <c r="Q45" i="17"/>
  <c r="O45" i="17"/>
  <c r="N45" i="17"/>
  <c r="L45" i="17"/>
  <c r="K45" i="17"/>
  <c r="H45" i="17"/>
  <c r="AG44" i="17"/>
  <c r="AF44" i="17"/>
  <c r="AD44" i="17"/>
  <c r="AC44" i="17"/>
  <c r="AA44" i="17"/>
  <c r="Z44" i="17"/>
  <c r="X44" i="17"/>
  <c r="W44" i="17"/>
  <c r="U44" i="17"/>
  <c r="T44" i="17"/>
  <c r="R44" i="17"/>
  <c r="Q44" i="17"/>
  <c r="O44" i="17"/>
  <c r="N44" i="17"/>
  <c r="L44" i="17"/>
  <c r="K44" i="17"/>
  <c r="H44" i="17"/>
  <c r="AG43" i="17"/>
  <c r="AF43" i="17"/>
  <c r="AD43" i="17"/>
  <c r="AC43" i="17"/>
  <c r="AA43" i="17"/>
  <c r="Z43" i="17"/>
  <c r="X43" i="17"/>
  <c r="W43" i="17"/>
  <c r="U43" i="17"/>
  <c r="T43" i="17"/>
  <c r="R43" i="17"/>
  <c r="Q43" i="17"/>
  <c r="O43" i="17"/>
  <c r="N43" i="17"/>
  <c r="L43" i="17"/>
  <c r="K43" i="17"/>
  <c r="H43" i="17"/>
  <c r="AG42" i="17"/>
  <c r="AF42" i="17"/>
  <c r="AD42" i="17"/>
  <c r="AC42" i="17"/>
  <c r="AA42" i="17"/>
  <c r="Z42" i="17"/>
  <c r="X42" i="17"/>
  <c r="W42" i="17"/>
  <c r="U42" i="17"/>
  <c r="T42" i="17"/>
  <c r="R42" i="17"/>
  <c r="Q42" i="17"/>
  <c r="O42" i="17"/>
  <c r="N42" i="17"/>
  <c r="L42" i="17"/>
  <c r="K42" i="17"/>
  <c r="H42" i="17"/>
  <c r="G42" i="17"/>
  <c r="F42" i="17"/>
  <c r="AG41" i="17"/>
  <c r="AF41" i="17"/>
  <c r="AC41" i="17"/>
  <c r="AA41" i="17"/>
  <c r="Z41" i="17"/>
  <c r="X41" i="17"/>
  <c r="W41" i="17"/>
  <c r="T41" i="17"/>
  <c r="Q41" i="17"/>
  <c r="N41" i="17"/>
  <c r="K41" i="17"/>
  <c r="E41" i="17"/>
  <c r="AG40" i="17"/>
  <c r="AF40" i="17"/>
  <c r="AC40" i="17"/>
  <c r="AA40" i="17"/>
  <c r="Z40" i="17"/>
  <c r="X40" i="17"/>
  <c r="W40" i="17"/>
  <c r="T40" i="17"/>
  <c r="Q40" i="17"/>
  <c r="N40" i="17"/>
  <c r="K40" i="17"/>
  <c r="E40" i="17"/>
  <c r="AG39" i="17"/>
  <c r="AF39" i="17"/>
  <c r="AC39" i="17"/>
  <c r="AA39" i="17"/>
  <c r="Z39" i="17"/>
  <c r="X39" i="17"/>
  <c r="W39" i="17"/>
  <c r="T39" i="17"/>
  <c r="Q39" i="17"/>
  <c r="N39" i="17"/>
  <c r="K39" i="17"/>
  <c r="E39" i="17"/>
  <c r="AG38" i="17"/>
  <c r="AF38" i="17"/>
  <c r="AD38" i="17"/>
  <c r="AC38" i="17"/>
  <c r="Z38" i="17"/>
  <c r="X38" i="17"/>
  <c r="W38" i="17"/>
  <c r="T38" i="17"/>
  <c r="Q38" i="17"/>
  <c r="N38" i="17"/>
  <c r="K38" i="17"/>
  <c r="E38" i="17"/>
  <c r="AG37" i="17"/>
  <c r="AF37" i="17"/>
  <c r="AD37" i="17"/>
  <c r="AC37" i="17"/>
  <c r="AA37" i="17"/>
  <c r="Z37" i="17"/>
  <c r="X37" i="17"/>
  <c r="W37" i="17"/>
  <c r="U37" i="17"/>
  <c r="T37" i="17"/>
  <c r="R37" i="17"/>
  <c r="Q37" i="17"/>
  <c r="O37" i="17"/>
  <c r="N37" i="17"/>
  <c r="L37" i="17"/>
  <c r="K37" i="17"/>
  <c r="H37" i="17"/>
  <c r="G37" i="17"/>
  <c r="F37" i="17"/>
  <c r="AG36" i="17"/>
  <c r="AF36" i="17"/>
  <c r="AD36" i="17"/>
  <c r="AC36" i="17"/>
  <c r="AA36" i="17"/>
  <c r="Z36" i="17"/>
  <c r="X36" i="17"/>
  <c r="W36" i="17"/>
  <c r="U36" i="17"/>
  <c r="T36" i="17"/>
  <c r="R36" i="17"/>
  <c r="Q36" i="17"/>
  <c r="O36" i="17"/>
  <c r="N36" i="17"/>
  <c r="L36" i="17"/>
  <c r="K36" i="17"/>
  <c r="H36" i="17"/>
  <c r="G36" i="17"/>
  <c r="F36" i="17"/>
  <c r="AG35" i="17"/>
  <c r="AF35" i="17"/>
  <c r="AD35" i="17"/>
  <c r="AC35" i="17"/>
  <c r="AA35" i="17"/>
  <c r="Z35" i="17"/>
  <c r="X35" i="17"/>
  <c r="W35" i="17"/>
  <c r="U35" i="17"/>
  <c r="T35" i="17"/>
  <c r="R35" i="17"/>
  <c r="Q35" i="17"/>
  <c r="O35" i="17"/>
  <c r="N35" i="17"/>
  <c r="L35" i="17"/>
  <c r="K35" i="17"/>
  <c r="H35" i="17"/>
  <c r="G35" i="17"/>
  <c r="F35" i="17"/>
  <c r="AG34" i="17"/>
  <c r="AF34" i="17"/>
  <c r="AD34" i="17"/>
  <c r="AC34" i="17"/>
  <c r="Z34" i="17"/>
  <c r="X34" i="17"/>
  <c r="W34" i="17"/>
  <c r="T34" i="17"/>
  <c r="Q34" i="17"/>
  <c r="N34" i="17"/>
  <c r="K34" i="17"/>
  <c r="E34" i="17"/>
  <c r="AG33" i="17"/>
  <c r="AF33" i="17"/>
  <c r="AD33" i="17"/>
  <c r="AC33" i="17"/>
  <c r="Z33" i="17"/>
  <c r="X33" i="17"/>
  <c r="W33" i="17"/>
  <c r="T33" i="17"/>
  <c r="Q33" i="17"/>
  <c r="N33" i="17"/>
  <c r="K33" i="17"/>
  <c r="E33" i="17"/>
  <c r="AG32" i="17"/>
  <c r="AF32" i="17"/>
  <c r="AD32" i="17"/>
  <c r="AC32" i="17"/>
  <c r="Z32" i="17"/>
  <c r="X32" i="17"/>
  <c r="W32" i="17"/>
  <c r="T32" i="17"/>
  <c r="Q32" i="17"/>
  <c r="N32" i="17"/>
  <c r="K32" i="17"/>
  <c r="E32" i="17"/>
  <c r="AG31" i="17"/>
  <c r="AF31" i="17"/>
  <c r="AD31" i="17"/>
  <c r="AC31" i="17"/>
  <c r="Z31" i="17"/>
  <c r="X31" i="17"/>
  <c r="W31" i="17"/>
  <c r="T31" i="17"/>
  <c r="Q31" i="17"/>
  <c r="N31" i="17"/>
  <c r="K31" i="17"/>
  <c r="E31" i="17"/>
  <c r="AG30" i="17"/>
  <c r="AF30" i="17"/>
  <c r="AD30" i="17"/>
  <c r="AC30" i="17"/>
  <c r="Z30" i="17"/>
  <c r="X30" i="17"/>
  <c r="W30" i="17"/>
  <c r="T30" i="17"/>
  <c r="Q30" i="17"/>
  <c r="N30" i="17"/>
  <c r="K30" i="17"/>
  <c r="E30" i="17"/>
  <c r="AG29" i="17"/>
  <c r="AF29" i="17"/>
  <c r="AD29" i="17"/>
  <c r="AC29" i="17"/>
  <c r="Z29" i="17"/>
  <c r="X29" i="17"/>
  <c r="W29" i="17"/>
  <c r="T29" i="17"/>
  <c r="Q29" i="17"/>
  <c r="N29" i="17"/>
  <c r="K29" i="17"/>
  <c r="E29" i="17"/>
  <c r="AG28" i="17"/>
  <c r="AF28" i="17"/>
  <c r="AD28" i="17"/>
  <c r="AC28" i="17"/>
  <c r="Z28" i="17"/>
  <c r="X28" i="17"/>
  <c r="W28" i="17"/>
  <c r="T28" i="17"/>
  <c r="Q28" i="17"/>
  <c r="N28" i="17"/>
  <c r="K28" i="17"/>
  <c r="E28" i="17"/>
  <c r="AG27" i="17"/>
  <c r="AF27" i="17"/>
  <c r="AD27" i="17"/>
  <c r="AC27" i="17"/>
  <c r="Z27" i="17"/>
  <c r="X27" i="17"/>
  <c r="W27" i="17"/>
  <c r="T27" i="17"/>
  <c r="Q27" i="17"/>
  <c r="N27" i="17"/>
  <c r="K27" i="17"/>
  <c r="E27" i="17"/>
  <c r="AG26" i="17"/>
  <c r="AF26" i="17"/>
  <c r="AD26" i="17"/>
  <c r="AC26" i="17"/>
  <c r="Z26" i="17"/>
  <c r="X26" i="17"/>
  <c r="W26" i="17"/>
  <c r="T26" i="17"/>
  <c r="Q26" i="17"/>
  <c r="N26" i="17"/>
  <c r="K26" i="17"/>
  <c r="E26" i="17"/>
  <c r="AG25" i="17"/>
  <c r="AF25" i="17"/>
  <c r="AD25" i="17"/>
  <c r="AC25" i="17"/>
  <c r="Z25" i="17"/>
  <c r="X25" i="17"/>
  <c r="W25" i="17"/>
  <c r="T25" i="17"/>
  <c r="Q25" i="17"/>
  <c r="N25" i="17"/>
  <c r="K25" i="17"/>
  <c r="E25" i="17"/>
  <c r="AG24" i="17"/>
  <c r="AF24" i="17"/>
  <c r="AD24" i="17"/>
  <c r="AC24" i="17"/>
  <c r="Z24" i="17"/>
  <c r="X24" i="17"/>
  <c r="W24" i="17"/>
  <c r="T24" i="17"/>
  <c r="Q24" i="17"/>
  <c r="N24" i="17"/>
  <c r="K24" i="17"/>
  <c r="E24" i="17"/>
  <c r="AG23" i="17"/>
  <c r="AF23" i="17"/>
  <c r="AD23" i="17"/>
  <c r="AC23" i="17"/>
  <c r="Z23" i="17"/>
  <c r="X23" i="17"/>
  <c r="W23" i="17"/>
  <c r="T23" i="17"/>
  <c r="Q23" i="17"/>
  <c r="N23" i="17"/>
  <c r="K23" i="17"/>
  <c r="E23" i="17"/>
  <c r="AG22" i="17"/>
  <c r="AF22" i="17"/>
  <c r="AD22" i="17"/>
  <c r="AC22" i="17"/>
  <c r="AA22" i="17"/>
  <c r="Z22" i="17"/>
  <c r="X22" i="17"/>
  <c r="W22" i="17"/>
  <c r="U22" i="17"/>
  <c r="T22" i="17"/>
  <c r="R22" i="17"/>
  <c r="Q22" i="17"/>
  <c r="O22" i="17"/>
  <c r="N22" i="17"/>
  <c r="L22" i="17"/>
  <c r="K22" i="17"/>
  <c r="H22" i="17"/>
  <c r="G22" i="17"/>
  <c r="F22" i="17"/>
  <c r="AG21" i="17"/>
  <c r="AF21" i="17"/>
  <c r="AD21" i="17"/>
  <c r="AC21" i="17"/>
  <c r="AA21" i="17"/>
  <c r="Z21" i="17"/>
  <c r="X21" i="17"/>
  <c r="W21" i="17"/>
  <c r="U21" i="17"/>
  <c r="T21" i="17"/>
  <c r="R21" i="17"/>
  <c r="Q21" i="17"/>
  <c r="O21" i="17"/>
  <c r="N21" i="17"/>
  <c r="L21" i="17"/>
  <c r="K21" i="17"/>
  <c r="H21" i="17"/>
  <c r="AG20" i="17"/>
  <c r="AF20" i="17"/>
  <c r="AC20" i="17"/>
  <c r="AA20" i="17"/>
  <c r="Z20" i="17"/>
  <c r="X20" i="17"/>
  <c r="W20" i="17"/>
  <c r="T20" i="17"/>
  <c r="Q20" i="17"/>
  <c r="N20" i="17"/>
  <c r="K20" i="17"/>
  <c r="E20" i="17"/>
  <c r="AG19" i="17"/>
  <c r="AF19" i="17"/>
  <c r="AC19" i="17"/>
  <c r="AA19" i="17"/>
  <c r="Z19" i="17"/>
  <c r="X19" i="17"/>
  <c r="W19" i="17"/>
  <c r="T19" i="17"/>
  <c r="Q19" i="17"/>
  <c r="N19" i="17"/>
  <c r="K19" i="17"/>
  <c r="E19" i="17"/>
  <c r="AG18" i="17"/>
  <c r="AF18" i="17"/>
  <c r="AD18" i="17"/>
  <c r="AC18" i="17"/>
  <c r="AA18" i="17"/>
  <c r="Z18" i="17"/>
  <c r="X18" i="17"/>
  <c r="W18" i="17"/>
  <c r="U18" i="17"/>
  <c r="T18" i="17"/>
  <c r="R18" i="17"/>
  <c r="Q18" i="17"/>
  <c r="O18" i="17"/>
  <c r="N18" i="17"/>
  <c r="L18" i="17"/>
  <c r="K18" i="17"/>
  <c r="H18" i="17"/>
  <c r="AG17" i="17"/>
  <c r="AF17" i="17"/>
  <c r="AD17" i="17"/>
  <c r="AC17" i="17"/>
  <c r="AA17" i="17"/>
  <c r="Z17" i="17"/>
  <c r="X17" i="17"/>
  <c r="W17" i="17"/>
  <c r="U17" i="17"/>
  <c r="T17" i="17"/>
  <c r="R17" i="17"/>
  <c r="Q17" i="17"/>
  <c r="O17" i="17"/>
  <c r="N17" i="17"/>
  <c r="L17" i="17"/>
  <c r="K17" i="17"/>
  <c r="H17" i="17"/>
  <c r="G17" i="17"/>
  <c r="F17" i="17"/>
  <c r="AG16" i="17"/>
  <c r="AF16" i="17"/>
  <c r="AD16" i="17"/>
  <c r="AC16" i="17"/>
  <c r="AA16" i="17"/>
  <c r="Z16" i="17"/>
  <c r="X16" i="17"/>
  <c r="W16" i="17"/>
  <c r="U16" i="17"/>
  <c r="T16" i="17"/>
  <c r="R16" i="17"/>
  <c r="Q16" i="17"/>
  <c r="O16" i="17"/>
  <c r="N16" i="17"/>
  <c r="L16" i="17"/>
  <c r="K16" i="17"/>
  <c r="H16" i="17"/>
  <c r="G16" i="17"/>
  <c r="F16" i="17"/>
  <c r="AG15" i="17"/>
  <c r="AF15" i="17"/>
  <c r="AD15" i="17"/>
  <c r="AC15" i="17"/>
  <c r="AA15" i="17"/>
  <c r="Z15" i="17"/>
  <c r="X15" i="17"/>
  <c r="W15" i="17"/>
  <c r="U15" i="17"/>
  <c r="T15" i="17"/>
  <c r="R15" i="17"/>
  <c r="Q15" i="17"/>
  <c r="O15" i="17"/>
  <c r="N15" i="17"/>
  <c r="L15" i="17"/>
  <c r="K15" i="17"/>
  <c r="H15" i="17"/>
  <c r="A102" i="31" l="1"/>
  <c r="B90" i="31"/>
  <c r="C90" i="31" s="1"/>
  <c r="D90" i="31" s="1"/>
  <c r="F90" i="31" s="1"/>
  <c r="C9" i="21"/>
  <c r="R4" i="17"/>
  <c r="W4" i="17"/>
  <c r="S9" i="17"/>
  <c r="T7" i="17"/>
  <c r="Y7" i="17"/>
  <c r="R5" i="17"/>
  <c r="O9" i="20"/>
  <c r="O11" i="20"/>
  <c r="S5" i="17"/>
  <c r="B20" i="20" s="1"/>
  <c r="D20" i="20" s="1"/>
  <c r="S4" i="17"/>
  <c r="X4" i="17"/>
  <c r="P9" i="17"/>
  <c r="T9" i="17"/>
  <c r="P7" i="17"/>
  <c r="U7" i="17"/>
  <c r="T5" i="17"/>
  <c r="X5" i="17"/>
  <c r="Y4" i="17"/>
  <c r="Q9" i="17"/>
  <c r="U9" i="17"/>
  <c r="Q7" i="17"/>
  <c r="U5" i="17"/>
  <c r="B22" i="20" s="1"/>
  <c r="D22" i="20" s="1"/>
  <c r="Y5" i="17"/>
  <c r="B21" i="20" s="1"/>
  <c r="D21" i="20" s="1"/>
  <c r="V4" i="17"/>
  <c r="R9" i="17"/>
  <c r="X7" i="17"/>
  <c r="T6" i="17"/>
  <c r="AD165" i="17"/>
  <c r="L236" i="17"/>
  <c r="R311" i="17"/>
  <c r="AD315" i="17"/>
  <c r="AG325" i="17"/>
  <c r="AG340" i="17"/>
  <c r="L25" i="17"/>
  <c r="L29" i="17"/>
  <c r="L33" i="17"/>
  <c r="AD137" i="17"/>
  <c r="U156" i="17"/>
  <c r="AD171" i="17"/>
  <c r="AG180" i="17"/>
  <c r="AD206" i="17"/>
  <c r="U218" i="17"/>
  <c r="L232" i="17"/>
  <c r="AA237" i="17"/>
  <c r="U252" i="17"/>
  <c r="AG268" i="17"/>
  <c r="AD274" i="17"/>
  <c r="AA291" i="17"/>
  <c r="AD313" i="17"/>
  <c r="AD322" i="17"/>
  <c r="AD329" i="17"/>
  <c r="AD334" i="17"/>
  <c r="R342" i="17"/>
  <c r="L32" i="17"/>
  <c r="AD135" i="17"/>
  <c r="AD170" i="17"/>
  <c r="H184" i="17"/>
  <c r="U201" i="17"/>
  <c r="U222" i="17"/>
  <c r="L294" i="17"/>
  <c r="AA26" i="17"/>
  <c r="AA30" i="17"/>
  <c r="AA34" i="17"/>
  <c r="AD68" i="17"/>
  <c r="AD120" i="17"/>
  <c r="AD124" i="17"/>
  <c r="AD128" i="17"/>
  <c r="AD182" i="17"/>
  <c r="R207" i="17"/>
  <c r="R213" i="17"/>
  <c r="AD256" i="17"/>
  <c r="AD266" i="17"/>
  <c r="AD280" i="17"/>
  <c r="AD309" i="17"/>
  <c r="AD319" i="17"/>
  <c r="AG323" i="17"/>
  <c r="AG335" i="17"/>
  <c r="AG338" i="17"/>
  <c r="R343" i="17"/>
  <c r="L24" i="17"/>
  <c r="L28" i="17"/>
  <c r="U39" i="17"/>
  <c r="AD179" i="17"/>
  <c r="L188" i="17"/>
  <c r="U192" i="17"/>
  <c r="H205" i="17"/>
  <c r="AD243" i="17"/>
  <c r="AD273" i="17"/>
  <c r="U19" i="17"/>
  <c r="AA23" i="17"/>
  <c r="AA27" i="17"/>
  <c r="AA31" i="17"/>
  <c r="AA38" i="17"/>
  <c r="AD69" i="17"/>
  <c r="AD121" i="17"/>
  <c r="AD125" i="17"/>
  <c r="AD129" i="17"/>
  <c r="R134" i="17"/>
  <c r="H174" i="17"/>
  <c r="R183" i="17"/>
  <c r="H221" i="17"/>
  <c r="H240" i="17"/>
  <c r="U272" i="17"/>
  <c r="L278" i="17"/>
  <c r="AA293" i="17"/>
  <c r="AG324" i="17"/>
  <c r="AG332" i="17"/>
  <c r="AG336" i="17"/>
  <c r="AD339" i="17"/>
  <c r="AD344" i="17"/>
  <c r="H338" i="17"/>
  <c r="O338" i="17"/>
  <c r="H243" i="17"/>
  <c r="L338" i="17"/>
  <c r="H274" i="17"/>
  <c r="L34" i="17"/>
  <c r="H129" i="17"/>
  <c r="AD338" i="17"/>
  <c r="H278" i="17"/>
  <c r="H319" i="17"/>
  <c r="L335" i="17"/>
  <c r="AD335" i="17"/>
  <c r="H121" i="17"/>
  <c r="H232" i="17"/>
  <c r="H309" i="17"/>
  <c r="L311" i="17"/>
  <c r="H335" i="17"/>
  <c r="R338" i="17"/>
  <c r="H340" i="17"/>
  <c r="D10" i="21"/>
  <c r="A9" i="21"/>
  <c r="B9" i="21"/>
  <c r="H32" i="17"/>
  <c r="H125" i="17"/>
  <c r="H137" i="17"/>
  <c r="G158" i="17"/>
  <c r="H171" i="17"/>
  <c r="O171" i="17"/>
  <c r="R171" i="17"/>
  <c r="U171" i="17"/>
  <c r="H315" i="17"/>
  <c r="L323" i="17"/>
  <c r="L340" i="17"/>
  <c r="J4" i="17"/>
  <c r="J9" i="17"/>
  <c r="L171" i="17"/>
  <c r="O25" i="17"/>
  <c r="R25" i="17"/>
  <c r="U25" i="17"/>
  <c r="AA25" i="17"/>
  <c r="O69" i="17"/>
  <c r="H25" i="17"/>
  <c r="H69" i="17"/>
  <c r="O137" i="17"/>
  <c r="R137" i="17"/>
  <c r="H201" i="17"/>
  <c r="O274" i="17"/>
  <c r="R274" i="17"/>
  <c r="U274" i="17"/>
  <c r="O315" i="17"/>
  <c r="R315" i="17"/>
  <c r="AG319" i="17"/>
  <c r="R69" i="17"/>
  <c r="O206" i="17"/>
  <c r="R206" i="17"/>
  <c r="X311" i="17"/>
  <c r="AD311" i="17"/>
  <c r="O319" i="17"/>
  <c r="R319" i="17"/>
  <c r="AD323" i="17"/>
  <c r="O121" i="17"/>
  <c r="R121" i="17"/>
  <c r="U121" i="17"/>
  <c r="O125" i="17"/>
  <c r="R125" i="17"/>
  <c r="U125" i="17"/>
  <c r="O129" i="17"/>
  <c r="R129" i="17"/>
  <c r="U129" i="17"/>
  <c r="L203" i="17"/>
  <c r="AD203" i="17"/>
  <c r="H206" i="17"/>
  <c r="O232" i="17"/>
  <c r="R232" i="17"/>
  <c r="U232" i="17"/>
  <c r="AA232" i="17"/>
  <c r="H252" i="17"/>
  <c r="O278" i="17"/>
  <c r="R278" i="17"/>
  <c r="U278" i="17"/>
  <c r="O309" i="17"/>
  <c r="R309" i="17"/>
  <c r="AD52" i="17"/>
  <c r="L52" i="17"/>
  <c r="R52" i="17"/>
  <c r="O52" i="17"/>
  <c r="H52" i="17"/>
  <c r="AD202" i="17"/>
  <c r="L202" i="17"/>
  <c r="U202" i="17"/>
  <c r="R202" i="17"/>
  <c r="O202" i="17"/>
  <c r="H202" i="17"/>
  <c r="AD346" i="17"/>
  <c r="L346" i="17"/>
  <c r="U346" i="17"/>
  <c r="R346" i="17"/>
  <c r="O346" i="17"/>
  <c r="H346" i="17"/>
  <c r="AD67" i="17"/>
  <c r="X67" i="17"/>
  <c r="L67" i="17"/>
  <c r="R67" i="17"/>
  <c r="O67" i="17"/>
  <c r="H67" i="17"/>
  <c r="AD281" i="17"/>
  <c r="L281" i="17"/>
  <c r="U281" i="17"/>
  <c r="R281" i="17"/>
  <c r="O281" i="17"/>
  <c r="H281" i="17"/>
  <c r="R212" i="17"/>
  <c r="H212" i="17"/>
  <c r="L287" i="17"/>
  <c r="U287" i="17"/>
  <c r="R287" i="17"/>
  <c r="O287" i="17"/>
  <c r="H287" i="17"/>
  <c r="AD166" i="17"/>
  <c r="L166" i="17"/>
  <c r="U166" i="17"/>
  <c r="R166" i="17"/>
  <c r="O166" i="17"/>
  <c r="H166" i="17"/>
  <c r="AD187" i="17"/>
  <c r="L187" i="17"/>
  <c r="U187" i="17"/>
  <c r="R187" i="17"/>
  <c r="O187" i="17"/>
  <c r="H187" i="17"/>
  <c r="AD77" i="17"/>
  <c r="L77" i="17"/>
  <c r="U77" i="17"/>
  <c r="R77" i="17"/>
  <c r="O77" i="17"/>
  <c r="H77" i="17"/>
  <c r="AD123" i="17"/>
  <c r="L123" i="17"/>
  <c r="U123" i="17"/>
  <c r="R123" i="17"/>
  <c r="O123" i="17"/>
  <c r="H123" i="17"/>
  <c r="AD127" i="17"/>
  <c r="L127" i="17"/>
  <c r="U127" i="17"/>
  <c r="R127" i="17"/>
  <c r="O127" i="17"/>
  <c r="H127" i="17"/>
  <c r="O39" i="17"/>
  <c r="R39" i="17"/>
  <c r="L9" i="17"/>
  <c r="L69" i="17"/>
  <c r="X69" i="17"/>
  <c r="L121" i="17"/>
  <c r="L125" i="17"/>
  <c r="L129" i="17"/>
  <c r="L137" i="17"/>
  <c r="X137" i="17"/>
  <c r="O184" i="17"/>
  <c r="R184" i="17"/>
  <c r="L192" i="17"/>
  <c r="X207" i="17"/>
  <c r="AD207" i="17"/>
  <c r="L218" i="17"/>
  <c r="L274" i="17"/>
  <c r="L291" i="17"/>
  <c r="L206" i="17"/>
  <c r="X206" i="17"/>
  <c r="L309" i="17"/>
  <c r="X309" i="17"/>
  <c r="H311" i="17"/>
  <c r="O311" i="17"/>
  <c r="L315" i="17"/>
  <c r="X315" i="17"/>
  <c r="L319" i="17"/>
  <c r="H323" i="17"/>
  <c r="O323" i="17"/>
  <c r="R323" i="17"/>
  <c r="AD340" i="17"/>
  <c r="N7" i="17"/>
  <c r="O24" i="17"/>
  <c r="R24" i="17"/>
  <c r="U24" i="17"/>
  <c r="AA24" i="17"/>
  <c r="R33" i="17"/>
  <c r="AD163" i="17"/>
  <c r="L163" i="17"/>
  <c r="U163" i="17"/>
  <c r="R163" i="17"/>
  <c r="O163" i="17"/>
  <c r="H163" i="17"/>
  <c r="AD259" i="17"/>
  <c r="L259" i="17"/>
  <c r="AG259" i="17"/>
  <c r="R259" i="17"/>
  <c r="O259" i="17"/>
  <c r="H259" i="17"/>
  <c r="AD333" i="17"/>
  <c r="L333" i="17"/>
  <c r="AG333" i="17"/>
  <c r="R333" i="17"/>
  <c r="O333" i="17"/>
  <c r="H333" i="17"/>
  <c r="L19" i="17"/>
  <c r="AD19" i="17"/>
  <c r="H24" i="17"/>
  <c r="L4" i="17"/>
  <c r="N4" i="17"/>
  <c r="L26" i="17"/>
  <c r="H33" i="17"/>
  <c r="AD39" i="17"/>
  <c r="H39" i="17"/>
  <c r="AD223" i="17"/>
  <c r="L223" i="17"/>
  <c r="AD245" i="17"/>
  <c r="L245" i="17"/>
  <c r="U245" i="17"/>
  <c r="R245" i="17"/>
  <c r="O245" i="17"/>
  <c r="H245" i="17"/>
  <c r="AG331" i="17"/>
  <c r="AD331" i="17"/>
  <c r="L331" i="17"/>
  <c r="R331" i="17"/>
  <c r="O331" i="17"/>
  <c r="H331" i="17"/>
  <c r="O33" i="17"/>
  <c r="U33" i="17"/>
  <c r="AA33" i="17"/>
  <c r="AD40" i="17"/>
  <c r="L40" i="17"/>
  <c r="U40" i="17"/>
  <c r="R40" i="17"/>
  <c r="O40" i="17"/>
  <c r="H40" i="17"/>
  <c r="F226" i="17"/>
  <c r="G226" i="17" s="1"/>
  <c r="J8" i="19"/>
  <c r="L5" i="17"/>
  <c r="N5" i="17"/>
  <c r="L20" i="17"/>
  <c r="AD20" i="17"/>
  <c r="O28" i="17"/>
  <c r="R28" i="17"/>
  <c r="U28" i="17"/>
  <c r="AA28" i="17"/>
  <c r="L30" i="17"/>
  <c r="L41" i="17"/>
  <c r="AD41" i="17"/>
  <c r="J5" i="17"/>
  <c r="L157" i="17"/>
  <c r="G157" i="17"/>
  <c r="L169" i="17"/>
  <c r="U169" i="17"/>
  <c r="R169" i="17"/>
  <c r="O169" i="17"/>
  <c r="H169" i="17"/>
  <c r="O183" i="17"/>
  <c r="L265" i="17"/>
  <c r="R265" i="17"/>
  <c r="O265" i="17"/>
  <c r="H265" i="17"/>
  <c r="AG265" i="17"/>
  <c r="F302" i="17"/>
  <c r="G302" i="17" s="1"/>
  <c r="J6" i="19"/>
  <c r="H19" i="17"/>
  <c r="O19" i="17"/>
  <c r="R19" i="17"/>
  <c r="H28" i="17"/>
  <c r="AA29" i="17"/>
  <c r="U29" i="17"/>
  <c r="R29" i="17"/>
  <c r="O29" i="17"/>
  <c r="H29" i="17"/>
  <c r="AG183" i="17"/>
  <c r="H183" i="17"/>
  <c r="AA290" i="17"/>
  <c r="L290" i="17"/>
  <c r="O32" i="17"/>
  <c r="R32" i="17"/>
  <c r="U32" i="17"/>
  <c r="AA32" i="17"/>
  <c r="J7" i="17"/>
  <c r="L134" i="17"/>
  <c r="X134" i="17"/>
  <c r="AD134" i="17"/>
  <c r="L156" i="17"/>
  <c r="AD156" i="17"/>
  <c r="H158" i="17"/>
  <c r="O158" i="17"/>
  <c r="R158" i="17"/>
  <c r="U158" i="17"/>
  <c r="L180" i="17"/>
  <c r="AD180" i="17"/>
  <c r="AD192" i="17"/>
  <c r="L207" i="17"/>
  <c r="L213" i="17"/>
  <c r="X213" i="17"/>
  <c r="AD213" i="17"/>
  <c r="AD218" i="17"/>
  <c r="L222" i="17"/>
  <c r="AD222" i="17"/>
  <c r="L237" i="17"/>
  <c r="O243" i="17"/>
  <c r="R243" i="17"/>
  <c r="U243" i="17"/>
  <c r="L268" i="17"/>
  <c r="AD268" i="17"/>
  <c r="L272" i="17"/>
  <c r="L293" i="17"/>
  <c r="L325" i="17"/>
  <c r="AD325" i="17"/>
  <c r="L343" i="17"/>
  <c r="L7" i="17"/>
  <c r="O174" i="17"/>
  <c r="R174" i="17"/>
  <c r="U174" i="17"/>
  <c r="O205" i="17"/>
  <c r="R205" i="17"/>
  <c r="O221" i="17"/>
  <c r="R221" i="17"/>
  <c r="U221" i="17"/>
  <c r="O236" i="17"/>
  <c r="R236" i="17"/>
  <c r="U236" i="17"/>
  <c r="O240" i="17"/>
  <c r="R240" i="17"/>
  <c r="U240" i="17"/>
  <c r="AA240" i="17"/>
  <c r="O335" i="17"/>
  <c r="R335" i="17"/>
  <c r="O340" i="17"/>
  <c r="R340" i="17"/>
  <c r="H134" i="17"/>
  <c r="O134" i="17"/>
  <c r="H156" i="17"/>
  <c r="O156" i="17"/>
  <c r="R156" i="17"/>
  <c r="N9" i="17"/>
  <c r="H180" i="17"/>
  <c r="O180" i="17"/>
  <c r="R180" i="17"/>
  <c r="O201" i="17"/>
  <c r="R201" i="17"/>
  <c r="O212" i="17"/>
  <c r="H213" i="17"/>
  <c r="O213" i="17"/>
  <c r="H222" i="17"/>
  <c r="O222" i="17"/>
  <c r="R222" i="17"/>
  <c r="H236" i="17"/>
  <c r="H237" i="17"/>
  <c r="O237" i="17"/>
  <c r="R237" i="17"/>
  <c r="U237" i="17"/>
  <c r="O252" i="17"/>
  <c r="R252" i="17"/>
  <c r="H268" i="17"/>
  <c r="O268" i="17"/>
  <c r="R268" i="17"/>
  <c r="H272" i="17"/>
  <c r="O272" i="17"/>
  <c r="R272" i="17"/>
  <c r="H293" i="17"/>
  <c r="O293" i="17"/>
  <c r="R293" i="17"/>
  <c r="U293" i="17"/>
  <c r="H325" i="17"/>
  <c r="O325" i="17"/>
  <c r="R325" i="17"/>
  <c r="H343" i="17"/>
  <c r="O343" i="17"/>
  <c r="U159" i="17"/>
  <c r="R159" i="17"/>
  <c r="O159" i="17"/>
  <c r="H159" i="17"/>
  <c r="G159" i="17"/>
  <c r="L159" i="17"/>
  <c r="U168" i="17"/>
  <c r="R168" i="17"/>
  <c r="O168" i="17"/>
  <c r="H168" i="17"/>
  <c r="AD168" i="17"/>
  <c r="L168" i="17"/>
  <c r="L23" i="17"/>
  <c r="L27" i="17"/>
  <c r="L31" i="17"/>
  <c r="L38" i="17"/>
  <c r="AD50" i="17"/>
  <c r="L50" i="17"/>
  <c r="U50" i="17"/>
  <c r="R50" i="17"/>
  <c r="O50" i="17"/>
  <c r="H50" i="17"/>
  <c r="U126" i="17"/>
  <c r="R126" i="17"/>
  <c r="O126" i="17"/>
  <c r="H126" i="17"/>
  <c r="AD126" i="17"/>
  <c r="L126" i="17"/>
  <c r="AG153" i="17"/>
  <c r="R153" i="17"/>
  <c r="O153" i="17"/>
  <c r="H153" i="17"/>
  <c r="AD153" i="17"/>
  <c r="L153" i="17"/>
  <c r="U173" i="17"/>
  <c r="R173" i="17"/>
  <c r="O173" i="17"/>
  <c r="H173" i="17"/>
  <c r="AD173" i="17"/>
  <c r="L173" i="17"/>
  <c r="H20" i="17"/>
  <c r="O20" i="17"/>
  <c r="R20" i="17"/>
  <c r="U20" i="17"/>
  <c r="H26" i="17"/>
  <c r="O26" i="17"/>
  <c r="R26" i="17"/>
  <c r="U26" i="17"/>
  <c r="H30" i="17"/>
  <c r="O30" i="17"/>
  <c r="R30" i="17"/>
  <c r="U30" i="17"/>
  <c r="H34" i="17"/>
  <c r="O34" i="17"/>
  <c r="R34" i="17"/>
  <c r="U34" i="17"/>
  <c r="L39" i="17"/>
  <c r="H41" i="17"/>
  <c r="O41" i="17"/>
  <c r="R41" i="17"/>
  <c r="U41" i="17"/>
  <c r="AG58" i="17"/>
  <c r="R58" i="17"/>
  <c r="O58" i="17"/>
  <c r="H58" i="17"/>
  <c r="AD58" i="17"/>
  <c r="L58" i="17"/>
  <c r="U122" i="17"/>
  <c r="R122" i="17"/>
  <c r="O122" i="17"/>
  <c r="H122" i="17"/>
  <c r="AD122" i="17"/>
  <c r="L122" i="17"/>
  <c r="R131" i="17"/>
  <c r="O131" i="17"/>
  <c r="H131" i="17"/>
  <c r="AD131" i="17"/>
  <c r="X131" i="17"/>
  <c r="L131" i="17"/>
  <c r="R211" i="17"/>
  <c r="O211" i="17"/>
  <c r="H211" i="17"/>
  <c r="AD211" i="17"/>
  <c r="X211" i="17"/>
  <c r="L211" i="17"/>
  <c r="H23" i="17"/>
  <c r="O23" i="17"/>
  <c r="R23" i="17"/>
  <c r="U23" i="17"/>
  <c r="H27" i="17"/>
  <c r="O27" i="17"/>
  <c r="R27" i="17"/>
  <c r="U27" i="17"/>
  <c r="H31" i="17"/>
  <c r="O31" i="17"/>
  <c r="R31" i="17"/>
  <c r="U31" i="17"/>
  <c r="H38" i="17"/>
  <c r="O38" i="17"/>
  <c r="R38" i="17"/>
  <c r="U38" i="17"/>
  <c r="U76" i="17"/>
  <c r="R76" i="17"/>
  <c r="O76" i="17"/>
  <c r="H76" i="17"/>
  <c r="AD76" i="17"/>
  <c r="L76" i="17"/>
  <c r="U188" i="17"/>
  <c r="R188" i="17"/>
  <c r="O188" i="17"/>
  <c r="H188" i="17"/>
  <c r="AD188" i="17"/>
  <c r="H68" i="17"/>
  <c r="O68" i="17"/>
  <c r="R68" i="17"/>
  <c r="H120" i="17"/>
  <c r="O120" i="17"/>
  <c r="R120" i="17"/>
  <c r="U120" i="17"/>
  <c r="H124" i="17"/>
  <c r="O124" i="17"/>
  <c r="R124" i="17"/>
  <c r="U124" i="17"/>
  <c r="H128" i="17"/>
  <c r="O128" i="17"/>
  <c r="R128" i="17"/>
  <c r="U128" i="17"/>
  <c r="H135" i="17"/>
  <c r="O135" i="17"/>
  <c r="R135" i="17"/>
  <c r="H157" i="17"/>
  <c r="O157" i="17"/>
  <c r="R157" i="17"/>
  <c r="U157" i="17"/>
  <c r="H165" i="17"/>
  <c r="O165" i="17"/>
  <c r="R165" i="17"/>
  <c r="U165" i="17"/>
  <c r="H170" i="17"/>
  <c r="O170" i="17"/>
  <c r="R170" i="17"/>
  <c r="U170" i="17"/>
  <c r="H179" i="17"/>
  <c r="O179" i="17"/>
  <c r="R179" i="17"/>
  <c r="AG179" i="17"/>
  <c r="U199" i="17"/>
  <c r="R199" i="17"/>
  <c r="O199" i="17"/>
  <c r="H199" i="17"/>
  <c r="AD199" i="17"/>
  <c r="L199" i="17"/>
  <c r="AA230" i="17"/>
  <c r="U230" i="17"/>
  <c r="R230" i="17"/>
  <c r="O230" i="17"/>
  <c r="H230" i="17"/>
  <c r="L231" i="17"/>
  <c r="H231" i="17"/>
  <c r="AA231" i="17"/>
  <c r="U231" i="17"/>
  <c r="R231" i="17"/>
  <c r="O231" i="17"/>
  <c r="U251" i="17"/>
  <c r="R251" i="17"/>
  <c r="O251" i="17"/>
  <c r="H251" i="17"/>
  <c r="AD251" i="17"/>
  <c r="L251" i="17"/>
  <c r="AD169" i="17"/>
  <c r="L174" i="17"/>
  <c r="AD174" i="17"/>
  <c r="AG182" i="17"/>
  <c r="R182" i="17"/>
  <c r="O182" i="17"/>
  <c r="H182" i="17"/>
  <c r="L182" i="17"/>
  <c r="AA229" i="17"/>
  <c r="U229" i="17"/>
  <c r="R229" i="17"/>
  <c r="O229" i="17"/>
  <c r="H229" i="17"/>
  <c r="L229" i="17"/>
  <c r="L68" i="17"/>
  <c r="X68" i="17"/>
  <c r="L120" i="17"/>
  <c r="L124" i="17"/>
  <c r="L128" i="17"/>
  <c r="L135" i="17"/>
  <c r="X135" i="17"/>
  <c r="L165" i="17"/>
  <c r="L170" i="17"/>
  <c r="L179" i="17"/>
  <c r="L183" i="17"/>
  <c r="AD183" i="17"/>
  <c r="AD184" i="17"/>
  <c r="L184" i="17"/>
  <c r="AG184" i="17"/>
  <c r="R204" i="17"/>
  <c r="O204" i="17"/>
  <c r="H204" i="17"/>
  <c r="AD204" i="17"/>
  <c r="X204" i="17"/>
  <c r="L204" i="17"/>
  <c r="U220" i="17"/>
  <c r="R220" i="17"/>
  <c r="O220" i="17"/>
  <c r="H220" i="17"/>
  <c r="AD220" i="17"/>
  <c r="L220" i="17"/>
  <c r="L230" i="17"/>
  <c r="L235" i="17"/>
  <c r="O235" i="17"/>
  <c r="R235" i="17"/>
  <c r="U235" i="17"/>
  <c r="AA235" i="17"/>
  <c r="AG261" i="17"/>
  <c r="R261" i="17"/>
  <c r="O261" i="17"/>
  <c r="H261" i="17"/>
  <c r="AD261" i="17"/>
  <c r="L261" i="17"/>
  <c r="AG269" i="17"/>
  <c r="R269" i="17"/>
  <c r="O269" i="17"/>
  <c r="H269" i="17"/>
  <c r="AD269" i="17"/>
  <c r="L269" i="17"/>
  <c r="U282" i="17"/>
  <c r="R282" i="17"/>
  <c r="O282" i="17"/>
  <c r="H282" i="17"/>
  <c r="AD282" i="17"/>
  <c r="L282" i="17"/>
  <c r="AG318" i="17"/>
  <c r="R318" i="17"/>
  <c r="O318" i="17"/>
  <c r="H318" i="17"/>
  <c r="AD318" i="17"/>
  <c r="L318" i="17"/>
  <c r="H192" i="17"/>
  <c r="O192" i="17"/>
  <c r="R192" i="17"/>
  <c r="L201" i="17"/>
  <c r="AD201" i="17"/>
  <c r="H203" i="17"/>
  <c r="O203" i="17"/>
  <c r="R203" i="17"/>
  <c r="U203" i="17"/>
  <c r="L205" i="17"/>
  <c r="X205" i="17"/>
  <c r="AD205" i="17"/>
  <c r="H207" i="17"/>
  <c r="L212" i="17"/>
  <c r="X212" i="17"/>
  <c r="AD212" i="17"/>
  <c r="H218" i="17"/>
  <c r="O218" i="17"/>
  <c r="R218" i="17"/>
  <c r="L221" i="17"/>
  <c r="AD221" i="17"/>
  <c r="H223" i="17"/>
  <c r="O223" i="17"/>
  <c r="R223" i="17"/>
  <c r="U223" i="17"/>
  <c r="AA234" i="17"/>
  <c r="U234" i="17"/>
  <c r="R234" i="17"/>
  <c r="O234" i="17"/>
  <c r="H234" i="17"/>
  <c r="L234" i="17"/>
  <c r="H235" i="17"/>
  <c r="AA238" i="17"/>
  <c r="U238" i="17"/>
  <c r="R238" i="17"/>
  <c r="O238" i="17"/>
  <c r="H238" i="17"/>
  <c r="L238" i="17"/>
  <c r="U276" i="17"/>
  <c r="R276" i="17"/>
  <c r="O276" i="17"/>
  <c r="H276" i="17"/>
  <c r="AD276" i="17"/>
  <c r="L276" i="17"/>
  <c r="AA236" i="17"/>
  <c r="H256" i="17"/>
  <c r="O256" i="17"/>
  <c r="R256" i="17"/>
  <c r="AG256" i="17"/>
  <c r="H266" i="17"/>
  <c r="O266" i="17"/>
  <c r="R266" i="17"/>
  <c r="AG266" i="17"/>
  <c r="H273" i="17"/>
  <c r="O273" i="17"/>
  <c r="R273" i="17"/>
  <c r="U273" i="17"/>
  <c r="H280" i="17"/>
  <c r="O280" i="17"/>
  <c r="R280" i="17"/>
  <c r="U280" i="17"/>
  <c r="L240" i="17"/>
  <c r="L252" i="17"/>
  <c r="AD252" i="17"/>
  <c r="AD265" i="17"/>
  <c r="AD272" i="17"/>
  <c r="AD278" i="17"/>
  <c r="AD287" i="17"/>
  <c r="R310" i="17"/>
  <c r="O310" i="17"/>
  <c r="H310" i="17"/>
  <c r="AD310" i="17"/>
  <c r="X310" i="17"/>
  <c r="L310" i="17"/>
  <c r="L243" i="17"/>
  <c r="L256" i="17"/>
  <c r="L266" i="17"/>
  <c r="L273" i="17"/>
  <c r="L280" i="17"/>
  <c r="AA292" i="17"/>
  <c r="U292" i="17"/>
  <c r="R292" i="17"/>
  <c r="O292" i="17"/>
  <c r="H292" i="17"/>
  <c r="L292" i="17"/>
  <c r="H290" i="17"/>
  <c r="O290" i="17"/>
  <c r="R290" i="17"/>
  <c r="U290" i="17"/>
  <c r="H294" i="17"/>
  <c r="O294" i="17"/>
  <c r="R294" i="17"/>
  <c r="U294" i="17"/>
  <c r="AA294" i="17"/>
  <c r="H313" i="17"/>
  <c r="O313" i="17"/>
  <c r="R313" i="17"/>
  <c r="H322" i="17"/>
  <c r="O322" i="17"/>
  <c r="R322" i="17"/>
  <c r="AG322" i="17"/>
  <c r="L324" i="17"/>
  <c r="AD324" i="17"/>
  <c r="H329" i="17"/>
  <c r="O329" i="17"/>
  <c r="R329" i="17"/>
  <c r="AG329" i="17"/>
  <c r="L332" i="17"/>
  <c r="AD332" i="17"/>
  <c r="H334" i="17"/>
  <c r="O334" i="17"/>
  <c r="R334" i="17"/>
  <c r="AG334" i="17"/>
  <c r="L336" i="17"/>
  <c r="AD336" i="17"/>
  <c r="H339" i="17"/>
  <c r="O339" i="17"/>
  <c r="R339" i="17"/>
  <c r="AG339" i="17"/>
  <c r="L342" i="17"/>
  <c r="X342" i="17"/>
  <c r="AD342" i="17"/>
  <c r="H344" i="17"/>
  <c r="O344" i="17"/>
  <c r="R344" i="17"/>
  <c r="U344" i="17"/>
  <c r="L347" i="17"/>
  <c r="AD347" i="17"/>
  <c r="H291" i="17"/>
  <c r="O291" i="17"/>
  <c r="R291" i="17"/>
  <c r="U291" i="17"/>
  <c r="X343" i="17"/>
  <c r="AD343" i="17"/>
  <c r="L313" i="17"/>
  <c r="X313" i="17"/>
  <c r="L322" i="17"/>
  <c r="H324" i="17"/>
  <c r="O324" i="17"/>
  <c r="R324" i="17"/>
  <c r="L329" i="17"/>
  <c r="H332" i="17"/>
  <c r="O332" i="17"/>
  <c r="R332" i="17"/>
  <c r="L334" i="17"/>
  <c r="H336" i="17"/>
  <c r="O336" i="17"/>
  <c r="R336" i="17"/>
  <c r="L339" i="17"/>
  <c r="H342" i="17"/>
  <c r="O342" i="17"/>
  <c r="L344" i="17"/>
  <c r="H347" i="17"/>
  <c r="O347" i="17"/>
  <c r="R347" i="17"/>
  <c r="U347" i="17"/>
  <c r="A114" i="31" l="1"/>
  <c r="B102" i="31"/>
  <c r="C10" i="21"/>
  <c r="P5" i="17"/>
  <c r="P4" i="17"/>
  <c r="V5" i="17"/>
  <c r="V9" i="17"/>
  <c r="T4" i="17"/>
  <c r="V7" i="17"/>
  <c r="X9" i="17"/>
  <c r="R7" i="17"/>
  <c r="K9" i="17"/>
  <c r="D11" i="21"/>
  <c r="B10" i="21"/>
  <c r="A10" i="21"/>
  <c r="K7" i="17"/>
  <c r="F7" i="17"/>
  <c r="M5" i="17"/>
  <c r="B17" i="20" s="1"/>
  <c r="D17" i="20" s="1"/>
  <c r="U4" i="17"/>
  <c r="F5" i="17"/>
  <c r="Q5" i="17"/>
  <c r="B19" i="20" s="1"/>
  <c r="D19" i="20" s="1"/>
  <c r="O5" i="17"/>
  <c r="B18" i="20" s="1"/>
  <c r="D18" i="20" s="1"/>
  <c r="W5" i="17"/>
  <c r="B23" i="20" s="1"/>
  <c r="D23" i="20" s="1"/>
  <c r="M4" i="17"/>
  <c r="W9" i="17"/>
  <c r="O9" i="17"/>
  <c r="K5" i="17"/>
  <c r="B16" i="20" s="1"/>
  <c r="D16" i="20" s="1"/>
  <c r="F4" i="17"/>
  <c r="O7" i="17"/>
  <c r="Q4" i="17"/>
  <c r="W7" i="17"/>
  <c r="F9" i="17"/>
  <c r="Y9" i="17"/>
  <c r="K4" i="17"/>
  <c r="S7" i="17"/>
  <c r="M7" i="17"/>
  <c r="O4" i="17"/>
  <c r="M9" i="17"/>
  <c r="C102" i="31" l="1"/>
  <c r="D102" i="31" s="1"/>
  <c r="F102" i="31" s="1"/>
  <c r="A126" i="31"/>
  <c r="B114" i="31"/>
  <c r="C11" i="21"/>
  <c r="F311" i="17"/>
  <c r="G311" i="17" s="1"/>
  <c r="F345" i="17"/>
  <c r="G345" i="17" s="1"/>
  <c r="F207" i="17"/>
  <c r="G207" i="17" s="1"/>
  <c r="F343" i="17"/>
  <c r="G343" i="17" s="1"/>
  <c r="F70" i="17"/>
  <c r="G70" i="17" s="1"/>
  <c r="F137" i="17"/>
  <c r="G137" i="17" s="1"/>
  <c r="F315" i="17"/>
  <c r="G315" i="17" s="1"/>
  <c r="F67" i="17"/>
  <c r="G67" i="17" s="1"/>
  <c r="F206" i="17"/>
  <c r="G206" i="17" s="1"/>
  <c r="F135" i="17"/>
  <c r="G135" i="17" s="1"/>
  <c r="F213" i="17"/>
  <c r="G213" i="17" s="1"/>
  <c r="F133" i="17"/>
  <c r="G133" i="17" s="1"/>
  <c r="F211" i="17"/>
  <c r="G211" i="17" s="1"/>
  <c r="F197" i="17"/>
  <c r="G197" i="17" s="1"/>
  <c r="F163" i="17"/>
  <c r="G163" i="17" s="1"/>
  <c r="F75" i="17"/>
  <c r="G75" i="17" s="1"/>
  <c r="F223" i="17"/>
  <c r="G223" i="17" s="1"/>
  <c r="F48" i="17"/>
  <c r="G48" i="17" s="1"/>
  <c r="F276" i="17"/>
  <c r="G276" i="17" s="1"/>
  <c r="F15" i="17"/>
  <c r="G15" i="17" s="1"/>
  <c r="F115" i="17"/>
  <c r="G115" i="17" s="1"/>
  <c r="F245" i="17"/>
  <c r="G245" i="17" s="1"/>
  <c r="F76" i="17"/>
  <c r="G76" i="17" s="1"/>
  <c r="F50" i="17"/>
  <c r="G50" i="17" s="1"/>
  <c r="F287" i="17"/>
  <c r="G287" i="17" s="1"/>
  <c r="F121" i="17"/>
  <c r="G121" i="17" s="1"/>
  <c r="F72" i="17"/>
  <c r="G72" i="17" s="1"/>
  <c r="F111" i="17"/>
  <c r="G111" i="17" s="1"/>
  <c r="F192" i="17"/>
  <c r="G192" i="17" s="1"/>
  <c r="F248" i="17"/>
  <c r="G248" i="17" s="1"/>
  <c r="F252" i="17"/>
  <c r="G252" i="17" s="1"/>
  <c r="F20" i="17"/>
  <c r="G20" i="17" s="1"/>
  <c r="F173" i="17"/>
  <c r="G173" i="17" s="1"/>
  <c r="F119" i="17"/>
  <c r="G119" i="17" s="1"/>
  <c r="F165" i="17"/>
  <c r="G165" i="17" s="1"/>
  <c r="F217" i="17"/>
  <c r="G217" i="17" s="1"/>
  <c r="F346" i="17"/>
  <c r="G346" i="17" s="1"/>
  <c r="F44" i="17"/>
  <c r="G44" i="17" s="1"/>
  <c r="F41" i="17"/>
  <c r="G41" i="17" s="1"/>
  <c r="F171" i="17"/>
  <c r="G171" i="17" s="1"/>
  <c r="F39" i="17"/>
  <c r="G39" i="17" s="1"/>
  <c r="F45" i="17"/>
  <c r="G45" i="17" s="1"/>
  <c r="F40" i="17"/>
  <c r="G40" i="17" s="1"/>
  <c r="F125" i="17"/>
  <c r="G125" i="17" s="1"/>
  <c r="F126" i="17"/>
  <c r="G126" i="17" s="1"/>
  <c r="F188" i="17"/>
  <c r="G188" i="17" s="1"/>
  <c r="F109" i="17"/>
  <c r="G109" i="17" s="1"/>
  <c r="F113" i="17"/>
  <c r="G113" i="17" s="1"/>
  <c r="F117" i="17"/>
  <c r="G117" i="17" s="1"/>
  <c r="F127" i="17"/>
  <c r="G127" i="17" s="1"/>
  <c r="F169" i="17"/>
  <c r="G169" i="17" s="1"/>
  <c r="F203" i="17"/>
  <c r="G203" i="17" s="1"/>
  <c r="F124" i="17"/>
  <c r="G124" i="17" s="1"/>
  <c r="F196" i="17"/>
  <c r="G196" i="17" s="1"/>
  <c r="F199" i="17"/>
  <c r="G199" i="17" s="1"/>
  <c r="F201" i="17"/>
  <c r="G201" i="17" s="1"/>
  <c r="F191" i="17"/>
  <c r="G191" i="17" s="1"/>
  <c r="F281" i="17"/>
  <c r="G281" i="17" s="1"/>
  <c r="F286" i="17"/>
  <c r="G286" i="17" s="1"/>
  <c r="F278" i="17"/>
  <c r="G278" i="17" s="1"/>
  <c r="F273" i="17"/>
  <c r="G273" i="17" s="1"/>
  <c r="F344" i="17"/>
  <c r="G344" i="17" s="1"/>
  <c r="F21" i="17"/>
  <c r="G21" i="17" s="1"/>
  <c r="F130" i="17"/>
  <c r="G130" i="17" s="1"/>
  <c r="F18" i="17"/>
  <c r="G18" i="17" s="1"/>
  <c r="F43" i="17"/>
  <c r="G43" i="17" s="1"/>
  <c r="F19" i="17"/>
  <c r="G19" i="17" s="1"/>
  <c r="F74" i="17"/>
  <c r="G74" i="17" s="1"/>
  <c r="F122" i="17"/>
  <c r="G122" i="17" s="1"/>
  <c r="F187" i="17"/>
  <c r="G187" i="17" s="1"/>
  <c r="F77" i="17"/>
  <c r="G77" i="17" s="1"/>
  <c r="F112" i="17"/>
  <c r="G112" i="17" s="1"/>
  <c r="F116" i="17"/>
  <c r="G116" i="17" s="1"/>
  <c r="F123" i="17"/>
  <c r="G123" i="17" s="1"/>
  <c r="F164" i="17"/>
  <c r="G164" i="17" s="1"/>
  <c r="F194" i="17"/>
  <c r="G194" i="17" s="1"/>
  <c r="F120" i="17"/>
  <c r="G120" i="17" s="1"/>
  <c r="F170" i="17"/>
  <c r="G170" i="17" s="1"/>
  <c r="F246" i="17"/>
  <c r="G246" i="17" s="1"/>
  <c r="F274" i="17"/>
  <c r="G274" i="17" s="1"/>
  <c r="F250" i="17"/>
  <c r="G250" i="17" s="1"/>
  <c r="F222" i="17"/>
  <c r="G222" i="17" s="1"/>
  <c r="F282" i="17"/>
  <c r="G282" i="17" s="1"/>
  <c r="F272" i="17"/>
  <c r="G272" i="17" s="1"/>
  <c r="F243" i="17"/>
  <c r="G243" i="17" s="1"/>
  <c r="F347" i="17"/>
  <c r="G347" i="17" s="1"/>
  <c r="F73" i="17"/>
  <c r="G73" i="17" s="1"/>
  <c r="F47" i="17"/>
  <c r="G47" i="17" s="1"/>
  <c r="F193" i="17"/>
  <c r="G193" i="17" s="1"/>
  <c r="F129" i="17"/>
  <c r="G129" i="17" s="1"/>
  <c r="F46" i="17"/>
  <c r="G46" i="17" s="1"/>
  <c r="F49" i="17"/>
  <c r="G49" i="17" s="1"/>
  <c r="F166" i="17"/>
  <c r="G166" i="17" s="1"/>
  <c r="F168" i="17"/>
  <c r="G168" i="17" s="1"/>
  <c r="F189" i="17"/>
  <c r="G189" i="17" s="1"/>
  <c r="F110" i="17"/>
  <c r="G110" i="17" s="1"/>
  <c r="F114" i="17"/>
  <c r="G114" i="17" s="1"/>
  <c r="F118" i="17"/>
  <c r="G118" i="17" s="1"/>
  <c r="F156" i="17"/>
  <c r="G156" i="17" s="1"/>
  <c r="F174" i="17"/>
  <c r="G174" i="17" s="1"/>
  <c r="F218" i="17"/>
  <c r="G218" i="17" s="1"/>
  <c r="F128" i="17"/>
  <c r="G128" i="17" s="1"/>
  <c r="F198" i="17"/>
  <c r="G198" i="17" s="1"/>
  <c r="F220" i="17"/>
  <c r="G220" i="17" s="1"/>
  <c r="F221" i="17"/>
  <c r="G221" i="17" s="1"/>
  <c r="F202" i="17"/>
  <c r="G202" i="17" s="1"/>
  <c r="F251" i="17"/>
  <c r="G251" i="17" s="1"/>
  <c r="F242" i="17"/>
  <c r="G242" i="17" s="1"/>
  <c r="F279" i="17"/>
  <c r="G279" i="17" s="1"/>
  <c r="F280" i="17"/>
  <c r="G280" i="17" s="1"/>
  <c r="J4" i="19"/>
  <c r="B14" i="19" s="1"/>
  <c r="O7" i="20"/>
  <c r="J7" i="19"/>
  <c r="O10" i="20"/>
  <c r="F131" i="17"/>
  <c r="G131" i="17" s="1"/>
  <c r="F134" i="17"/>
  <c r="G134" i="17" s="1"/>
  <c r="F309" i="17"/>
  <c r="G309" i="17" s="1"/>
  <c r="F205" i="17"/>
  <c r="G205" i="17" s="1"/>
  <c r="F310" i="17"/>
  <c r="G310" i="17" s="1"/>
  <c r="F313" i="17"/>
  <c r="G313" i="17" s="1"/>
  <c r="J5" i="19"/>
  <c r="O8" i="20"/>
  <c r="F19" i="20" s="1"/>
  <c r="G19" i="20" s="1"/>
  <c r="J9" i="19"/>
  <c r="O12" i="20"/>
  <c r="K17" i="20"/>
  <c r="F69" i="17"/>
  <c r="G69" i="17" s="1"/>
  <c r="F132" i="17"/>
  <c r="G132" i="17" s="1"/>
  <c r="F68" i="17"/>
  <c r="G68" i="17" s="1"/>
  <c r="F204" i="17"/>
  <c r="G204" i="17" s="1"/>
  <c r="F212" i="17"/>
  <c r="G212" i="17" s="1"/>
  <c r="F342" i="17"/>
  <c r="G342" i="17" s="1"/>
  <c r="F314" i="17"/>
  <c r="G314" i="17" s="1"/>
  <c r="D12" i="21"/>
  <c r="A11" i="21"/>
  <c r="B11" i="21"/>
  <c r="F339" i="17"/>
  <c r="G339" i="17" s="1"/>
  <c r="F334" i="17"/>
  <c r="G334" i="17" s="1"/>
  <c r="F329" i="17"/>
  <c r="G329" i="17" s="1"/>
  <c r="F322" i="17"/>
  <c r="G322" i="17" s="1"/>
  <c r="F338" i="17"/>
  <c r="G338" i="17" s="1"/>
  <c r="F333" i="17"/>
  <c r="G333" i="17" s="1"/>
  <c r="F325" i="17"/>
  <c r="G325" i="17" s="1"/>
  <c r="F320" i="17"/>
  <c r="G320" i="17" s="1"/>
  <c r="F319" i="17"/>
  <c r="G319" i="17" s="1"/>
  <c r="F337" i="17"/>
  <c r="G337" i="17" s="1"/>
  <c r="F336" i="17"/>
  <c r="G336" i="17" s="1"/>
  <c r="F332" i="17"/>
  <c r="G332" i="17" s="1"/>
  <c r="F324" i="17"/>
  <c r="G324" i="17" s="1"/>
  <c r="F318" i="17"/>
  <c r="G318" i="17" s="1"/>
  <c r="F340" i="17"/>
  <c r="G340" i="17" s="1"/>
  <c r="F335" i="17"/>
  <c r="G335" i="17" s="1"/>
  <c r="F331" i="17"/>
  <c r="G331" i="17" s="1"/>
  <c r="F267" i="17"/>
  <c r="G267" i="17" s="1"/>
  <c r="F266" i="17"/>
  <c r="G266" i="17" s="1"/>
  <c r="F257" i="17"/>
  <c r="G257" i="17" s="1"/>
  <c r="F256" i="17"/>
  <c r="G256" i="17" s="1"/>
  <c r="F265" i="17"/>
  <c r="G265" i="17" s="1"/>
  <c r="F323" i="17"/>
  <c r="G323" i="17" s="1"/>
  <c r="F269" i="17"/>
  <c r="G269" i="17" s="1"/>
  <c r="F264" i="17"/>
  <c r="G264" i="17" s="1"/>
  <c r="F262" i="17"/>
  <c r="G262" i="17" s="1"/>
  <c r="F261" i="17"/>
  <c r="G261" i="17" s="1"/>
  <c r="F268" i="17"/>
  <c r="G268" i="17" s="1"/>
  <c r="F260" i="17"/>
  <c r="G260" i="17" s="1"/>
  <c r="F185" i="17"/>
  <c r="G185" i="17" s="1"/>
  <c r="F184" i="17"/>
  <c r="G184" i="17" s="1"/>
  <c r="F259" i="17"/>
  <c r="G259" i="17" s="1"/>
  <c r="F182" i="17"/>
  <c r="G182" i="17" s="1"/>
  <c r="F179" i="17"/>
  <c r="G179" i="17" s="1"/>
  <c r="F154" i="17"/>
  <c r="G154" i="17" s="1"/>
  <c r="F153" i="17"/>
  <c r="G153" i="17" s="1"/>
  <c r="F65" i="17"/>
  <c r="G65" i="17" s="1"/>
  <c r="F64" i="17"/>
  <c r="G64" i="17" s="1"/>
  <c r="F63" i="17"/>
  <c r="G63" i="17" s="1"/>
  <c r="F60" i="17"/>
  <c r="G60" i="17" s="1"/>
  <c r="F59" i="17"/>
  <c r="G59" i="17" s="1"/>
  <c r="F58" i="17"/>
  <c r="G58" i="17" s="1"/>
  <c r="F149" i="17"/>
  <c r="G149" i="17" s="1"/>
  <c r="F147" i="17"/>
  <c r="G147" i="17" s="1"/>
  <c r="F55" i="17"/>
  <c r="G55" i="17" s="1"/>
  <c r="F56" i="17"/>
  <c r="G56" i="17" s="1"/>
  <c r="F54" i="17"/>
  <c r="G54" i="17" s="1"/>
  <c r="F52" i="17"/>
  <c r="G52" i="17" s="1"/>
  <c r="F180" i="17"/>
  <c r="G180" i="17" s="1"/>
  <c r="F57" i="17"/>
  <c r="G57" i="17" s="1"/>
  <c r="F150" i="17"/>
  <c r="G150" i="17" s="1"/>
  <c r="F148" i="17"/>
  <c r="G148" i="17" s="1"/>
  <c r="F183" i="17"/>
  <c r="G183" i="17" s="1"/>
  <c r="F53" i="17"/>
  <c r="G53" i="17" s="1"/>
  <c r="F294" i="17"/>
  <c r="G294" i="17" s="1"/>
  <c r="F290" i="17"/>
  <c r="G290" i="17" s="1"/>
  <c r="F293" i="17"/>
  <c r="G293" i="17" s="1"/>
  <c r="F292" i="17"/>
  <c r="G292" i="17" s="1"/>
  <c r="F236" i="17"/>
  <c r="G236" i="17" s="1"/>
  <c r="F231" i="17"/>
  <c r="G231" i="17" s="1"/>
  <c r="F291" i="17"/>
  <c r="G291" i="17" s="1"/>
  <c r="F241" i="17"/>
  <c r="G241" i="17" s="1"/>
  <c r="F240" i="17"/>
  <c r="G240" i="17" s="1"/>
  <c r="F235" i="17"/>
  <c r="G235" i="17" s="1"/>
  <c r="F238" i="17"/>
  <c r="G238" i="17" s="1"/>
  <c r="F234" i="17"/>
  <c r="G234" i="17" s="1"/>
  <c r="F230" i="17"/>
  <c r="G230" i="17" s="1"/>
  <c r="F229" i="17"/>
  <c r="G229" i="17" s="1"/>
  <c r="F237" i="17"/>
  <c r="G237" i="17" s="1"/>
  <c r="F232" i="17"/>
  <c r="G232" i="17" s="1"/>
  <c r="F33" i="17"/>
  <c r="G33" i="17" s="1"/>
  <c r="F29" i="17"/>
  <c r="G29" i="17" s="1"/>
  <c r="F25" i="17"/>
  <c r="G25" i="17" s="1"/>
  <c r="F30" i="17"/>
  <c r="G30" i="17" s="1"/>
  <c r="F26" i="17"/>
  <c r="G26" i="17" s="1"/>
  <c r="F32" i="17"/>
  <c r="G32" i="17" s="1"/>
  <c r="F28" i="17"/>
  <c r="G28" i="17" s="1"/>
  <c r="F24" i="17"/>
  <c r="G24" i="17" s="1"/>
  <c r="F34" i="17"/>
  <c r="G34" i="17" s="1"/>
  <c r="F38" i="17"/>
  <c r="G38" i="17" s="1"/>
  <c r="F31" i="17"/>
  <c r="G31" i="17" s="1"/>
  <c r="F27" i="17"/>
  <c r="G27" i="17" s="1"/>
  <c r="F23" i="17"/>
  <c r="G23" i="17" s="1"/>
  <c r="D114" i="31" l="1"/>
  <c r="F114" i="31" s="1"/>
  <c r="C114" i="31"/>
  <c r="A138" i="31"/>
  <c r="B126" i="31"/>
  <c r="C126" i="31" s="1"/>
  <c r="D126" i="31" s="1"/>
  <c r="F126" i="31" s="1"/>
  <c r="C12" i="21"/>
  <c r="B25" i="19"/>
  <c r="G25" i="19" s="1"/>
  <c r="C18" i="19"/>
  <c r="C19" i="19" s="1"/>
  <c r="D21" i="19" s="1"/>
  <c r="G353" i="17"/>
  <c r="F18" i="20"/>
  <c r="G18" i="20" s="1"/>
  <c r="F16" i="20"/>
  <c r="G16" i="20" s="1"/>
  <c r="F23" i="20"/>
  <c r="G23" i="20" s="1"/>
  <c r="F17" i="20"/>
  <c r="G17" i="20" s="1"/>
  <c r="F21" i="20"/>
  <c r="G21" i="20" s="1"/>
  <c r="F20" i="20"/>
  <c r="G20" i="20" s="1"/>
  <c r="F22" i="20"/>
  <c r="G22" i="20" s="1"/>
  <c r="D13" i="21"/>
  <c r="B12" i="21"/>
  <c r="A12" i="21"/>
  <c r="A150" i="31" l="1"/>
  <c r="B138" i="31"/>
  <c r="C13" i="21"/>
  <c r="C25" i="19"/>
  <c r="C26" i="19" s="1"/>
  <c r="E25" i="19"/>
  <c r="E26" i="19" s="1"/>
  <c r="D25" i="19"/>
  <c r="D26" i="19" s="1"/>
  <c r="G26" i="19"/>
  <c r="F25" i="19"/>
  <c r="F26" i="19" s="1"/>
  <c r="K18" i="20"/>
  <c r="K19" i="20" s="1"/>
  <c r="J25" i="19"/>
  <c r="J26" i="19" s="1"/>
  <c r="I25" i="19"/>
  <c r="I26" i="19" s="1"/>
  <c r="H25" i="19"/>
  <c r="H26" i="19" s="1"/>
  <c r="D14" i="21"/>
  <c r="B13" i="21"/>
  <c r="A13" i="21"/>
  <c r="D138" i="31" l="1"/>
  <c r="F138" i="31" s="1"/>
  <c r="C138" i="31"/>
  <c r="A162" i="31"/>
  <c r="B150" i="31"/>
  <c r="C150" i="31" s="1"/>
  <c r="D150" i="31" s="1"/>
  <c r="F150" i="31" s="1"/>
  <c r="C14" i="21"/>
  <c r="H14" i="21"/>
  <c r="B26" i="19"/>
  <c r="D15" i="21"/>
  <c r="A14" i="21"/>
  <c r="B14" i="21"/>
  <c r="A174" i="31" l="1"/>
  <c r="B162" i="31"/>
  <c r="C162" i="31" s="1"/>
  <c r="D162" i="31" s="1"/>
  <c r="F162" i="31" s="1"/>
  <c r="C15" i="21"/>
  <c r="D16" i="21"/>
  <c r="B15" i="21"/>
  <c r="A15" i="21"/>
  <c r="A186" i="31" l="1"/>
  <c r="B174" i="31"/>
  <c r="C174" i="31" s="1"/>
  <c r="D174" i="31" s="1"/>
  <c r="F174" i="31" s="1"/>
  <c r="C16" i="21"/>
  <c r="D17" i="21"/>
  <c r="B16" i="21"/>
  <c r="A16" i="21"/>
  <c r="A198" i="31" l="1"/>
  <c r="B186" i="31"/>
  <c r="C186" i="31" s="1"/>
  <c r="D186" i="31" s="1"/>
  <c r="F186" i="31" s="1"/>
  <c r="C17" i="21"/>
  <c r="D18" i="21"/>
  <c r="B17" i="21"/>
  <c r="A17" i="21"/>
  <c r="A210" i="31" l="1"/>
  <c r="B198" i="31"/>
  <c r="C198" i="31" s="1"/>
  <c r="D198" i="31" s="1"/>
  <c r="F198" i="31" s="1"/>
  <c r="C18" i="21"/>
  <c r="D19" i="21"/>
  <c r="B18" i="21"/>
  <c r="A18" i="21"/>
  <c r="A222" i="31" l="1"/>
  <c r="B210" i="31"/>
  <c r="C210" i="31" s="1"/>
  <c r="D210" i="31" s="1"/>
  <c r="F210" i="31" s="1"/>
  <c r="C19" i="21"/>
  <c r="D20" i="21"/>
  <c r="B19" i="21"/>
  <c r="A19" i="21"/>
  <c r="A234" i="31" l="1"/>
  <c r="B222" i="31"/>
  <c r="C222" i="31" s="1"/>
  <c r="D222" i="31" s="1"/>
  <c r="F222" i="31" s="1"/>
  <c r="C20" i="21"/>
  <c r="D21" i="21"/>
  <c r="B20" i="21"/>
  <c r="A20" i="21"/>
  <c r="A246" i="31" l="1"/>
  <c r="B246" i="31" s="1"/>
  <c r="C246" i="31" s="1"/>
  <c r="D246" i="31" s="1"/>
  <c r="F246" i="31" s="1"/>
  <c r="H16" i="21" s="1"/>
  <c r="B234" i="31"/>
  <c r="C234" i="31" s="1"/>
  <c r="D234" i="31" s="1"/>
  <c r="F234" i="31" s="1"/>
  <c r="C21" i="21"/>
  <c r="D22" i="21"/>
  <c r="B21" i="21"/>
  <c r="A21" i="21"/>
  <c r="H19" i="21" l="1"/>
  <c r="H18" i="21"/>
  <c r="H6" i="21"/>
  <c r="H7" i="21"/>
  <c r="H11" i="21"/>
  <c r="H8" i="21"/>
  <c r="H9" i="21"/>
  <c r="H13" i="21"/>
  <c r="H10" i="21"/>
  <c r="H12" i="21"/>
  <c r="H15" i="21"/>
  <c r="H20" i="21"/>
  <c r="H21" i="21"/>
  <c r="H17" i="21"/>
  <c r="C22" i="21"/>
  <c r="H22" i="21"/>
  <c r="D23" i="21"/>
  <c r="A22" i="21"/>
  <c r="B22" i="21"/>
  <c r="C23" i="21" l="1"/>
  <c r="H23" i="21"/>
  <c r="D24" i="21"/>
  <c r="B23" i="21"/>
  <c r="A23" i="21"/>
  <c r="B3" i="4"/>
  <c r="B4" i="4"/>
  <c r="B5" i="4" s="1"/>
  <c r="B6" i="4"/>
  <c r="B7" i="4"/>
  <c r="B8" i="4"/>
  <c r="B11" i="4"/>
  <c r="B12" i="4"/>
  <c r="B13" i="4"/>
  <c r="B14" i="4"/>
  <c r="B15" i="4"/>
  <c r="C24" i="21" l="1"/>
  <c r="H24" i="21"/>
  <c r="D25" i="21"/>
  <c r="B24" i="21"/>
  <c r="A24" i="21"/>
  <c r="B10" i="4"/>
  <c r="B9" i="4"/>
  <c r="C25" i="21" l="1"/>
  <c r="H25" i="21"/>
  <c r="D26" i="21"/>
  <c r="B25" i="21"/>
  <c r="A25" i="21"/>
  <c r="M52" i="5"/>
  <c r="K52" i="5"/>
  <c r="N52" i="5" s="1"/>
  <c r="O52" i="5" s="1"/>
  <c r="M50" i="5"/>
  <c r="K50" i="5"/>
  <c r="N50" i="5" s="1"/>
  <c r="O50" i="5" s="1"/>
  <c r="M48" i="5"/>
  <c r="K48" i="5"/>
  <c r="N48" i="5" s="1"/>
  <c r="O48" i="5" s="1"/>
  <c r="M46" i="5"/>
  <c r="K46" i="5"/>
  <c r="N46" i="5" s="1"/>
  <c r="O46" i="5" s="1"/>
  <c r="M44" i="5"/>
  <c r="K44" i="5"/>
  <c r="N44" i="5" s="1"/>
  <c r="O44" i="5" s="1"/>
  <c r="M42" i="5"/>
  <c r="K42" i="5"/>
  <c r="N42" i="5" s="1"/>
  <c r="O42" i="5" s="1"/>
  <c r="M40" i="5"/>
  <c r="K40" i="5"/>
  <c r="N40" i="5" s="1"/>
  <c r="O40" i="5" s="1"/>
  <c r="M38" i="5"/>
  <c r="K38" i="5"/>
  <c r="N38" i="5" s="1"/>
  <c r="O38" i="5" s="1"/>
  <c r="M36" i="5"/>
  <c r="K36" i="5"/>
  <c r="N36" i="5" s="1"/>
  <c r="O36" i="5" s="1"/>
  <c r="M34" i="5"/>
  <c r="K34" i="5"/>
  <c r="N34" i="5" s="1"/>
  <c r="O34" i="5" s="1"/>
  <c r="M32" i="5"/>
  <c r="K32" i="5"/>
  <c r="N32" i="5" s="1"/>
  <c r="O32" i="5" s="1"/>
  <c r="M30" i="5"/>
  <c r="K30" i="5"/>
  <c r="N30" i="5" s="1"/>
  <c r="O30" i="5" s="1"/>
  <c r="M28" i="5"/>
  <c r="K28" i="5"/>
  <c r="N28" i="5" s="1"/>
  <c r="O28" i="5" s="1"/>
  <c r="M26" i="5"/>
  <c r="K26" i="5"/>
  <c r="N26" i="5" s="1"/>
  <c r="O26" i="5" s="1"/>
  <c r="M24" i="5"/>
  <c r="K24" i="5"/>
  <c r="N24" i="5" s="1"/>
  <c r="O24" i="5" s="1"/>
  <c r="M22" i="5"/>
  <c r="K22" i="5"/>
  <c r="N22" i="5" s="1"/>
  <c r="O22" i="5" s="1"/>
  <c r="M20" i="5"/>
  <c r="K20" i="5"/>
  <c r="N20" i="5" s="1"/>
  <c r="O20" i="5" s="1"/>
  <c r="M18" i="5"/>
  <c r="K18" i="5"/>
  <c r="N18" i="5" s="1"/>
  <c r="O18" i="5" s="1"/>
  <c r="M16" i="5"/>
  <c r="K16" i="5"/>
  <c r="N16" i="5" s="1"/>
  <c r="O16" i="5" s="1"/>
  <c r="M14" i="5"/>
  <c r="K14" i="5"/>
  <c r="N14" i="5" s="1"/>
  <c r="O14" i="5" s="1"/>
  <c r="M12" i="5"/>
  <c r="K12" i="5"/>
  <c r="N12" i="5" s="1"/>
  <c r="O12" i="5" s="1"/>
  <c r="M10" i="5"/>
  <c r="K10" i="5"/>
  <c r="N10" i="5" s="1"/>
  <c r="O10" i="5" s="1"/>
  <c r="M8" i="5"/>
  <c r="K8" i="5"/>
  <c r="N8" i="5" s="1"/>
  <c r="O8" i="5" s="1"/>
  <c r="P68" i="3"/>
  <c r="P66" i="3"/>
  <c r="Q66" i="3" s="1"/>
  <c r="T66" i="3" s="1"/>
  <c r="U66" i="3" s="1"/>
  <c r="P64" i="3"/>
  <c r="P62" i="3"/>
  <c r="P60" i="3"/>
  <c r="P58" i="3"/>
  <c r="P56" i="3"/>
  <c r="P54" i="3"/>
  <c r="P52" i="3"/>
  <c r="Q52" i="3" s="1"/>
  <c r="T52" i="3" s="1"/>
  <c r="U52" i="3" s="1"/>
  <c r="P50" i="3"/>
  <c r="P46" i="3"/>
  <c r="P44" i="3"/>
  <c r="P42" i="3"/>
  <c r="Q42" i="3" s="1"/>
  <c r="T42" i="3" s="1"/>
  <c r="P40" i="3"/>
  <c r="P38" i="3"/>
  <c r="P36" i="3"/>
  <c r="P34" i="3"/>
  <c r="Q34" i="3" s="1"/>
  <c r="T34" i="3" s="1"/>
  <c r="P32" i="3"/>
  <c r="P28" i="3"/>
  <c r="Q28" i="3" s="1"/>
  <c r="T28" i="3" s="1"/>
  <c r="P26" i="3"/>
  <c r="P24" i="3"/>
  <c r="Q24" i="3" s="1"/>
  <c r="T24" i="3" s="1"/>
  <c r="P22" i="3"/>
  <c r="P20" i="3"/>
  <c r="Q20" i="3" s="1"/>
  <c r="T20" i="3" s="1"/>
  <c r="P16" i="3"/>
  <c r="P14" i="3"/>
  <c r="P12" i="3"/>
  <c r="P10" i="3"/>
  <c r="Q10" i="3" s="1"/>
  <c r="T10" i="3" s="1"/>
  <c r="S66" i="3"/>
  <c r="Q68" i="3"/>
  <c r="T68" i="3" s="1"/>
  <c r="S68" i="3"/>
  <c r="Q70" i="3"/>
  <c r="T70" i="3" s="1"/>
  <c r="S70" i="3"/>
  <c r="Q72" i="3"/>
  <c r="T72" i="3" s="1"/>
  <c r="S72" i="3"/>
  <c r="Q74" i="3"/>
  <c r="T74" i="3" s="1"/>
  <c r="S74" i="3"/>
  <c r="Q76" i="3"/>
  <c r="T76" i="3" s="1"/>
  <c r="S76" i="3"/>
  <c r="Q78" i="3"/>
  <c r="T78" i="3" s="1"/>
  <c r="S78" i="3"/>
  <c r="Q80" i="3"/>
  <c r="T80" i="3" s="1"/>
  <c r="S80" i="3"/>
  <c r="Q54" i="3"/>
  <c r="T54" i="3" s="1"/>
  <c r="S54" i="3"/>
  <c r="Q56" i="3"/>
  <c r="T56" i="3" s="1"/>
  <c r="S56" i="3"/>
  <c r="Q58" i="3"/>
  <c r="T58" i="3" s="1"/>
  <c r="S58" i="3"/>
  <c r="Q60" i="3"/>
  <c r="T60" i="3" s="1"/>
  <c r="S60" i="3"/>
  <c r="Q62" i="3"/>
  <c r="T62" i="3" s="1"/>
  <c r="S62" i="3"/>
  <c r="Q64" i="3"/>
  <c r="T64" i="3" s="1"/>
  <c r="S64" i="3"/>
  <c r="S52" i="3"/>
  <c r="S50" i="3"/>
  <c r="Q50" i="3"/>
  <c r="T50" i="3" s="1"/>
  <c r="U50" i="3" s="1"/>
  <c r="S48" i="3"/>
  <c r="Q48" i="3"/>
  <c r="T48" i="3" s="1"/>
  <c r="U48" i="3" s="1"/>
  <c r="T46" i="3"/>
  <c r="U46" i="3" s="1"/>
  <c r="S46" i="3"/>
  <c r="Q46" i="3"/>
  <c r="T44" i="3"/>
  <c r="S44" i="3"/>
  <c r="Q44" i="3"/>
  <c r="S42" i="3"/>
  <c r="S40" i="3"/>
  <c r="Q40" i="3"/>
  <c r="T40" i="3" s="1"/>
  <c r="S38" i="3"/>
  <c r="Q38" i="3"/>
  <c r="T38" i="3" s="1"/>
  <c r="S36" i="3"/>
  <c r="Q36" i="3"/>
  <c r="T36" i="3" s="1"/>
  <c r="S34" i="3"/>
  <c r="S32" i="3"/>
  <c r="Q32" i="3"/>
  <c r="T32" i="3" s="1"/>
  <c r="T30" i="3"/>
  <c r="S30" i="3"/>
  <c r="Q30" i="3"/>
  <c r="S28" i="3"/>
  <c r="S26" i="3"/>
  <c r="Q26" i="3"/>
  <c r="T26" i="3" s="1"/>
  <c r="S24" i="3"/>
  <c r="S22" i="3"/>
  <c r="Q22" i="3"/>
  <c r="T22" i="3" s="1"/>
  <c r="S20" i="3"/>
  <c r="S18" i="3"/>
  <c r="Q18" i="3"/>
  <c r="T18" i="3" s="1"/>
  <c r="S16" i="3"/>
  <c r="Q16" i="3"/>
  <c r="T16" i="3" s="1"/>
  <c r="T14" i="3"/>
  <c r="S14" i="3"/>
  <c r="Q14" i="3"/>
  <c r="T12" i="3"/>
  <c r="S12" i="3"/>
  <c r="Q12" i="3"/>
  <c r="S10" i="3"/>
  <c r="S8" i="3"/>
  <c r="Q8" i="3"/>
  <c r="T8" i="3" s="1"/>
  <c r="N52" i="1"/>
  <c r="Q52" i="1" s="1"/>
  <c r="R52" i="1" s="1"/>
  <c r="P52" i="1"/>
  <c r="C26" i="21" l="1"/>
  <c r="H26" i="21"/>
  <c r="D27" i="21"/>
  <c r="B26" i="21"/>
  <c r="A26" i="21"/>
  <c r="P44" i="5"/>
  <c r="P46" i="5"/>
  <c r="P48" i="5"/>
  <c r="P50" i="5"/>
  <c r="P52" i="5"/>
  <c r="P8" i="5"/>
  <c r="P10" i="5"/>
  <c r="P12" i="5"/>
  <c r="P14" i="5"/>
  <c r="P16" i="5"/>
  <c r="P18" i="5"/>
  <c r="P20" i="5"/>
  <c r="P22" i="5"/>
  <c r="P24" i="5"/>
  <c r="P26" i="5"/>
  <c r="P28" i="5"/>
  <c r="P30" i="5"/>
  <c r="P32" i="5"/>
  <c r="P34" i="5"/>
  <c r="P36" i="5"/>
  <c r="P38" i="5"/>
  <c r="P40" i="5"/>
  <c r="P42" i="5"/>
  <c r="U54" i="3"/>
  <c r="U8" i="3"/>
  <c r="V8" i="3" s="1"/>
  <c r="U10" i="3"/>
  <c r="V10" i="3" s="1"/>
  <c r="U12" i="3"/>
  <c r="U14" i="3"/>
  <c r="U16" i="3"/>
  <c r="V16" i="3" s="1"/>
  <c r="U18" i="3"/>
  <c r="V18" i="3" s="1"/>
  <c r="U20" i="3"/>
  <c r="U22" i="3"/>
  <c r="U24" i="3"/>
  <c r="V24" i="3" s="1"/>
  <c r="U26" i="3"/>
  <c r="V26" i="3" s="1"/>
  <c r="U28" i="3"/>
  <c r="U30" i="3"/>
  <c r="U32" i="3"/>
  <c r="V32" i="3" s="1"/>
  <c r="U34" i="3"/>
  <c r="V34" i="3" s="1"/>
  <c r="U36" i="3"/>
  <c r="U38" i="3"/>
  <c r="U40" i="3"/>
  <c r="V40" i="3" s="1"/>
  <c r="U42" i="3"/>
  <c r="V42" i="3" s="1"/>
  <c r="U44" i="3"/>
  <c r="V44" i="3" s="1"/>
  <c r="U78" i="3"/>
  <c r="V78" i="3" s="1"/>
  <c r="U74" i="3"/>
  <c r="V74" i="3" s="1"/>
  <c r="U70" i="3"/>
  <c r="V70" i="3" s="1"/>
  <c r="U80" i="3"/>
  <c r="U76" i="3"/>
  <c r="V76" i="3" s="1"/>
  <c r="U72" i="3"/>
  <c r="U68" i="3"/>
  <c r="V68" i="3" s="1"/>
  <c r="V80" i="3"/>
  <c r="V72" i="3"/>
  <c r="V66" i="3"/>
  <c r="U62" i="3"/>
  <c r="V62" i="3" s="1"/>
  <c r="U58" i="3"/>
  <c r="U64" i="3"/>
  <c r="V64" i="3" s="1"/>
  <c r="U60" i="3"/>
  <c r="V60" i="3" s="1"/>
  <c r="U56" i="3"/>
  <c r="V56" i="3" s="1"/>
  <c r="V58" i="3"/>
  <c r="V54" i="3"/>
  <c r="V46" i="3"/>
  <c r="V48" i="3"/>
  <c r="V50" i="3"/>
  <c r="V52" i="3"/>
  <c r="V12" i="3"/>
  <c r="V14" i="3"/>
  <c r="V20" i="3"/>
  <c r="V22" i="3"/>
  <c r="V28" i="3"/>
  <c r="V30" i="3"/>
  <c r="V36" i="3"/>
  <c r="V38" i="3"/>
  <c r="F3" i="4"/>
  <c r="G3" i="4"/>
  <c r="H3" i="4"/>
  <c r="I3" i="4"/>
  <c r="J3" i="4"/>
  <c r="K3" i="4"/>
  <c r="L3" i="4"/>
  <c r="M3" i="4"/>
  <c r="N3" i="4"/>
  <c r="O3" i="4"/>
  <c r="P3" i="4"/>
  <c r="Q3" i="4"/>
  <c r="R3" i="4"/>
  <c r="S3" i="4"/>
  <c r="T3" i="4"/>
  <c r="U3" i="4"/>
  <c r="V3" i="4"/>
  <c r="W3" i="4"/>
  <c r="X3" i="4"/>
  <c r="Y3" i="4"/>
  <c r="Z3" i="4"/>
  <c r="AA3" i="4"/>
  <c r="AB3" i="4"/>
  <c r="AC3" i="4"/>
  <c r="AD3" i="4"/>
  <c r="AE3" i="4"/>
  <c r="AF3" i="4"/>
  <c r="AG3" i="4"/>
  <c r="AH3" i="4"/>
  <c r="AI3" i="4"/>
  <c r="AJ3" i="4"/>
  <c r="AK3" i="4"/>
  <c r="AL3" i="4"/>
  <c r="AM3" i="4"/>
  <c r="AN3" i="4"/>
  <c r="AO3" i="4"/>
  <c r="AP3" i="4"/>
  <c r="AQ3" i="4"/>
  <c r="AR3" i="4"/>
  <c r="AS3" i="4"/>
  <c r="AT3" i="4"/>
  <c r="AU3" i="4"/>
  <c r="AV3" i="4"/>
  <c r="AW3" i="4"/>
  <c r="AX3" i="4"/>
  <c r="AY3" i="4"/>
  <c r="AZ3" i="4"/>
  <c r="BA3" i="4"/>
  <c r="BB3" i="4"/>
  <c r="BC3" i="4"/>
  <c r="BD3" i="4"/>
  <c r="BE3" i="4"/>
  <c r="BF3" i="4"/>
  <c r="BG3" i="4"/>
  <c r="BH3" i="4"/>
  <c r="BI3" i="4"/>
  <c r="BJ3" i="4"/>
  <c r="BK3" i="4"/>
  <c r="BL3" i="4"/>
  <c r="BM3" i="4"/>
  <c r="BN3" i="4"/>
  <c r="BO3" i="4"/>
  <c r="BP3" i="4"/>
  <c r="BQ3" i="4"/>
  <c r="BR3" i="4"/>
  <c r="BS3" i="4"/>
  <c r="BT3" i="4"/>
  <c r="BU3" i="4"/>
  <c r="BV3" i="4"/>
  <c r="BW3" i="4"/>
  <c r="BX3" i="4"/>
  <c r="BY3" i="4"/>
  <c r="BZ3" i="4"/>
  <c r="CA3" i="4"/>
  <c r="CB3" i="4"/>
  <c r="CC3" i="4"/>
  <c r="CD3" i="4"/>
  <c r="CE3" i="4"/>
  <c r="CF3" i="4"/>
  <c r="CG3" i="4"/>
  <c r="CH3" i="4"/>
  <c r="F4" i="4"/>
  <c r="G4" i="4"/>
  <c r="H4" i="4"/>
  <c r="I4" i="4"/>
  <c r="J4" i="4"/>
  <c r="K4" i="4"/>
  <c r="L4" i="4"/>
  <c r="M4" i="4"/>
  <c r="N4" i="4"/>
  <c r="O4" i="4"/>
  <c r="P4" i="4"/>
  <c r="Q4" i="4"/>
  <c r="R4" i="4"/>
  <c r="S4" i="4"/>
  <c r="T4" i="4"/>
  <c r="U4" i="4"/>
  <c r="V4" i="4"/>
  <c r="W4" i="4"/>
  <c r="X4" i="4"/>
  <c r="Y4" i="4"/>
  <c r="Z4" i="4"/>
  <c r="AA4" i="4"/>
  <c r="AB4" i="4"/>
  <c r="AC4" i="4"/>
  <c r="AD4" i="4"/>
  <c r="AE4" i="4"/>
  <c r="AF4" i="4"/>
  <c r="AG4" i="4"/>
  <c r="AH4" i="4"/>
  <c r="AI4" i="4"/>
  <c r="AJ4" i="4"/>
  <c r="AK4" i="4"/>
  <c r="AL4" i="4"/>
  <c r="AM4" i="4"/>
  <c r="AN4" i="4"/>
  <c r="AO4" i="4"/>
  <c r="AP4" i="4"/>
  <c r="AQ4" i="4"/>
  <c r="AR4" i="4"/>
  <c r="AS4" i="4"/>
  <c r="AT4" i="4"/>
  <c r="AU4" i="4"/>
  <c r="AV4" i="4"/>
  <c r="AW4" i="4"/>
  <c r="AX4" i="4"/>
  <c r="AY4" i="4"/>
  <c r="AZ4" i="4"/>
  <c r="BA4" i="4"/>
  <c r="BB4" i="4"/>
  <c r="BC4" i="4"/>
  <c r="BD4" i="4"/>
  <c r="BE4" i="4"/>
  <c r="BF4" i="4"/>
  <c r="BG4" i="4"/>
  <c r="BH4" i="4"/>
  <c r="BI4" i="4"/>
  <c r="BJ4" i="4"/>
  <c r="BK4" i="4"/>
  <c r="BL4" i="4"/>
  <c r="BM4" i="4"/>
  <c r="BN4" i="4"/>
  <c r="BO4" i="4"/>
  <c r="BP4" i="4"/>
  <c r="BQ4" i="4"/>
  <c r="BR4" i="4"/>
  <c r="BS4" i="4"/>
  <c r="BS5" i="4" s="1"/>
  <c r="BT4" i="4"/>
  <c r="BU4" i="4"/>
  <c r="BV4" i="4"/>
  <c r="BW4" i="4"/>
  <c r="BW5" i="4" s="1"/>
  <c r="BX4" i="4"/>
  <c r="BY4" i="4"/>
  <c r="BZ4" i="4"/>
  <c r="CA4" i="4"/>
  <c r="CA5" i="4" s="1"/>
  <c r="CB4" i="4"/>
  <c r="CC4" i="4"/>
  <c r="CD4" i="4"/>
  <c r="CE4" i="4"/>
  <c r="CE5" i="4" s="1"/>
  <c r="CF4" i="4"/>
  <c r="CG4" i="4"/>
  <c r="CH4" i="4"/>
  <c r="F5" i="4"/>
  <c r="G5" i="4"/>
  <c r="H5" i="4"/>
  <c r="I5" i="4"/>
  <c r="J5" i="4"/>
  <c r="K5" i="4"/>
  <c r="L5" i="4"/>
  <c r="M5" i="4"/>
  <c r="N5" i="4"/>
  <c r="O5" i="4"/>
  <c r="P5" i="4"/>
  <c r="Q5" i="4"/>
  <c r="R5" i="4"/>
  <c r="S5" i="4"/>
  <c r="T5" i="4"/>
  <c r="U5" i="4"/>
  <c r="V5" i="4"/>
  <c r="W5" i="4"/>
  <c r="X5" i="4"/>
  <c r="Y5" i="4"/>
  <c r="Z5" i="4"/>
  <c r="AA5" i="4"/>
  <c r="AB5" i="4"/>
  <c r="AC5" i="4"/>
  <c r="AD5" i="4"/>
  <c r="AE5" i="4"/>
  <c r="AF5" i="4"/>
  <c r="AG5" i="4"/>
  <c r="AH5" i="4"/>
  <c r="AI5" i="4"/>
  <c r="AJ5" i="4"/>
  <c r="AK5" i="4"/>
  <c r="AL5" i="4"/>
  <c r="AM5" i="4"/>
  <c r="AN5" i="4"/>
  <c r="AO5" i="4"/>
  <c r="AP5" i="4"/>
  <c r="AQ5" i="4"/>
  <c r="AR5" i="4"/>
  <c r="AS5" i="4"/>
  <c r="AT5" i="4"/>
  <c r="AU5" i="4"/>
  <c r="AV5" i="4"/>
  <c r="AW5" i="4"/>
  <c r="AX5" i="4"/>
  <c r="AY5" i="4"/>
  <c r="AZ5" i="4"/>
  <c r="BA5" i="4"/>
  <c r="BB5" i="4"/>
  <c r="BC5" i="4"/>
  <c r="BD5" i="4"/>
  <c r="BE5" i="4"/>
  <c r="BF5" i="4"/>
  <c r="BG5" i="4"/>
  <c r="BH5" i="4"/>
  <c r="BI5" i="4"/>
  <c r="BJ5" i="4"/>
  <c r="BK5" i="4"/>
  <c r="BL5" i="4"/>
  <c r="BM5" i="4"/>
  <c r="BN5" i="4"/>
  <c r="BO5" i="4"/>
  <c r="BP5" i="4"/>
  <c r="BQ5" i="4"/>
  <c r="BR5" i="4"/>
  <c r="BT5" i="4"/>
  <c r="BU5" i="4"/>
  <c r="BV5" i="4"/>
  <c r="BX5" i="4"/>
  <c r="BY5" i="4"/>
  <c r="BZ5" i="4"/>
  <c r="CB5" i="4"/>
  <c r="CC5" i="4"/>
  <c r="CD5" i="4"/>
  <c r="CF5" i="4"/>
  <c r="CG5" i="4"/>
  <c r="CH5" i="4"/>
  <c r="F6" i="4"/>
  <c r="G6" i="4"/>
  <c r="H6" i="4"/>
  <c r="I6" i="4"/>
  <c r="J6" i="4"/>
  <c r="K6" i="4"/>
  <c r="L6" i="4"/>
  <c r="M6" i="4"/>
  <c r="N6" i="4"/>
  <c r="O6" i="4"/>
  <c r="P6" i="4"/>
  <c r="Q6" i="4"/>
  <c r="R6" i="4"/>
  <c r="S6" i="4"/>
  <c r="T6" i="4"/>
  <c r="U6" i="4"/>
  <c r="V6" i="4"/>
  <c r="W6" i="4"/>
  <c r="X6" i="4"/>
  <c r="Y6" i="4"/>
  <c r="Z6" i="4"/>
  <c r="AA6" i="4"/>
  <c r="AB6" i="4"/>
  <c r="AC6" i="4"/>
  <c r="AD6" i="4"/>
  <c r="AE6" i="4"/>
  <c r="AF6" i="4"/>
  <c r="AG6" i="4"/>
  <c r="AH6" i="4"/>
  <c r="AI6" i="4"/>
  <c r="AJ6" i="4"/>
  <c r="AK6" i="4"/>
  <c r="AL6" i="4"/>
  <c r="AM6" i="4"/>
  <c r="AN6" i="4"/>
  <c r="AO6" i="4"/>
  <c r="AP6" i="4"/>
  <c r="AQ6" i="4"/>
  <c r="AR6" i="4"/>
  <c r="AS6" i="4"/>
  <c r="AT6" i="4"/>
  <c r="AU6" i="4"/>
  <c r="AV6" i="4"/>
  <c r="AW6" i="4"/>
  <c r="AX6" i="4"/>
  <c r="AY6" i="4"/>
  <c r="AZ6" i="4"/>
  <c r="BA6" i="4"/>
  <c r="BB6" i="4"/>
  <c r="BC6" i="4"/>
  <c r="BD6" i="4"/>
  <c r="BE6" i="4"/>
  <c r="BF6" i="4"/>
  <c r="BG6" i="4"/>
  <c r="BH6" i="4"/>
  <c r="BI6" i="4"/>
  <c r="BJ6" i="4"/>
  <c r="BK6" i="4"/>
  <c r="BL6" i="4"/>
  <c r="BM6" i="4"/>
  <c r="BN6" i="4"/>
  <c r="BO6" i="4"/>
  <c r="BP6" i="4"/>
  <c r="BQ6" i="4"/>
  <c r="BR6" i="4"/>
  <c r="BS6" i="4"/>
  <c r="BT6" i="4"/>
  <c r="BU6" i="4"/>
  <c r="BV6" i="4"/>
  <c r="BW6" i="4"/>
  <c r="BX6" i="4"/>
  <c r="BY6" i="4"/>
  <c r="BZ6" i="4"/>
  <c r="CA6" i="4"/>
  <c r="CB6" i="4"/>
  <c r="CC6" i="4"/>
  <c r="CD6" i="4"/>
  <c r="CE6" i="4"/>
  <c r="CF6" i="4"/>
  <c r="CG6" i="4"/>
  <c r="CH6" i="4"/>
  <c r="F7" i="4"/>
  <c r="G7" i="4"/>
  <c r="H7" i="4"/>
  <c r="I7" i="4"/>
  <c r="J7" i="4"/>
  <c r="K7" i="4"/>
  <c r="L7" i="4"/>
  <c r="M7" i="4"/>
  <c r="N7" i="4"/>
  <c r="O7" i="4"/>
  <c r="P7" i="4"/>
  <c r="Q7" i="4"/>
  <c r="R7" i="4"/>
  <c r="S7" i="4"/>
  <c r="T7" i="4"/>
  <c r="U7" i="4"/>
  <c r="V7" i="4"/>
  <c r="W7" i="4"/>
  <c r="X7" i="4"/>
  <c r="Y7" i="4"/>
  <c r="Z7" i="4"/>
  <c r="AA7" i="4"/>
  <c r="AB7" i="4"/>
  <c r="AC7" i="4"/>
  <c r="AD7" i="4"/>
  <c r="AE7" i="4"/>
  <c r="AF7" i="4"/>
  <c r="AG7" i="4"/>
  <c r="AH7" i="4"/>
  <c r="AI7" i="4"/>
  <c r="AJ7" i="4"/>
  <c r="AK7" i="4"/>
  <c r="AL7" i="4"/>
  <c r="AM7" i="4"/>
  <c r="AN7" i="4"/>
  <c r="AO7" i="4"/>
  <c r="AP7" i="4"/>
  <c r="AQ7" i="4"/>
  <c r="AR7" i="4"/>
  <c r="AS7" i="4"/>
  <c r="AT7" i="4"/>
  <c r="AU7" i="4"/>
  <c r="AV7" i="4"/>
  <c r="AW7" i="4"/>
  <c r="AX7" i="4"/>
  <c r="AY7" i="4"/>
  <c r="AZ7" i="4"/>
  <c r="BA7" i="4"/>
  <c r="BB7" i="4"/>
  <c r="BC7" i="4"/>
  <c r="BD7" i="4"/>
  <c r="BE7" i="4"/>
  <c r="BF7" i="4"/>
  <c r="BG7" i="4"/>
  <c r="BH7" i="4"/>
  <c r="BI7" i="4"/>
  <c r="BJ7" i="4"/>
  <c r="BK7" i="4"/>
  <c r="BL7" i="4"/>
  <c r="BM7" i="4"/>
  <c r="BN7" i="4"/>
  <c r="BO7" i="4"/>
  <c r="BP7" i="4"/>
  <c r="BQ7" i="4"/>
  <c r="BR7" i="4"/>
  <c r="BS7" i="4"/>
  <c r="BT7" i="4"/>
  <c r="BU7" i="4"/>
  <c r="BV7" i="4"/>
  <c r="BW7" i="4"/>
  <c r="BX7" i="4"/>
  <c r="BY7" i="4"/>
  <c r="BZ7" i="4"/>
  <c r="CA7" i="4"/>
  <c r="CB7" i="4"/>
  <c r="CC7" i="4"/>
  <c r="CD7" i="4"/>
  <c r="CE7" i="4"/>
  <c r="CF7" i="4"/>
  <c r="CG7" i="4"/>
  <c r="CH7" i="4"/>
  <c r="F8" i="4"/>
  <c r="G8" i="4"/>
  <c r="H8" i="4"/>
  <c r="I8" i="4"/>
  <c r="J8" i="4"/>
  <c r="K8" i="4"/>
  <c r="L8" i="4"/>
  <c r="M8" i="4"/>
  <c r="N8" i="4"/>
  <c r="O8" i="4"/>
  <c r="P8" i="4"/>
  <c r="Q8" i="4"/>
  <c r="R8" i="4"/>
  <c r="S8" i="4"/>
  <c r="T8" i="4"/>
  <c r="U8" i="4"/>
  <c r="V8" i="4"/>
  <c r="W8" i="4"/>
  <c r="X8" i="4"/>
  <c r="Y8" i="4"/>
  <c r="Z8" i="4"/>
  <c r="AA8" i="4"/>
  <c r="AB8" i="4"/>
  <c r="AC8" i="4"/>
  <c r="AD8" i="4"/>
  <c r="AE8" i="4"/>
  <c r="AF8" i="4"/>
  <c r="AG8" i="4"/>
  <c r="AH8" i="4"/>
  <c r="AI8" i="4"/>
  <c r="AJ8" i="4"/>
  <c r="AK8" i="4"/>
  <c r="AL8" i="4"/>
  <c r="AM8" i="4"/>
  <c r="AN8" i="4"/>
  <c r="AO8" i="4"/>
  <c r="AP8" i="4"/>
  <c r="AQ8" i="4"/>
  <c r="AR8" i="4"/>
  <c r="AS8" i="4"/>
  <c r="AT8" i="4"/>
  <c r="AU8" i="4"/>
  <c r="AV8" i="4"/>
  <c r="AW8" i="4"/>
  <c r="AX8" i="4"/>
  <c r="AY8" i="4"/>
  <c r="AZ8" i="4"/>
  <c r="BA8" i="4"/>
  <c r="BB8" i="4"/>
  <c r="BC8" i="4"/>
  <c r="BD8" i="4"/>
  <c r="BE8" i="4"/>
  <c r="BF8" i="4"/>
  <c r="BG8" i="4"/>
  <c r="BH8" i="4"/>
  <c r="BI8" i="4"/>
  <c r="BJ8" i="4"/>
  <c r="BK8" i="4"/>
  <c r="BL8" i="4"/>
  <c r="BM8" i="4"/>
  <c r="BN8" i="4"/>
  <c r="BO8" i="4"/>
  <c r="BP8" i="4"/>
  <c r="BQ8" i="4"/>
  <c r="BR8" i="4"/>
  <c r="BS8" i="4"/>
  <c r="BT8" i="4"/>
  <c r="BU8" i="4"/>
  <c r="BV8" i="4"/>
  <c r="BW8" i="4"/>
  <c r="BX8" i="4"/>
  <c r="BY8" i="4"/>
  <c r="BZ8" i="4"/>
  <c r="CA8" i="4"/>
  <c r="CB8" i="4"/>
  <c r="CC8" i="4"/>
  <c r="CD8" i="4"/>
  <c r="CE8" i="4"/>
  <c r="CF8" i="4"/>
  <c r="CG8" i="4"/>
  <c r="CH8" i="4"/>
  <c r="F9" i="4"/>
  <c r="G9" i="4"/>
  <c r="H9" i="4"/>
  <c r="I9" i="4"/>
  <c r="J9" i="4"/>
  <c r="K9" i="4"/>
  <c r="L9" i="4"/>
  <c r="M9" i="4"/>
  <c r="N9" i="4"/>
  <c r="O9" i="4"/>
  <c r="P9" i="4"/>
  <c r="Q9" i="4"/>
  <c r="R9" i="4"/>
  <c r="S9" i="4"/>
  <c r="T9" i="4"/>
  <c r="U9" i="4"/>
  <c r="V9" i="4"/>
  <c r="W9" i="4"/>
  <c r="X9" i="4"/>
  <c r="Y9" i="4"/>
  <c r="Z9" i="4"/>
  <c r="AA9" i="4"/>
  <c r="AB9" i="4"/>
  <c r="AC9" i="4"/>
  <c r="AD9" i="4"/>
  <c r="AE9" i="4"/>
  <c r="AF9" i="4"/>
  <c r="AG9" i="4"/>
  <c r="AH9" i="4"/>
  <c r="AI9" i="4"/>
  <c r="AJ9" i="4"/>
  <c r="AK9" i="4"/>
  <c r="AL9" i="4"/>
  <c r="AM9" i="4"/>
  <c r="AN9" i="4"/>
  <c r="AO9" i="4"/>
  <c r="AP9" i="4"/>
  <c r="AQ9" i="4"/>
  <c r="AR9" i="4"/>
  <c r="AS9" i="4"/>
  <c r="AT9" i="4"/>
  <c r="AU9" i="4"/>
  <c r="AV9" i="4"/>
  <c r="AW9" i="4"/>
  <c r="AX9" i="4"/>
  <c r="AY9" i="4"/>
  <c r="AZ9" i="4"/>
  <c r="BA9" i="4"/>
  <c r="BB9" i="4"/>
  <c r="BC9" i="4"/>
  <c r="BD9" i="4"/>
  <c r="BE9" i="4"/>
  <c r="BF9" i="4"/>
  <c r="BG9" i="4"/>
  <c r="BH9" i="4"/>
  <c r="BI9" i="4"/>
  <c r="BJ9" i="4"/>
  <c r="BK9" i="4"/>
  <c r="BL9" i="4"/>
  <c r="BM9" i="4"/>
  <c r="BN9" i="4"/>
  <c r="BO9" i="4"/>
  <c r="BP9" i="4"/>
  <c r="BQ9" i="4"/>
  <c r="BR9" i="4"/>
  <c r="BS9" i="4"/>
  <c r="BT9" i="4"/>
  <c r="BU9" i="4"/>
  <c r="BV9" i="4"/>
  <c r="BW9" i="4"/>
  <c r="BX9" i="4"/>
  <c r="BY9" i="4"/>
  <c r="BZ9" i="4"/>
  <c r="CA9" i="4"/>
  <c r="CB9" i="4"/>
  <c r="CC9" i="4"/>
  <c r="CD9" i="4"/>
  <c r="CE9" i="4"/>
  <c r="CF9" i="4"/>
  <c r="CG9" i="4"/>
  <c r="CH9" i="4"/>
  <c r="F10" i="4"/>
  <c r="G10" i="4"/>
  <c r="H10" i="4"/>
  <c r="I10" i="4"/>
  <c r="J10" i="4"/>
  <c r="K10" i="4"/>
  <c r="L10" i="4"/>
  <c r="M10" i="4"/>
  <c r="N10" i="4"/>
  <c r="O10" i="4"/>
  <c r="P10" i="4"/>
  <c r="Q10" i="4"/>
  <c r="R10" i="4"/>
  <c r="S10" i="4"/>
  <c r="T10" i="4"/>
  <c r="U10" i="4"/>
  <c r="V10" i="4"/>
  <c r="W10" i="4"/>
  <c r="X10" i="4"/>
  <c r="Y10" i="4"/>
  <c r="Z10" i="4"/>
  <c r="AA10" i="4"/>
  <c r="AB10" i="4"/>
  <c r="AC10" i="4"/>
  <c r="AD10" i="4"/>
  <c r="AE10" i="4"/>
  <c r="AF10" i="4"/>
  <c r="AG10" i="4"/>
  <c r="AH10" i="4"/>
  <c r="AI10" i="4"/>
  <c r="AJ10" i="4"/>
  <c r="AK10" i="4"/>
  <c r="AL10" i="4"/>
  <c r="AM10" i="4"/>
  <c r="AN10" i="4"/>
  <c r="AO10" i="4"/>
  <c r="AP10" i="4"/>
  <c r="AQ10" i="4"/>
  <c r="AR10" i="4"/>
  <c r="AS10" i="4"/>
  <c r="AT10" i="4"/>
  <c r="AU10" i="4"/>
  <c r="AV10" i="4"/>
  <c r="AW10" i="4"/>
  <c r="AX10" i="4"/>
  <c r="AY10" i="4"/>
  <c r="AZ10" i="4"/>
  <c r="BA10" i="4"/>
  <c r="BB10" i="4"/>
  <c r="BC10" i="4"/>
  <c r="BD10" i="4"/>
  <c r="BE10" i="4"/>
  <c r="BF10" i="4"/>
  <c r="BG10" i="4"/>
  <c r="BH10" i="4"/>
  <c r="BI10" i="4"/>
  <c r="BJ10" i="4"/>
  <c r="BK10" i="4"/>
  <c r="BL10" i="4"/>
  <c r="BM10" i="4"/>
  <c r="BN10" i="4"/>
  <c r="BO10" i="4"/>
  <c r="BP10" i="4"/>
  <c r="BQ10" i="4"/>
  <c r="BR10" i="4"/>
  <c r="BS10" i="4"/>
  <c r="BT10" i="4"/>
  <c r="BU10" i="4"/>
  <c r="BV10" i="4"/>
  <c r="BW10" i="4"/>
  <c r="BX10" i="4"/>
  <c r="BY10" i="4"/>
  <c r="BZ10" i="4"/>
  <c r="CA10" i="4"/>
  <c r="CB10" i="4"/>
  <c r="CC10" i="4"/>
  <c r="CD10" i="4"/>
  <c r="CE10" i="4"/>
  <c r="CF10" i="4"/>
  <c r="CG10" i="4"/>
  <c r="CH10" i="4"/>
  <c r="F11" i="4"/>
  <c r="G11" i="4"/>
  <c r="H11" i="4"/>
  <c r="I11" i="4"/>
  <c r="J11" i="4"/>
  <c r="K11" i="4"/>
  <c r="L11" i="4"/>
  <c r="M11" i="4"/>
  <c r="N11" i="4"/>
  <c r="O11" i="4"/>
  <c r="P11" i="4"/>
  <c r="Q11" i="4"/>
  <c r="R11" i="4"/>
  <c r="S11" i="4"/>
  <c r="T11" i="4"/>
  <c r="U11" i="4"/>
  <c r="V11" i="4"/>
  <c r="W11" i="4"/>
  <c r="X11" i="4"/>
  <c r="Y11" i="4"/>
  <c r="Z11" i="4"/>
  <c r="AA11" i="4"/>
  <c r="AB11" i="4"/>
  <c r="AC11" i="4"/>
  <c r="AD11" i="4"/>
  <c r="AE11" i="4"/>
  <c r="AF11" i="4"/>
  <c r="AG11" i="4"/>
  <c r="AH11" i="4"/>
  <c r="AI11" i="4"/>
  <c r="AJ11" i="4"/>
  <c r="AK11" i="4"/>
  <c r="AL11" i="4"/>
  <c r="AM11" i="4"/>
  <c r="AN11" i="4"/>
  <c r="AO11" i="4"/>
  <c r="AP11" i="4"/>
  <c r="AQ11" i="4"/>
  <c r="AR11" i="4"/>
  <c r="AS11" i="4"/>
  <c r="AT11" i="4"/>
  <c r="AU11" i="4"/>
  <c r="AV11" i="4"/>
  <c r="AW11" i="4"/>
  <c r="AX11" i="4"/>
  <c r="AY11" i="4"/>
  <c r="AZ11" i="4"/>
  <c r="BA11" i="4"/>
  <c r="BB11" i="4"/>
  <c r="BC11" i="4"/>
  <c r="BD11" i="4"/>
  <c r="BE11" i="4"/>
  <c r="BF11" i="4"/>
  <c r="BG11" i="4"/>
  <c r="BH11" i="4"/>
  <c r="BI11" i="4"/>
  <c r="BJ11" i="4"/>
  <c r="BK11" i="4"/>
  <c r="BL11" i="4"/>
  <c r="BM11" i="4"/>
  <c r="BN11" i="4"/>
  <c r="BO11" i="4"/>
  <c r="BP11" i="4"/>
  <c r="BQ11" i="4"/>
  <c r="BR11" i="4"/>
  <c r="BS11" i="4"/>
  <c r="BT11" i="4"/>
  <c r="BU11" i="4"/>
  <c r="BV11" i="4"/>
  <c r="BW11" i="4"/>
  <c r="BX11" i="4"/>
  <c r="BY11" i="4"/>
  <c r="BZ11" i="4"/>
  <c r="CA11" i="4"/>
  <c r="CB11" i="4"/>
  <c r="CC11" i="4"/>
  <c r="CD11" i="4"/>
  <c r="CE11" i="4"/>
  <c r="CF11" i="4"/>
  <c r="CG11" i="4"/>
  <c r="CH11" i="4"/>
  <c r="F12" i="4"/>
  <c r="G12" i="4"/>
  <c r="H12" i="4"/>
  <c r="I12" i="4"/>
  <c r="J12" i="4"/>
  <c r="K12" i="4"/>
  <c r="L12" i="4"/>
  <c r="M12" i="4"/>
  <c r="N12" i="4"/>
  <c r="O12" i="4"/>
  <c r="P12" i="4"/>
  <c r="Q12" i="4"/>
  <c r="R12" i="4"/>
  <c r="S12" i="4"/>
  <c r="T12" i="4"/>
  <c r="U12" i="4"/>
  <c r="V12" i="4"/>
  <c r="W12" i="4"/>
  <c r="X12" i="4"/>
  <c r="Y12" i="4"/>
  <c r="Z12" i="4"/>
  <c r="AA12" i="4"/>
  <c r="AB12" i="4"/>
  <c r="AC12" i="4"/>
  <c r="AD12" i="4"/>
  <c r="AE12" i="4"/>
  <c r="AF12" i="4"/>
  <c r="AG12" i="4"/>
  <c r="AH12" i="4"/>
  <c r="AI12" i="4"/>
  <c r="AJ12" i="4"/>
  <c r="AK12" i="4"/>
  <c r="AL12" i="4"/>
  <c r="AM12" i="4"/>
  <c r="AN12" i="4"/>
  <c r="AO12" i="4"/>
  <c r="AP12" i="4"/>
  <c r="AQ12" i="4"/>
  <c r="AR12" i="4"/>
  <c r="AS12" i="4"/>
  <c r="AT12" i="4"/>
  <c r="AU12" i="4"/>
  <c r="AV12" i="4"/>
  <c r="AW12" i="4"/>
  <c r="AX12" i="4"/>
  <c r="AY12" i="4"/>
  <c r="AZ12" i="4"/>
  <c r="BA12" i="4"/>
  <c r="BB12" i="4"/>
  <c r="BC12" i="4"/>
  <c r="BD12" i="4"/>
  <c r="BE12" i="4"/>
  <c r="BF12" i="4"/>
  <c r="BG12" i="4"/>
  <c r="BH12" i="4"/>
  <c r="BI12" i="4"/>
  <c r="BJ12" i="4"/>
  <c r="BK12" i="4"/>
  <c r="BL12" i="4"/>
  <c r="BM12" i="4"/>
  <c r="BN12" i="4"/>
  <c r="BO12" i="4"/>
  <c r="BP12" i="4"/>
  <c r="BQ12" i="4"/>
  <c r="BR12" i="4"/>
  <c r="BS12" i="4"/>
  <c r="BT12" i="4"/>
  <c r="BU12" i="4"/>
  <c r="BV12" i="4"/>
  <c r="BW12" i="4"/>
  <c r="BX12" i="4"/>
  <c r="BY12" i="4"/>
  <c r="BZ12" i="4"/>
  <c r="CA12" i="4"/>
  <c r="CB12" i="4"/>
  <c r="CC12" i="4"/>
  <c r="CD12" i="4"/>
  <c r="CE12" i="4"/>
  <c r="CF12" i="4"/>
  <c r="CG12" i="4"/>
  <c r="CH12" i="4"/>
  <c r="F13" i="4"/>
  <c r="G13" i="4"/>
  <c r="H13" i="4"/>
  <c r="I13" i="4"/>
  <c r="J13" i="4"/>
  <c r="K13" i="4"/>
  <c r="L13" i="4"/>
  <c r="M13" i="4"/>
  <c r="N13" i="4"/>
  <c r="O13" i="4"/>
  <c r="P13" i="4"/>
  <c r="Q13" i="4"/>
  <c r="R13" i="4"/>
  <c r="S13" i="4"/>
  <c r="T13" i="4"/>
  <c r="U13" i="4"/>
  <c r="V13" i="4"/>
  <c r="W13" i="4"/>
  <c r="X13" i="4"/>
  <c r="Y13" i="4"/>
  <c r="Z13" i="4"/>
  <c r="AA13" i="4"/>
  <c r="AB13" i="4"/>
  <c r="AC13" i="4"/>
  <c r="AD13" i="4"/>
  <c r="AE13" i="4"/>
  <c r="AF13" i="4"/>
  <c r="AG13" i="4"/>
  <c r="AH13" i="4"/>
  <c r="AI13" i="4"/>
  <c r="AJ13" i="4"/>
  <c r="AK13" i="4"/>
  <c r="AL13" i="4"/>
  <c r="AM13" i="4"/>
  <c r="AN13" i="4"/>
  <c r="AO13" i="4"/>
  <c r="AP13" i="4"/>
  <c r="AQ13" i="4"/>
  <c r="AR13" i="4"/>
  <c r="AS13" i="4"/>
  <c r="AT13" i="4"/>
  <c r="AU13" i="4"/>
  <c r="AV13" i="4"/>
  <c r="AW13" i="4"/>
  <c r="AX13" i="4"/>
  <c r="AY13" i="4"/>
  <c r="AZ13" i="4"/>
  <c r="BA13" i="4"/>
  <c r="BB13" i="4"/>
  <c r="BC13" i="4"/>
  <c r="BD13" i="4"/>
  <c r="BE13" i="4"/>
  <c r="BF13" i="4"/>
  <c r="BG13" i="4"/>
  <c r="BH13" i="4"/>
  <c r="BI13" i="4"/>
  <c r="BJ13" i="4"/>
  <c r="BK13" i="4"/>
  <c r="BL13" i="4"/>
  <c r="BM13" i="4"/>
  <c r="BN13" i="4"/>
  <c r="BO13" i="4"/>
  <c r="BP13" i="4"/>
  <c r="BQ13" i="4"/>
  <c r="BR13" i="4"/>
  <c r="BS13" i="4"/>
  <c r="BT13" i="4"/>
  <c r="BU13" i="4"/>
  <c r="BV13" i="4"/>
  <c r="BW13" i="4"/>
  <c r="BX13" i="4"/>
  <c r="BY13" i="4"/>
  <c r="BZ13" i="4"/>
  <c r="CA13" i="4"/>
  <c r="CB13" i="4"/>
  <c r="CC13" i="4"/>
  <c r="CD13" i="4"/>
  <c r="CE13" i="4"/>
  <c r="CF13" i="4"/>
  <c r="CG13" i="4"/>
  <c r="CH13" i="4"/>
  <c r="F14" i="4"/>
  <c r="G14" i="4"/>
  <c r="H14" i="4"/>
  <c r="I14" i="4"/>
  <c r="J14" i="4"/>
  <c r="K14" i="4"/>
  <c r="L14" i="4"/>
  <c r="M14" i="4"/>
  <c r="N14" i="4"/>
  <c r="O14" i="4"/>
  <c r="P14" i="4"/>
  <c r="Q14" i="4"/>
  <c r="R14" i="4"/>
  <c r="S14" i="4"/>
  <c r="T14" i="4"/>
  <c r="U14" i="4"/>
  <c r="V14" i="4"/>
  <c r="W14" i="4"/>
  <c r="X14" i="4"/>
  <c r="Y14" i="4"/>
  <c r="Z14" i="4"/>
  <c r="AA14" i="4"/>
  <c r="AB14" i="4"/>
  <c r="AC14" i="4"/>
  <c r="AD14" i="4"/>
  <c r="AE14" i="4"/>
  <c r="AF14" i="4"/>
  <c r="AG14" i="4"/>
  <c r="AH14" i="4"/>
  <c r="AI14" i="4"/>
  <c r="AJ14" i="4"/>
  <c r="AK14" i="4"/>
  <c r="AL14" i="4"/>
  <c r="AM14" i="4"/>
  <c r="AN14" i="4"/>
  <c r="AO14" i="4"/>
  <c r="AP14" i="4"/>
  <c r="AQ14" i="4"/>
  <c r="AR14" i="4"/>
  <c r="AS14" i="4"/>
  <c r="AT14" i="4"/>
  <c r="AU14" i="4"/>
  <c r="AV14" i="4"/>
  <c r="AW14" i="4"/>
  <c r="AX14" i="4"/>
  <c r="AY14" i="4"/>
  <c r="AZ14" i="4"/>
  <c r="BA14" i="4"/>
  <c r="BB14" i="4"/>
  <c r="BC14" i="4"/>
  <c r="BD14" i="4"/>
  <c r="BE14" i="4"/>
  <c r="BF14" i="4"/>
  <c r="BG14" i="4"/>
  <c r="BH14" i="4"/>
  <c r="BI14" i="4"/>
  <c r="BJ14" i="4"/>
  <c r="BK14" i="4"/>
  <c r="BL14" i="4"/>
  <c r="BM14" i="4"/>
  <c r="BN14" i="4"/>
  <c r="BO14" i="4"/>
  <c r="BP14" i="4"/>
  <c r="BQ14" i="4"/>
  <c r="BR14" i="4"/>
  <c r="BS14" i="4"/>
  <c r="BT14" i="4"/>
  <c r="BU14" i="4"/>
  <c r="BV14" i="4"/>
  <c r="BW14" i="4"/>
  <c r="BX14" i="4"/>
  <c r="BY14" i="4"/>
  <c r="BZ14" i="4"/>
  <c r="CA14" i="4"/>
  <c r="CB14" i="4"/>
  <c r="CC14" i="4"/>
  <c r="CD14" i="4"/>
  <c r="CE14" i="4"/>
  <c r="CF14" i="4"/>
  <c r="CG14" i="4"/>
  <c r="CH14" i="4"/>
  <c r="F15" i="4"/>
  <c r="G15" i="4"/>
  <c r="H15" i="4"/>
  <c r="I15" i="4"/>
  <c r="J15" i="4"/>
  <c r="K15" i="4"/>
  <c r="L15" i="4"/>
  <c r="M15" i="4"/>
  <c r="N15" i="4"/>
  <c r="O15" i="4"/>
  <c r="P15" i="4"/>
  <c r="Q15" i="4"/>
  <c r="R15" i="4"/>
  <c r="S15" i="4"/>
  <c r="T15" i="4"/>
  <c r="U15" i="4"/>
  <c r="V15" i="4"/>
  <c r="W15" i="4"/>
  <c r="X15" i="4"/>
  <c r="Y15" i="4"/>
  <c r="Z15" i="4"/>
  <c r="AA15" i="4"/>
  <c r="AB15" i="4"/>
  <c r="AC15" i="4"/>
  <c r="AD15" i="4"/>
  <c r="AE15" i="4"/>
  <c r="AF15" i="4"/>
  <c r="AG15" i="4"/>
  <c r="AH15" i="4"/>
  <c r="AI15" i="4"/>
  <c r="AJ15" i="4"/>
  <c r="AK15" i="4"/>
  <c r="AL15" i="4"/>
  <c r="AM15" i="4"/>
  <c r="AN15" i="4"/>
  <c r="AO15" i="4"/>
  <c r="AP15" i="4"/>
  <c r="AQ15" i="4"/>
  <c r="AR15" i="4"/>
  <c r="AS15" i="4"/>
  <c r="AT15" i="4"/>
  <c r="AU15" i="4"/>
  <c r="AV15" i="4"/>
  <c r="AW15" i="4"/>
  <c r="AX15" i="4"/>
  <c r="AY15" i="4"/>
  <c r="AZ15" i="4"/>
  <c r="BA15" i="4"/>
  <c r="BB15" i="4"/>
  <c r="BC15" i="4"/>
  <c r="BD15" i="4"/>
  <c r="BE15" i="4"/>
  <c r="BF15" i="4"/>
  <c r="BG15" i="4"/>
  <c r="BH15" i="4"/>
  <c r="BI15" i="4"/>
  <c r="BJ15" i="4"/>
  <c r="BK15" i="4"/>
  <c r="BL15" i="4"/>
  <c r="BM15" i="4"/>
  <c r="BN15" i="4"/>
  <c r="BO15" i="4"/>
  <c r="BP15" i="4"/>
  <c r="BQ15" i="4"/>
  <c r="BR15" i="4"/>
  <c r="BS15" i="4"/>
  <c r="BT15" i="4"/>
  <c r="BU15" i="4"/>
  <c r="BV15" i="4"/>
  <c r="BW15" i="4"/>
  <c r="BX15" i="4"/>
  <c r="BY15" i="4"/>
  <c r="BZ15" i="4"/>
  <c r="CA15" i="4"/>
  <c r="CB15" i="4"/>
  <c r="CC15" i="4"/>
  <c r="CD15" i="4"/>
  <c r="CE15" i="4"/>
  <c r="CF15" i="4"/>
  <c r="CG15" i="4"/>
  <c r="CH15" i="4"/>
  <c r="E3" i="4"/>
  <c r="E4" i="4"/>
  <c r="E8" i="4" s="1"/>
  <c r="E6" i="4"/>
  <c r="E7" i="4"/>
  <c r="E11" i="4"/>
  <c r="E12" i="4"/>
  <c r="E13" i="4"/>
  <c r="E14" i="4"/>
  <c r="E15" i="4"/>
  <c r="D3" i="4"/>
  <c r="D4" i="4"/>
  <c r="D5" i="4" s="1"/>
  <c r="D6" i="4"/>
  <c r="D7" i="4"/>
  <c r="D11" i="4"/>
  <c r="D12" i="4"/>
  <c r="D13" i="4"/>
  <c r="D14" i="4"/>
  <c r="D15" i="4"/>
  <c r="BW1" i="4"/>
  <c r="BX1" i="4"/>
  <c r="BY1" i="4" s="1"/>
  <c r="BZ1" i="4" s="1"/>
  <c r="CA1" i="4" s="1"/>
  <c r="CB1" i="4" s="1"/>
  <c r="CC1" i="4" s="1"/>
  <c r="CD1" i="4" s="1"/>
  <c r="CE1" i="4" s="1"/>
  <c r="CF1" i="4" s="1"/>
  <c r="CG1" i="4" s="1"/>
  <c r="CH1" i="4" s="1"/>
  <c r="BN1" i="4"/>
  <c r="BO1" i="4"/>
  <c r="BP1" i="4" s="1"/>
  <c r="BQ1" i="4" s="1"/>
  <c r="BR1" i="4" s="1"/>
  <c r="BS1" i="4" s="1"/>
  <c r="BT1" i="4" s="1"/>
  <c r="BU1" i="4" s="1"/>
  <c r="BV1" i="4" s="1"/>
  <c r="BC1" i="4"/>
  <c r="BD1" i="4"/>
  <c r="BE1" i="4" s="1"/>
  <c r="BF1" i="4" s="1"/>
  <c r="BG1" i="4" s="1"/>
  <c r="BH1" i="4" s="1"/>
  <c r="BI1" i="4" s="1"/>
  <c r="BJ1" i="4" s="1"/>
  <c r="BK1" i="4" s="1"/>
  <c r="BL1" i="4" s="1"/>
  <c r="BM1" i="4" s="1"/>
  <c r="AF1" i="4"/>
  <c r="AG1" i="4"/>
  <c r="AH1" i="4" s="1"/>
  <c r="AI1" i="4" s="1"/>
  <c r="AJ1" i="4" s="1"/>
  <c r="AK1" i="4" s="1"/>
  <c r="AL1" i="4" s="1"/>
  <c r="AM1" i="4" s="1"/>
  <c r="AN1" i="4" s="1"/>
  <c r="AO1" i="4" s="1"/>
  <c r="AP1" i="4" s="1"/>
  <c r="AQ1" i="4" s="1"/>
  <c r="AR1" i="4" s="1"/>
  <c r="AS1" i="4" s="1"/>
  <c r="AT1" i="4" s="1"/>
  <c r="AU1" i="4" s="1"/>
  <c r="AV1" i="4" s="1"/>
  <c r="AW1" i="4" s="1"/>
  <c r="AX1" i="4" s="1"/>
  <c r="AY1" i="4" s="1"/>
  <c r="AZ1" i="4" s="1"/>
  <c r="BA1" i="4" s="1"/>
  <c r="BB1" i="4" s="1"/>
  <c r="F1" i="4"/>
  <c r="G1" i="4"/>
  <c r="H1" i="4" s="1"/>
  <c r="I1" i="4" s="1"/>
  <c r="J1" i="4" s="1"/>
  <c r="K1" i="4" s="1"/>
  <c r="L1" i="4" s="1"/>
  <c r="M1" i="4" s="1"/>
  <c r="N1" i="4" s="1"/>
  <c r="O1" i="4" s="1"/>
  <c r="P1" i="4" s="1"/>
  <c r="Q1" i="4" s="1"/>
  <c r="R1" i="4" s="1"/>
  <c r="S1" i="4" s="1"/>
  <c r="T1" i="4" s="1"/>
  <c r="U1" i="4" s="1"/>
  <c r="V1" i="4" s="1"/>
  <c r="W1" i="4" s="1"/>
  <c r="X1" i="4" s="1"/>
  <c r="Y1" i="4" s="1"/>
  <c r="Z1" i="4" s="1"/>
  <c r="AA1" i="4" s="1"/>
  <c r="AB1" i="4" s="1"/>
  <c r="AC1" i="4" s="1"/>
  <c r="AD1" i="4" s="1"/>
  <c r="AE1" i="4" s="1"/>
  <c r="E1" i="4"/>
  <c r="D1" i="4"/>
  <c r="C15" i="4"/>
  <c r="C14" i="4"/>
  <c r="C13" i="4"/>
  <c r="C12" i="4"/>
  <c r="C11" i="4"/>
  <c r="C10" i="4"/>
  <c r="C9" i="4"/>
  <c r="C8" i="4"/>
  <c r="C7" i="4"/>
  <c r="C6" i="4"/>
  <c r="C5" i="4"/>
  <c r="C4" i="4"/>
  <c r="C3" i="4"/>
  <c r="Q50" i="1"/>
  <c r="P10" i="1"/>
  <c r="P12" i="1"/>
  <c r="P14" i="1"/>
  <c r="P16" i="1"/>
  <c r="P18" i="1"/>
  <c r="P20" i="1"/>
  <c r="P22" i="1"/>
  <c r="P24" i="1"/>
  <c r="P26" i="1"/>
  <c r="P28" i="1"/>
  <c r="P30" i="1"/>
  <c r="P32" i="1"/>
  <c r="P34" i="1"/>
  <c r="P36" i="1"/>
  <c r="P38" i="1"/>
  <c r="P40" i="1"/>
  <c r="P42" i="1"/>
  <c r="P44" i="1"/>
  <c r="P46" i="1"/>
  <c r="P48" i="1"/>
  <c r="P50" i="1"/>
  <c r="P8" i="1"/>
  <c r="N10" i="1"/>
  <c r="Q10" i="1" s="1"/>
  <c r="N12" i="1"/>
  <c r="Q12" i="1" s="1"/>
  <c r="N14" i="1"/>
  <c r="Q14" i="1" s="1"/>
  <c r="N16" i="1"/>
  <c r="Q16" i="1" s="1"/>
  <c r="N18" i="1"/>
  <c r="Q18" i="1" s="1"/>
  <c r="N20" i="1"/>
  <c r="Q20" i="1" s="1"/>
  <c r="N22" i="1"/>
  <c r="Q22" i="1" s="1"/>
  <c r="N24" i="1"/>
  <c r="Q24" i="1" s="1"/>
  <c r="N26" i="1"/>
  <c r="Q26" i="1" s="1"/>
  <c r="N28" i="1"/>
  <c r="Q28" i="1" s="1"/>
  <c r="N30" i="1"/>
  <c r="Q30" i="1" s="1"/>
  <c r="N32" i="1"/>
  <c r="Q32" i="1" s="1"/>
  <c r="N34" i="1"/>
  <c r="Q34" i="1" s="1"/>
  <c r="N36" i="1"/>
  <c r="Q36" i="1" s="1"/>
  <c r="N38" i="1"/>
  <c r="Q38" i="1" s="1"/>
  <c r="N40" i="1"/>
  <c r="Q40" i="1" s="1"/>
  <c r="N42" i="1"/>
  <c r="Q42" i="1" s="1"/>
  <c r="N44" i="1"/>
  <c r="Q44" i="1" s="1"/>
  <c r="N48" i="1"/>
  <c r="Q48" i="1" s="1"/>
  <c r="N50" i="1"/>
  <c r="N8" i="1"/>
  <c r="Q8" i="1" s="1"/>
  <c r="M46" i="1"/>
  <c r="N46" i="1" s="1"/>
  <c r="Q46" i="1" s="1"/>
  <c r="C27" i="21" l="1"/>
  <c r="H27" i="21"/>
  <c r="D28" i="21"/>
  <c r="A27" i="21"/>
  <c r="B27" i="21"/>
  <c r="R32" i="1"/>
  <c r="S32" i="1" s="1"/>
  <c r="R44" i="1"/>
  <c r="R36" i="1"/>
  <c r="R28" i="1"/>
  <c r="R12" i="1"/>
  <c r="S12" i="1" s="1"/>
  <c r="R24" i="1"/>
  <c r="R16" i="1"/>
  <c r="R40" i="1"/>
  <c r="R48" i="1"/>
  <c r="S48" i="1" s="1"/>
  <c r="R46" i="1"/>
  <c r="R20" i="1"/>
  <c r="R38" i="1"/>
  <c r="R30" i="1"/>
  <c r="R22" i="1"/>
  <c r="R14" i="1"/>
  <c r="R8" i="1"/>
  <c r="R50" i="1"/>
  <c r="R42" i="1"/>
  <c r="R34" i="1"/>
  <c r="R26" i="1"/>
  <c r="R18" i="1"/>
  <c r="R10" i="1"/>
  <c r="Q42" i="5"/>
  <c r="A42" i="5" s="1"/>
  <c r="A273" i="8" s="1"/>
  <c r="Q38" i="5"/>
  <c r="A38" i="5" s="1"/>
  <c r="A267" i="8" s="1"/>
  <c r="Q30" i="5"/>
  <c r="A30" i="5" s="1"/>
  <c r="A255" i="8" s="1"/>
  <c r="Q22" i="5"/>
  <c r="A22" i="5" s="1"/>
  <c r="A243" i="8" s="1"/>
  <c r="Q14" i="5"/>
  <c r="A14" i="5" s="1"/>
  <c r="A234" i="8" s="1"/>
  <c r="Q50" i="5"/>
  <c r="A50" i="5" s="1"/>
  <c r="Q36" i="5"/>
  <c r="A36" i="5" s="1"/>
  <c r="A264" i="8" s="1"/>
  <c r="Q28" i="5"/>
  <c r="A28" i="5" s="1"/>
  <c r="A252" i="8" s="1"/>
  <c r="Q20" i="5"/>
  <c r="A20" i="5" s="1"/>
  <c r="A240" i="8" s="1"/>
  <c r="Q12" i="5"/>
  <c r="A12" i="5" s="1"/>
  <c r="A230" i="8" s="1"/>
  <c r="Q48" i="5"/>
  <c r="A48" i="5" s="1"/>
  <c r="Q34" i="5"/>
  <c r="A34" i="5" s="1"/>
  <c r="A261" i="8" s="1"/>
  <c r="Q26" i="5"/>
  <c r="A26" i="5" s="1"/>
  <c r="A249" i="8" s="1"/>
  <c r="Q18" i="5"/>
  <c r="A18" i="5" s="1"/>
  <c r="A282" i="8" s="1"/>
  <c r="Q10" i="5"/>
  <c r="A10" i="5" s="1"/>
  <c r="A227" i="8" s="1"/>
  <c r="Q46" i="5"/>
  <c r="A46" i="5" s="1"/>
  <c r="A279" i="8" s="1"/>
  <c r="Q40" i="5"/>
  <c r="A40" i="5" s="1"/>
  <c r="A270" i="8" s="1"/>
  <c r="Q32" i="5"/>
  <c r="A32" i="5" s="1"/>
  <c r="A258" i="8" s="1"/>
  <c r="Q24" i="5"/>
  <c r="A24" i="5" s="1"/>
  <c r="A246" i="8" s="1"/>
  <c r="Q16" i="5"/>
  <c r="A16" i="5" s="1"/>
  <c r="A237" i="8" s="1"/>
  <c r="Q8" i="5"/>
  <c r="A8" i="5" s="1"/>
  <c r="Q52" i="5"/>
  <c r="A52" i="5" s="1"/>
  <c r="Q44" i="5"/>
  <c r="A44" i="5" s="1"/>
  <c r="A276" i="8" s="1"/>
  <c r="W40" i="3"/>
  <c r="A40" i="3" s="1"/>
  <c r="W68" i="3"/>
  <c r="A68" i="3" s="1"/>
  <c r="A214" i="8" s="1"/>
  <c r="W76" i="3"/>
  <c r="A76" i="3" s="1"/>
  <c r="W70" i="3"/>
  <c r="A70" i="3" s="1"/>
  <c r="W78" i="3"/>
  <c r="A78" i="3" s="1"/>
  <c r="W72" i="3"/>
  <c r="A72" i="3" s="1"/>
  <c r="W80" i="3"/>
  <c r="A80" i="3" s="1"/>
  <c r="W66" i="3"/>
  <c r="A66" i="3" s="1"/>
  <c r="A211" i="8" s="1"/>
  <c r="W74" i="3"/>
  <c r="A74" i="3" s="1"/>
  <c r="W60" i="3"/>
  <c r="A60" i="3" s="1"/>
  <c r="A202" i="8" s="1"/>
  <c r="W54" i="3"/>
  <c r="A54" i="3" s="1"/>
  <c r="A193" i="8" s="1"/>
  <c r="W62" i="3"/>
  <c r="A62" i="3" s="1"/>
  <c r="A205" i="8" s="1"/>
  <c r="W56" i="3"/>
  <c r="A56" i="3" s="1"/>
  <c r="A196" i="8" s="1"/>
  <c r="W64" i="3"/>
  <c r="A64" i="3" s="1"/>
  <c r="A208" i="8" s="1"/>
  <c r="W58" i="3"/>
  <c r="A58" i="3" s="1"/>
  <c r="A199" i="8" s="1"/>
  <c r="W36" i="3"/>
  <c r="A36" i="3" s="1"/>
  <c r="W28" i="3"/>
  <c r="A28" i="3" s="1"/>
  <c r="W20" i="3"/>
  <c r="A20" i="3" s="1"/>
  <c r="W12" i="3"/>
  <c r="A12" i="3" s="1"/>
  <c r="W50" i="3"/>
  <c r="A50" i="3" s="1"/>
  <c r="A187" i="8" s="1"/>
  <c r="W34" i="3"/>
  <c r="A34" i="3" s="1"/>
  <c r="W26" i="3"/>
  <c r="A26" i="3" s="1"/>
  <c r="W18" i="3"/>
  <c r="A18" i="3" s="1"/>
  <c r="W10" i="3"/>
  <c r="A10" i="3" s="1"/>
  <c r="W48" i="3"/>
  <c r="A48" i="3" s="1"/>
  <c r="W16" i="3"/>
  <c r="A16" i="3" s="1"/>
  <c r="W8" i="3"/>
  <c r="A8" i="3" s="1"/>
  <c r="W46" i="3"/>
  <c r="A46" i="3" s="1"/>
  <c r="W42" i="3"/>
  <c r="A42" i="3" s="1"/>
  <c r="W32" i="3"/>
  <c r="A32" i="3" s="1"/>
  <c r="W24" i="3"/>
  <c r="A24" i="3" s="1"/>
  <c r="W38" i="3"/>
  <c r="A38" i="3" s="1"/>
  <c r="W30" i="3"/>
  <c r="A30" i="3" s="1"/>
  <c r="W22" i="3"/>
  <c r="A22" i="3" s="1"/>
  <c r="W14" i="3"/>
  <c r="A14" i="3" s="1"/>
  <c r="W52" i="3"/>
  <c r="A52" i="3" s="1"/>
  <c r="A190" i="8" s="1"/>
  <c r="W44" i="3"/>
  <c r="A44" i="3" s="1"/>
  <c r="S8" i="1"/>
  <c r="S52" i="1"/>
  <c r="S50" i="1"/>
  <c r="S42" i="1"/>
  <c r="S34" i="1"/>
  <c r="S26" i="1"/>
  <c r="S18" i="1"/>
  <c r="S40" i="1"/>
  <c r="S24" i="1"/>
  <c r="S16" i="1"/>
  <c r="S46" i="1"/>
  <c r="S38" i="1"/>
  <c r="S30" i="1"/>
  <c r="S22" i="1"/>
  <c r="S14" i="1"/>
  <c r="S44" i="1"/>
  <c r="S36" i="1"/>
  <c r="S28" i="1"/>
  <c r="S20" i="1"/>
  <c r="S10" i="1"/>
  <c r="E10" i="4"/>
  <c r="E9" i="4"/>
  <c r="E5" i="4"/>
  <c r="D8" i="4"/>
  <c r="D10" i="4"/>
  <c r="D9" i="4"/>
  <c r="C28" i="21" l="1"/>
  <c r="H28" i="21"/>
  <c r="A220" i="8"/>
  <c r="B16" i="5"/>
  <c r="A238" i="8" s="1"/>
  <c r="B46" i="5"/>
  <c r="A280" i="8" s="1"/>
  <c r="B34" i="5"/>
  <c r="A262" i="8" s="1"/>
  <c r="B28" i="5"/>
  <c r="A253" i="8" s="1"/>
  <c r="B22" i="5"/>
  <c r="A244" i="8" s="1"/>
  <c r="B44" i="5"/>
  <c r="A277" i="8" s="1"/>
  <c r="B24" i="5"/>
  <c r="A247" i="8" s="1"/>
  <c r="B48" i="5"/>
  <c r="B36" i="5"/>
  <c r="A265" i="8" s="1"/>
  <c r="B30" i="5"/>
  <c r="A256" i="8" s="1"/>
  <c r="B52" i="5"/>
  <c r="B32" i="5"/>
  <c r="A259" i="8" s="1"/>
  <c r="B18" i="5"/>
  <c r="A283" i="8" s="1"/>
  <c r="B12" i="5"/>
  <c r="A231" i="8" s="1"/>
  <c r="B50" i="5"/>
  <c r="B38" i="5"/>
  <c r="A268" i="8" s="1"/>
  <c r="B40" i="5"/>
  <c r="A271" i="8" s="1"/>
  <c r="B26" i="5"/>
  <c r="A250" i="8" s="1"/>
  <c r="B20" i="5"/>
  <c r="A241" i="8" s="1"/>
  <c r="B14" i="5"/>
  <c r="A235" i="8" s="1"/>
  <c r="B42" i="5"/>
  <c r="A274" i="8" s="1"/>
  <c r="B10" i="5"/>
  <c r="B8" i="5"/>
  <c r="A221" i="8" s="1"/>
  <c r="A184" i="8"/>
  <c r="A181" i="8"/>
  <c r="A178" i="8"/>
  <c r="A174" i="8"/>
  <c r="A171" i="8"/>
  <c r="A167" i="8"/>
  <c r="A165" i="8"/>
  <c r="A162" i="8"/>
  <c r="A159" i="8"/>
  <c r="A156" i="8"/>
  <c r="A153" i="8"/>
  <c r="A150" i="8"/>
  <c r="A147" i="8"/>
  <c r="A142" i="8"/>
  <c r="A139" i="8"/>
  <c r="A127" i="8"/>
  <c r="A123" i="8"/>
  <c r="A120" i="8"/>
  <c r="B80" i="3"/>
  <c r="B78" i="3"/>
  <c r="B76" i="3"/>
  <c r="B74" i="3"/>
  <c r="B72" i="3"/>
  <c r="B70" i="3"/>
  <c r="B68" i="3"/>
  <c r="A215" i="8" s="1"/>
  <c r="B66" i="3"/>
  <c r="A212" i="8" s="1"/>
  <c r="B44" i="3"/>
  <c r="A179" i="8" s="1"/>
  <c r="B62" i="3"/>
  <c r="A206" i="8" s="1"/>
  <c r="B64" i="3"/>
  <c r="A209" i="8" s="1"/>
  <c r="B60" i="3"/>
  <c r="A203" i="8" s="1"/>
  <c r="B58" i="3"/>
  <c r="A200" i="8" s="1"/>
  <c r="B56" i="3"/>
  <c r="A197" i="8" s="1"/>
  <c r="B54" i="3"/>
  <c r="A194" i="8" s="1"/>
  <c r="B52" i="3"/>
  <c r="A191" i="8" s="1"/>
  <c r="B50" i="3"/>
  <c r="A188" i="8" s="1"/>
  <c r="B48" i="3"/>
  <c r="A185" i="8" s="1"/>
  <c r="B46" i="3"/>
  <c r="A182" i="8" s="1"/>
  <c r="B42" i="3"/>
  <c r="A175" i="8" s="1"/>
  <c r="B40" i="3"/>
  <c r="A172" i="8" s="1"/>
  <c r="B38" i="3"/>
  <c r="A168" i="8" s="1"/>
  <c r="B36" i="3"/>
  <c r="A166" i="8" s="1"/>
  <c r="B34" i="3"/>
  <c r="A163" i="8" s="1"/>
  <c r="B32" i="3"/>
  <c r="A160" i="8" s="1"/>
  <c r="B30" i="3"/>
  <c r="A157" i="8" s="1"/>
  <c r="B28" i="3"/>
  <c r="A154" i="8" s="1"/>
  <c r="B26" i="3"/>
  <c r="A151" i="8" s="1"/>
  <c r="B24" i="3"/>
  <c r="A148" i="8" s="1"/>
  <c r="B22" i="3"/>
  <c r="A143" i="8" s="1"/>
  <c r="B20" i="3"/>
  <c r="A140" i="8" s="1"/>
  <c r="B18" i="3"/>
  <c r="A128" i="8" s="1"/>
  <c r="B16" i="3"/>
  <c r="A124" i="8" s="1"/>
  <c r="B14" i="3"/>
  <c r="A121" i="8" s="1"/>
  <c r="B12" i="3"/>
  <c r="B10" i="3"/>
  <c r="B8" i="3"/>
  <c r="A117" i="8"/>
  <c r="A113" i="8"/>
  <c r="A103" i="8"/>
  <c r="A8" i="1"/>
  <c r="D29" i="21"/>
  <c r="B28" i="21"/>
  <c r="A28" i="21"/>
  <c r="T52" i="1"/>
  <c r="A52" i="1" s="1"/>
  <c r="T44" i="1"/>
  <c r="A44" i="1" s="1"/>
  <c r="T20" i="1"/>
  <c r="A20" i="1" s="1"/>
  <c r="T40" i="1"/>
  <c r="A40" i="1" s="1"/>
  <c r="T34" i="1"/>
  <c r="A34" i="1" s="1"/>
  <c r="T14" i="1"/>
  <c r="A14" i="1" s="1"/>
  <c r="T28" i="1"/>
  <c r="A28" i="1" s="1"/>
  <c r="T22" i="1"/>
  <c r="A22" i="1" s="1"/>
  <c r="T16" i="1"/>
  <c r="A16" i="1" s="1"/>
  <c r="T48" i="1"/>
  <c r="A48" i="1" s="1"/>
  <c r="T42" i="1"/>
  <c r="A42" i="1" s="1"/>
  <c r="T46" i="1"/>
  <c r="A46" i="1" s="1"/>
  <c r="T10" i="1"/>
  <c r="A10" i="1" s="1"/>
  <c r="T36" i="1"/>
  <c r="A36" i="1" s="1"/>
  <c r="T30" i="1"/>
  <c r="A30" i="1" s="1"/>
  <c r="T24" i="1"/>
  <c r="A24" i="1" s="1"/>
  <c r="T18" i="1"/>
  <c r="A18" i="1" s="1"/>
  <c r="T50" i="1"/>
  <c r="A50" i="1" s="1"/>
  <c r="T12" i="1"/>
  <c r="A12" i="1" s="1"/>
  <c r="T38" i="1"/>
  <c r="A38" i="1" s="1"/>
  <c r="T32" i="1"/>
  <c r="A32" i="1" s="1"/>
  <c r="T26" i="1"/>
  <c r="A26" i="1" s="1"/>
  <c r="T8" i="1"/>
  <c r="C29" i="21" l="1"/>
  <c r="H29" i="21"/>
  <c r="C10" i="5"/>
  <c r="A229" i="8" s="1"/>
  <c r="A228" i="8"/>
  <c r="C14" i="5"/>
  <c r="A236" i="8" s="1"/>
  <c r="C38" i="5"/>
  <c r="A269" i="8" s="1"/>
  <c r="C32" i="5"/>
  <c r="A260" i="8" s="1"/>
  <c r="C48" i="5"/>
  <c r="C28" i="5"/>
  <c r="A254" i="8" s="1"/>
  <c r="C20" i="5"/>
  <c r="A242" i="8" s="1"/>
  <c r="C50" i="5"/>
  <c r="C52" i="5"/>
  <c r="C24" i="5"/>
  <c r="A248" i="8" s="1"/>
  <c r="C34" i="5"/>
  <c r="A263" i="8" s="1"/>
  <c r="C26" i="5"/>
  <c r="A251" i="8" s="1"/>
  <c r="C12" i="5"/>
  <c r="A232" i="8" s="1"/>
  <c r="C30" i="5"/>
  <c r="A257" i="8" s="1"/>
  <c r="C44" i="5"/>
  <c r="A278" i="8" s="1"/>
  <c r="C46" i="5"/>
  <c r="A281" i="8" s="1"/>
  <c r="C42" i="5"/>
  <c r="A275" i="8" s="1"/>
  <c r="C40" i="5"/>
  <c r="A272" i="8" s="1"/>
  <c r="C18" i="5"/>
  <c r="A284" i="8" s="1"/>
  <c r="C36" i="5"/>
  <c r="A266" i="8" s="1"/>
  <c r="C22" i="5"/>
  <c r="A245" i="8" s="1"/>
  <c r="C16" i="5"/>
  <c r="A239" i="8" s="1"/>
  <c r="C8" i="5"/>
  <c r="A222" i="8" s="1"/>
  <c r="C12" i="3"/>
  <c r="A119" i="8" s="1"/>
  <c r="A118" i="8"/>
  <c r="C24" i="3"/>
  <c r="A149" i="8" s="1"/>
  <c r="A114" i="8"/>
  <c r="C10" i="3"/>
  <c r="C18" i="3"/>
  <c r="A129" i="8" s="1"/>
  <c r="C26" i="3"/>
  <c r="A152" i="8" s="1"/>
  <c r="C34" i="3"/>
  <c r="A164" i="8" s="1"/>
  <c r="C42" i="3"/>
  <c r="A176" i="8" s="1"/>
  <c r="C52" i="3"/>
  <c r="A192" i="8" s="1"/>
  <c r="C60" i="3"/>
  <c r="A204" i="8" s="1"/>
  <c r="C66" i="3"/>
  <c r="A213" i="8" s="1"/>
  <c r="C74" i="3"/>
  <c r="C20" i="3"/>
  <c r="A141" i="8" s="1"/>
  <c r="C28" i="3"/>
  <c r="A155" i="8" s="1"/>
  <c r="C46" i="3"/>
  <c r="A183" i="8" s="1"/>
  <c r="C54" i="3"/>
  <c r="A195" i="8" s="1"/>
  <c r="C64" i="3"/>
  <c r="A210" i="8" s="1"/>
  <c r="C68" i="3"/>
  <c r="A216" i="8" s="1"/>
  <c r="C76" i="3"/>
  <c r="C36" i="3"/>
  <c r="C14" i="3"/>
  <c r="A122" i="8" s="1"/>
  <c r="C22" i="3"/>
  <c r="A144" i="8" s="1"/>
  <c r="C30" i="3"/>
  <c r="A158" i="8" s="1"/>
  <c r="C38" i="3"/>
  <c r="A169" i="8" s="1"/>
  <c r="C48" i="3"/>
  <c r="A186" i="8" s="1"/>
  <c r="C56" i="3"/>
  <c r="A198" i="8" s="1"/>
  <c r="C62" i="3"/>
  <c r="A207" i="8" s="1"/>
  <c r="C70" i="3"/>
  <c r="C78" i="3"/>
  <c r="C8" i="3"/>
  <c r="A105" i="8" s="1"/>
  <c r="C16" i="3"/>
  <c r="A125" i="8" s="1"/>
  <c r="C32" i="3"/>
  <c r="A161" i="8" s="1"/>
  <c r="C40" i="3"/>
  <c r="A173" i="8" s="1"/>
  <c r="C50" i="3"/>
  <c r="A189" i="8" s="1"/>
  <c r="C58" i="3"/>
  <c r="A201" i="8" s="1"/>
  <c r="C44" i="3"/>
  <c r="A180" i="8" s="1"/>
  <c r="C72" i="3"/>
  <c r="C80" i="3"/>
  <c r="A104" i="8"/>
  <c r="A115" i="8"/>
  <c r="B52" i="1"/>
  <c r="B50" i="1"/>
  <c r="B48" i="1"/>
  <c r="B46" i="1"/>
  <c r="B44" i="1"/>
  <c r="B42" i="1"/>
  <c r="B40" i="1"/>
  <c r="B26" i="1"/>
  <c r="B38" i="1"/>
  <c r="B36" i="1"/>
  <c r="B34" i="1"/>
  <c r="B32" i="1"/>
  <c r="B30" i="1"/>
  <c r="B28" i="1"/>
  <c r="B24" i="1"/>
  <c r="B22" i="1"/>
  <c r="B20" i="1"/>
  <c r="B18" i="1"/>
  <c r="B16" i="1"/>
  <c r="B14" i="1"/>
  <c r="A17" i="8"/>
  <c r="B12" i="1"/>
  <c r="A18" i="8" s="1"/>
  <c r="A12" i="8"/>
  <c r="B10" i="1"/>
  <c r="B8" i="1"/>
  <c r="A95" i="8"/>
  <c r="A90" i="8"/>
  <c r="A86" i="8"/>
  <c r="A82" i="8"/>
  <c r="A78" i="8"/>
  <c r="A74" i="8"/>
  <c r="A70" i="8"/>
  <c r="A65" i="8"/>
  <c r="A60" i="8"/>
  <c r="A55" i="8"/>
  <c r="A50" i="8"/>
  <c r="A45" i="8"/>
  <c r="A40" i="8"/>
  <c r="A35" i="8"/>
  <c r="A30" i="8"/>
  <c r="A25" i="8"/>
  <c r="A21" i="8"/>
  <c r="A2" i="8"/>
  <c r="D30" i="21"/>
  <c r="B29" i="21"/>
  <c r="A29" i="21"/>
  <c r="E258" i="21"/>
  <c r="C30" i="21" l="1"/>
  <c r="H30" i="21"/>
  <c r="D36" i="5"/>
  <c r="D22" i="5"/>
  <c r="D42" i="5"/>
  <c r="D12" i="5"/>
  <c r="A233" i="8" s="1"/>
  <c r="D52" i="5"/>
  <c r="D48" i="5"/>
  <c r="D46" i="5"/>
  <c r="D26" i="5"/>
  <c r="D50" i="5"/>
  <c r="D32" i="5"/>
  <c r="D8" i="5"/>
  <c r="A223" i="8" s="1"/>
  <c r="D18" i="5"/>
  <c r="D44" i="5"/>
  <c r="D34" i="5"/>
  <c r="D20" i="5"/>
  <c r="D38" i="5"/>
  <c r="D16" i="5"/>
  <c r="D40" i="5"/>
  <c r="D30" i="5"/>
  <c r="D24" i="5"/>
  <c r="D28" i="5"/>
  <c r="D14" i="5"/>
  <c r="D10" i="5"/>
  <c r="C10" i="1"/>
  <c r="C8" i="1"/>
  <c r="D72" i="3"/>
  <c r="D40" i="3"/>
  <c r="D80" i="3"/>
  <c r="D50" i="3"/>
  <c r="D8" i="3"/>
  <c r="A106" i="8" s="1"/>
  <c r="D62" i="3"/>
  <c r="D30" i="3"/>
  <c r="D76" i="3"/>
  <c r="D46" i="3"/>
  <c r="D74" i="3"/>
  <c r="D42" i="3"/>
  <c r="A177" i="8" s="1"/>
  <c r="D56" i="3"/>
  <c r="D22" i="3"/>
  <c r="A145" i="8" s="1"/>
  <c r="D68" i="3"/>
  <c r="D28" i="3"/>
  <c r="D66" i="3"/>
  <c r="D34" i="3"/>
  <c r="D10" i="3"/>
  <c r="A116" i="8" s="1"/>
  <c r="D44" i="3"/>
  <c r="D32" i="3"/>
  <c r="D78" i="3"/>
  <c r="D48" i="3"/>
  <c r="D14" i="3"/>
  <c r="D64" i="3"/>
  <c r="D20" i="3"/>
  <c r="D60" i="3"/>
  <c r="D26" i="3"/>
  <c r="D58" i="3"/>
  <c r="D16" i="3"/>
  <c r="A126" i="8" s="1"/>
  <c r="D70" i="3"/>
  <c r="D38" i="3"/>
  <c r="A170" i="8" s="1"/>
  <c r="D36" i="3"/>
  <c r="D54" i="3"/>
  <c r="D12" i="3"/>
  <c r="D52" i="3"/>
  <c r="D18" i="3"/>
  <c r="A130" i="8" s="1"/>
  <c r="D24" i="3"/>
  <c r="C22" i="1"/>
  <c r="C32" i="1"/>
  <c r="C26" i="1"/>
  <c r="C46" i="1"/>
  <c r="C16" i="1"/>
  <c r="C34" i="1"/>
  <c r="C40" i="1"/>
  <c r="C48" i="1"/>
  <c r="C14" i="1"/>
  <c r="C24" i="1"/>
  <c r="C12" i="1"/>
  <c r="C18" i="1"/>
  <c r="C28" i="1"/>
  <c r="C36" i="1"/>
  <c r="C42" i="1"/>
  <c r="C50" i="1"/>
  <c r="C20" i="1"/>
  <c r="C30" i="1"/>
  <c r="C38" i="1"/>
  <c r="C44" i="1"/>
  <c r="C52" i="1"/>
  <c r="A13" i="8"/>
  <c r="A96" i="8"/>
  <c r="A91" i="8"/>
  <c r="A87" i="8"/>
  <c r="A83" i="8"/>
  <c r="A79" i="8"/>
  <c r="A75" i="8"/>
  <c r="A71" i="8"/>
  <c r="A66" i="8"/>
  <c r="A61" i="8"/>
  <c r="A56" i="8"/>
  <c r="A51" i="8"/>
  <c r="A46" i="8"/>
  <c r="A41" i="8"/>
  <c r="A36" i="8"/>
  <c r="A31" i="8"/>
  <c r="A26" i="8"/>
  <c r="A22" i="8"/>
  <c r="A3" i="8"/>
  <c r="D31" i="21"/>
  <c r="A30" i="21"/>
  <c r="B30" i="21"/>
  <c r="C31" i="21" l="1"/>
  <c r="H31" i="21"/>
  <c r="E28" i="5"/>
  <c r="E36" i="5"/>
  <c r="E24" i="5"/>
  <c r="E38" i="5"/>
  <c r="E18" i="5"/>
  <c r="E26" i="5"/>
  <c r="E52" i="5"/>
  <c r="E10" i="5"/>
  <c r="E30" i="5"/>
  <c r="E20" i="5"/>
  <c r="E46" i="5"/>
  <c r="E12" i="5"/>
  <c r="E14" i="5"/>
  <c r="E40" i="5"/>
  <c r="E34" i="5"/>
  <c r="E32" i="5"/>
  <c r="E42" i="5"/>
  <c r="E16" i="5"/>
  <c r="E44" i="5"/>
  <c r="E50" i="5"/>
  <c r="E48" i="5"/>
  <c r="E22" i="5"/>
  <c r="E8" i="5"/>
  <c r="A224" i="8" s="1"/>
  <c r="D8" i="1"/>
  <c r="D10" i="1"/>
  <c r="E18" i="3"/>
  <c r="E40" i="3"/>
  <c r="E52" i="3"/>
  <c r="E36" i="3"/>
  <c r="E58" i="3"/>
  <c r="E20" i="3"/>
  <c r="E78" i="3"/>
  <c r="E34" i="3"/>
  <c r="E22" i="3"/>
  <c r="A146" i="8" s="1"/>
  <c r="E74" i="3"/>
  <c r="E62" i="3"/>
  <c r="E38" i="3"/>
  <c r="E72" i="3"/>
  <c r="E64" i="3"/>
  <c r="E32" i="3"/>
  <c r="E66" i="3"/>
  <c r="E56" i="3"/>
  <c r="E46" i="3"/>
  <c r="E8" i="3"/>
  <c r="E12" i="3"/>
  <c r="E70" i="3"/>
  <c r="E26" i="3"/>
  <c r="E14" i="3"/>
  <c r="E44" i="3"/>
  <c r="E28" i="3"/>
  <c r="E76" i="3"/>
  <c r="E50" i="3"/>
  <c r="E24" i="3"/>
  <c r="E54" i="3"/>
  <c r="E16" i="3"/>
  <c r="E60" i="3"/>
  <c r="E48" i="3"/>
  <c r="E10" i="3"/>
  <c r="E68" i="3"/>
  <c r="E42" i="3"/>
  <c r="E30" i="3"/>
  <c r="E80" i="3"/>
  <c r="D40" i="1"/>
  <c r="D42" i="1"/>
  <c r="D24" i="1"/>
  <c r="D52" i="1"/>
  <c r="D44" i="1"/>
  <c r="D50" i="1"/>
  <c r="D18" i="1"/>
  <c r="D48" i="1"/>
  <c r="D46" i="1"/>
  <c r="D26" i="1"/>
  <c r="D30" i="1"/>
  <c r="D36" i="1"/>
  <c r="D34" i="1"/>
  <c r="D32" i="1"/>
  <c r="D38" i="1"/>
  <c r="D12" i="1"/>
  <c r="D20" i="1"/>
  <c r="D28" i="1"/>
  <c r="D14" i="1"/>
  <c r="D16" i="1"/>
  <c r="D22" i="1"/>
  <c r="A97" i="8"/>
  <c r="A92" i="8"/>
  <c r="A88" i="8"/>
  <c r="A84" i="8"/>
  <c r="A80" i="8"/>
  <c r="A76" i="8"/>
  <c r="A72" i="8"/>
  <c r="A67" i="8"/>
  <c r="A62" i="8"/>
  <c r="A57" i="8"/>
  <c r="A52" i="8"/>
  <c r="A47" i="8"/>
  <c r="A42" i="8"/>
  <c r="A37" i="8"/>
  <c r="A32" i="8"/>
  <c r="A27" i="8"/>
  <c r="A23" i="8"/>
  <c r="A19" i="8"/>
  <c r="A14" i="8"/>
  <c r="A4" i="8"/>
  <c r="D32" i="21"/>
  <c r="B31" i="21"/>
  <c r="A31" i="21"/>
  <c r="C32" i="21" l="1"/>
  <c r="H32" i="21"/>
  <c r="F8" i="5"/>
  <c r="A225" i="8" s="1"/>
  <c r="F50" i="5"/>
  <c r="F42" i="5"/>
  <c r="F14" i="5"/>
  <c r="F30" i="5"/>
  <c r="F18" i="5"/>
  <c r="F44" i="5"/>
  <c r="F32" i="5"/>
  <c r="F12" i="5"/>
  <c r="F38" i="5"/>
  <c r="F22" i="5"/>
  <c r="F16" i="5"/>
  <c r="F34" i="5"/>
  <c r="F46" i="5"/>
  <c r="F52" i="5"/>
  <c r="F24" i="5"/>
  <c r="F48" i="5"/>
  <c r="F28" i="5"/>
  <c r="F40" i="5"/>
  <c r="F20" i="5"/>
  <c r="F26" i="5"/>
  <c r="F36" i="5"/>
  <c r="F10" i="5"/>
  <c r="E10" i="1"/>
  <c r="E8" i="1"/>
  <c r="F60" i="3"/>
  <c r="F50" i="3"/>
  <c r="F30" i="3"/>
  <c r="F48" i="3"/>
  <c r="F24" i="3"/>
  <c r="F44" i="3"/>
  <c r="F12" i="3"/>
  <c r="F66" i="3"/>
  <c r="F38" i="3"/>
  <c r="F22" i="3"/>
  <c r="F58" i="3"/>
  <c r="F42" i="3"/>
  <c r="F14" i="3"/>
  <c r="F8" i="3"/>
  <c r="A108" i="8" s="1"/>
  <c r="F32" i="3"/>
  <c r="F52" i="3"/>
  <c r="F34" i="3"/>
  <c r="F36" i="3"/>
  <c r="A107" i="8"/>
  <c r="F68" i="3"/>
  <c r="F16" i="3"/>
  <c r="F76" i="3"/>
  <c r="F26" i="3"/>
  <c r="F46" i="3"/>
  <c r="F64" i="3"/>
  <c r="F62" i="3"/>
  <c r="F78" i="3"/>
  <c r="F18" i="3"/>
  <c r="A131" i="8" s="1"/>
  <c r="F80" i="3"/>
  <c r="F10" i="3"/>
  <c r="F54" i="3"/>
  <c r="F28" i="3"/>
  <c r="F70" i="3"/>
  <c r="F56" i="3"/>
  <c r="F72" i="3"/>
  <c r="F74" i="3"/>
  <c r="F20" i="3"/>
  <c r="F40" i="3"/>
  <c r="E26" i="1"/>
  <c r="E22" i="1"/>
  <c r="E16" i="1"/>
  <c r="E12" i="1"/>
  <c r="E36" i="1"/>
  <c r="E46" i="1"/>
  <c r="E44" i="1"/>
  <c r="E32" i="1"/>
  <c r="E14" i="1"/>
  <c r="E38" i="1"/>
  <c r="E30" i="1"/>
  <c r="E48" i="1"/>
  <c r="E52" i="1"/>
  <c r="E18" i="1"/>
  <c r="E24" i="1"/>
  <c r="E28" i="1"/>
  <c r="E20" i="1"/>
  <c r="E34" i="1"/>
  <c r="E40" i="1"/>
  <c r="E50" i="1"/>
  <c r="E42" i="1"/>
  <c r="A98" i="8"/>
  <c r="A93" i="8"/>
  <c r="A89" i="8"/>
  <c r="A85" i="8"/>
  <c r="A81" i="8"/>
  <c r="A77" i="8"/>
  <c r="A73" i="8"/>
  <c r="A68" i="8"/>
  <c r="A63" i="8"/>
  <c r="A58" i="8"/>
  <c r="A53" i="8"/>
  <c r="A48" i="8"/>
  <c r="A43" i="8"/>
  <c r="A38" i="8"/>
  <c r="A33" i="8"/>
  <c r="A28" i="8"/>
  <c r="A24" i="8"/>
  <c r="A20" i="8"/>
  <c r="A15" i="8"/>
  <c r="A5" i="8"/>
  <c r="D33" i="21"/>
  <c r="B32" i="21"/>
  <c r="A32" i="21"/>
  <c r="C33" i="21" l="1"/>
  <c r="H33" i="21"/>
  <c r="G36" i="5"/>
  <c r="G26" i="5"/>
  <c r="G48" i="5"/>
  <c r="G34" i="5"/>
  <c r="G12" i="5"/>
  <c r="G30" i="5"/>
  <c r="G20" i="5"/>
  <c r="G24" i="5"/>
  <c r="G16" i="5"/>
  <c r="G32" i="5"/>
  <c r="G14" i="5"/>
  <c r="G10" i="5"/>
  <c r="G40" i="5"/>
  <c r="G52" i="5"/>
  <c r="G22" i="5"/>
  <c r="G44" i="5"/>
  <c r="G42" i="5"/>
  <c r="G28" i="5"/>
  <c r="G46" i="5"/>
  <c r="G38" i="5"/>
  <c r="G18" i="5"/>
  <c r="G50" i="5"/>
  <c r="G8" i="5"/>
  <c r="A226" i="8" s="1"/>
  <c r="G72" i="3"/>
  <c r="G54" i="3"/>
  <c r="F8" i="1"/>
  <c r="F10" i="1"/>
  <c r="G60" i="3"/>
  <c r="G20" i="3"/>
  <c r="G74" i="3"/>
  <c r="G28" i="3"/>
  <c r="G64" i="3"/>
  <c r="G16" i="3"/>
  <c r="G36" i="3"/>
  <c r="G8" i="3"/>
  <c r="A109" i="8" s="1"/>
  <c r="G22" i="3"/>
  <c r="G44" i="3"/>
  <c r="G18" i="3"/>
  <c r="A132" i="8" s="1"/>
  <c r="G46" i="3"/>
  <c r="G68" i="3"/>
  <c r="G34" i="3"/>
  <c r="G14" i="3"/>
  <c r="G38" i="3"/>
  <c r="G24" i="3"/>
  <c r="F40" i="1"/>
  <c r="G40" i="3"/>
  <c r="G56" i="3"/>
  <c r="G10" i="3"/>
  <c r="G78" i="3"/>
  <c r="G26" i="3"/>
  <c r="G52" i="3"/>
  <c r="G42" i="3"/>
  <c r="G66" i="3"/>
  <c r="G48" i="3"/>
  <c r="G70" i="3"/>
  <c r="G80" i="3"/>
  <c r="G62" i="3"/>
  <c r="G76" i="3"/>
  <c r="G50" i="3"/>
  <c r="G32" i="3"/>
  <c r="G58" i="3"/>
  <c r="G12" i="3"/>
  <c r="G30" i="3"/>
  <c r="F26" i="1"/>
  <c r="F20" i="1"/>
  <c r="F46" i="1"/>
  <c r="F50" i="1"/>
  <c r="F28" i="1"/>
  <c r="F52" i="1"/>
  <c r="F14" i="1"/>
  <c r="F36" i="1"/>
  <c r="F24" i="1"/>
  <c r="F48" i="1"/>
  <c r="F32" i="1"/>
  <c r="F12" i="1"/>
  <c r="F34" i="1"/>
  <c r="F18" i="1"/>
  <c r="F30" i="1"/>
  <c r="F44" i="1"/>
  <c r="F16" i="1"/>
  <c r="F42" i="1"/>
  <c r="F38" i="1"/>
  <c r="F22" i="1"/>
  <c r="A99" i="8"/>
  <c r="A94" i="8"/>
  <c r="A69" i="8"/>
  <c r="A64" i="8"/>
  <c r="A59" i="8"/>
  <c r="A54" i="8"/>
  <c r="A49" i="8"/>
  <c r="A44" i="8"/>
  <c r="A39" i="8"/>
  <c r="A34" i="8"/>
  <c r="A29" i="8"/>
  <c r="A16" i="8"/>
  <c r="A6" i="8"/>
  <c r="D34" i="21"/>
  <c r="B33" i="21"/>
  <c r="A33" i="21"/>
  <c r="C34" i="21" l="1"/>
  <c r="H34" i="21"/>
  <c r="G20" i="21"/>
  <c r="G30" i="21"/>
  <c r="G26" i="21"/>
  <c r="G27" i="21"/>
  <c r="G29" i="21"/>
  <c r="G19" i="21"/>
  <c r="G17" i="21"/>
  <c r="G32" i="21"/>
  <c r="G8" i="21"/>
  <c r="G18" i="21"/>
  <c r="G14" i="21"/>
  <c r="G28" i="21"/>
  <c r="G10" i="21"/>
  <c r="G15" i="21"/>
  <c r="G16" i="21"/>
  <c r="G6" i="21"/>
  <c r="G7" i="21"/>
  <c r="G31" i="21"/>
  <c r="G24" i="21"/>
  <c r="G33" i="21"/>
  <c r="G34" i="21"/>
  <c r="G25" i="21"/>
  <c r="G22" i="21"/>
  <c r="G23" i="21"/>
  <c r="G21" i="21"/>
  <c r="G12" i="21"/>
  <c r="G11" i="21"/>
  <c r="G13" i="21"/>
  <c r="G9" i="21"/>
  <c r="G10" i="1"/>
  <c r="G8" i="1"/>
  <c r="H32" i="3"/>
  <c r="H54" i="3"/>
  <c r="H58" i="3"/>
  <c r="H62" i="3"/>
  <c r="H48" i="3"/>
  <c r="H26" i="3"/>
  <c r="H40" i="3"/>
  <c r="H14" i="3"/>
  <c r="H18" i="3"/>
  <c r="A133" i="8" s="1"/>
  <c r="H8" i="3"/>
  <c r="H28" i="3"/>
  <c r="H80" i="3"/>
  <c r="H66" i="3"/>
  <c r="H78" i="3"/>
  <c r="H34" i="3"/>
  <c r="H36" i="3"/>
  <c r="H74" i="3"/>
  <c r="H30" i="3"/>
  <c r="H50" i="3"/>
  <c r="H70" i="3"/>
  <c r="H42" i="3"/>
  <c r="H10" i="3"/>
  <c r="H24" i="3"/>
  <c r="H68" i="3"/>
  <c r="H44" i="3"/>
  <c r="H16" i="3"/>
  <c r="H72" i="3"/>
  <c r="H12" i="3"/>
  <c r="H76" i="3"/>
  <c r="H20" i="3"/>
  <c r="H52" i="3"/>
  <c r="H56" i="3"/>
  <c r="H38" i="3"/>
  <c r="H46" i="3"/>
  <c r="H22" i="3"/>
  <c r="H64" i="3"/>
  <c r="H60" i="3"/>
  <c r="A110" i="8"/>
  <c r="G16" i="1"/>
  <c r="G30" i="1"/>
  <c r="G32" i="1"/>
  <c r="G36" i="1"/>
  <c r="G50" i="1"/>
  <c r="G38" i="1"/>
  <c r="G42" i="1"/>
  <c r="G18" i="1"/>
  <c r="G48" i="1"/>
  <c r="G14" i="1"/>
  <c r="G46" i="1"/>
  <c r="G24" i="1"/>
  <c r="G52" i="1"/>
  <c r="G20" i="1"/>
  <c r="G34" i="1"/>
  <c r="G22" i="1"/>
  <c r="G44" i="1"/>
  <c r="G12" i="1"/>
  <c r="G40" i="1"/>
  <c r="G28" i="1"/>
  <c r="G26" i="1"/>
  <c r="A7" i="8"/>
  <c r="D35" i="21"/>
  <c r="B34" i="21"/>
  <c r="A34" i="21"/>
  <c r="C35" i="21" l="1"/>
  <c r="H35" i="21"/>
  <c r="G35" i="21"/>
  <c r="H8" i="1"/>
  <c r="H10" i="1"/>
  <c r="I22" i="3"/>
  <c r="I32" i="3"/>
  <c r="I64" i="3"/>
  <c r="I56" i="3"/>
  <c r="I12" i="3"/>
  <c r="I68" i="3"/>
  <c r="I70" i="3"/>
  <c r="I36" i="3"/>
  <c r="I80" i="3"/>
  <c r="I18" i="3"/>
  <c r="A134" i="8" s="1"/>
  <c r="I48" i="3"/>
  <c r="I52" i="3"/>
  <c r="I72" i="3"/>
  <c r="I24" i="3"/>
  <c r="I50" i="3"/>
  <c r="I34" i="3"/>
  <c r="I14" i="3"/>
  <c r="I62" i="3"/>
  <c r="I46" i="3"/>
  <c r="I20" i="3"/>
  <c r="I16" i="3"/>
  <c r="I10" i="3"/>
  <c r="I30" i="3"/>
  <c r="I78" i="3"/>
  <c r="I28" i="3"/>
  <c r="I40" i="3"/>
  <c r="I58" i="3"/>
  <c r="I60" i="3"/>
  <c r="I38" i="3"/>
  <c r="I76" i="3"/>
  <c r="I44" i="3"/>
  <c r="I42" i="3"/>
  <c r="I74" i="3"/>
  <c r="I66" i="3"/>
  <c r="I8" i="3"/>
  <c r="I26" i="3"/>
  <c r="I54" i="3"/>
  <c r="H16" i="1"/>
  <c r="H26" i="1"/>
  <c r="H28" i="1"/>
  <c r="H22" i="1"/>
  <c r="H24" i="1"/>
  <c r="H48" i="1"/>
  <c r="H50" i="1"/>
  <c r="H40" i="1"/>
  <c r="H34" i="1"/>
  <c r="H18" i="1"/>
  <c r="H36" i="1"/>
  <c r="H20" i="1"/>
  <c r="H46" i="1"/>
  <c r="H42" i="1"/>
  <c r="H32" i="1"/>
  <c r="H12" i="1"/>
  <c r="H44" i="1"/>
  <c r="H52" i="1"/>
  <c r="H14" i="1"/>
  <c r="H38" i="1"/>
  <c r="H30" i="1"/>
  <c r="A8" i="8"/>
  <c r="D36" i="21"/>
  <c r="H36" i="21" s="1"/>
  <c r="B35" i="21"/>
  <c r="A35" i="21"/>
  <c r="C36" i="21" l="1"/>
  <c r="G36" i="21"/>
  <c r="I10" i="1"/>
  <c r="I8" i="1"/>
  <c r="J8" i="3"/>
  <c r="A112" i="8" s="1"/>
  <c r="J58" i="3"/>
  <c r="J26" i="3"/>
  <c r="J42" i="3"/>
  <c r="J60" i="3"/>
  <c r="J78" i="3"/>
  <c r="J20" i="3"/>
  <c r="J34" i="3"/>
  <c r="J52" i="3"/>
  <c r="J80" i="3"/>
  <c r="J12" i="3"/>
  <c r="J30" i="3"/>
  <c r="J46" i="3"/>
  <c r="J50" i="3"/>
  <c r="J22" i="3"/>
  <c r="J36" i="3"/>
  <c r="J56" i="3"/>
  <c r="J44" i="3"/>
  <c r="J66" i="3"/>
  <c r="J76" i="3"/>
  <c r="J40" i="3"/>
  <c r="J10" i="3"/>
  <c r="J62" i="3"/>
  <c r="J24" i="3"/>
  <c r="J48" i="3"/>
  <c r="J70" i="3"/>
  <c r="J64" i="3"/>
  <c r="J54" i="3"/>
  <c r="J74" i="3"/>
  <c r="J38" i="3"/>
  <c r="J28" i="3"/>
  <c r="J16" i="3"/>
  <c r="J14" i="3"/>
  <c r="J72" i="3"/>
  <c r="J18" i="3"/>
  <c r="J68" i="3"/>
  <c r="J32" i="3"/>
  <c r="A111" i="8"/>
  <c r="I30" i="1"/>
  <c r="I40" i="1"/>
  <c r="I22" i="1"/>
  <c r="I20" i="1"/>
  <c r="I32" i="1"/>
  <c r="I36" i="1"/>
  <c r="I50" i="1"/>
  <c r="I28" i="1"/>
  <c r="I38" i="1"/>
  <c r="I12" i="1"/>
  <c r="I14" i="1"/>
  <c r="I52" i="1"/>
  <c r="I42" i="1"/>
  <c r="I18" i="1"/>
  <c r="I48" i="1"/>
  <c r="I26" i="1"/>
  <c r="I44" i="1"/>
  <c r="I46" i="1"/>
  <c r="I34" i="1"/>
  <c r="I24" i="1"/>
  <c r="I16" i="1"/>
  <c r="A9" i="8"/>
  <c r="D37" i="21"/>
  <c r="H37" i="21" s="1"/>
  <c r="B36" i="21"/>
  <c r="A36" i="21"/>
  <c r="C37" i="21" l="1"/>
  <c r="G37" i="21"/>
  <c r="K32" i="3"/>
  <c r="A135" i="8"/>
  <c r="J8" i="1"/>
  <c r="A11" i="8" s="1"/>
  <c r="J10" i="1"/>
  <c r="K68" i="3"/>
  <c r="K16" i="3"/>
  <c r="K54" i="3"/>
  <c r="K24" i="3"/>
  <c r="K76" i="3"/>
  <c r="K56" i="3"/>
  <c r="K46" i="3"/>
  <c r="K80" i="3"/>
  <c r="K78" i="3"/>
  <c r="K18" i="3"/>
  <c r="A136" i="8" s="1"/>
  <c r="K64" i="3"/>
  <c r="K36" i="3"/>
  <c r="K30" i="3"/>
  <c r="K52" i="3"/>
  <c r="K60" i="3"/>
  <c r="K28" i="3"/>
  <c r="K62" i="3"/>
  <c r="K66" i="3"/>
  <c r="K72" i="3"/>
  <c r="K38" i="3"/>
  <c r="K70" i="3"/>
  <c r="K10" i="3"/>
  <c r="K44" i="3"/>
  <c r="K22" i="3"/>
  <c r="K58" i="3"/>
  <c r="K34" i="3"/>
  <c r="K42" i="3"/>
  <c r="K14" i="3"/>
  <c r="K74" i="3"/>
  <c r="K48" i="3"/>
  <c r="K40" i="3"/>
  <c r="K8" i="3"/>
  <c r="K50" i="3"/>
  <c r="K12" i="3"/>
  <c r="K20" i="3"/>
  <c r="K26" i="3"/>
  <c r="J16" i="1"/>
  <c r="J30" i="1"/>
  <c r="J24" i="1"/>
  <c r="J42" i="1"/>
  <c r="J38" i="1"/>
  <c r="J32" i="1"/>
  <c r="J26" i="1"/>
  <c r="J52" i="1"/>
  <c r="J28" i="1"/>
  <c r="J20" i="1"/>
  <c r="J18" i="1"/>
  <c r="J34" i="1"/>
  <c r="J46" i="1"/>
  <c r="J48" i="1"/>
  <c r="J14" i="1"/>
  <c r="J50" i="1"/>
  <c r="J22" i="1"/>
  <c r="J44" i="1"/>
  <c r="J12" i="1"/>
  <c r="J36" i="1"/>
  <c r="J40" i="1"/>
  <c r="A10" i="8"/>
  <c r="D38" i="21"/>
  <c r="H38" i="21" s="1"/>
  <c r="B37" i="21"/>
  <c r="A37" i="21"/>
  <c r="C38" i="21" l="1"/>
  <c r="G38" i="21"/>
  <c r="L18" i="3"/>
  <c r="E6" i="21"/>
  <c r="E30" i="21"/>
  <c r="E12" i="21"/>
  <c r="E29" i="21"/>
  <c r="E36" i="21"/>
  <c r="E22" i="21"/>
  <c r="E31" i="21"/>
  <c r="E13" i="21"/>
  <c r="E28" i="21"/>
  <c r="E16" i="21"/>
  <c r="E14" i="21"/>
  <c r="E33" i="21"/>
  <c r="E24" i="21"/>
  <c r="E38" i="21"/>
  <c r="E9" i="21"/>
  <c r="E23" i="21"/>
  <c r="E21" i="21"/>
  <c r="E11" i="21"/>
  <c r="E27" i="21"/>
  <c r="E35" i="21"/>
  <c r="E18" i="21"/>
  <c r="E8" i="21"/>
  <c r="E17" i="21"/>
  <c r="E10" i="21"/>
  <c r="E32" i="21"/>
  <c r="E20" i="21"/>
  <c r="E26" i="21"/>
  <c r="E37" i="21"/>
  <c r="E15" i="21"/>
  <c r="E34" i="21"/>
  <c r="E25" i="21"/>
  <c r="E19" i="21"/>
  <c r="E7" i="21"/>
  <c r="D39" i="21"/>
  <c r="H39" i="21" s="1"/>
  <c r="A38" i="21"/>
  <c r="B38" i="21"/>
  <c r="C39" i="21" l="1"/>
  <c r="G39" i="21"/>
  <c r="E39" i="21"/>
  <c r="M18" i="3"/>
  <c r="A138" i="8" s="1"/>
  <c r="A137" i="8"/>
  <c r="D40" i="21"/>
  <c r="H40" i="21" s="1"/>
  <c r="B39" i="21"/>
  <c r="A39" i="21"/>
  <c r="F9" i="21" l="1"/>
  <c r="C40" i="21"/>
  <c r="G40" i="21"/>
  <c r="E40" i="21"/>
  <c r="F17" i="21"/>
  <c r="F12" i="21"/>
  <c r="F40" i="21"/>
  <c r="F26" i="21"/>
  <c r="F38" i="21"/>
  <c r="F8" i="21"/>
  <c r="F10" i="21"/>
  <c r="F24" i="21"/>
  <c r="F31" i="21"/>
  <c r="F11" i="21"/>
  <c r="F13" i="21"/>
  <c r="F14" i="21"/>
  <c r="F20" i="21"/>
  <c r="F22" i="21"/>
  <c r="F39" i="21"/>
  <c r="F34" i="21"/>
  <c r="F25" i="21"/>
  <c r="F23" i="21"/>
  <c r="F32" i="21"/>
  <c r="F36" i="21"/>
  <c r="F33" i="21"/>
  <c r="F29" i="21"/>
  <c r="F35" i="21"/>
  <c r="F37" i="21"/>
  <c r="F28" i="21"/>
  <c r="F18" i="21"/>
  <c r="F19" i="21"/>
  <c r="F16" i="21"/>
  <c r="F30" i="21"/>
  <c r="F15" i="21"/>
  <c r="F21" i="21"/>
  <c r="F27" i="21"/>
  <c r="F7" i="21"/>
  <c r="F6" i="21"/>
  <c r="D41" i="21"/>
  <c r="H41" i="21" s="1"/>
  <c r="B40" i="21"/>
  <c r="A40" i="21"/>
  <c r="F41" i="21" l="1"/>
  <c r="C41" i="21"/>
  <c r="G41" i="21"/>
  <c r="E41" i="21"/>
  <c r="D42" i="21"/>
  <c r="H42" i="21" s="1"/>
  <c r="B41" i="21"/>
  <c r="A41" i="21"/>
  <c r="C42" i="21" l="1"/>
  <c r="G42" i="21"/>
  <c r="E42" i="21"/>
  <c r="F42" i="21"/>
  <c r="D43" i="21"/>
  <c r="H43" i="21" s="1"/>
  <c r="B42" i="21"/>
  <c r="A42" i="21"/>
  <c r="C43" i="21" l="1"/>
  <c r="G43" i="21"/>
  <c r="E43" i="21"/>
  <c r="F43" i="21"/>
  <c r="D44" i="21"/>
  <c r="H44" i="21" s="1"/>
  <c r="A43" i="21"/>
  <c r="B43" i="21"/>
  <c r="C44" i="21" l="1"/>
  <c r="G44" i="21"/>
  <c r="E44" i="21"/>
  <c r="F44" i="21"/>
  <c r="D45" i="21"/>
  <c r="H45" i="21" s="1"/>
  <c r="B44" i="21"/>
  <c r="A44" i="21"/>
  <c r="C45" i="21" l="1"/>
  <c r="G45" i="21"/>
  <c r="E45" i="21"/>
  <c r="F45" i="21"/>
  <c r="D46" i="21"/>
  <c r="H46" i="21" s="1"/>
  <c r="B45" i="21"/>
  <c r="A45" i="21"/>
  <c r="C46" i="21" l="1"/>
  <c r="G46" i="21"/>
  <c r="E46" i="21"/>
  <c r="F46" i="21"/>
  <c r="D47" i="21"/>
  <c r="H47" i="21" s="1"/>
  <c r="A46" i="21"/>
  <c r="B46" i="21"/>
  <c r="C47" i="21" l="1"/>
  <c r="G47" i="21"/>
  <c r="E47" i="21"/>
  <c r="F47" i="21"/>
  <c r="D48" i="21"/>
  <c r="H48" i="21" s="1"/>
  <c r="B47" i="21"/>
  <c r="A47" i="21"/>
  <c r="C48" i="21" l="1"/>
  <c r="G48" i="21"/>
  <c r="E48" i="21"/>
  <c r="F48" i="21"/>
  <c r="D49" i="21"/>
  <c r="H49" i="21" s="1"/>
  <c r="B48" i="21"/>
  <c r="A48" i="21"/>
  <c r="C49" i="21" l="1"/>
  <c r="G49" i="21"/>
  <c r="E49" i="21"/>
  <c r="F49" i="21"/>
  <c r="D50" i="21"/>
  <c r="H50" i="21" s="1"/>
  <c r="B49" i="21"/>
  <c r="A49" i="21"/>
  <c r="C50" i="21" l="1"/>
  <c r="G50" i="21"/>
  <c r="E50" i="21"/>
  <c r="F50" i="21"/>
  <c r="D51" i="21"/>
  <c r="H51" i="21" s="1"/>
  <c r="B50" i="21"/>
  <c r="A50" i="21"/>
  <c r="C51" i="21" l="1"/>
  <c r="G51" i="21"/>
  <c r="E51" i="21"/>
  <c r="F51" i="21"/>
  <c r="D52" i="21"/>
  <c r="H52" i="21" s="1"/>
  <c r="B51" i="21"/>
  <c r="A51" i="21"/>
  <c r="C52" i="21" l="1"/>
  <c r="G52" i="21"/>
  <c r="E52" i="21"/>
  <c r="F52" i="21"/>
  <c r="D53" i="21"/>
  <c r="H53" i="21" s="1"/>
  <c r="B52" i="21"/>
  <c r="A52" i="21"/>
  <c r="C53" i="21" l="1"/>
  <c r="G53" i="21"/>
  <c r="E53" i="21"/>
  <c r="F53" i="21"/>
  <c r="D54" i="21"/>
  <c r="H54" i="21" s="1"/>
  <c r="B53" i="21"/>
  <c r="A53" i="21"/>
  <c r="C54" i="21" l="1"/>
  <c r="G54" i="21"/>
  <c r="E54" i="21"/>
  <c r="F54" i="21"/>
  <c r="D55" i="21"/>
  <c r="H55" i="21" s="1"/>
  <c r="A54" i="21"/>
  <c r="B54" i="21"/>
  <c r="C55" i="21" l="1"/>
  <c r="G55" i="21"/>
  <c r="E55" i="21"/>
  <c r="F55" i="21"/>
  <c r="D56" i="21"/>
  <c r="H56" i="21" s="1"/>
  <c r="B55" i="21"/>
  <c r="A55" i="21"/>
  <c r="C56" i="21" l="1"/>
  <c r="G56" i="21"/>
  <c r="E56" i="21"/>
  <c r="F56" i="21"/>
  <c r="D57" i="21"/>
  <c r="H57" i="21" s="1"/>
  <c r="B56" i="21"/>
  <c r="A56" i="21"/>
  <c r="C57" i="21" l="1"/>
  <c r="G57" i="21"/>
  <c r="E57" i="21"/>
  <c r="F57" i="21"/>
  <c r="D58" i="21"/>
  <c r="H58" i="21" s="1"/>
  <c r="B57" i="21"/>
  <c r="A57" i="21"/>
  <c r="C58" i="21" l="1"/>
  <c r="G58" i="21"/>
  <c r="E58" i="21"/>
  <c r="F58" i="21"/>
  <c r="D59" i="21"/>
  <c r="H59" i="21" s="1"/>
  <c r="B58" i="21"/>
  <c r="A58" i="21"/>
  <c r="C59" i="21" l="1"/>
  <c r="G59" i="21"/>
  <c r="E59" i="21"/>
  <c r="F59" i="21"/>
  <c r="D60" i="21"/>
  <c r="H60" i="21" s="1"/>
  <c r="A59" i="21"/>
  <c r="B59" i="21"/>
  <c r="C60" i="21" l="1"/>
  <c r="G60" i="21"/>
  <c r="E60" i="21"/>
  <c r="F60" i="21"/>
  <c r="D61" i="21"/>
  <c r="H61" i="21" s="1"/>
  <c r="B60" i="21"/>
  <c r="A60" i="21"/>
  <c r="C61" i="21" l="1"/>
  <c r="G61" i="21"/>
  <c r="E61" i="21"/>
  <c r="F61" i="21"/>
  <c r="D62" i="21"/>
  <c r="H62" i="21" s="1"/>
  <c r="B61" i="21"/>
  <c r="A61" i="21"/>
  <c r="C62" i="21" l="1"/>
  <c r="G62" i="21"/>
  <c r="E62" i="21"/>
  <c r="F62" i="21"/>
  <c r="D63" i="21"/>
  <c r="H63" i="21" s="1"/>
  <c r="A62" i="21"/>
  <c r="B62" i="21"/>
  <c r="C63" i="21" l="1"/>
  <c r="G63" i="21"/>
  <c r="E63" i="21"/>
  <c r="F63" i="21"/>
  <c r="D64" i="21"/>
  <c r="H64" i="21" s="1"/>
  <c r="B63" i="21"/>
  <c r="A63" i="21"/>
  <c r="C64" i="21" l="1"/>
  <c r="G64" i="21"/>
  <c r="E64" i="21"/>
  <c r="F64" i="21"/>
  <c r="D65" i="21"/>
  <c r="H65" i="21" s="1"/>
  <c r="B64" i="21"/>
  <c r="A64" i="21"/>
  <c r="C65" i="21" l="1"/>
  <c r="G65" i="21"/>
  <c r="E65" i="21"/>
  <c r="F65" i="21"/>
  <c r="D66" i="21"/>
  <c r="H66" i="21" s="1"/>
  <c r="B65" i="21"/>
  <c r="A65" i="21"/>
  <c r="C66" i="21" l="1"/>
  <c r="G66" i="21"/>
  <c r="E66" i="21"/>
  <c r="F66" i="21"/>
  <c r="D67" i="21"/>
  <c r="H67" i="21" s="1"/>
  <c r="B66" i="21"/>
  <c r="A66" i="21"/>
  <c r="C67" i="21" l="1"/>
  <c r="G67" i="21"/>
  <c r="E67" i="21"/>
  <c r="F67" i="21"/>
  <c r="D68" i="21"/>
  <c r="H68" i="21" s="1"/>
  <c r="B67" i="21"/>
  <c r="A67" i="21"/>
  <c r="C68" i="21" l="1"/>
  <c r="G68" i="21"/>
  <c r="E68" i="21"/>
  <c r="F68" i="21"/>
  <c r="D69" i="21"/>
  <c r="H69" i="21" s="1"/>
  <c r="B68" i="21"/>
  <c r="A68" i="21"/>
  <c r="C69" i="21" l="1"/>
  <c r="G69" i="21"/>
  <c r="E69" i="21"/>
  <c r="F69" i="21"/>
  <c r="D70" i="21"/>
  <c r="H70" i="21" s="1"/>
  <c r="B69" i="21"/>
  <c r="A69" i="21"/>
  <c r="C70" i="21" l="1"/>
  <c r="G70" i="21"/>
  <c r="E70" i="21"/>
  <c r="F70" i="21"/>
  <c r="D71" i="21"/>
  <c r="H71" i="21" s="1"/>
  <c r="A70" i="21"/>
  <c r="B70" i="21"/>
  <c r="C71" i="21" l="1"/>
  <c r="G71" i="21"/>
  <c r="E71" i="21"/>
  <c r="F71" i="21"/>
  <c r="D72" i="21"/>
  <c r="H72" i="21" s="1"/>
  <c r="B71" i="21"/>
  <c r="A71" i="21"/>
  <c r="C72" i="21" l="1"/>
  <c r="G72" i="21"/>
  <c r="E72" i="21"/>
  <c r="F72" i="21"/>
  <c r="D73" i="21"/>
  <c r="H73" i="21" s="1"/>
  <c r="B72" i="21"/>
  <c r="A72" i="21"/>
  <c r="C73" i="21" l="1"/>
  <c r="G73" i="21"/>
  <c r="E73" i="21"/>
  <c r="F73" i="21"/>
  <c r="D74" i="21"/>
  <c r="H74" i="21" s="1"/>
  <c r="B73" i="21"/>
  <c r="A73" i="21"/>
  <c r="C74" i="21" l="1"/>
  <c r="G74" i="21"/>
  <c r="E74" i="21"/>
  <c r="F74" i="21"/>
  <c r="D75" i="21"/>
  <c r="H75" i="21" s="1"/>
  <c r="B74" i="21"/>
  <c r="A74" i="21"/>
  <c r="C75" i="21" l="1"/>
  <c r="G75" i="21"/>
  <c r="E75" i="21"/>
  <c r="F75" i="21"/>
  <c r="D76" i="21"/>
  <c r="H76" i="21" s="1"/>
  <c r="A75" i="21"/>
  <c r="B75" i="21"/>
  <c r="C76" i="21" l="1"/>
  <c r="G76" i="21"/>
  <c r="E76" i="21"/>
  <c r="F76" i="21"/>
  <c r="D77" i="21"/>
  <c r="H77" i="21" s="1"/>
  <c r="B76" i="21"/>
  <c r="A76" i="21"/>
  <c r="C77" i="21" l="1"/>
  <c r="G77" i="21"/>
  <c r="E77" i="21"/>
  <c r="F77" i="21"/>
  <c r="D78" i="21"/>
  <c r="H78" i="21" s="1"/>
  <c r="B77" i="21"/>
  <c r="A77" i="21"/>
  <c r="C78" i="21" l="1"/>
  <c r="G78" i="21"/>
  <c r="E78" i="21"/>
  <c r="F78" i="21"/>
  <c r="D79" i="21"/>
  <c r="H79" i="21" s="1"/>
  <c r="A78" i="21"/>
  <c r="B78" i="21"/>
  <c r="C79" i="21" l="1"/>
  <c r="G79" i="21"/>
  <c r="E79" i="21"/>
  <c r="F79" i="21"/>
  <c r="D80" i="21"/>
  <c r="H80" i="21" s="1"/>
  <c r="B79" i="21"/>
  <c r="A79" i="21"/>
  <c r="C80" i="21" l="1"/>
  <c r="G80" i="21"/>
  <c r="E80" i="21"/>
  <c r="F80" i="21"/>
  <c r="D81" i="21"/>
  <c r="H81" i="21" s="1"/>
  <c r="B80" i="21"/>
  <c r="A80" i="21"/>
  <c r="C81" i="21" l="1"/>
  <c r="G81" i="21"/>
  <c r="E81" i="21"/>
  <c r="F81" i="21"/>
  <c r="D82" i="21"/>
  <c r="H82" i="21" s="1"/>
  <c r="B81" i="21"/>
  <c r="A81" i="21"/>
  <c r="C82" i="21" l="1"/>
  <c r="G82" i="21"/>
  <c r="E82" i="21"/>
  <c r="F82" i="21"/>
  <c r="D83" i="21"/>
  <c r="H83" i="21" s="1"/>
  <c r="B82" i="21"/>
  <c r="A82" i="21"/>
  <c r="C83" i="21" l="1"/>
  <c r="G83" i="21"/>
  <c r="E83" i="21"/>
  <c r="F83" i="21"/>
  <c r="D84" i="21"/>
  <c r="H84" i="21" s="1"/>
  <c r="B83" i="21"/>
  <c r="A83" i="21"/>
  <c r="C84" i="21" l="1"/>
  <c r="G84" i="21"/>
  <c r="E84" i="21"/>
  <c r="F84" i="21"/>
  <c r="D85" i="21"/>
  <c r="H85" i="21" s="1"/>
  <c r="B84" i="21"/>
  <c r="A84" i="21"/>
  <c r="C85" i="21" l="1"/>
  <c r="G85" i="21"/>
  <c r="E85" i="21"/>
  <c r="F85" i="21"/>
  <c r="D86" i="21"/>
  <c r="H86" i="21" s="1"/>
  <c r="B85" i="21"/>
  <c r="A85" i="21"/>
  <c r="C86" i="21" l="1"/>
  <c r="G86" i="21"/>
  <c r="E86" i="21"/>
  <c r="F86" i="21"/>
  <c r="D87" i="21"/>
  <c r="H87" i="21" s="1"/>
  <c r="A86" i="21"/>
  <c r="B86" i="21"/>
  <c r="C87" i="21" l="1"/>
  <c r="G87" i="21"/>
  <c r="E87" i="21"/>
  <c r="F87" i="21"/>
  <c r="D88" i="21"/>
  <c r="H88" i="21" s="1"/>
  <c r="B87" i="21"/>
  <c r="A87" i="21"/>
  <c r="C88" i="21" l="1"/>
  <c r="G88" i="21"/>
  <c r="E88" i="21"/>
  <c r="F88" i="21"/>
  <c r="D89" i="21"/>
  <c r="H89" i="21" s="1"/>
  <c r="B88" i="21"/>
  <c r="A88" i="21"/>
  <c r="C89" i="21" l="1"/>
  <c r="G89" i="21"/>
  <c r="E89" i="21"/>
  <c r="F89" i="21"/>
  <c r="D90" i="21"/>
  <c r="H90" i="21" s="1"/>
  <c r="B89" i="21"/>
  <c r="A89" i="21"/>
  <c r="C90" i="21" l="1"/>
  <c r="G90" i="21"/>
  <c r="E90" i="21"/>
  <c r="F90" i="21"/>
  <c r="D91" i="21"/>
  <c r="H91" i="21" s="1"/>
  <c r="B90" i="21"/>
  <c r="A90" i="21"/>
  <c r="C91" i="21" l="1"/>
  <c r="G91" i="21"/>
  <c r="E91" i="21"/>
  <c r="F91" i="21"/>
  <c r="D92" i="21"/>
  <c r="H92" i="21" s="1"/>
  <c r="A91" i="21"/>
  <c r="B91" i="21"/>
  <c r="C92" i="21" l="1"/>
  <c r="G92" i="21"/>
  <c r="E92" i="21"/>
  <c r="F92" i="21"/>
  <c r="D93" i="21"/>
  <c r="H93" i="21" s="1"/>
  <c r="B92" i="21"/>
  <c r="A92" i="21"/>
  <c r="C93" i="21" l="1"/>
  <c r="G93" i="21"/>
  <c r="E93" i="21"/>
  <c r="F93" i="21"/>
  <c r="D94" i="21"/>
  <c r="H94" i="21" s="1"/>
  <c r="B93" i="21"/>
  <c r="A93" i="21"/>
  <c r="C94" i="21" l="1"/>
  <c r="G94" i="21"/>
  <c r="E94" i="21"/>
  <c r="F94" i="21"/>
  <c r="D95" i="21"/>
  <c r="H95" i="21" s="1"/>
  <c r="A94" i="21"/>
  <c r="B94" i="21"/>
  <c r="C95" i="21" l="1"/>
  <c r="G95" i="21"/>
  <c r="E95" i="21"/>
  <c r="F95" i="21"/>
  <c r="D96" i="21"/>
  <c r="H96" i="21" s="1"/>
  <c r="B95" i="21"/>
  <c r="A95" i="21"/>
  <c r="C96" i="21" l="1"/>
  <c r="G96" i="21"/>
  <c r="E96" i="21"/>
  <c r="F96" i="21"/>
  <c r="D97" i="21"/>
  <c r="H97" i="21" s="1"/>
  <c r="B96" i="21"/>
  <c r="A96" i="21"/>
  <c r="C97" i="21" l="1"/>
  <c r="G97" i="21"/>
  <c r="E97" i="21"/>
  <c r="F97" i="21"/>
  <c r="D98" i="21"/>
  <c r="H98" i="21" s="1"/>
  <c r="B97" i="21"/>
  <c r="A97" i="21"/>
  <c r="C98" i="21" l="1"/>
  <c r="G98" i="21"/>
  <c r="E98" i="21"/>
  <c r="F98" i="21"/>
  <c r="D99" i="21"/>
  <c r="H99" i="21" s="1"/>
  <c r="B98" i="21"/>
  <c r="A98" i="21"/>
  <c r="C99" i="21" l="1"/>
  <c r="G99" i="21"/>
  <c r="E99" i="21"/>
  <c r="F99" i="21"/>
  <c r="D100" i="21"/>
  <c r="H100" i="21" s="1"/>
  <c r="B99" i="21"/>
  <c r="A99" i="21"/>
  <c r="C100" i="21" l="1"/>
  <c r="G100" i="21"/>
  <c r="E100" i="21"/>
  <c r="F100" i="21"/>
  <c r="D101" i="21"/>
  <c r="H101" i="21" s="1"/>
  <c r="B100" i="21"/>
  <c r="A100" i="21"/>
  <c r="C101" i="21" l="1"/>
  <c r="G101" i="21"/>
  <c r="E101" i="21"/>
  <c r="F101" i="21"/>
  <c r="D102" i="21"/>
  <c r="H102" i="21" s="1"/>
  <c r="B101" i="21"/>
  <c r="A101" i="21"/>
  <c r="C102" i="21" l="1"/>
  <c r="G102" i="21"/>
  <c r="E102" i="21"/>
  <c r="F102" i="21"/>
  <c r="D103" i="21"/>
  <c r="H103" i="21" s="1"/>
  <c r="A102" i="21"/>
  <c r="B102" i="21"/>
  <c r="C103" i="21" l="1"/>
  <c r="G103" i="21"/>
  <c r="E103" i="21"/>
  <c r="F103" i="21"/>
  <c r="D104" i="21"/>
  <c r="H104" i="21" s="1"/>
  <c r="B103" i="21"/>
  <c r="A103" i="21"/>
  <c r="C104" i="21" l="1"/>
  <c r="G104" i="21"/>
  <c r="E104" i="21"/>
  <c r="F104" i="21"/>
  <c r="D105" i="21"/>
  <c r="H105" i="21" s="1"/>
  <c r="B104" i="21"/>
  <c r="A104" i="21"/>
  <c r="C105" i="21" l="1"/>
  <c r="G105" i="21"/>
  <c r="E105" i="21"/>
  <c r="F105" i="21"/>
  <c r="D106" i="21"/>
  <c r="H106" i="21" s="1"/>
  <c r="B105" i="21"/>
  <c r="A105" i="21"/>
  <c r="C106" i="21" l="1"/>
  <c r="G106" i="21"/>
  <c r="E106" i="21"/>
  <c r="F106" i="21"/>
  <c r="D107" i="21"/>
  <c r="H107" i="21" s="1"/>
  <c r="B106" i="21"/>
  <c r="A106" i="21"/>
  <c r="C107" i="21" l="1"/>
  <c r="G107" i="21"/>
  <c r="E107" i="21"/>
  <c r="F107" i="21"/>
  <c r="D108" i="21"/>
  <c r="H108" i="21" s="1"/>
  <c r="B107" i="21"/>
  <c r="A107" i="21"/>
  <c r="C108" i="21" l="1"/>
  <c r="G108" i="21"/>
  <c r="E108" i="21"/>
  <c r="F108" i="21"/>
  <c r="D109" i="21"/>
  <c r="H109" i="21" s="1"/>
  <c r="B108" i="21"/>
  <c r="A108" i="21"/>
  <c r="C109" i="21" l="1"/>
  <c r="G109" i="21"/>
  <c r="E109" i="21"/>
  <c r="F109" i="21"/>
  <c r="D110" i="21"/>
  <c r="H110" i="21" s="1"/>
  <c r="B109" i="21"/>
  <c r="A109" i="21"/>
  <c r="C110" i="21" l="1"/>
  <c r="G110" i="21"/>
  <c r="E110" i="21"/>
  <c r="F110" i="21"/>
  <c r="D111" i="21"/>
  <c r="H111" i="21" s="1"/>
  <c r="A110" i="21"/>
  <c r="B110" i="21"/>
  <c r="C111" i="21" l="1"/>
  <c r="G111" i="21"/>
  <c r="E111" i="21"/>
  <c r="F111" i="21"/>
  <c r="D112" i="21"/>
  <c r="H112" i="21" s="1"/>
  <c r="B111" i="21"/>
  <c r="A111" i="21"/>
  <c r="C112" i="21" l="1"/>
  <c r="G112" i="21"/>
  <c r="E112" i="21"/>
  <c r="F112" i="21"/>
  <c r="D113" i="21"/>
  <c r="H113" i="21" s="1"/>
  <c r="B112" i="21"/>
  <c r="A112" i="21"/>
  <c r="C113" i="21" l="1"/>
  <c r="G113" i="21"/>
  <c r="E113" i="21"/>
  <c r="F113" i="21"/>
  <c r="D114" i="21"/>
  <c r="H114" i="21" s="1"/>
  <c r="B113" i="21"/>
  <c r="A113" i="21"/>
  <c r="C114" i="21" l="1"/>
  <c r="G114" i="21"/>
  <c r="E114" i="21"/>
  <c r="F114" i="21"/>
  <c r="D115" i="21"/>
  <c r="H115" i="21" s="1"/>
  <c r="B114" i="21"/>
  <c r="A114" i="21"/>
  <c r="C115" i="21" l="1"/>
  <c r="G115" i="21"/>
  <c r="E115" i="21"/>
  <c r="F115" i="21"/>
  <c r="D116" i="21"/>
  <c r="H116" i="21" s="1"/>
  <c r="B115" i="21"/>
  <c r="A115" i="21"/>
  <c r="C116" i="21" l="1"/>
  <c r="G116" i="21"/>
  <c r="E116" i="21"/>
  <c r="F116" i="21"/>
  <c r="D117" i="21"/>
  <c r="H117" i="21" s="1"/>
  <c r="B116" i="21"/>
  <c r="A116" i="21"/>
  <c r="C117" i="21" l="1"/>
  <c r="G117" i="21"/>
  <c r="E117" i="21"/>
  <c r="F117" i="21"/>
  <c r="D118" i="21"/>
  <c r="H118" i="21" s="1"/>
  <c r="B117" i="21"/>
  <c r="A117" i="21"/>
  <c r="C118" i="21" l="1"/>
  <c r="G118" i="21"/>
  <c r="E118" i="21"/>
  <c r="F118" i="21"/>
  <c r="D119" i="21"/>
  <c r="H119" i="21" s="1"/>
  <c r="A118" i="21"/>
  <c r="B118" i="21"/>
  <c r="C119" i="21" l="1"/>
  <c r="G119" i="21"/>
  <c r="E119" i="21"/>
  <c r="F119" i="21"/>
  <c r="D120" i="21"/>
  <c r="H120" i="21" s="1"/>
  <c r="B119" i="21"/>
  <c r="A119" i="21"/>
  <c r="C120" i="21" l="1"/>
  <c r="G120" i="21"/>
  <c r="E120" i="21"/>
  <c r="F120" i="21"/>
  <c r="D121" i="21"/>
  <c r="H121" i="21" s="1"/>
  <c r="B120" i="21"/>
  <c r="A120" i="21"/>
  <c r="C121" i="21" l="1"/>
  <c r="G121" i="21"/>
  <c r="E121" i="21"/>
  <c r="F121" i="21"/>
  <c r="D122" i="21"/>
  <c r="H122" i="21" s="1"/>
  <c r="B121" i="21"/>
  <c r="A121" i="21"/>
  <c r="C122" i="21" l="1"/>
  <c r="G122" i="21"/>
  <c r="E122" i="21"/>
  <c r="F122" i="21"/>
  <c r="D123" i="21"/>
  <c r="H123" i="21" s="1"/>
  <c r="B122" i="21"/>
  <c r="A122" i="21"/>
  <c r="C123" i="21" l="1"/>
  <c r="G123" i="21"/>
  <c r="E123" i="21"/>
  <c r="F123" i="21"/>
  <c r="D124" i="21"/>
  <c r="H124" i="21" s="1"/>
  <c r="B123" i="21"/>
  <c r="A123" i="21"/>
  <c r="C124" i="21" l="1"/>
  <c r="G124" i="21"/>
  <c r="E124" i="21"/>
  <c r="F124" i="21"/>
  <c r="D125" i="21"/>
  <c r="H125" i="21" s="1"/>
  <c r="B124" i="21"/>
  <c r="A124" i="21"/>
  <c r="C125" i="21" l="1"/>
  <c r="G125" i="21"/>
  <c r="E125" i="21"/>
  <c r="F125" i="21"/>
  <c r="D126" i="21"/>
  <c r="H126" i="21" s="1"/>
  <c r="B125" i="21"/>
  <c r="A125" i="21"/>
  <c r="C126" i="21" l="1"/>
  <c r="G126" i="21"/>
  <c r="E126" i="21"/>
  <c r="F126" i="21"/>
  <c r="D127" i="21"/>
  <c r="H127" i="21" s="1"/>
  <c r="A126" i="21"/>
  <c r="B126" i="21"/>
  <c r="C127" i="21" l="1"/>
  <c r="G127" i="21"/>
  <c r="E127" i="21"/>
  <c r="F127" i="21"/>
  <c r="D128" i="21"/>
  <c r="H128" i="21" s="1"/>
  <c r="B127" i="21"/>
  <c r="A127" i="21"/>
  <c r="C128" i="21" l="1"/>
  <c r="G128" i="21"/>
  <c r="E128" i="21"/>
  <c r="F128" i="21"/>
  <c r="D129" i="21"/>
  <c r="H129" i="21" s="1"/>
  <c r="B128" i="21"/>
  <c r="A128" i="21"/>
  <c r="C129" i="21" l="1"/>
  <c r="G129" i="21"/>
  <c r="E129" i="21"/>
  <c r="F129" i="21"/>
  <c r="D130" i="21"/>
  <c r="H130" i="21" s="1"/>
  <c r="B129" i="21"/>
  <c r="A129" i="21"/>
  <c r="C130" i="21" l="1"/>
  <c r="G130" i="21"/>
  <c r="E130" i="21"/>
  <c r="F130" i="21"/>
  <c r="D131" i="21"/>
  <c r="H131" i="21" s="1"/>
  <c r="B130" i="21"/>
  <c r="A130" i="21"/>
  <c r="C131" i="21" l="1"/>
  <c r="G131" i="21"/>
  <c r="E131" i="21"/>
  <c r="F131" i="21"/>
  <c r="D132" i="21"/>
  <c r="H132" i="21" s="1"/>
  <c r="B131" i="21"/>
  <c r="A131" i="21"/>
  <c r="C132" i="21" l="1"/>
  <c r="G132" i="21"/>
  <c r="E132" i="21"/>
  <c r="F132" i="21"/>
  <c r="D133" i="21"/>
  <c r="H133" i="21" s="1"/>
  <c r="B132" i="21"/>
  <c r="A132" i="21"/>
  <c r="C133" i="21" l="1"/>
  <c r="G133" i="21"/>
  <c r="E133" i="21"/>
  <c r="F133" i="21"/>
  <c r="D134" i="21"/>
  <c r="H134" i="21" s="1"/>
  <c r="B133" i="21"/>
  <c r="A133" i="21"/>
  <c r="C134" i="21" l="1"/>
  <c r="G134" i="21"/>
  <c r="E134" i="21"/>
  <c r="F134" i="21"/>
  <c r="D135" i="21"/>
  <c r="H135" i="21" s="1"/>
  <c r="A134" i="21"/>
  <c r="B134" i="21"/>
  <c r="C135" i="21" l="1"/>
  <c r="G135" i="21"/>
  <c r="E135" i="21"/>
  <c r="F135" i="21"/>
  <c r="D136" i="21"/>
  <c r="H136" i="21" s="1"/>
  <c r="B135" i="21"/>
  <c r="A135" i="21"/>
  <c r="C136" i="21" l="1"/>
  <c r="G136" i="21"/>
  <c r="E136" i="21"/>
  <c r="F136" i="21"/>
  <c r="D137" i="21"/>
  <c r="H137" i="21" s="1"/>
  <c r="B136" i="21"/>
  <c r="A136" i="21"/>
  <c r="C137" i="21" l="1"/>
  <c r="G137" i="21"/>
  <c r="E137" i="21"/>
  <c r="F137" i="21"/>
  <c r="D138" i="21"/>
  <c r="H138" i="21" s="1"/>
  <c r="B137" i="21"/>
  <c r="A137" i="21"/>
  <c r="C138" i="21" l="1"/>
  <c r="G138" i="21"/>
  <c r="E138" i="21"/>
  <c r="F138" i="21"/>
  <c r="D139" i="21"/>
  <c r="H139" i="21" s="1"/>
  <c r="B138" i="21"/>
  <c r="A138" i="21"/>
  <c r="C139" i="21" l="1"/>
  <c r="G139" i="21"/>
  <c r="E139" i="21"/>
  <c r="F139" i="21"/>
  <c r="D140" i="21"/>
  <c r="H140" i="21" s="1"/>
  <c r="B139" i="21"/>
  <c r="A139" i="21"/>
  <c r="C140" i="21" l="1"/>
  <c r="G140" i="21"/>
  <c r="E140" i="21"/>
  <c r="F140" i="21"/>
  <c r="D141" i="21"/>
  <c r="H141" i="21" s="1"/>
  <c r="B140" i="21"/>
  <c r="A140" i="21"/>
  <c r="C141" i="21" l="1"/>
  <c r="G141" i="21"/>
  <c r="E141" i="21"/>
  <c r="F141" i="21"/>
  <c r="D142" i="21"/>
  <c r="H142" i="21" s="1"/>
  <c r="B141" i="21"/>
  <c r="A141" i="21"/>
  <c r="C142" i="21" l="1"/>
  <c r="G142" i="21"/>
  <c r="E142" i="21"/>
  <c r="F142" i="21"/>
  <c r="D143" i="21"/>
  <c r="H143" i="21" s="1"/>
  <c r="A142" i="21"/>
  <c r="B142" i="21"/>
  <c r="C143" i="21" l="1"/>
  <c r="G143" i="21"/>
  <c r="E143" i="21"/>
  <c r="F143" i="21"/>
  <c r="D144" i="21"/>
  <c r="H144" i="21" s="1"/>
  <c r="B143" i="21"/>
  <c r="A143" i="21"/>
  <c r="C144" i="21" l="1"/>
  <c r="G144" i="21"/>
  <c r="E144" i="21"/>
  <c r="F144" i="21"/>
  <c r="D145" i="21"/>
  <c r="H145" i="21" s="1"/>
  <c r="B144" i="21"/>
  <c r="A144" i="21"/>
  <c r="C145" i="21" l="1"/>
  <c r="G145" i="21"/>
  <c r="E145" i="21"/>
  <c r="F145" i="21"/>
  <c r="D146" i="21"/>
  <c r="H146" i="21" s="1"/>
  <c r="B145" i="21"/>
  <c r="A145" i="21"/>
  <c r="C146" i="21" l="1"/>
  <c r="G146" i="21"/>
  <c r="E146" i="21"/>
  <c r="F146" i="21"/>
  <c r="D147" i="21"/>
  <c r="H147" i="21" s="1"/>
  <c r="B146" i="21"/>
  <c r="A146" i="21"/>
  <c r="C147" i="21" l="1"/>
  <c r="G147" i="21"/>
  <c r="E147" i="21"/>
  <c r="F147" i="21"/>
  <c r="D148" i="21"/>
  <c r="H148" i="21" s="1"/>
  <c r="B147" i="21"/>
  <c r="A147" i="21"/>
  <c r="C148" i="21" l="1"/>
  <c r="G148" i="21"/>
  <c r="E148" i="21"/>
  <c r="F148" i="21"/>
  <c r="D149" i="21"/>
  <c r="H149" i="21" s="1"/>
  <c r="B148" i="21"/>
  <c r="A148" i="21"/>
  <c r="C149" i="21" l="1"/>
  <c r="G149" i="21"/>
  <c r="E149" i="21"/>
  <c r="F149" i="21"/>
  <c r="D150" i="21"/>
  <c r="H150" i="21" s="1"/>
  <c r="B149" i="21"/>
  <c r="A149" i="21"/>
  <c r="C150" i="21" l="1"/>
  <c r="G150" i="21"/>
  <c r="E150" i="21"/>
  <c r="F150" i="21"/>
  <c r="D151" i="21"/>
  <c r="H151" i="21" s="1"/>
  <c r="A150" i="21"/>
  <c r="B150" i="21"/>
  <c r="C151" i="21" l="1"/>
  <c r="G151" i="21"/>
  <c r="E151" i="21"/>
  <c r="F151" i="21"/>
  <c r="D152" i="21"/>
  <c r="H152" i="21" s="1"/>
  <c r="B151" i="21"/>
  <c r="A151" i="21"/>
  <c r="C152" i="21" l="1"/>
  <c r="G152" i="21"/>
  <c r="E152" i="21"/>
  <c r="F152" i="21"/>
  <c r="D153" i="21"/>
  <c r="H153" i="21" s="1"/>
  <c r="B152" i="21"/>
  <c r="A152" i="21"/>
  <c r="C153" i="21" l="1"/>
  <c r="G153" i="21"/>
  <c r="E153" i="21"/>
  <c r="F153" i="21"/>
  <c r="D154" i="21"/>
  <c r="H154" i="21" s="1"/>
  <c r="B153" i="21"/>
  <c r="A153" i="21"/>
  <c r="C154" i="21" l="1"/>
  <c r="G154" i="21"/>
  <c r="E154" i="21"/>
  <c r="F154" i="21"/>
  <c r="D155" i="21"/>
  <c r="H155" i="21" s="1"/>
  <c r="B154" i="21"/>
  <c r="A154" i="21"/>
  <c r="C155" i="21" l="1"/>
  <c r="G155" i="21"/>
  <c r="E155" i="21"/>
  <c r="F155" i="21"/>
  <c r="D156" i="21"/>
  <c r="H156" i="21" s="1"/>
  <c r="B155" i="21"/>
  <c r="A155" i="21"/>
  <c r="C156" i="21" l="1"/>
  <c r="G156" i="21"/>
  <c r="E156" i="21"/>
  <c r="F156" i="21"/>
  <c r="D157" i="21"/>
  <c r="H157" i="21" s="1"/>
  <c r="B156" i="21"/>
  <c r="A156" i="21"/>
  <c r="C157" i="21" l="1"/>
  <c r="G157" i="21"/>
  <c r="E157" i="21"/>
  <c r="F157" i="21"/>
  <c r="D158" i="21"/>
  <c r="H158" i="21" s="1"/>
  <c r="B157" i="21"/>
  <c r="A157" i="21"/>
  <c r="C158" i="21" l="1"/>
  <c r="G158" i="21"/>
  <c r="E158" i="21"/>
  <c r="F158" i="21"/>
  <c r="D159" i="21"/>
  <c r="H159" i="21" s="1"/>
  <c r="A158" i="21"/>
  <c r="B158" i="21"/>
  <c r="C159" i="21" l="1"/>
  <c r="G159" i="21"/>
  <c r="E159" i="21"/>
  <c r="F159" i="21"/>
  <c r="D160" i="21"/>
  <c r="H160" i="21" s="1"/>
  <c r="B159" i="21"/>
  <c r="A159" i="21"/>
  <c r="C160" i="21" l="1"/>
  <c r="G160" i="21"/>
  <c r="E160" i="21"/>
  <c r="F160" i="21"/>
  <c r="D161" i="21"/>
  <c r="H161" i="21" s="1"/>
  <c r="B160" i="21"/>
  <c r="A160" i="21"/>
  <c r="C161" i="21" l="1"/>
  <c r="G161" i="21"/>
  <c r="E161" i="21"/>
  <c r="F161" i="21"/>
  <c r="D162" i="21"/>
  <c r="H162" i="21" s="1"/>
  <c r="B161" i="21"/>
  <c r="A161" i="21"/>
  <c r="C162" i="21" l="1"/>
  <c r="G162" i="21"/>
  <c r="E162" i="21"/>
  <c r="F162" i="21"/>
  <c r="D163" i="21"/>
  <c r="H163" i="21" s="1"/>
  <c r="B162" i="21"/>
  <c r="A162" i="21"/>
  <c r="C163" i="21" l="1"/>
  <c r="G163" i="21"/>
  <c r="E163" i="21"/>
  <c r="F163" i="21"/>
  <c r="D164" i="21"/>
  <c r="H164" i="21" s="1"/>
  <c r="B163" i="21"/>
  <c r="A163" i="21"/>
  <c r="C164" i="21" l="1"/>
  <c r="G164" i="21"/>
  <c r="E164" i="21"/>
  <c r="F164" i="21"/>
  <c r="D165" i="21"/>
  <c r="H165" i="21" s="1"/>
  <c r="B164" i="21"/>
  <c r="A164" i="21"/>
  <c r="C165" i="21" l="1"/>
  <c r="G165" i="21"/>
  <c r="E165" i="21"/>
  <c r="F165" i="21"/>
  <c r="D166" i="21"/>
  <c r="H166" i="21" s="1"/>
  <c r="B165" i="21"/>
  <c r="A165" i="21"/>
  <c r="C166" i="21" l="1"/>
  <c r="G166" i="21"/>
  <c r="E166" i="21"/>
  <c r="F166" i="21"/>
  <c r="D167" i="21"/>
  <c r="H167" i="21" s="1"/>
  <c r="A166" i="21"/>
  <c r="B166" i="21"/>
  <c r="C167" i="21" l="1"/>
  <c r="G167" i="21"/>
  <c r="E167" i="21"/>
  <c r="F167" i="21"/>
  <c r="D168" i="21"/>
  <c r="H168" i="21" s="1"/>
  <c r="B167" i="21"/>
  <c r="A167" i="21"/>
  <c r="C168" i="21" l="1"/>
  <c r="G168" i="21"/>
  <c r="E168" i="21"/>
  <c r="F168" i="21"/>
  <c r="D169" i="21"/>
  <c r="H169" i="21" s="1"/>
  <c r="B168" i="21"/>
  <c r="A168" i="21"/>
  <c r="C169" i="21" l="1"/>
  <c r="G169" i="21"/>
  <c r="E169" i="21"/>
  <c r="F169" i="21"/>
  <c r="D170" i="21"/>
  <c r="H170" i="21" s="1"/>
  <c r="B169" i="21"/>
  <c r="A169" i="21"/>
  <c r="C170" i="21" l="1"/>
  <c r="G170" i="21"/>
  <c r="E170" i="21"/>
  <c r="F170" i="21"/>
  <c r="D171" i="21"/>
  <c r="H171" i="21" s="1"/>
  <c r="B170" i="21"/>
  <c r="A170" i="21"/>
  <c r="C171" i="21" l="1"/>
  <c r="G171" i="21"/>
  <c r="E171" i="21"/>
  <c r="F171" i="21"/>
  <c r="D172" i="21"/>
  <c r="H172" i="21" s="1"/>
  <c r="B171" i="21"/>
  <c r="A171" i="21"/>
  <c r="C172" i="21" l="1"/>
  <c r="G172" i="21"/>
  <c r="E172" i="21"/>
  <c r="F172" i="21"/>
  <c r="D173" i="21"/>
  <c r="H173" i="21" s="1"/>
  <c r="B172" i="21"/>
  <c r="A172" i="21"/>
  <c r="C173" i="21" l="1"/>
  <c r="G173" i="21"/>
  <c r="E173" i="21"/>
  <c r="F173" i="21"/>
  <c r="D174" i="21"/>
  <c r="H174" i="21" s="1"/>
  <c r="B173" i="21"/>
  <c r="A173" i="21"/>
  <c r="C174" i="21" l="1"/>
  <c r="G174" i="21"/>
  <c r="E174" i="21"/>
  <c r="F174" i="21"/>
  <c r="D175" i="21"/>
  <c r="H175" i="21" s="1"/>
  <c r="A174" i="21"/>
  <c r="B174" i="21"/>
  <c r="C175" i="21" l="1"/>
  <c r="G175" i="21"/>
  <c r="E175" i="21"/>
  <c r="F175" i="21"/>
  <c r="D176" i="21"/>
  <c r="H176" i="21" s="1"/>
  <c r="B175" i="21"/>
  <c r="A175" i="21"/>
  <c r="C176" i="21" l="1"/>
  <c r="G176" i="21"/>
  <c r="E176" i="21"/>
  <c r="F176" i="21"/>
  <c r="D177" i="21"/>
  <c r="H177" i="21" s="1"/>
  <c r="B176" i="21"/>
  <c r="A176" i="21"/>
  <c r="C177" i="21" l="1"/>
  <c r="G177" i="21"/>
  <c r="E177" i="21"/>
  <c r="F177" i="21"/>
  <c r="D178" i="21"/>
  <c r="H178" i="21" s="1"/>
  <c r="B177" i="21"/>
  <c r="A177" i="21"/>
  <c r="C178" i="21" l="1"/>
  <c r="G178" i="21"/>
  <c r="E178" i="21"/>
  <c r="F178" i="21"/>
  <c r="D179" i="21"/>
  <c r="H179" i="21" s="1"/>
  <c r="B178" i="21"/>
  <c r="A178" i="21"/>
  <c r="C179" i="21" l="1"/>
  <c r="G179" i="21"/>
  <c r="E179" i="21"/>
  <c r="F179" i="21"/>
  <c r="D180" i="21"/>
  <c r="H180" i="21" s="1"/>
  <c r="B179" i="21"/>
  <c r="A179" i="21"/>
  <c r="C180" i="21" l="1"/>
  <c r="G180" i="21"/>
  <c r="E180" i="21"/>
  <c r="F180" i="21"/>
  <c r="D181" i="21"/>
  <c r="H181" i="21" s="1"/>
  <c r="B180" i="21"/>
  <c r="A180" i="21"/>
  <c r="C181" i="21" l="1"/>
  <c r="G181" i="21"/>
  <c r="E181" i="21"/>
  <c r="F181" i="21"/>
  <c r="D182" i="21"/>
  <c r="H182" i="21" s="1"/>
  <c r="B181" i="21"/>
  <c r="A181" i="21"/>
  <c r="C182" i="21" l="1"/>
  <c r="G182" i="21"/>
  <c r="E182" i="21"/>
  <c r="F182" i="21"/>
  <c r="D183" i="21"/>
  <c r="H183" i="21" s="1"/>
  <c r="A182" i="21"/>
  <c r="B182" i="21"/>
  <c r="C183" i="21" l="1"/>
  <c r="G183" i="21"/>
  <c r="E183" i="21"/>
  <c r="F183" i="21"/>
  <c r="D184" i="21"/>
  <c r="H184" i="21" s="1"/>
  <c r="B183" i="21"/>
  <c r="A183" i="21"/>
  <c r="C184" i="21" l="1"/>
  <c r="G184" i="21"/>
  <c r="E184" i="21"/>
  <c r="F184" i="21"/>
  <c r="D185" i="21"/>
  <c r="H185" i="21" s="1"/>
  <c r="B184" i="21"/>
  <c r="A184" i="21"/>
  <c r="C185" i="21" l="1"/>
  <c r="G185" i="21"/>
  <c r="E185" i="21"/>
  <c r="F185" i="21"/>
  <c r="D186" i="21"/>
  <c r="H186" i="21" s="1"/>
  <c r="B185" i="21"/>
  <c r="A185" i="21"/>
  <c r="C186" i="21" l="1"/>
  <c r="G186" i="21"/>
  <c r="E186" i="21"/>
  <c r="F186" i="21"/>
  <c r="D187" i="21"/>
  <c r="H187" i="21" s="1"/>
  <c r="B186" i="21"/>
  <c r="A186" i="21"/>
  <c r="C187" i="21" l="1"/>
  <c r="G187" i="21"/>
  <c r="E187" i="21"/>
  <c r="F187" i="21"/>
  <c r="D188" i="21"/>
  <c r="H188" i="21" s="1"/>
  <c r="B187" i="21"/>
  <c r="A187" i="21"/>
  <c r="C188" i="21" l="1"/>
  <c r="G188" i="21"/>
  <c r="E188" i="21"/>
  <c r="F188" i="21"/>
  <c r="D189" i="21"/>
  <c r="H189" i="21" s="1"/>
  <c r="B188" i="21"/>
  <c r="A188" i="21"/>
  <c r="C189" i="21" l="1"/>
  <c r="G189" i="21"/>
  <c r="E189" i="21"/>
  <c r="F189" i="21"/>
  <c r="D190" i="21"/>
  <c r="H190" i="21" s="1"/>
  <c r="B189" i="21"/>
  <c r="A189" i="21"/>
  <c r="C190" i="21" l="1"/>
  <c r="G190" i="21"/>
  <c r="E190" i="21"/>
  <c r="F190" i="21"/>
  <c r="D191" i="21"/>
  <c r="H191" i="21" s="1"/>
  <c r="A190" i="21"/>
  <c r="B190" i="21"/>
  <c r="C191" i="21" l="1"/>
  <c r="G191" i="21"/>
  <c r="E191" i="21"/>
  <c r="F191" i="21"/>
  <c r="D192" i="21"/>
  <c r="H192" i="21" s="1"/>
  <c r="B191" i="21"/>
  <c r="A191" i="21"/>
  <c r="C192" i="21" l="1"/>
  <c r="G192" i="21"/>
  <c r="E192" i="21"/>
  <c r="F192" i="21"/>
  <c r="D193" i="21"/>
  <c r="H193" i="21" s="1"/>
  <c r="B192" i="21"/>
  <c r="A192" i="21"/>
  <c r="C193" i="21" l="1"/>
  <c r="G193" i="21"/>
  <c r="E193" i="21"/>
  <c r="F193" i="21"/>
  <c r="D194" i="21"/>
  <c r="H194" i="21" s="1"/>
  <c r="B193" i="21"/>
  <c r="A193" i="21"/>
  <c r="C194" i="21" l="1"/>
  <c r="G194" i="21"/>
  <c r="E194" i="21"/>
  <c r="F194" i="21"/>
  <c r="D195" i="21"/>
  <c r="H195" i="21" s="1"/>
  <c r="B194" i="21"/>
  <c r="A194" i="21"/>
  <c r="C195" i="21" l="1"/>
  <c r="G195" i="21"/>
  <c r="E195" i="21"/>
  <c r="F195" i="21"/>
  <c r="D196" i="21"/>
  <c r="H196" i="21" s="1"/>
  <c r="B195" i="21"/>
  <c r="A195" i="21"/>
  <c r="C196" i="21" l="1"/>
  <c r="G196" i="21"/>
  <c r="E196" i="21"/>
  <c r="F196" i="21"/>
  <c r="D197" i="21"/>
  <c r="H197" i="21" s="1"/>
  <c r="B196" i="21"/>
  <c r="A196" i="21"/>
  <c r="C197" i="21" l="1"/>
  <c r="G197" i="21"/>
  <c r="E197" i="21"/>
  <c r="F197" i="21"/>
  <c r="D198" i="21"/>
  <c r="H198" i="21" s="1"/>
  <c r="B197" i="21"/>
  <c r="A197" i="21"/>
  <c r="C198" i="21" l="1"/>
  <c r="G198" i="21"/>
  <c r="E198" i="21"/>
  <c r="F198" i="21"/>
  <c r="D199" i="21"/>
  <c r="H199" i="21" s="1"/>
  <c r="A198" i="21"/>
  <c r="B198" i="21"/>
  <c r="C199" i="21" l="1"/>
  <c r="G199" i="21"/>
  <c r="E199" i="21"/>
  <c r="F199" i="21"/>
  <c r="D200" i="21"/>
  <c r="H200" i="21" s="1"/>
  <c r="B199" i="21"/>
  <c r="A199" i="21"/>
  <c r="C200" i="21" l="1"/>
  <c r="G200" i="21"/>
  <c r="E200" i="21"/>
  <c r="F200" i="21"/>
  <c r="D201" i="21"/>
  <c r="H201" i="21" s="1"/>
  <c r="B200" i="21"/>
  <c r="A200" i="21"/>
  <c r="C201" i="21" l="1"/>
  <c r="G201" i="21"/>
  <c r="E201" i="21"/>
  <c r="F201" i="21"/>
  <c r="D202" i="21"/>
  <c r="H202" i="21" s="1"/>
  <c r="B201" i="21"/>
  <c r="A201" i="21"/>
  <c r="C202" i="21" l="1"/>
  <c r="G202" i="21"/>
  <c r="E202" i="21"/>
  <c r="F202" i="21"/>
  <c r="D203" i="21"/>
  <c r="H203" i="21" s="1"/>
  <c r="B202" i="21"/>
  <c r="A202" i="21"/>
  <c r="C203" i="21" l="1"/>
  <c r="G203" i="21"/>
  <c r="E203" i="21"/>
  <c r="F203" i="21"/>
  <c r="D204" i="21"/>
  <c r="H204" i="21" s="1"/>
  <c r="B203" i="21"/>
  <c r="A203" i="21"/>
  <c r="C204" i="21" l="1"/>
  <c r="G204" i="21"/>
  <c r="E204" i="21"/>
  <c r="F204" i="21"/>
  <c r="D205" i="21"/>
  <c r="H205" i="21" s="1"/>
  <c r="B204" i="21"/>
  <c r="A204" i="21"/>
  <c r="C205" i="21" l="1"/>
  <c r="G205" i="21"/>
  <c r="E205" i="21"/>
  <c r="F205" i="21"/>
  <c r="D206" i="21"/>
  <c r="H206" i="21" s="1"/>
  <c r="B205" i="21"/>
  <c r="A205" i="21"/>
  <c r="C206" i="21" l="1"/>
  <c r="G206" i="21"/>
  <c r="E206" i="21"/>
  <c r="F206" i="21"/>
  <c r="D207" i="21"/>
  <c r="H207" i="21" s="1"/>
  <c r="A206" i="21"/>
  <c r="B206" i="21"/>
  <c r="C207" i="21" l="1"/>
  <c r="G207" i="21"/>
  <c r="E207" i="21"/>
  <c r="F207" i="21"/>
  <c r="D208" i="21"/>
  <c r="H208" i="21" s="1"/>
  <c r="B207" i="21"/>
  <c r="A207" i="21"/>
  <c r="C208" i="21" l="1"/>
  <c r="G208" i="21"/>
  <c r="E208" i="21"/>
  <c r="F208" i="21"/>
  <c r="D209" i="21"/>
  <c r="H209" i="21" s="1"/>
  <c r="B208" i="21"/>
  <c r="A208" i="21"/>
  <c r="C209" i="21" l="1"/>
  <c r="G209" i="21"/>
  <c r="E209" i="21"/>
  <c r="F209" i="21"/>
  <c r="D210" i="21"/>
  <c r="H210" i="21" s="1"/>
  <c r="B209" i="21"/>
  <c r="A209" i="21"/>
  <c r="C210" i="21" l="1"/>
  <c r="G210" i="21"/>
  <c r="E210" i="21"/>
  <c r="F210" i="21"/>
  <c r="D211" i="21"/>
  <c r="H211" i="21" s="1"/>
  <c r="B210" i="21"/>
  <c r="A210" i="21"/>
  <c r="C211" i="21" l="1"/>
  <c r="G211" i="21"/>
  <c r="E211" i="21"/>
  <c r="F211" i="21"/>
  <c r="D212" i="21"/>
  <c r="H212" i="21" s="1"/>
  <c r="B211" i="21"/>
  <c r="A211" i="21"/>
  <c r="C212" i="21" l="1"/>
  <c r="G212" i="21"/>
  <c r="E212" i="21"/>
  <c r="F212" i="21"/>
  <c r="D213" i="21"/>
  <c r="H213" i="21" s="1"/>
  <c r="B212" i="21"/>
  <c r="A212" i="21"/>
  <c r="C213" i="21" l="1"/>
  <c r="G213" i="21"/>
  <c r="E213" i="21"/>
  <c r="F213" i="21"/>
  <c r="D214" i="21"/>
  <c r="H214" i="21" s="1"/>
  <c r="B213" i="21"/>
  <c r="A213" i="21"/>
  <c r="C214" i="21" l="1"/>
  <c r="G214" i="21"/>
  <c r="E214" i="21"/>
  <c r="F214" i="21"/>
  <c r="D215" i="21"/>
  <c r="H215" i="21" s="1"/>
  <c r="B214" i="21"/>
  <c r="A214" i="21"/>
  <c r="C215" i="21" l="1"/>
  <c r="G215" i="21"/>
  <c r="E215" i="21"/>
  <c r="F215" i="21"/>
  <c r="D216" i="21"/>
  <c r="H216" i="21" s="1"/>
  <c r="B215" i="21"/>
  <c r="A215" i="21"/>
  <c r="C216" i="21" l="1"/>
  <c r="G216" i="21"/>
  <c r="E216" i="21"/>
  <c r="F216" i="21"/>
  <c r="D217" i="21"/>
  <c r="H217" i="21" s="1"/>
  <c r="A216" i="21"/>
  <c r="B216" i="21"/>
  <c r="C217" i="21" l="1"/>
  <c r="G217" i="21"/>
  <c r="E217" i="21"/>
  <c r="F217" i="21"/>
  <c r="D218" i="21"/>
  <c r="H218" i="21" s="1"/>
  <c r="B217" i="21"/>
  <c r="A217" i="21"/>
  <c r="C218" i="21" l="1"/>
  <c r="G218" i="21"/>
  <c r="E218" i="21"/>
  <c r="F218" i="21"/>
  <c r="D219" i="21"/>
  <c r="H219" i="21" s="1"/>
  <c r="B218" i="21"/>
  <c r="A218" i="21"/>
  <c r="C219" i="21" l="1"/>
  <c r="G219" i="21"/>
  <c r="E219" i="21"/>
  <c r="F219" i="21"/>
  <c r="D220" i="21"/>
  <c r="H220" i="21" s="1"/>
  <c r="B219" i="21"/>
  <c r="A219" i="21"/>
  <c r="C220" i="21" l="1"/>
  <c r="G220" i="21"/>
  <c r="E220" i="21"/>
  <c r="F220" i="21"/>
  <c r="D221" i="21"/>
  <c r="H221" i="21" s="1"/>
  <c r="B220" i="21"/>
  <c r="A220" i="21"/>
  <c r="C221" i="21" l="1"/>
  <c r="G221" i="21"/>
  <c r="E221" i="21"/>
  <c r="F221" i="21"/>
  <c r="D222" i="21"/>
  <c r="H222" i="21" s="1"/>
  <c r="B221" i="21"/>
  <c r="A221" i="21"/>
  <c r="C222" i="21" l="1"/>
  <c r="G222" i="21"/>
  <c r="E222" i="21"/>
  <c r="F222" i="21"/>
  <c r="D223" i="21"/>
  <c r="H223" i="21" s="1"/>
  <c r="B222" i="21"/>
  <c r="A222" i="21"/>
  <c r="C223" i="21" l="1"/>
  <c r="G223" i="21"/>
  <c r="E223" i="21"/>
  <c r="F223" i="21"/>
  <c r="D224" i="21"/>
  <c r="H224" i="21" s="1"/>
  <c r="B223" i="21"/>
  <c r="A223" i="21"/>
  <c r="C224" i="21" l="1"/>
  <c r="G224" i="21"/>
  <c r="E224" i="21"/>
  <c r="F224" i="21"/>
  <c r="D225" i="21"/>
  <c r="H225" i="21" s="1"/>
  <c r="A224" i="21"/>
  <c r="B224" i="21"/>
  <c r="C225" i="21" l="1"/>
  <c r="G225" i="21"/>
  <c r="E225" i="21"/>
  <c r="F225" i="21"/>
  <c r="D226" i="21"/>
  <c r="H226" i="21" s="1"/>
  <c r="B225" i="21"/>
  <c r="A225" i="21"/>
  <c r="C226" i="21" l="1"/>
  <c r="G226" i="21"/>
  <c r="E226" i="21"/>
  <c r="F226" i="21"/>
  <c r="D227" i="21"/>
  <c r="H227" i="21" s="1"/>
  <c r="B226" i="21"/>
  <c r="A226" i="21"/>
  <c r="C227" i="21" l="1"/>
  <c r="G227" i="21"/>
  <c r="E227" i="21"/>
  <c r="F227" i="21"/>
  <c r="D228" i="21"/>
  <c r="H228" i="21" s="1"/>
  <c r="B227" i="21"/>
  <c r="A227" i="21"/>
  <c r="C228" i="21" l="1"/>
  <c r="G228" i="21"/>
  <c r="E228" i="21"/>
  <c r="F228" i="21"/>
  <c r="D229" i="21"/>
  <c r="H229" i="21" s="1"/>
  <c r="A228" i="21"/>
  <c r="B228" i="21"/>
  <c r="C229" i="21" l="1"/>
  <c r="G229" i="21"/>
  <c r="E229" i="21"/>
  <c r="F229" i="21"/>
  <c r="D230" i="21"/>
  <c r="H230" i="21" s="1"/>
  <c r="B229" i="21"/>
  <c r="A229" i="21"/>
  <c r="C230" i="21" l="1"/>
  <c r="G230" i="21"/>
  <c r="E230" i="21"/>
  <c r="F230" i="21"/>
  <c r="D231" i="21"/>
  <c r="H231" i="21" s="1"/>
  <c r="B230" i="21"/>
  <c r="A230" i="21"/>
  <c r="C231" i="21" l="1"/>
  <c r="G231" i="21"/>
  <c r="E231" i="21"/>
  <c r="F231" i="21"/>
  <c r="D232" i="21"/>
  <c r="H232" i="21" s="1"/>
  <c r="B231" i="21"/>
  <c r="A231" i="21"/>
  <c r="C232" i="21" l="1"/>
  <c r="G232" i="21"/>
  <c r="E232" i="21"/>
  <c r="F232" i="21"/>
  <c r="D233" i="21"/>
  <c r="H233" i="21" s="1"/>
  <c r="A232" i="21"/>
  <c r="B232" i="21"/>
  <c r="C233" i="21" l="1"/>
  <c r="G233" i="21"/>
  <c r="E233" i="21"/>
  <c r="F233" i="21"/>
  <c r="D234" i="21"/>
  <c r="H234" i="21" s="1"/>
  <c r="B233" i="21"/>
  <c r="A233" i="21"/>
  <c r="C234" i="21" l="1"/>
  <c r="G234" i="21"/>
  <c r="E234" i="21"/>
  <c r="F234" i="21"/>
  <c r="D235" i="21"/>
  <c r="H235" i="21" s="1"/>
  <c r="B234" i="21"/>
  <c r="A234" i="21"/>
  <c r="C235" i="21" l="1"/>
  <c r="G235" i="21"/>
  <c r="E235" i="21"/>
  <c r="F235" i="21"/>
  <c r="D236" i="21"/>
  <c r="H236" i="21" s="1"/>
  <c r="B235" i="21"/>
  <c r="A235" i="21"/>
  <c r="C236" i="21" l="1"/>
  <c r="G236" i="21"/>
  <c r="E236" i="21"/>
  <c r="F236" i="21"/>
  <c r="D237" i="21"/>
  <c r="H237" i="21" s="1"/>
  <c r="B236" i="21"/>
  <c r="A236" i="21"/>
  <c r="C237" i="21" l="1"/>
  <c r="G237" i="21"/>
  <c r="E237" i="21"/>
  <c r="F237" i="21"/>
  <c r="D238" i="21"/>
  <c r="H238" i="21" s="1"/>
  <c r="B237" i="21"/>
  <c r="A237" i="21"/>
  <c r="C238" i="21" l="1"/>
  <c r="G238" i="21"/>
  <c r="E238" i="21"/>
  <c r="F238" i="21"/>
  <c r="D239" i="21"/>
  <c r="H239" i="21" s="1"/>
  <c r="B238" i="21"/>
  <c r="A238" i="21"/>
  <c r="C239" i="21" l="1"/>
  <c r="G239" i="21"/>
  <c r="E239" i="21"/>
  <c r="F239" i="21"/>
  <c r="D240" i="21"/>
  <c r="H240" i="21" s="1"/>
  <c r="B239" i="21"/>
  <c r="A239" i="21"/>
  <c r="C240" i="21" l="1"/>
  <c r="G240" i="21"/>
  <c r="E240" i="21"/>
  <c r="F240" i="21"/>
  <c r="D241" i="21"/>
  <c r="H241" i="21" s="1"/>
  <c r="A240" i="21"/>
  <c r="B240" i="21"/>
  <c r="C241" i="21" l="1"/>
  <c r="G241" i="21"/>
  <c r="E241" i="21"/>
  <c r="F241" i="21"/>
  <c r="D242" i="21"/>
  <c r="H242" i="21" s="1"/>
  <c r="B241" i="21"/>
  <c r="A241" i="21"/>
  <c r="C242" i="21" l="1"/>
  <c r="G242" i="21"/>
  <c r="E242" i="21"/>
  <c r="F242" i="21"/>
  <c r="D243" i="21"/>
  <c r="H243" i="21" s="1"/>
  <c r="B242" i="21"/>
  <c r="A242" i="21"/>
  <c r="C243" i="21" l="1"/>
  <c r="G243" i="21"/>
  <c r="E243" i="21"/>
  <c r="F243" i="21"/>
  <c r="D244" i="21"/>
  <c r="H244" i="21" s="1"/>
  <c r="B243" i="21"/>
  <c r="A243" i="21"/>
  <c r="C244" i="21" l="1"/>
  <c r="G244" i="21"/>
  <c r="E244" i="21"/>
  <c r="F244" i="21"/>
  <c r="D245" i="21"/>
  <c r="H245" i="21" s="1"/>
  <c r="A244" i="21"/>
  <c r="B244" i="21"/>
  <c r="C245" i="21" l="1"/>
  <c r="G245" i="21"/>
  <c r="E245" i="21"/>
  <c r="F245" i="21"/>
  <c r="D246" i="21"/>
  <c r="H246" i="21" s="1"/>
  <c r="B245" i="21"/>
  <c r="A245" i="21"/>
  <c r="C246" i="21" l="1"/>
  <c r="G246" i="21"/>
  <c r="E246" i="21"/>
  <c r="F246" i="21"/>
  <c r="D247" i="21"/>
  <c r="H247" i="21" s="1"/>
  <c r="B246" i="21"/>
  <c r="A246" i="21"/>
  <c r="C247" i="21" l="1"/>
  <c r="G247" i="21"/>
  <c r="E247" i="21"/>
  <c r="F247" i="21"/>
  <c r="D248" i="21"/>
  <c r="H248" i="21" s="1"/>
  <c r="B247" i="21"/>
  <c r="A247" i="21"/>
  <c r="C248" i="21" l="1"/>
  <c r="G248" i="21"/>
  <c r="E248" i="21"/>
  <c r="F248" i="21"/>
  <c r="D249" i="21"/>
  <c r="H249" i="21" s="1"/>
  <c r="A248" i="21"/>
  <c r="B248" i="21"/>
  <c r="C249" i="21" l="1"/>
  <c r="G249" i="21"/>
  <c r="E249" i="21"/>
  <c r="F249" i="21"/>
  <c r="D250" i="21"/>
  <c r="H250" i="21" s="1"/>
  <c r="B249" i="21"/>
  <c r="A249" i="21"/>
  <c r="C250" i="21" l="1"/>
  <c r="G250" i="21"/>
  <c r="E250" i="21"/>
  <c r="F250" i="21"/>
  <c r="D251" i="21"/>
  <c r="H251" i="21" s="1"/>
  <c r="B250" i="21"/>
  <c r="A250" i="21"/>
  <c r="C251" i="21" l="1"/>
  <c r="G251" i="21"/>
  <c r="E251" i="21"/>
  <c r="F251" i="21"/>
  <c r="D252" i="21"/>
  <c r="H252" i="21" s="1"/>
  <c r="B251" i="21"/>
  <c r="A251" i="21"/>
  <c r="C252" i="21" l="1"/>
  <c r="G252" i="21"/>
  <c r="E252" i="21"/>
  <c r="F252" i="21"/>
  <c r="D253" i="21"/>
  <c r="H253" i="21" s="1"/>
  <c r="B252" i="21"/>
  <c r="A252" i="21"/>
  <c r="C253" i="21" l="1"/>
  <c r="G253" i="21"/>
  <c r="E253" i="21"/>
  <c r="F253" i="21"/>
  <c r="D254" i="21"/>
  <c r="H254" i="21" s="1"/>
  <c r="B253" i="21"/>
  <c r="A253" i="21"/>
  <c r="C254" i="21" l="1"/>
  <c r="G254" i="21"/>
  <c r="E254" i="21"/>
  <c r="F254" i="21"/>
  <c r="D255" i="21"/>
  <c r="H255" i="21" s="1"/>
  <c r="B254" i="21"/>
  <c r="A254" i="21"/>
  <c r="C255" i="21" l="1"/>
  <c r="G255" i="21"/>
  <c r="E255" i="21"/>
  <c r="F255" i="21"/>
  <c r="D256" i="21"/>
  <c r="H256" i="21" s="1"/>
  <c r="B255" i="21"/>
  <c r="A255" i="21"/>
  <c r="C256" i="21" l="1"/>
  <c r="G256" i="21"/>
  <c r="E256" i="21"/>
  <c r="F256" i="21"/>
  <c r="D257" i="21"/>
  <c r="H257" i="21" s="1"/>
  <c r="A256" i="21"/>
  <c r="B256" i="21"/>
  <c r="C257" i="21" l="1"/>
  <c r="G257" i="21"/>
  <c r="E257" i="21"/>
  <c r="F257" i="21"/>
  <c r="B257" i="21"/>
  <c r="A257" i="21"/>
</calcChain>
</file>

<file path=xl/sharedStrings.xml><?xml version="1.0" encoding="utf-8"?>
<sst xmlns="http://schemas.openxmlformats.org/spreadsheetml/2006/main" count="1089" uniqueCount="446">
  <si>
    <t>h</t>
  </si>
  <si>
    <t>h/jour</t>
  </si>
  <si>
    <t>Remplacement machoires fixe et mobile</t>
  </si>
  <si>
    <t>Vidange huile</t>
  </si>
  <si>
    <t>Remplacement vérins</t>
  </si>
  <si>
    <t>Remplacement blindage bati</t>
  </si>
  <si>
    <t>Remplacement protection de tête</t>
  </si>
  <si>
    <t>Remplacement filtre à huile</t>
  </si>
  <si>
    <t>Remplacement coussinet sphérique</t>
  </si>
  <si>
    <t>Remplacement courroies SPC 4500</t>
  </si>
  <si>
    <t>Remplacement accus</t>
  </si>
  <si>
    <t>Remplacement blindage balourd</t>
  </si>
  <si>
    <t>Remplacement charbon</t>
  </si>
  <si>
    <t>Remplacement secteur bronze</t>
  </si>
  <si>
    <t>Remplacement galets de couronne de serrage</t>
  </si>
  <si>
    <t>Remplacement moteur électrique 4kW</t>
  </si>
  <si>
    <t>Remplacement pompe de graissage</t>
  </si>
  <si>
    <t>Accouplement pompe</t>
  </si>
  <si>
    <t>Remplacement indicateur T° de bac</t>
  </si>
  <si>
    <t>Remplacement cône de distribution</t>
  </si>
  <si>
    <t>Remplacement fond alimentateur</t>
  </si>
  <si>
    <t>Remplacement année machoire</t>
  </si>
  <si>
    <t>Remplacement blindage sous broyeur</t>
  </si>
  <si>
    <t>Nombres d'heure avant remplacement</t>
  </si>
  <si>
    <t>Prochain remplacement dans</t>
  </si>
  <si>
    <t>Heures</t>
  </si>
  <si>
    <t>Jours</t>
  </si>
  <si>
    <t>Date</t>
  </si>
  <si>
    <t>Temps d'arrêt</t>
  </si>
  <si>
    <t>Date avant modification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</si>
  <si>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</si>
  <si>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</si>
  <si>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</si>
  <si>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</si>
  <si>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</si>
  <si>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</si>
  <si>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</si>
  <si>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</si>
  <si>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</si>
  <si>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</si>
  <si>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</si>
  <si>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</si>
  <si>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</si>
  <si>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Comparaison</t>
  </si>
  <si>
    <t>Production</t>
  </si>
  <si>
    <t>Ballast</t>
  </si>
  <si>
    <t>0/4</t>
  </si>
  <si>
    <t>4/6</t>
  </si>
  <si>
    <t>10/14</t>
  </si>
  <si>
    <t>6/10</t>
  </si>
  <si>
    <t>Total</t>
  </si>
  <si>
    <t>Débit (t/h)</t>
  </si>
  <si>
    <t>Débit</t>
  </si>
  <si>
    <t>t/h</t>
  </si>
  <si>
    <t>Dernier remplacement à (h)</t>
  </si>
  <si>
    <t>Prochain remplacement à (h)</t>
  </si>
  <si>
    <t>Remplacement anneau</t>
  </si>
  <si>
    <t>Remplacement collier</t>
  </si>
  <si>
    <t>Remplacement plateau</t>
  </si>
  <si>
    <t>Vidange</t>
  </si>
  <si>
    <t>Remplacement vérins de maintien</t>
  </si>
  <si>
    <t>Remplacement bol</t>
  </si>
  <si>
    <t>Remplacement bague de tête</t>
  </si>
  <si>
    <t>Remplacement balourd excentrique</t>
  </si>
  <si>
    <t>Remplacement moteur</t>
  </si>
  <si>
    <t>Remplacement roulements</t>
  </si>
  <si>
    <t>Remplacement indicateur de colmatage</t>
  </si>
  <si>
    <t>Remplacement courroies SPC5000</t>
  </si>
  <si>
    <t>Remplacement flexibles</t>
  </si>
  <si>
    <t>Remplacement charbons</t>
  </si>
  <si>
    <t>Remplacement aérotherme</t>
  </si>
  <si>
    <t>Remplacement moteur pompe de graissage</t>
  </si>
  <si>
    <t>Rempacement joint pompe de graissage</t>
  </si>
  <si>
    <t>Remplacement antidévieur</t>
  </si>
  <si>
    <t>Remplacement douille</t>
  </si>
  <si>
    <t>Remplacement tête</t>
  </si>
  <si>
    <t>Remplacement joint boitier</t>
  </si>
  <si>
    <t>Remplacement joint étanchéité</t>
  </si>
  <si>
    <t>28346   23680</t>
  </si>
  <si>
    <t>39297   31600</t>
  </si>
  <si>
    <t>38508   33273</t>
  </si>
  <si>
    <t>35107   32000</t>
  </si>
  <si>
    <t>47238   33940</t>
  </si>
  <si>
    <t>Remplacement machoires fixe et mobile + collier d'arbre + plateau distributeur + anneau martyre</t>
  </si>
  <si>
    <t>Remplacement joint torrique</t>
  </si>
  <si>
    <t>Remplacement virole</t>
  </si>
  <si>
    <t>Remplacement Charbon</t>
  </si>
  <si>
    <t>Remplacement blindage excentrique</t>
  </si>
  <si>
    <t>Remplacement bague de pied</t>
  </si>
  <si>
    <t>Remplacement bague excentrique</t>
  </si>
  <si>
    <t>Remplacement blindage étrier</t>
  </si>
  <si>
    <t>Remplacement bardin joint</t>
  </si>
  <si>
    <t>Remplacement bague en bronze</t>
  </si>
  <si>
    <t>Remplacement blindage boitier</t>
  </si>
  <si>
    <t>Remplacement courroies D270</t>
  </si>
  <si>
    <t>Remplacement joint d'étanchéité</t>
  </si>
  <si>
    <t>Remplacement roulements moteur</t>
  </si>
  <si>
    <t>Remplacement cône</t>
  </si>
  <si>
    <t>Remplacement étrier d'arbre</t>
  </si>
  <si>
    <t>20723  21346</t>
  </si>
  <si>
    <t>24919   25726   29565</t>
  </si>
  <si>
    <t>Type de production</t>
  </si>
  <si>
    <t>Tonnage réel</t>
  </si>
  <si>
    <t>Tonnage théorique</t>
  </si>
  <si>
    <t>Productions</t>
  </si>
  <si>
    <t>Heure compteur</t>
  </si>
  <si>
    <t>10/20</t>
  </si>
  <si>
    <t>0/20</t>
  </si>
  <si>
    <t>Débits</t>
  </si>
  <si>
    <t>Heures à vide</t>
  </si>
  <si>
    <t>Tonnage</t>
  </si>
  <si>
    <t>Proportion</t>
  </si>
  <si>
    <t>Débit du jour (t/h)</t>
  </si>
  <si>
    <t>0/30</t>
  </si>
  <si>
    <t>BALLAST</t>
  </si>
  <si>
    <t>0/14 GNT 0/20</t>
  </si>
  <si>
    <t>0/14 GNT 0/30</t>
  </si>
  <si>
    <t>0/20 GNT 0/20</t>
  </si>
  <si>
    <t>0/20 GNT 0/30</t>
  </si>
  <si>
    <t>Ballast GNT 0/20</t>
  </si>
  <si>
    <t>Ballast GNT 0/30</t>
  </si>
  <si>
    <t>Volume</t>
  </si>
  <si>
    <t xml:space="preserve">Temps de traitement </t>
  </si>
  <si>
    <t>Heures de production par jour</t>
  </si>
  <si>
    <t>Produits</t>
  </si>
  <si>
    <t>0/14, GNT 0/20</t>
  </si>
  <si>
    <t>0/14, GNT 0/30</t>
  </si>
  <si>
    <t>0/20, GNT 0/20</t>
  </si>
  <si>
    <t>0/20, GNT 0/30</t>
  </si>
  <si>
    <t>Ballast, GNT 0/20</t>
  </si>
  <si>
    <t>Ballast, GNT 0/30</t>
  </si>
  <si>
    <t>Tonnage total</t>
  </si>
  <si>
    <t>Débit de la production</t>
  </si>
  <si>
    <t>Tonnage pour produits</t>
  </si>
  <si>
    <t>Tonnage par jour</t>
  </si>
  <si>
    <t>Date départ</t>
  </si>
  <si>
    <t>Rendue</t>
  </si>
  <si>
    <t>Production :</t>
  </si>
  <si>
    <t>Temps de production</t>
  </si>
  <si>
    <t>Tonnage nécessaire à traiter</t>
  </si>
  <si>
    <t>Heures/jour</t>
  </si>
  <si>
    <t>Volume de roche (m3)</t>
  </si>
  <si>
    <t>Quantités voulues (t)</t>
  </si>
  <si>
    <t>Demande</t>
  </si>
  <si>
    <t>Tonnage total à traiter</t>
  </si>
  <si>
    <t>Jours de production</t>
  </si>
  <si>
    <t>Date de départ</t>
  </si>
  <si>
    <t>Demande pour le :</t>
  </si>
  <si>
    <t>Mois</t>
  </si>
  <si>
    <t>Sem.</t>
  </si>
  <si>
    <t>Jour</t>
  </si>
  <si>
    <t>Remplacement bague intérieure excentrique</t>
  </si>
  <si>
    <t>Remplacement courroies SPC5001</t>
  </si>
  <si>
    <t>Remplacement courroies SPC5002</t>
  </si>
  <si>
    <t>Remplacement courroies SPC5003</t>
  </si>
  <si>
    <t>Maintenance année 2017</t>
  </si>
  <si>
    <t>14/06/2017</t>
  </si>
  <si>
    <t>Heures de production II - III</t>
  </si>
  <si>
    <t xml:space="preserve">  h</t>
  </si>
  <si>
    <t xml:space="preserve">  t/h</t>
  </si>
  <si>
    <t xml:space="preserve">  m3</t>
  </si>
  <si>
    <t xml:space="preserve">  t</t>
  </si>
  <si>
    <t>30/06/2017</t>
  </si>
  <si>
    <t>Heures de prod/jour</t>
  </si>
  <si>
    <t>Entretien 100h</t>
  </si>
  <si>
    <t>Entretien 250h</t>
  </si>
  <si>
    <t>Date de relève du compteur</t>
  </si>
  <si>
    <t>Heure entretien</t>
  </si>
  <si>
    <t>Prochain entretien dans</t>
  </si>
  <si>
    <t>Prochain entretien le</t>
  </si>
  <si>
    <t>Entretien 11250h (250h)</t>
  </si>
  <si>
    <t>Entretien 11750h (250h)</t>
  </si>
  <si>
    <t>Entretien 12250h (250h)</t>
  </si>
  <si>
    <t>Entretien 12750h (250h)</t>
  </si>
  <si>
    <t>Entretien 13250h (250h)</t>
  </si>
  <si>
    <t>Entretien 13750h (250h)</t>
  </si>
  <si>
    <t>Entretien 14250h (250h)</t>
  </si>
  <si>
    <t>Entretien 15750h (250h)</t>
  </si>
  <si>
    <t>Entretien 15250h (250h)</t>
  </si>
  <si>
    <t>Entretien 16250h (250h)</t>
  </si>
  <si>
    <t>Entretien 16750h (250h)</t>
  </si>
  <si>
    <t>Entretien 17250h (250h)</t>
  </si>
  <si>
    <t>Entretien 17750h (250h)</t>
  </si>
  <si>
    <t>Entretien 18250h (250h)</t>
  </si>
  <si>
    <t>Entretien 18750h (250h)</t>
  </si>
  <si>
    <t>Entretien 19250h (250h)</t>
  </si>
  <si>
    <t>Entretien 19750h (250h)</t>
  </si>
  <si>
    <t>Entretien 20250h (250h)</t>
  </si>
  <si>
    <t>Entretien 10250h (250h)</t>
  </si>
  <si>
    <t>Entretien 10750h (250h)</t>
  </si>
  <si>
    <t>Entretiens</t>
  </si>
  <si>
    <t>Entretien trisannuel (3 ans)</t>
  </si>
  <si>
    <t>Entretien effectué le</t>
  </si>
  <si>
    <t>Entretien 750h (250h)</t>
  </si>
  <si>
    <t>Entretien 1250h (250h)</t>
  </si>
  <si>
    <t>Entretien 1750h (250h)</t>
  </si>
  <si>
    <t>Entretien 2250h (250h)</t>
  </si>
  <si>
    <t>Entretien 2750h (250h)</t>
  </si>
  <si>
    <t>Entretien 3250h (250h)</t>
  </si>
  <si>
    <t>Entretien 3750h (250h)</t>
  </si>
  <si>
    <t>Entretien 4250h (250h)</t>
  </si>
  <si>
    <t>Entretien 4750h (250h)</t>
  </si>
  <si>
    <t>Entretien 5250h (250h)</t>
  </si>
  <si>
    <t>Entretien 5750h (250h)</t>
  </si>
  <si>
    <t>Entretien 6250h (250h)</t>
  </si>
  <si>
    <t>Entretien 6750h (250h)</t>
  </si>
  <si>
    <t>Entretien 7250h (250h)</t>
  </si>
  <si>
    <t>Entretien 7750h (250h)</t>
  </si>
  <si>
    <t>Entretien 8250h (250h)</t>
  </si>
  <si>
    <t>Entretien 8750h (250h)</t>
  </si>
  <si>
    <t>Entretien 9250h (250h)</t>
  </si>
  <si>
    <t>Entretien 9750h (250h)</t>
  </si>
  <si>
    <t>15/06/2017</t>
  </si>
  <si>
    <t>Entretien 200h (100h)</t>
  </si>
  <si>
    <t>Entretien 300h (100h)</t>
  </si>
  <si>
    <t>Entretien 400h (100h)</t>
  </si>
  <si>
    <t>Entretien 500h (500h + 250h + 100h)</t>
  </si>
  <si>
    <t>Entretien 600h (100h)</t>
  </si>
  <si>
    <t>Entretien 700h (100h)</t>
  </si>
  <si>
    <t>Entretien 800h (100h)</t>
  </si>
  <si>
    <t>Entretien 900h (100h)</t>
  </si>
  <si>
    <t>Entretien 1000h (1000h + 500h + 250h + 100h)</t>
  </si>
  <si>
    <t>Entretien 1100h (100h)</t>
  </si>
  <si>
    <t>Entretien 1200h (100h)</t>
  </si>
  <si>
    <t>Entretien 1300h (100h)</t>
  </si>
  <si>
    <t>Entretien 1400h (100h)</t>
  </si>
  <si>
    <t>Entretien 1500h (500h + 250h + 100h)</t>
  </si>
  <si>
    <t>Entretien 1600h (100h)</t>
  </si>
  <si>
    <t>Entretien 1700h (100h)</t>
  </si>
  <si>
    <t>Entretien 1800h (100h)</t>
  </si>
  <si>
    <t>Entretien 1900h (100h)</t>
  </si>
  <si>
    <t>Entretien 2000h (2000h + 1000h + 500h + 250h + 100h)</t>
  </si>
  <si>
    <t>Entretien 2100h (100h)</t>
  </si>
  <si>
    <t>Entretien 2200h (100h)</t>
  </si>
  <si>
    <t>Entretien 2300h (100h)</t>
  </si>
  <si>
    <t>Entretien 2400h (100h)</t>
  </si>
  <si>
    <t>Entretien 2500h (2500h + 500h + 250h + 100h)</t>
  </si>
  <si>
    <t>Entretien 2600h (100h)</t>
  </si>
  <si>
    <t>Entretien 2700h (100h)</t>
  </si>
  <si>
    <t>Entretien 2800h (100h)</t>
  </si>
  <si>
    <t>Entretien 2900h (100h)</t>
  </si>
  <si>
    <t>Entretien 3000h (3000h + 1000h + 500h + 250h + 100h)</t>
  </si>
  <si>
    <t>Entretien 3100h (100h)</t>
  </si>
  <si>
    <t>Entretien 3200h (100h)</t>
  </si>
  <si>
    <t>Entretien 3300h (100h)</t>
  </si>
  <si>
    <t>Entretien 3400h (100h)</t>
  </si>
  <si>
    <t>Entretien 3500h (500h + 250h + 100h)</t>
  </si>
  <si>
    <t>Entretien 3600h (100h)</t>
  </si>
  <si>
    <t>Entretien 3700h (100h)</t>
  </si>
  <si>
    <t>Entretien 3800h (100h)</t>
  </si>
  <si>
    <t>Entretien 3900h (100h)</t>
  </si>
  <si>
    <t>Entretien 4000h (2000h + 1000h + 500h + 250h + 100h)</t>
  </si>
  <si>
    <t>Entretien 4100h (100h)</t>
  </si>
  <si>
    <t>Entretien 4200h (100h)</t>
  </si>
  <si>
    <t>Entretien 4300h (100h)</t>
  </si>
  <si>
    <t>Entretien 4400h (100h)</t>
  </si>
  <si>
    <t>Entretien 4500h (500h + 250h + 100h)</t>
  </si>
  <si>
    <t>Entretien (4600h 100h)</t>
  </si>
  <si>
    <t>Entretien 4700h (100h)</t>
  </si>
  <si>
    <t>Entretien 4800h (100h)</t>
  </si>
  <si>
    <t>Entretien 4900h (100h)</t>
  </si>
  <si>
    <t>Entretien 5000h (5000h + 2500h + 1000h + 500h + 250h + 100h)</t>
  </si>
  <si>
    <t>Entretien 5100h (100h)</t>
  </si>
  <si>
    <t>Entretien 5200h (100h)</t>
  </si>
  <si>
    <t>Entretien 5300h (100h)</t>
  </si>
  <si>
    <t>Entretien 5400h (100h)</t>
  </si>
  <si>
    <t>Entretien 5500h (500h + 250h + 100h)</t>
  </si>
  <si>
    <t>Entretien 5600h (100h)</t>
  </si>
  <si>
    <t>Entretien 5700h (100h)</t>
  </si>
  <si>
    <t>Entretien 5800h (100h)</t>
  </si>
  <si>
    <t>Entretien 5900h (100h)</t>
  </si>
  <si>
    <t>Entretien 6000h (6000h + 3000h + 2000h + 1000h + 500h + 250h + 100h)</t>
  </si>
  <si>
    <t>Entretien 6100h (100h)</t>
  </si>
  <si>
    <t>Entretien 6200h (100h)</t>
  </si>
  <si>
    <t>Entretien 6300h (100h)</t>
  </si>
  <si>
    <t>Entretien 6400h (100h)</t>
  </si>
  <si>
    <t>Entretien 6500h (500h + 250h + 100h)</t>
  </si>
  <si>
    <t>Entretien 6600h (100h)</t>
  </si>
  <si>
    <t>Entretien 6700h (100h)</t>
  </si>
  <si>
    <t>Entretien 6800h (100h)</t>
  </si>
  <si>
    <t>Entretien 6900h (100h)</t>
  </si>
  <si>
    <t>Entretien 7000h (1000h + 500h + 250h + 100h)</t>
  </si>
  <si>
    <t>Entretien 7100h (100h)</t>
  </si>
  <si>
    <t>Entretien 7200h (100h)</t>
  </si>
  <si>
    <t>Entretien 7300h (100h)</t>
  </si>
  <si>
    <t>Entretien 7400h (100h)</t>
  </si>
  <si>
    <t>Entretien 7500h (2500h + 500h + 250h + 100h)</t>
  </si>
  <si>
    <t>Entretien 7600h (100h)</t>
  </si>
  <si>
    <t>Entretien 7700h (100h)</t>
  </si>
  <si>
    <t>Entretien 7800h (100h)</t>
  </si>
  <si>
    <t>Entretien 7900h (100h)</t>
  </si>
  <si>
    <t>Entretien 8000h (2000h + 1000h + 500h + 250h + 100h)</t>
  </si>
  <si>
    <t>Entretien 8100h (100h)</t>
  </si>
  <si>
    <t>Entretien 8200h (100h)</t>
  </si>
  <si>
    <t>Entretien 8300h (100h)</t>
  </si>
  <si>
    <t>Entretien 8400h (100h)</t>
  </si>
  <si>
    <t>Entretien 8500h (500h + 250h + 100h)</t>
  </si>
  <si>
    <t>Entretien 8600h (100h)</t>
  </si>
  <si>
    <t>Entretien 8700h (100h)</t>
  </si>
  <si>
    <t>Entretien 8800h (100h)</t>
  </si>
  <si>
    <t>Entretien 8900h (100h)</t>
  </si>
  <si>
    <t>Entretien 9000h (3000h + 1000h + 500h + 250h + 100h)</t>
  </si>
  <si>
    <t>Entretien 9100h (100h)</t>
  </si>
  <si>
    <t>Entretien 9200h (100h)</t>
  </si>
  <si>
    <t>Entretien 9300h (100h)</t>
  </si>
  <si>
    <t>Entretien 9400h (100h)</t>
  </si>
  <si>
    <t>Entretien 9500h (500h + 250h + 100h)</t>
  </si>
  <si>
    <t>Entretien 9600h (100h)</t>
  </si>
  <si>
    <t>Entretien 9700h (100h)</t>
  </si>
  <si>
    <t>Entretien 9800h (100h)</t>
  </si>
  <si>
    <t>Entretien 9900h (100h)</t>
  </si>
  <si>
    <t>Entretien 10000h (10000h + 5000h + 2500h + 2000h + 1000h + 500h + 250h + 100h)</t>
  </si>
  <si>
    <t>Entretien 10100h (100h)</t>
  </si>
  <si>
    <t>Entretien 10200h (100h)</t>
  </si>
  <si>
    <t>Entretien 10300h (100h)</t>
  </si>
  <si>
    <t>Entretien 10400h (100h)</t>
  </si>
  <si>
    <t>Entretien 10500h (500h + 250h + 100h)</t>
  </si>
  <si>
    <t>Entretien 10600h (100h)</t>
  </si>
  <si>
    <t>Entretien 10700h (100h)</t>
  </si>
  <si>
    <t>Entretien 10800h (100h)</t>
  </si>
  <si>
    <t>Entretien 10900h (100h)</t>
  </si>
  <si>
    <t>Entretien 11000h (1000h + 500h + 250h + 100h)</t>
  </si>
  <si>
    <t>Entretien 11100h (100h)</t>
  </si>
  <si>
    <t>Entretien 11200h (100h)</t>
  </si>
  <si>
    <t>Entretien 11300h (100h)</t>
  </si>
  <si>
    <t>Entretien 11400h (100h)</t>
  </si>
  <si>
    <t>Entretien 11500h (500h + 250h + 100h)</t>
  </si>
  <si>
    <t>Entretien 11600h (100h)</t>
  </si>
  <si>
    <t>Entretien 11700h (100h)</t>
  </si>
  <si>
    <t>Entretien 11800h (100h)</t>
  </si>
  <si>
    <t>Entretien 11900h (100h)</t>
  </si>
  <si>
    <t>Entretien 12000h (12000h + 6000h + 3000h + 2000h + 1000h + 500h + 250h + 100h)</t>
  </si>
  <si>
    <t>Entretien 12100h (100h)</t>
  </si>
  <si>
    <t>Entretien 12200h (100h)</t>
  </si>
  <si>
    <t>Entretien 12300h (100h)</t>
  </si>
  <si>
    <t>Entretien 12400h (100h)</t>
  </si>
  <si>
    <t>Entretien 12500h (2500h + 500h + 250h + 100h)</t>
  </si>
  <si>
    <t>Entretien 12600h (100h)</t>
  </si>
  <si>
    <t>Entretien 12700h (100h)</t>
  </si>
  <si>
    <t>Entretien 12800h (100h)</t>
  </si>
  <si>
    <t>Entretien 12900h (100h)</t>
  </si>
  <si>
    <t>Entretien 13000h (1000h + 500h + 250h + 100h)</t>
  </si>
  <si>
    <t>Entretien 13100h (100h)</t>
  </si>
  <si>
    <t>Entretien 13200h (100h)</t>
  </si>
  <si>
    <t>Entretien 13300h (100h)</t>
  </si>
  <si>
    <t>Entretien 13400h (100h)</t>
  </si>
  <si>
    <t>Entretien 13500h (500h + 250h + 100h)</t>
  </si>
  <si>
    <t>Entretien 13600h (100h)</t>
  </si>
  <si>
    <t>Entretien 13700h (100h)</t>
  </si>
  <si>
    <t>Entretien 13800h (100h)</t>
  </si>
  <si>
    <t>Entretien 13900h (100h)</t>
  </si>
  <si>
    <t>Entretien 14000h (2000h + 1000h + 500h + 250h + 100h)</t>
  </si>
  <si>
    <t>Entretien 14100h (100h)</t>
  </si>
  <si>
    <t>Entretien 14200h (100h)</t>
  </si>
  <si>
    <t>Entretien 14300h (100h)</t>
  </si>
  <si>
    <t>Entretien 14400h (100h)</t>
  </si>
  <si>
    <t>Entretien 14500h (500h + 250h + 100h)</t>
  </si>
  <si>
    <t>Entretien 14600h (100h)</t>
  </si>
  <si>
    <t>Entretien 14700h (100h)</t>
  </si>
  <si>
    <t>Entretien 14750h (250h)</t>
  </si>
  <si>
    <t>Entretien 14800h (100h)</t>
  </si>
  <si>
    <t>Entretien 14900h (100h)</t>
  </si>
  <si>
    <t>Entretien 15000h (5000h + 3000h + 2500h + 1000h + 500h + 250h + 100h)</t>
  </si>
  <si>
    <t>Entretien 15100h (100h)</t>
  </si>
  <si>
    <t>Entretien 15200h (100h)</t>
  </si>
  <si>
    <t>Entretien 15300h (100h)</t>
  </si>
  <si>
    <t>Entretien 15400h (100h)</t>
  </si>
  <si>
    <t>Entretien 15500h (500h + 250h + 100h)</t>
  </si>
  <si>
    <t>Entretien 15600h (100h)</t>
  </si>
  <si>
    <t>Entretien 15700h (100h)</t>
  </si>
  <si>
    <t>Entretien 15800h (100h)</t>
  </si>
  <si>
    <t>Entretien 15900h (100h)</t>
  </si>
  <si>
    <t>Entretien 16000h (2000h + 1000h + 500h + 250h + 100h)</t>
  </si>
  <si>
    <t>Entretien 16100h (100h)</t>
  </si>
  <si>
    <t>Entretien 16200h (100h)</t>
  </si>
  <si>
    <t>Entretien 16300h (100h)</t>
  </si>
  <si>
    <t>Entretien 16400h (100h)</t>
  </si>
  <si>
    <t>Entretien 16500h (500h + 250h + 100h)</t>
  </si>
  <si>
    <t>Entretien 16600h (100h)</t>
  </si>
  <si>
    <t>Entretien 1670h (100h)</t>
  </si>
  <si>
    <t>Entretien 16800h (100h)</t>
  </si>
  <si>
    <t>Entretien 16900h (100h)</t>
  </si>
  <si>
    <t>Entretien 17000h (1000h + 500h + 250h + 100h)</t>
  </si>
  <si>
    <t>Entretien 17100h (100h)</t>
  </si>
  <si>
    <t>Entretien 17200h (100h)</t>
  </si>
  <si>
    <t>Entretien 17300h (100h)</t>
  </si>
  <si>
    <t>Entretien 17400h (100h)</t>
  </si>
  <si>
    <t>Entretien 17500h (2500h + 500h + 250h + 100h)</t>
  </si>
  <si>
    <t>Entretien 17600h (100h)</t>
  </si>
  <si>
    <t>Entretien 17700h (100h)</t>
  </si>
  <si>
    <t>Entretien 17800h (100h)</t>
  </si>
  <si>
    <t>Entretien 17900h (100h)</t>
  </si>
  <si>
    <t>Entretien 18000h (6000h + 3000h + 2000h + 1000h + 500h + 250h + 100h)</t>
  </si>
  <si>
    <t>Entretien 18100h (100h)</t>
  </si>
  <si>
    <t>Entretien 18200h (100h)</t>
  </si>
  <si>
    <t>Entretien 18300h (100h)</t>
  </si>
  <si>
    <t>Entretien 18400h (100h)</t>
  </si>
  <si>
    <t>Entretien 18500h (500h + 250h + 100h)</t>
  </si>
  <si>
    <t>Entretien 18600h (100h)</t>
  </si>
  <si>
    <t>Entretien 18700h (100h)</t>
  </si>
  <si>
    <t>Entretien 18800h (100h)</t>
  </si>
  <si>
    <t>Entretien 18900h (100h)</t>
  </si>
  <si>
    <t>Entretien 19000h (1000h + 500h + 250h + 100h)</t>
  </si>
  <si>
    <t>Entretien 19100h (100h)</t>
  </si>
  <si>
    <t>Entretien 19200h (100h)</t>
  </si>
  <si>
    <t>Entretien 19300h (100h)</t>
  </si>
  <si>
    <t>Entretien 19400h (100h)</t>
  </si>
  <si>
    <t>Entretien 19500h (500h + 250h + 100h)</t>
  </si>
  <si>
    <t>Entretien 19600h (100h)</t>
  </si>
  <si>
    <t>Entretien 19700h (100h)</t>
  </si>
  <si>
    <t>Entretien 19800h (100h)</t>
  </si>
  <si>
    <t>Entretien 19900h (100h)</t>
  </si>
  <si>
    <t>Entretien 20000h (10000h + 5000h + 2500h + 2000h + 1000h + 500h + 250h + 100h)</t>
  </si>
  <si>
    <t>Entretien 20100h (100h)</t>
  </si>
  <si>
    <t>Entretien 20200h (100h)</t>
  </si>
  <si>
    <t>Entretien 20300h (100h)</t>
  </si>
  <si>
    <t>Entretien 20400h (100h)</t>
  </si>
  <si>
    <t>Entretien 20500h (500h + 250h + 100h)</t>
  </si>
  <si>
    <t>Entretiens effectués à</t>
  </si>
  <si>
    <t>16/06/2017</t>
  </si>
  <si>
    <t>Heures de production/jour</t>
  </si>
  <si>
    <t>Date relève du compteur</t>
  </si>
  <si>
    <t>Commentaires</t>
  </si>
  <si>
    <t>Intervention</t>
  </si>
  <si>
    <t>Autres interventions</t>
  </si>
  <si>
    <t>Broyeur1</t>
  </si>
  <si>
    <t>Broyeur2</t>
  </si>
  <si>
    <t>Broyeur3</t>
  </si>
  <si>
    <t>Engin</t>
  </si>
  <si>
    <t>Temps d'arrêt (j)</t>
  </si>
  <si>
    <t>Prévision traitement</t>
  </si>
  <si>
    <t>Tonnage déjà passé</t>
  </si>
  <si>
    <t>Utile pour Recap Dates</t>
  </si>
  <si>
    <t>Utile pour planning</t>
  </si>
  <si>
    <t>Cette feuille sert à calculer les différents débits qui vont rentrer en compte dans les onglets Demande et Traitement</t>
  </si>
  <si>
    <t>Doit tenir compte des arrets des broyeurs et engins</t>
  </si>
  <si>
    <t>Doit tenir compte des arrets des broyeur et engin</t>
  </si>
  <si>
    <t>Cette feuille sert pour ma RECHERCHEV de la feuille 2017</t>
  </si>
  <si>
    <t>Cette date prend en compte les temps d'arret du broyeur 1. Est-ce possible de prendre en compte les temps d'arret des autres broyeurs et Engin ?</t>
  </si>
  <si>
    <t>L'engin ne dépend pas du fonctionnement des broyeurs et les entretiens sont à heures fixes (Si entretien 100h fait à 110h, entretien 200h à faire à 200h et non 210h).    Cependant si l'Engin est en entretien, les broyeurs ne peuvent pas fonctionner</t>
  </si>
  <si>
    <t>On entre une quantité voulue pour connaitre le temps de traitement nécessaire et la date à laquelle commencer le chantier</t>
  </si>
  <si>
    <t>Planning des maintenance pour l'année 2017</t>
  </si>
  <si>
    <t>Possibilité d'atteindre la date du jour à chaque ouverture du document ?</t>
  </si>
  <si>
    <t>On entre un volume pour connaitre le tonnage et le nombre de jours de traitement donc la date rendue</t>
  </si>
  <si>
    <t>JoursFeries!$B$3:$CH$15</t>
  </si>
  <si>
    <t>Je sais j'ai un peu déconné sur les dates..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</si>
</sst>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0.0%"/>
    <numFmt numFmtId="166" formatCode="#,##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1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2" borderId="0" xfId="0" applyFill="1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14" fontId="0" fillId="0" borderId="0" xfId="0" applyNumberFormat="1"/>
    <xf numFmtId="14" fontId="2" fillId="0" borderId="0" xfId="0" applyNumberFormat="1" applyFon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165" fontId="0" fillId="0" borderId="0" xfId="1" applyNumberFormat="1" applyFont="1" applyFill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5" fontId="0" fillId="0" borderId="0" xfId="1" applyNumberFormat="1" applyFont="1" applyBorder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164" fontId="0" fillId="0" borderId="1" xfId="0" applyNumberForma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0" fillId="0" borderId="15" xfId="0" applyBorder="1" applyAlignment="1">
      <alignment horizontal="left" vertical="center"/>
    </xf>
    <xf numFmtId="0" fontId="7" fillId="0" borderId="1" xfId="0" applyFont="1" applyBorder="1" applyAlignment="1">
      <alignment horizontal="center" vertical="center"/>
    </xf>
    <xf numFmtId="164" fontId="7" fillId="0" borderId="1" xfId="0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0" fillId="0" borderId="24" xfId="0" quotePrefix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NumberForma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 applyBorder="1" applyAlignment="1">
      <alignment horizontal="center" vertical="center" wrapText="1"/>
    </xf>
    <xf numFmtId="0" fontId="0" fillId="0" borderId="15" xfId="0" applyNumberFormat="1" applyBorder="1" applyAlignment="1">
      <alignment horizontal="center" vertical="center" wrapText="1"/>
    </xf>
    <xf numFmtId="0" fontId="9" fillId="0" borderId="1" xfId="0" applyNumberFormat="1" applyFont="1" applyBorder="1" applyAlignment="1">
      <alignment horizontal="center" vertical="center" wrapText="1"/>
    </xf>
    <xf numFmtId="0" fontId="0" fillId="0" borderId="13" xfId="0" applyNumberFormat="1" applyBorder="1" applyAlignment="1">
      <alignment horizontal="center" vertical="center" wrapText="1"/>
    </xf>
    <xf numFmtId="0" fontId="0" fillId="0" borderId="2" xfId="0" applyNumberFormat="1" applyBorder="1" applyAlignment="1">
      <alignment horizontal="center" vertical="center" wrapText="1"/>
    </xf>
    <xf numFmtId="0" fontId="0" fillId="0" borderId="11" xfId="0" applyNumberFormat="1" applyBorder="1" applyAlignment="1">
      <alignment horizontal="center" vertical="center" wrapText="1"/>
    </xf>
    <xf numFmtId="0" fontId="0" fillId="0" borderId="7" xfId="0" applyNumberFormat="1" applyBorder="1" applyAlignment="1">
      <alignment horizontal="center" vertical="center" wrapText="1"/>
    </xf>
    <xf numFmtId="14" fontId="0" fillId="0" borderId="14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4" fontId="0" fillId="0" borderId="11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2" fillId="0" borderId="0" xfId="0" applyNumberFormat="1" applyFont="1" applyAlignment="1">
      <alignment horizontal="center" vertical="center" wrapText="1"/>
    </xf>
    <xf numFmtId="14" fontId="0" fillId="0" borderId="0" xfId="0" quotePrefix="1" applyNumberFormat="1" applyAlignment="1">
      <alignment horizontal="center"/>
    </xf>
    <xf numFmtId="0" fontId="0" fillId="0" borderId="0" xfId="0" applyAlignment="1">
      <alignment horizontal="center" wrapText="1"/>
    </xf>
    <xf numFmtId="0" fontId="3" fillId="6" borderId="0" xfId="0" applyFont="1" applyFill="1" applyAlignment="1">
      <alignment horizontal="center" wrapText="1"/>
    </xf>
    <xf numFmtId="0" fontId="3" fillId="7" borderId="0" xfId="0" quotePrefix="1" applyFont="1" applyFill="1" applyAlignment="1">
      <alignment horizontal="center" wrapText="1"/>
    </xf>
    <xf numFmtId="0" fontId="3" fillId="4" borderId="0" xfId="0" quotePrefix="1" applyFont="1" applyFill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165" fontId="0" fillId="0" borderId="14" xfId="1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2" fontId="0" fillId="0" borderId="13" xfId="0" applyNumberFormat="1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0" xfId="0" applyFill="1" applyAlignment="1">
      <alignment horizontal="right" vertical="center"/>
    </xf>
    <xf numFmtId="0" fontId="0" fillId="0" borderId="1" xfId="0" applyBorder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3" fillId="0" borderId="4" xfId="0" applyFont="1" applyBorder="1" applyAlignment="1">
      <alignment horizontal="center" vertical="center"/>
    </xf>
    <xf numFmtId="0" fontId="3" fillId="0" borderId="6" xfId="0" applyFont="1" applyBorder="1" applyAlignment="1">
      <alignment horizontal="left" vertical="center"/>
    </xf>
    <xf numFmtId="2" fontId="0" fillId="0" borderId="4" xfId="0" applyNumberFormat="1" applyBorder="1" applyAlignment="1">
      <alignment horizontal="center" vertical="center"/>
    </xf>
    <xf numFmtId="3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4" fontId="0" fillId="2" borderId="0" xfId="0" applyNumberFormat="1" applyFill="1" applyAlignment="1">
      <alignment vertical="center"/>
    </xf>
    <xf numFmtId="0" fontId="0" fillId="2" borderId="0" xfId="0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left" vertical="center"/>
    </xf>
    <xf numFmtId="14" fontId="0" fillId="2" borderId="0" xfId="0" applyNumberFormat="1" applyFill="1" applyAlignment="1">
      <alignment horizontal="right" vertical="center"/>
    </xf>
    <xf numFmtId="0" fontId="0" fillId="2" borderId="5" xfId="0" applyFill="1" applyBorder="1"/>
    <xf numFmtId="0" fontId="8" fillId="0" borderId="0" xfId="0" applyFont="1" applyBorder="1" applyAlignment="1">
      <alignment vertical="center"/>
    </xf>
    <xf numFmtId="0" fontId="0" fillId="0" borderId="7" xfId="0" applyBorder="1"/>
    <xf numFmtId="0" fontId="0" fillId="0" borderId="13" xfId="0" applyBorder="1"/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4" fontId="0" fillId="0" borderId="7" xfId="0" applyNumberFormat="1" applyBorder="1"/>
    <xf numFmtId="0" fontId="0" fillId="0" borderId="5" xfId="0" applyNumberFormat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14" fontId="7" fillId="3" borderId="1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left"/>
    </xf>
    <xf numFmtId="0" fontId="0" fillId="3" borderId="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4" xfId="0" quotePrefix="1" applyFill="1" applyBorder="1" applyAlignment="1">
      <alignment horizontal="center" vertical="center"/>
    </xf>
    <xf numFmtId="0" fontId="0" fillId="0" borderId="5" xfId="0" quotePrefix="1" applyFill="1" applyBorder="1" applyAlignment="1">
      <alignment horizontal="center" vertical="center"/>
    </xf>
    <xf numFmtId="0" fontId="0" fillId="0" borderId="6" xfId="0" quotePrefix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" xfId="0" quotePrefix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0" borderId="0" xfId="0" quotePrefix="1" applyFont="1" applyFill="1" applyAlignment="1">
      <alignment horizontal="center" vertical="center"/>
    </xf>
    <xf numFmtId="17" fontId="3" fillId="0" borderId="0" xfId="0" quotePrefix="1" applyNumberFormat="1" applyFont="1" applyFill="1" applyAlignment="1">
      <alignment horizontal="center" vertical="center"/>
    </xf>
    <xf numFmtId="0" fontId="0" fillId="0" borderId="9" xfId="0" quotePrefix="1" applyFill="1" applyBorder="1" applyAlignment="1">
      <alignment horizontal="center" vertical="center"/>
    </xf>
    <xf numFmtId="0" fontId="0" fillId="0" borderId="10" xfId="0" quotePrefix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0" borderId="0" xfId="0" quotePrefix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3" borderId="21" xfId="0" applyFont="1" applyFill="1" applyBorder="1" applyAlignment="1">
      <alignment horizontal="center" vertical="center"/>
    </xf>
    <xf numFmtId="0" fontId="7" fillId="3" borderId="22" xfId="0" applyFont="1" applyFill="1" applyBorder="1" applyAlignment="1">
      <alignment horizontal="center" vertical="center"/>
    </xf>
    <xf numFmtId="166" fontId="7" fillId="0" borderId="17" xfId="0" applyNumberFormat="1" applyFont="1" applyBorder="1" applyAlignment="1">
      <alignment horizontal="center" vertical="center"/>
    </xf>
    <xf numFmtId="166" fontId="7" fillId="0" borderId="18" xfId="0" applyNumberFormat="1" applyFont="1" applyBorder="1" applyAlignment="1">
      <alignment horizontal="center" vertical="center"/>
    </xf>
    <xf numFmtId="164" fontId="7" fillId="0" borderId="0" xfId="0" applyNumberFormat="1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14" fontId="7" fillId="3" borderId="22" xfId="0" applyNumberFormat="1" applyFont="1" applyFill="1" applyBorder="1" applyAlignment="1">
      <alignment horizontal="center" vertical="center"/>
    </xf>
    <xf numFmtId="14" fontId="7" fillId="3" borderId="23" xfId="0" applyNumberFormat="1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0" fillId="3" borderId="0" xfId="0" quotePrefix="1" applyFill="1" applyAlignment="1">
      <alignment horizontal="center" vertical="center" wrapText="1"/>
    </xf>
    <xf numFmtId="0" fontId="0" fillId="3" borderId="15" xfId="0" quotePrefix="1" applyFill="1" applyBorder="1" applyAlignment="1">
      <alignment horizontal="center" vertical="center" wrapText="1"/>
    </xf>
    <xf numFmtId="0" fontId="0" fillId="3" borderId="1" xfId="0" applyNumberFormat="1" applyFill="1" applyBorder="1" applyAlignment="1">
      <alignment horizontal="center" vertical="center" wrapText="1"/>
    </xf>
    <xf numFmtId="0" fontId="10" fillId="0" borderId="25" xfId="0" applyNumberFormat="1" applyFont="1" applyBorder="1" applyAlignment="1">
      <alignment horizontal="center" vertical="center" wrapText="1"/>
    </xf>
    <xf numFmtId="0" fontId="10" fillId="0" borderId="26" xfId="0" applyNumberFormat="1" applyFont="1" applyBorder="1" applyAlignment="1">
      <alignment horizontal="center" vertical="center" wrapText="1"/>
    </xf>
    <xf numFmtId="0" fontId="0" fillId="3" borderId="13" xfId="0" applyNumberFormat="1" applyFill="1" applyBorder="1" applyAlignment="1">
      <alignment horizontal="center" vertical="center" wrapText="1"/>
    </xf>
    <xf numFmtId="0" fontId="0" fillId="3" borderId="0" xfId="0" applyNumberFormat="1" applyFill="1" applyAlignment="1">
      <alignment horizontal="center" vertical="center" wrapText="1"/>
    </xf>
    <xf numFmtId="0" fontId="0" fillId="3" borderId="15" xfId="0" applyNumberFormat="1" applyFill="1" applyBorder="1" applyAlignment="1">
      <alignment horizontal="center" vertical="center" wrapText="1"/>
    </xf>
    <xf numFmtId="0" fontId="0" fillId="4" borderId="13" xfId="0" applyFill="1" applyBorder="1" applyAlignment="1">
      <alignment horizontal="center" vertical="center" textRotation="90"/>
    </xf>
    <xf numFmtId="17" fontId="0" fillId="7" borderId="13" xfId="0" applyNumberFormat="1" applyFill="1" applyBorder="1" applyAlignment="1">
      <alignment horizontal="center" vertical="center" textRotation="90"/>
    </xf>
    <xf numFmtId="0" fontId="0" fillId="7" borderId="13" xfId="0" applyFill="1" applyBorder="1" applyAlignment="1">
      <alignment horizontal="center" vertical="center" textRotation="90"/>
    </xf>
    <xf numFmtId="0" fontId="0" fillId="6" borderId="13" xfId="0" applyFill="1" applyBorder="1" applyAlignment="1">
      <alignment horizontal="center" vertical="center" textRotation="90"/>
    </xf>
    <xf numFmtId="14" fontId="0" fillId="0" borderId="14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14" fontId="0" fillId="0" borderId="11" xfId="0" applyNumberForma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2" xfId="0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5" fillId="0" borderId="1" xfId="0" applyFont="1" applyFill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0" fillId="0" borderId="1" xfId="0" applyNumberFormat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 wrapText="1"/>
    </xf>
    <xf numFmtId="3" fontId="0" fillId="3" borderId="0" xfId="0" applyNumberFormat="1" applyFill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3" borderId="0" xfId="0" applyFill="1" applyAlignment="1">
      <alignment horizontal="center"/>
    </xf>
  </cellXfs>
  <cellStyles count="2">
    <cellStyle name="Normal" xfId="0" builtinId="0"/>
    <cellStyle name="Pourcentage" xfId="1" builtinId="5"/>
  </cellStyles>
  <dxfs count="31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3"/>
  <ax:ocxPr ax:name="_ExtentY" ax:value="53"/>
  <ax:ocxPr ax:name="_Version" ax:value="393216"/>
  <ax:ocxPr ax:name="Font">
    <ax:font ax:persistence="persistPropertyBag">
      <ax:ocxPr ax:name="Name" ax:value="Calibri"/>
      <ax:ocxPr ax:name="Size" ax:value="11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662831105"/>
  <ax:ocxPr ax:name="CurrentDate" ax:value="42900"/>
</ax:ocx>
</file>

<file path=xl/activeX/activeX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3"/>
  <ax:ocxPr ax:name="_ExtentY" ax:value="53"/>
  <ax:ocxPr ax:name="_Version" ax:value="393216"/>
  <ax:ocxPr ax:name="Font">
    <ax:font ax:persistence="persistPropertyBag">
      <ax:ocxPr ax:name="Name" ax:value="Calibri"/>
      <ax:ocxPr ax:name="Size" ax:value="11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662831105"/>
  <ax:ocxPr ax:name="CurrentDate" ax:value="42916"/>
</ax:ocx>
</file>

<file path=xl/activeX/activeX3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79"/>
  <ax:ocxPr ax:name="_ExtentY" ax:value="53"/>
  <ax:ocxPr ax:name="_Version" ax:value="393216"/>
  <ax:ocxPr ax:name="Font">
    <ax:font ax:persistence="persistPropertyBag">
      <ax:ocxPr ax:name="Name" ax:value="Calibri"/>
      <ax:ocxPr ax:name="Size" ax:value="11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662831105"/>
  <ax:ocxPr ax:name="CurrentDate" ax:value="42902"/>
</ax:ocx>
</file>

<file path=xl/activeX/activeX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12"/>
  <ax:ocxPr ax:name="_ExtentY" ax:value="53"/>
  <ax:ocxPr ax:name="_Version" ax:value="393216"/>
  <ax:ocxPr ax:name="Font">
    <ax:font ax:persistence="persistPropertyBag">
      <ax:ocxPr ax:name="Name" ax:value="Calibri"/>
      <ax:ocxPr ax:name="Size" ax:value="11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662831105"/>
  <ax:ocxPr ax:name="CurrentDate" ax:value="42900"/>
</ax:ocx>
</file>

<file path=xl/activeX/activeX5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159"/>
  <ax:ocxPr ax:name="_ExtentY" ax:value="53"/>
  <ax:ocxPr ax:name="_Version" ax:value="393216"/>
  <ax:ocxPr ax:name="Font">
    <ax:font ax:persistence="persistPropertyBag">
      <ax:ocxPr ax:name="Name" ax:value="Calibri"/>
      <ax:ocxPr ax:name="Size" ax:value="11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662831105"/>
  <ax:ocxPr ax:name="CurrentDate" ax:value="42900"/>
</ax:ocx>
</file>

<file path=xl/activeX/activeX6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132"/>
  <ax:ocxPr ax:name="_ExtentY" ax:value="53"/>
  <ax:ocxPr ax:name="_Version" ax:value="393216"/>
  <ax:ocxPr ax:name="Font">
    <ax:font ax:persistence="persistPropertyBag">
      <ax:ocxPr ax:name="Name" ax:value="Calibri"/>
      <ax:ocxPr ax:name="Size" ax:value="11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662831105"/>
  <ax:ocxPr ax:name="CurrentDate" ax:value="42898"/>
</ax:ocx>
</file>

<file path=xl/activeX/activeX7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79"/>
  <ax:ocxPr ax:name="_ExtentY" ax:value="53"/>
  <ax:ocxPr ax:name="_Version" ax:value="393216"/>
  <ax:ocxPr ax:name="Font">
    <ax:font ax:persistence="persistPropertyBag">
      <ax:ocxPr ax:name="Name" ax:value="Calibri"/>
      <ax:ocxPr ax:name="Size" ax:value="11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662831105"/>
  <ax:ocxPr ax:name="CurrentDate" ax:value="42900"/>
</ax:ocx>
</file>

<file path=xl/activeX/activeX8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3"/>
  <ax:ocxPr ax:name="_ExtentY" ax:value="53"/>
  <ax:ocxPr ax:name="_Version" ax:value="393216"/>
  <ax:ocxPr ax:name="Font">
    <ax:font ax:persistence="persistPropertyBag">
      <ax:ocxPr ax:name="Name" ax:value="Calibri"/>
      <ax:ocxPr ax:name="Size" ax:value="11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662831105"/>
  <ax:ocxPr ax:name="CurrentDate" ax:value="42901"/>
</ax:ocx>
</file>

<file path=xl/activeX/activeX9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344"/>
  <ax:ocxPr ax:name="_ExtentY" ax:value="53"/>
  <ax:ocxPr ax:name="_Version" ax:value="393216"/>
  <ax:ocxPr ax:name="Font">
    <ax:font ax:persistence="persistPropertyBag">
      <ax:ocxPr ax:name="Name" ax:value="Calibri"/>
      <ax:ocxPr ax:name="Size" ax:value="11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662831105"/>
  <ax:ocxPr ax:name="CurrentDate" ax:value="42898"/>
</ax:ocx>
</file>

<file path=xl/activeX/activeX10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344"/>
  <ax:ocxPr ax:name="_ExtentY" ax:value="53"/>
  <ax:ocxPr ax:name="_Version" ax:value="393216"/>
  <ax:ocxPr ax:name="Font">
    <ax:font ax:persistence="persistPropertyBag">
      <ax:ocxPr ax:name="Name" ax:value="Calibri"/>
      <ax:ocxPr ax:name="Size" ax:value="11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662831105"/>
  <ax:ocxPr ax:name="CurrentDate" ax:value="42898"/>
</ax:ocx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7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7.emf"/><Relationship Id="rId1" Type="http://schemas.openxmlformats.org/officeDocument/2006/relationships/image" Target="../media/image8.emf"/><Relationship Id="rId5" Type="http://schemas.openxmlformats.org/officeDocument/2006/relationships/image" Target="../media/image10.emf"/><Relationship Id="rId4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285750</xdr:colOff>
          <xdr:row>10</xdr:row>
          <xdr:rowOff>9525</xdr:rowOff>
        </xdr:from>
        <xdr:to>
          <xdr:col>2</xdr:col>
          <xdr:colOff>619125</xdr:colOff>
          <xdr:row>11</xdr:row>
          <xdr:rowOff>38100</xdr:rowOff>
        </xdr:to>
        <xdr:sp macro="" textlink="">
          <xdr:nvSpPr>
            <xdr:cNvPr id="49153" name="Button 1" hidden="1">
              <a:extLst>
                <a:ext uri="{63B3BB69-23CF-44E3-9099-C40C66FF867C}">
                  <a14:compatExt spid="_x0000_s49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 jour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10</xdr:row>
          <xdr:rowOff>9525</xdr:rowOff>
        </xdr:from>
        <xdr:to>
          <xdr:col>6</xdr:col>
          <xdr:colOff>276225</xdr:colOff>
          <xdr:row>11</xdr:row>
          <xdr:rowOff>28575</xdr:rowOff>
        </xdr:to>
        <xdr:sp macro="" textlink="">
          <xdr:nvSpPr>
            <xdr:cNvPr id="49154" name="Button 2" hidden="1">
              <a:extLst>
                <a:ext uri="{63B3BB69-23CF-44E3-9099-C40C66FF867C}">
                  <a14:compatExt spid="_x0000_s49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5 jours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</xdr:row>
          <xdr:rowOff>9525</xdr:rowOff>
        </xdr:from>
        <xdr:to>
          <xdr:col>3</xdr:col>
          <xdr:colOff>752475</xdr:colOff>
          <xdr:row>9</xdr:row>
          <xdr:rowOff>0</xdr:rowOff>
        </xdr:to>
        <xdr:sp macro="" textlink="">
          <xdr:nvSpPr>
            <xdr:cNvPr id="64517" name="DTPicker21" hidden="1">
              <a:extLst>
                <a:ext uri="{63B3BB69-23CF-44E3-9099-C40C66FF867C}">
                  <a14:compatExt spid="_x0000_s645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20</xdr:row>
          <xdr:rowOff>0</xdr:rowOff>
        </xdr:from>
        <xdr:to>
          <xdr:col>2</xdr:col>
          <xdr:colOff>9525</xdr:colOff>
          <xdr:row>20</xdr:row>
          <xdr:rowOff>200025</xdr:rowOff>
        </xdr:to>
        <xdr:sp macro="" textlink="">
          <xdr:nvSpPr>
            <xdr:cNvPr id="58369" name="DTPicker21" hidden="1">
              <a:extLst>
                <a:ext uri="{63B3BB69-23CF-44E3-9099-C40C66FF867C}">
                  <a14:compatExt spid="_x0000_s58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1733550</xdr:colOff>
          <xdr:row>0</xdr:row>
          <xdr:rowOff>9525</xdr:rowOff>
        </xdr:from>
        <xdr:to>
          <xdr:col>13</xdr:col>
          <xdr:colOff>28575</xdr:colOff>
          <xdr:row>0</xdr:row>
          <xdr:rowOff>266700</xdr:rowOff>
        </xdr:to>
        <xdr:sp macro="" textlink="">
          <xdr:nvSpPr>
            <xdr:cNvPr id="87042" name="DTPicker21" hidden="1">
              <a:extLst>
                <a:ext uri="{63B3BB69-23CF-44E3-9099-C40C66FF867C}">
                  <a14:compatExt spid="_x0000_s87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</xdr:colOff>
          <xdr:row>0</xdr:row>
          <xdr:rowOff>0</xdr:rowOff>
        </xdr:from>
        <xdr:to>
          <xdr:col>16</xdr:col>
          <xdr:colOff>0</xdr:colOff>
          <xdr:row>1</xdr:row>
          <xdr:rowOff>38100</xdr:rowOff>
        </xdr:to>
        <xdr:sp macro="" textlink="">
          <xdr:nvSpPr>
            <xdr:cNvPr id="88065" name="DTPicker21" hidden="1">
              <a:extLst>
                <a:ext uri="{63B3BB69-23CF-44E3-9099-C40C66FF867C}">
                  <a14:compatExt spid="_x0000_s88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0</xdr:row>
          <xdr:rowOff>19050</xdr:rowOff>
        </xdr:from>
        <xdr:to>
          <xdr:col>10</xdr:col>
          <xdr:colOff>0</xdr:colOff>
          <xdr:row>1</xdr:row>
          <xdr:rowOff>9525</xdr:rowOff>
        </xdr:to>
        <xdr:sp macro="" textlink="">
          <xdr:nvSpPr>
            <xdr:cNvPr id="89090" name="DTPicker21" hidden="1">
              <a:extLst>
                <a:ext uri="{63B3BB69-23CF-44E3-9099-C40C66FF867C}">
                  <a14:compatExt spid="_x0000_s89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252</xdr:row>
          <xdr:rowOff>0</xdr:rowOff>
        </xdr:from>
        <xdr:to>
          <xdr:col>3</xdr:col>
          <xdr:colOff>47625</xdr:colOff>
          <xdr:row>253</xdr:row>
          <xdr:rowOff>0</xdr:rowOff>
        </xdr:to>
        <xdr:sp macro="" textlink="">
          <xdr:nvSpPr>
            <xdr:cNvPr id="99329" name="DTPicker21" hidden="1">
              <a:extLst>
                <a:ext uri="{63B3BB69-23CF-44E3-9099-C40C66FF867C}">
                  <a14:compatExt spid="_x0000_s993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0</xdr:row>
          <xdr:rowOff>19050</xdr:rowOff>
        </xdr:from>
        <xdr:to>
          <xdr:col>6</xdr:col>
          <xdr:colOff>361950</xdr:colOff>
          <xdr:row>1</xdr:row>
          <xdr:rowOff>9525</xdr:rowOff>
        </xdr:to>
        <xdr:sp macro="" textlink="">
          <xdr:nvSpPr>
            <xdr:cNvPr id="99330" name="DTPicker22" hidden="1">
              <a:extLst>
                <a:ext uri="{63B3BB69-23CF-44E3-9099-C40C66FF867C}">
                  <a14:compatExt spid="_x0000_s993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252</xdr:row>
          <xdr:rowOff>9525</xdr:rowOff>
        </xdr:from>
        <xdr:to>
          <xdr:col>9</xdr:col>
          <xdr:colOff>1219200</xdr:colOff>
          <xdr:row>253</xdr:row>
          <xdr:rowOff>9525</xdr:rowOff>
        </xdr:to>
        <xdr:sp macro="" textlink="">
          <xdr:nvSpPr>
            <xdr:cNvPr id="99331" name="DTPicker23" hidden="1">
              <a:extLst>
                <a:ext uri="{63B3BB69-23CF-44E3-9099-C40C66FF867C}">
                  <a14:compatExt spid="_x0000_s993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253</xdr:row>
          <xdr:rowOff>28575</xdr:rowOff>
        </xdr:from>
        <xdr:to>
          <xdr:col>10</xdr:col>
          <xdr:colOff>0</xdr:colOff>
          <xdr:row>254</xdr:row>
          <xdr:rowOff>19050</xdr:rowOff>
        </xdr:to>
        <xdr:sp macro="" textlink="">
          <xdr:nvSpPr>
            <xdr:cNvPr id="99332" name="DTPicker24" hidden="1">
              <a:extLst>
                <a:ext uri="{63B3BB69-23CF-44E3-9099-C40C66FF867C}">
                  <a14:compatExt spid="_x0000_s993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254</xdr:row>
          <xdr:rowOff>9525</xdr:rowOff>
        </xdr:from>
        <xdr:to>
          <xdr:col>10</xdr:col>
          <xdr:colOff>0</xdr:colOff>
          <xdr:row>255</xdr:row>
          <xdr:rowOff>9525</xdr:rowOff>
        </xdr:to>
        <xdr:sp macro="" textlink="">
          <xdr:nvSpPr>
            <xdr:cNvPr id="99333" name="DTPicker25" hidden="1">
              <a:extLst>
                <a:ext uri="{63B3BB69-23CF-44E3-9099-C40C66FF867C}">
                  <a14:compatExt spid="_x0000_s993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8.xml"/><Relationship Id="rId13" Type="http://schemas.openxmlformats.org/officeDocument/2006/relationships/image" Target="../media/image10.emf"/><Relationship Id="rId3" Type="http://schemas.openxmlformats.org/officeDocument/2006/relationships/vmlDrawing" Target="../drawings/vmlDrawing7.vml"/><Relationship Id="rId7" Type="http://schemas.openxmlformats.org/officeDocument/2006/relationships/image" Target="../media/image7.emf"/><Relationship Id="rId12" Type="http://schemas.openxmlformats.org/officeDocument/2006/relationships/control" Target="../activeX/activeX10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6" Type="http://schemas.openxmlformats.org/officeDocument/2006/relationships/control" Target="../activeX/activeX7.xml"/><Relationship Id="rId11" Type="http://schemas.openxmlformats.org/officeDocument/2006/relationships/image" Target="../media/image9.emf"/><Relationship Id="rId5" Type="http://schemas.openxmlformats.org/officeDocument/2006/relationships/image" Target="../media/image6.emf"/><Relationship Id="rId10" Type="http://schemas.openxmlformats.org/officeDocument/2006/relationships/control" Target="../activeX/activeX9.xml"/><Relationship Id="rId4" Type="http://schemas.openxmlformats.org/officeDocument/2006/relationships/control" Target="../activeX/activeX6.xml"/><Relationship Id="rId9" Type="http://schemas.openxmlformats.org/officeDocument/2006/relationships/image" Target="../media/image8.emf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AG353"/>
  <sheetViews>
    <sheetView zoomScale="70" zoomScaleNormal="70" workbookViewId="0">
      <pane ySplit="14" topLeftCell="A15" activePane="bottomLeft" state="frozen"/>
      <selection pane="bottomLeft" activeCell="H5" sqref="H5"/>
    </sheetView>
  </sheetViews>
  <sheetFormatPr baseColWidth="10" defaultRowHeight="15" x14ac:dyDescent="0.25"/>
  <cols>
    <col min="1" max="1" width="13.28515625" style="17" customWidth="1"/>
    <col min="2" max="2" width="19.5703125" style="19" bestFit="1" customWidth="1"/>
    <col min="3" max="3" width="11.42578125" style="19"/>
    <col min="4" max="4" width="10" style="19" customWidth="1"/>
    <col min="5" max="5" width="11.42578125" style="19"/>
    <col min="6" max="6" width="11.42578125" style="17"/>
    <col min="7" max="8" width="12.5703125" style="17" bestFit="1" customWidth="1"/>
    <col min="9" max="9" width="12.5703125" style="80" customWidth="1"/>
    <col min="10" max="10" width="10" style="19" customWidth="1"/>
    <col min="11" max="11" width="11.140625" style="19" customWidth="1"/>
    <col min="12" max="12" width="10.5703125" style="19" customWidth="1"/>
    <col min="13" max="13" width="11.140625" style="19" customWidth="1"/>
    <col min="14" max="14" width="10.42578125" style="19" customWidth="1"/>
    <col min="15" max="15" width="11.140625" style="19" customWidth="1"/>
    <col min="16" max="17" width="11.42578125" style="19" customWidth="1"/>
    <col min="18" max="19" width="11.140625" style="19" customWidth="1"/>
    <col min="20" max="20" width="10.42578125" style="19" customWidth="1"/>
    <col min="21" max="21" width="11.140625" style="19" customWidth="1"/>
    <col min="22" max="22" width="10" style="19" customWidth="1"/>
    <col min="23" max="23" width="11.140625" style="19" customWidth="1"/>
    <col min="24" max="24" width="11.42578125" style="19" customWidth="1"/>
    <col min="25" max="25" width="11.140625" style="19" bestFit="1" customWidth="1"/>
    <col min="26" max="26" width="10.42578125" style="19" customWidth="1"/>
    <col min="27" max="27" width="11.140625" style="19" customWidth="1"/>
    <col min="28" max="28" width="10" style="19" bestFit="1" customWidth="1"/>
    <col min="29" max="30" width="11.140625" style="19" customWidth="1"/>
    <col min="31" max="31" width="10" style="19" bestFit="1" customWidth="1"/>
    <col min="32" max="33" width="11.42578125" style="19" customWidth="1"/>
    <col min="34" max="16384" width="11.42578125" style="17"/>
  </cols>
  <sheetData>
    <row r="1" spans="1:33" x14ac:dyDescent="0.25">
      <c r="A1" s="146" t="s">
        <v>434</v>
      </c>
      <c r="B1" s="146"/>
      <c r="C1" s="146"/>
      <c r="D1" s="146"/>
      <c r="E1" s="146"/>
      <c r="F1" s="146"/>
      <c r="G1" s="146"/>
      <c r="H1" s="146"/>
      <c r="Y1" s="86"/>
      <c r="Z1" s="86"/>
      <c r="AA1" s="86"/>
      <c r="AB1" s="86"/>
      <c r="AC1" s="86"/>
    </row>
    <row r="2" spans="1:33" x14ac:dyDescent="0.25">
      <c r="A2" s="146"/>
      <c r="B2" s="146"/>
      <c r="C2" s="146"/>
      <c r="D2" s="146"/>
      <c r="E2" s="146"/>
      <c r="F2" s="146"/>
      <c r="G2" s="146"/>
      <c r="H2" s="146"/>
      <c r="J2" s="142" t="s">
        <v>46</v>
      </c>
      <c r="K2" s="145"/>
      <c r="L2" s="142" t="s">
        <v>47</v>
      </c>
      <c r="M2" s="145"/>
      <c r="N2" s="142" t="s">
        <v>49</v>
      </c>
      <c r="O2" s="145"/>
      <c r="P2" s="142" t="s">
        <v>48</v>
      </c>
      <c r="Q2" s="143"/>
      <c r="R2" s="142" t="s">
        <v>106</v>
      </c>
      <c r="S2" s="143"/>
      <c r="T2" s="142" t="s">
        <v>107</v>
      </c>
      <c r="U2" s="143"/>
      <c r="V2" s="142" t="s">
        <v>113</v>
      </c>
      <c r="W2" s="143"/>
      <c r="X2" s="144" t="s">
        <v>114</v>
      </c>
      <c r="Y2" s="145"/>
      <c r="Z2" s="86"/>
      <c r="AA2" s="86"/>
      <c r="AB2" s="86"/>
      <c r="AC2" s="86"/>
    </row>
    <row r="3" spans="1:33" x14ac:dyDescent="0.25">
      <c r="A3" s="146"/>
      <c r="B3" s="146"/>
      <c r="C3" s="146"/>
      <c r="D3" s="146"/>
      <c r="E3" s="146"/>
      <c r="F3" s="146"/>
      <c r="G3" s="146"/>
      <c r="H3" s="146"/>
      <c r="J3" s="84" t="s">
        <v>52</v>
      </c>
      <c r="K3" s="87" t="s">
        <v>111</v>
      </c>
      <c r="L3" s="84" t="s">
        <v>52</v>
      </c>
      <c r="M3" s="87" t="s">
        <v>111</v>
      </c>
      <c r="N3" s="84" t="s">
        <v>52</v>
      </c>
      <c r="O3" s="87" t="s">
        <v>111</v>
      </c>
      <c r="P3" s="84" t="s">
        <v>52</v>
      </c>
      <c r="Q3" s="87" t="s">
        <v>111</v>
      </c>
      <c r="R3" s="84" t="s">
        <v>52</v>
      </c>
      <c r="S3" s="87" t="s">
        <v>111</v>
      </c>
      <c r="T3" s="84" t="s">
        <v>52</v>
      </c>
      <c r="U3" s="87" t="s">
        <v>111</v>
      </c>
      <c r="V3" s="84" t="s">
        <v>52</v>
      </c>
      <c r="W3" s="87" t="s">
        <v>111</v>
      </c>
      <c r="X3" s="84" t="s">
        <v>52</v>
      </c>
      <c r="Y3" s="87" t="s">
        <v>111</v>
      </c>
    </row>
    <row r="4" spans="1:33" x14ac:dyDescent="0.25">
      <c r="B4" s="90" t="s">
        <v>104</v>
      </c>
      <c r="C4" s="140" t="s">
        <v>115</v>
      </c>
      <c r="D4" s="140"/>
      <c r="E4" s="19" t="s">
        <v>108</v>
      </c>
      <c r="F4" s="15">
        <f t="shared" ref="F4:F9" si="0">AVERAGEIFS($H$15:$H$1490,$B$15:$B$1490,C4)</f>
        <v>115.64770775201808</v>
      </c>
      <c r="G4" s="3" t="s">
        <v>53</v>
      </c>
      <c r="J4" s="88">
        <f>AVERAGEIFS(K$15:K$9999,$B$15:$B$9999,C4)</f>
        <v>33.623077784284675</v>
      </c>
      <c r="K4" s="85">
        <f>AVERAGEIFS(L$15:L$9999,$B$15:$B$9999,$C$4)</f>
        <v>0.29037314496797861</v>
      </c>
      <c r="L4" s="88">
        <f t="shared" ref="L4:M9" si="1">AVERAGEIFS(N$15:N$9999,$B$15:$B$9999,$C4)</f>
        <v>17.208495910220048</v>
      </c>
      <c r="M4" s="85">
        <f t="shared" si="1"/>
        <v>0.14825982583498187</v>
      </c>
      <c r="N4" s="88">
        <f t="shared" ref="N4:O9" si="2">AVERAGEIFS(Q$15:Q$9999,$B$15:$B$9999,$C4)</f>
        <v>23.180227339710097</v>
      </c>
      <c r="O4" s="85">
        <f t="shared" si="2"/>
        <v>0.19595015557381962</v>
      </c>
      <c r="P4" s="88">
        <f>AVERAGEIFS($T$15:$T$9999,$B$15:$B$9999,$C4)</f>
        <v>19.894753713719229</v>
      </c>
      <c r="Q4" s="85">
        <f>AVERAGEIFS($U$15:$U$9999,$B$15:$B$9999,$C4)</f>
        <v>0.17975677335030993</v>
      </c>
      <c r="R4" s="88" t="str">
        <f>IFERROR(AVERAGEIFS($W$15:$W$9999,$B$15:$B$9999,$C4),"")</f>
        <v/>
      </c>
      <c r="S4" s="85" t="str">
        <f>IFERROR(AVERAGEIFS($X$15:$X$9999,$B$15:$B$9999,$C4),"")</f>
        <v/>
      </c>
      <c r="T4" s="88">
        <f>AVERAGEIFS($Z$15:$Z$9999,$B$15:$B$9999,$C4)</f>
        <v>21.74115300408403</v>
      </c>
      <c r="U4" s="85">
        <f>AVERAGEIFS($AA$15:$AA$9999,$B$15:$B$9999,$C4)</f>
        <v>0.18566010027290994</v>
      </c>
      <c r="V4" s="88" t="str">
        <f>IFERROR(AVERAGEIFS($AC$15:$AC$9999,$B$15:$B$9999,$C4),"")</f>
        <v/>
      </c>
      <c r="W4" s="85" t="str">
        <f>IFERROR(AVERAGEIFS($AD$15:$AD$9999,$B$15:$B$9999,$C4),"")</f>
        <v/>
      </c>
      <c r="X4" s="88" t="str">
        <f>IFERROR(AVERAGEIFS($AF$15:$AF$9999,$B$15:$B$9999,$C4),"")</f>
        <v/>
      </c>
      <c r="Y4" s="85" t="str">
        <f>IFERROR(AVERAGEIFS($AG$15:$AG$9999,$B$15:$B$9999,$C4),"")</f>
        <v/>
      </c>
    </row>
    <row r="5" spans="1:33" x14ac:dyDescent="0.25">
      <c r="B5" s="90"/>
      <c r="C5" s="140" t="s">
        <v>116</v>
      </c>
      <c r="D5" s="140"/>
      <c r="F5" s="15">
        <f t="shared" si="0"/>
        <v>124.25231633177657</v>
      </c>
      <c r="G5" s="3" t="s">
        <v>53</v>
      </c>
      <c r="J5" s="88">
        <f>AVERAGEIFS($K$15:$K$9999,$B$15:$B$9999,C5)</f>
        <v>28.718650697286087</v>
      </c>
      <c r="K5" s="85">
        <f>AVERAGEIFS($L$15:$L$9999,$B$15:$B$9999,C5)</f>
        <v>0.23015488327159789</v>
      </c>
      <c r="L5" s="88">
        <f t="shared" si="1"/>
        <v>14.983278495785271</v>
      </c>
      <c r="M5" s="85">
        <f t="shared" si="1"/>
        <v>0.12109491548586164</v>
      </c>
      <c r="N5" s="88">
        <f t="shared" si="2"/>
        <v>21.030149542987306</v>
      </c>
      <c r="O5" s="85">
        <f t="shared" si="2"/>
        <v>0.16663007193572113</v>
      </c>
      <c r="P5" s="88">
        <f>AVERAGEIFS($T$15:$T$9999,$B$15:$B$9999,$C5)</f>
        <v>19.346609590153996</v>
      </c>
      <c r="Q5" s="85">
        <f>AVERAGEIFS($U$15:$U$9999,$B$15:$B$9999,$C5)</f>
        <v>0.15748732776249236</v>
      </c>
      <c r="R5" s="88" t="str">
        <f>IFERROR(AVERAGEIFS($W$15:$W$9999,$B$15:$B$9999,$C5),"")</f>
        <v/>
      </c>
      <c r="S5" s="85" t="str">
        <f>IFERROR(AVERAGEIFS($X$15:$X$9999,$B$15:$B$9999,$C5),"")</f>
        <v/>
      </c>
      <c r="T5" s="88" t="str">
        <f>IFERROR(AVERAGEIFS($Z$15:$Z$9999,$B$15:$B$9999,$C5),"")</f>
        <v/>
      </c>
      <c r="U5" s="85" t="str">
        <f>IFERROR(AVERAGEIFS($AA$15:$AA$9999,$B$15:$B$9999,$C5),"")</f>
        <v/>
      </c>
      <c r="V5" s="88">
        <f>AVERAGEIFS($AC$15:$AC$9999,$B$15:$B$9999,$C5)</f>
        <v>38.100536198894858</v>
      </c>
      <c r="W5" s="85">
        <f>AVERAGEIFS($AD$15:$AD$9999,$B$15:$B$9999,$C5)</f>
        <v>0.30780917705876815</v>
      </c>
      <c r="X5" s="88" t="str">
        <f>IFERROR(AVERAGEIFS($AF$15:$AF$9999,$B$15:$B$9999,$C5),"")</f>
        <v/>
      </c>
      <c r="Y5" s="85" t="str">
        <f>IFERROR(AVERAGEIFS($AG$15:$AG$9999,$B$15:$B$9999,$C5),"")</f>
        <v/>
      </c>
    </row>
    <row r="6" spans="1:33" x14ac:dyDescent="0.25">
      <c r="C6" s="141" t="s">
        <v>117</v>
      </c>
      <c r="D6" s="141"/>
      <c r="F6" s="15">
        <f t="shared" si="0"/>
        <v>125.25</v>
      </c>
      <c r="G6" s="3" t="s">
        <v>53</v>
      </c>
      <c r="J6" s="88">
        <f>AVERAGEIFS($K$15:$K$9999,$B$15:$B$9999,C6)</f>
        <v>25</v>
      </c>
      <c r="K6" s="85">
        <f>AVERAGEIFS($L$15:$L$9999,$B$15:$B$9999,C6)</f>
        <v>0.19960079840319361</v>
      </c>
      <c r="L6" s="88">
        <f t="shared" si="1"/>
        <v>14</v>
      </c>
      <c r="M6" s="85">
        <f t="shared" si="1"/>
        <v>0.11177644710578842</v>
      </c>
      <c r="N6" s="88">
        <f t="shared" si="2"/>
        <v>3.75</v>
      </c>
      <c r="O6" s="85">
        <f t="shared" si="2"/>
        <v>2.9940119760479042E-2</v>
      </c>
      <c r="P6" s="88" t="str">
        <f>IFERROR(AVERAGEIFS($T$15:$T$9999,$B$15:$B$9999,$C6),"")</f>
        <v/>
      </c>
      <c r="Q6" s="85" t="str">
        <f>IFERROR(AVERAGEIFS($U$15:$U$9999,$B$15:$B$9999,$C6),"")</f>
        <v/>
      </c>
      <c r="R6" s="88">
        <f>AVERAGEIFS($W$15:$W$9999,$B$15:$B$9999,$C6)</f>
        <v>47.5</v>
      </c>
      <c r="S6" s="85">
        <f>AVERAGEIFS($X$15:$X$9999,$B$15:$B$9999,$C6)</f>
        <v>0.37924151696606784</v>
      </c>
      <c r="T6" s="88">
        <f>AVERAGEIFS($Z$15:$Z$9999,$B$15:$B$9999,$C6)</f>
        <v>35</v>
      </c>
      <c r="U6" s="85">
        <f>AVERAGEIFS($AA$15:$AA$9999,$B$15:$B$9999,$C6)</f>
        <v>0.27944111776447106</v>
      </c>
      <c r="V6" s="88" t="str">
        <f>IFERROR(AVERAGEIFS($AC$15:$AC$9999,$B$15:$B$9999,$C6),"")</f>
        <v/>
      </c>
      <c r="W6" s="85" t="str">
        <f>IFERROR(AVERAGEIFS($AD$15:$AD$9999,$B$15:$B$9999,$C6),"")</f>
        <v/>
      </c>
      <c r="X6" s="88" t="str">
        <f>IFERROR(AVERAGEIFS($AF$15:$AF$9999,$B$15:$B$9999,$C6),"")</f>
        <v/>
      </c>
      <c r="Y6" s="85" t="str">
        <f>IFERROR(AVERAGEIFS($AG$15:$AG$9999,$B$15:$B$9999,$C6),"")</f>
        <v/>
      </c>
    </row>
    <row r="7" spans="1:33" x14ac:dyDescent="0.25">
      <c r="C7" s="141" t="s">
        <v>118</v>
      </c>
      <c r="D7" s="141"/>
      <c r="F7" s="15">
        <f t="shared" si="0"/>
        <v>148.27007272727272</v>
      </c>
      <c r="G7" s="3" t="s">
        <v>53</v>
      </c>
      <c r="J7" s="88">
        <f>AVERAGEIFS($K$15:$K$9999,$B$15:$B$9999,C7)</f>
        <v>24.497222799422801</v>
      </c>
      <c r="K7" s="85">
        <f>AVERAGEIFS($L$15:$L$9999,$B$15:$B$9999,C7)</f>
        <v>0.17618869984668728</v>
      </c>
      <c r="L7" s="88">
        <f t="shared" si="1"/>
        <v>11.198273208273209</v>
      </c>
      <c r="M7" s="85">
        <f t="shared" si="1"/>
        <v>8.1386499170539306E-2</v>
      </c>
      <c r="N7" s="88">
        <f t="shared" si="2"/>
        <v>13.993074747474751</v>
      </c>
      <c r="O7" s="85">
        <f t="shared" si="2"/>
        <v>9.9655935338806997E-2</v>
      </c>
      <c r="P7" s="88" t="str">
        <f>IFERROR(AVERAGEIFS($T$15:$T$9999,$B$15:$B$9999,$C7),"")</f>
        <v/>
      </c>
      <c r="Q7" s="85" t="str">
        <f>IFERROR(AVERAGEIFS($U$15:$U$9999,$B$15:$B$9999,$C7),"")</f>
        <v/>
      </c>
      <c r="R7" s="88">
        <f>AVERAGEIFS($W$15:$W$9999,$B$15:$B$9999,$C7)</f>
        <v>52.253290043290036</v>
      </c>
      <c r="S7" s="85">
        <f>AVERAGEIFS($X$15:$X$9999,$B$15:$B$9999,$C7)</f>
        <v>0.35883866471538522</v>
      </c>
      <c r="T7" s="88" t="str">
        <f>IFERROR(AVERAGEIFS($Z$15:$Z$9999,$B$15:$B$9999,$C7),"")</f>
        <v/>
      </c>
      <c r="U7" s="85" t="str">
        <f>IFERROR(AVERAGEIFS($AA$15:$AA$9999,$B$15:$B$9999,$C7),"")</f>
        <v/>
      </c>
      <c r="V7" s="88">
        <f>AVERAGEIFS($AC$15:$AC$9999,$B$15:$B$9999,$C7)</f>
        <v>46.626142857142852</v>
      </c>
      <c r="W7" s="85">
        <f>AVERAGEIFS($AD$15:$AD$9999,$B$15:$B$9999,$C7)</f>
        <v>0.28582202453176636</v>
      </c>
      <c r="X7" s="88" t="str">
        <f>IFERROR(AVERAGEIFS($AF$15:$AF$9999,$B$15:$B$9999,$C7),"")</f>
        <v/>
      </c>
      <c r="Y7" s="85" t="str">
        <f>IFERROR(AVERAGEIFS($AG$15:$AG$9999,$B$15:$B$9999,$C7),"")</f>
        <v/>
      </c>
    </row>
    <row r="8" spans="1:33" x14ac:dyDescent="0.25">
      <c r="C8" s="135" t="s">
        <v>119</v>
      </c>
      <c r="D8" s="135"/>
      <c r="F8" s="15">
        <f t="shared" si="0"/>
        <v>150.57142857142858</v>
      </c>
      <c r="G8" s="3" t="s">
        <v>53</v>
      </c>
      <c r="J8" s="88">
        <f>AVERAGEIFS($K$15:$K$9999,$B$15:$B$9999,C8)</f>
        <v>35.571428571428569</v>
      </c>
      <c r="K8" s="85">
        <f>AVERAGEIFS($L$15:$L$9999,$B$15:$B$9999,C8)</f>
        <v>0.23624288425047438</v>
      </c>
      <c r="L8" s="88">
        <f t="shared" si="1"/>
        <v>18</v>
      </c>
      <c r="M8" s="85">
        <f t="shared" si="1"/>
        <v>0.11954459203036052</v>
      </c>
      <c r="N8" s="88">
        <f t="shared" si="2"/>
        <v>32.714285714285715</v>
      </c>
      <c r="O8" s="85">
        <f t="shared" si="2"/>
        <v>0.21726755218216318</v>
      </c>
      <c r="P8" s="88" t="str">
        <f>IFERROR(AVERAGEIFS($T$15:$T$9999,$B$15:$B$9999,$C8),"")</f>
        <v/>
      </c>
      <c r="Q8" s="85" t="str">
        <f>IFERROR(AVERAGEIFS($U$15:$U$9999,$B$15:$B$9999,$C8),"")</f>
        <v/>
      </c>
      <c r="R8" s="88" t="str">
        <f>IFERROR(AVERAGEIFS($W$15:$W$9999,$B$15:$B$9999,$C8),"")</f>
        <v/>
      </c>
      <c r="S8" s="85" t="str">
        <f>IFERROR(AVERAGEIFS($X$15:$X$9999,$B$15:$B$9999,$C8),"")</f>
        <v/>
      </c>
      <c r="T8" s="88">
        <f>AVERAGEIFS($Z$15:$Z$9999,$B$15:$B$9999,$C8)</f>
        <v>21.428571428571427</v>
      </c>
      <c r="U8" s="85">
        <f>AVERAGEIFS($AA$15:$AA$9999,$B$15:$B$9999,$C8)</f>
        <v>0.14231499051233396</v>
      </c>
      <c r="V8" s="88" t="str">
        <f>IFERROR(AVERAGEIFS($AC$15:$AC$9999,$B$15:$B$9999,$C8),"")</f>
        <v/>
      </c>
      <c r="W8" s="85" t="str">
        <f>IFERROR(AVERAGEIFS($AD$15:$AD$9999,$B$15:$B$9999,$C8),"")</f>
        <v/>
      </c>
      <c r="X8" s="88">
        <f>AVERAGEIFS($AF$15:$AF$9999,$B$15:$B$9999,$C8)</f>
        <v>42.857142857142854</v>
      </c>
      <c r="Y8" s="85">
        <f>AVERAGEIFS($AG$15:$AG$9999,$B$15:$B$9999,$C8)</f>
        <v>0.28462998102466791</v>
      </c>
    </row>
    <row r="9" spans="1:33" x14ac:dyDescent="0.25">
      <c r="C9" s="135" t="s">
        <v>120</v>
      </c>
      <c r="D9" s="135"/>
      <c r="F9" s="15">
        <f t="shared" si="0"/>
        <v>151.16534835123724</v>
      </c>
      <c r="G9" s="3" t="s">
        <v>53</v>
      </c>
      <c r="J9" s="88">
        <f>AVERAGEIFS($K$15:$K$9999,$B$15:$B$9999,C9)</f>
        <v>21.299700042755596</v>
      </c>
      <c r="K9" s="85">
        <f>AVERAGEIFS($L$15:$L$9999,$B$15:$B$9999,C9)</f>
        <v>0.14042894796752806</v>
      </c>
      <c r="L9" s="88">
        <f t="shared" si="1"/>
        <v>11.478090107423439</v>
      </c>
      <c r="M9" s="85">
        <f t="shared" si="1"/>
        <v>7.5654188410427092E-2</v>
      </c>
      <c r="N9" s="88">
        <f t="shared" si="2"/>
        <v>16.553542782320555</v>
      </c>
      <c r="O9" s="85">
        <f t="shared" si="2"/>
        <v>0.11038031876552161</v>
      </c>
      <c r="P9" s="88" t="str">
        <f>IFERROR(AVERAGEIFS($T$15:$T$9999,$B$15:$B$9999,$C9),"")</f>
        <v/>
      </c>
      <c r="Q9" s="85" t="str">
        <f>IFERROR(AVERAGEIFS($U$15:$U$9999,$B$15:$B$9999,$C9),"")</f>
        <v/>
      </c>
      <c r="R9" s="88" t="str">
        <f>IFERROR(AVERAGEIFS($W$15:$W$9999,$B$15:$B$9999,$C9),"")</f>
        <v/>
      </c>
      <c r="S9" s="85" t="str">
        <f>IFERROR(AVERAGEIFS($X$15:$X$9999,$B$15:$B$9999,$C9),"")</f>
        <v/>
      </c>
      <c r="T9" s="88" t="str">
        <f>IFERROR(AVERAGEIFS($Z$15:$Z$9999,$B$15:$B$9999,$C9),"")</f>
        <v/>
      </c>
      <c r="U9" s="85" t="str">
        <f>IFERROR(AVERAGEIFS($AA$15:$AA$9999,$B$15:$B$9999,$C9),"")</f>
        <v/>
      </c>
      <c r="V9" s="88">
        <f>AVERAGEIFS($AC$15:$AC$9999,$B$15:$B$9999,$C9)</f>
        <v>35.193970792581894</v>
      </c>
      <c r="W9" s="85">
        <f>AVERAGEIFS($AD$15:$AD$9999,$B$15:$B$9999,$C9)</f>
        <v>0.23535892829839397</v>
      </c>
      <c r="X9" s="88">
        <f>AVERAGEIFS($AF$15:$AF$9999,$B$15:$B$9999,$C9)</f>
        <v>66.914374840845412</v>
      </c>
      <c r="Y9" s="85">
        <f>AVERAGEIFS($AG$15:$AG$9999,$B$15:$B$9999,$C9)</f>
        <v>0.44135571779468474</v>
      </c>
    </row>
    <row r="10" spans="1:33" x14ac:dyDescent="0.25">
      <c r="J10" s="22"/>
      <c r="K10" s="89"/>
      <c r="L10" s="22"/>
      <c r="M10" s="89"/>
      <c r="N10" s="22"/>
      <c r="O10" s="89"/>
      <c r="P10" s="22"/>
      <c r="Q10" s="89"/>
      <c r="R10" s="22"/>
      <c r="S10" s="89"/>
      <c r="T10" s="22"/>
      <c r="U10" s="89"/>
      <c r="V10" s="22"/>
      <c r="W10" s="89"/>
      <c r="X10" s="22"/>
      <c r="Y10" s="89"/>
    </row>
    <row r="13" spans="1:33" ht="24.75" customHeight="1" x14ac:dyDescent="0.25">
      <c r="A13" s="131" t="s">
        <v>27</v>
      </c>
      <c r="B13" s="133" t="s">
        <v>101</v>
      </c>
      <c r="C13" s="133" t="s">
        <v>157</v>
      </c>
      <c r="D13" s="133" t="s">
        <v>109</v>
      </c>
      <c r="E13" s="133" t="s">
        <v>102</v>
      </c>
      <c r="F13" s="136" t="s">
        <v>103</v>
      </c>
      <c r="G13" s="131" t="s">
        <v>43</v>
      </c>
      <c r="H13" s="136" t="s">
        <v>112</v>
      </c>
      <c r="I13" s="81"/>
      <c r="J13" s="138" t="s">
        <v>46</v>
      </c>
      <c r="K13" s="139"/>
      <c r="L13" s="139"/>
      <c r="M13" s="138" t="s">
        <v>47</v>
      </c>
      <c r="N13" s="139"/>
      <c r="O13" s="139"/>
      <c r="P13" s="138" t="s">
        <v>49</v>
      </c>
      <c r="Q13" s="139"/>
      <c r="R13" s="139"/>
      <c r="S13" s="128" t="s">
        <v>48</v>
      </c>
      <c r="T13" s="129"/>
      <c r="U13" s="130"/>
      <c r="V13" s="128" t="s">
        <v>106</v>
      </c>
      <c r="W13" s="129"/>
      <c r="X13" s="130"/>
      <c r="Y13" s="128" t="s">
        <v>107</v>
      </c>
      <c r="Z13" s="129"/>
      <c r="AA13" s="130"/>
      <c r="AB13" s="128" t="s">
        <v>113</v>
      </c>
      <c r="AC13" s="129"/>
      <c r="AD13" s="130"/>
      <c r="AE13" s="125" t="s">
        <v>114</v>
      </c>
      <c r="AF13" s="126"/>
      <c r="AG13" s="127"/>
    </row>
    <row r="14" spans="1:33" ht="22.5" customHeight="1" x14ac:dyDescent="0.25">
      <c r="A14" s="132"/>
      <c r="B14" s="134"/>
      <c r="C14" s="134"/>
      <c r="D14" s="134"/>
      <c r="E14" s="134"/>
      <c r="F14" s="137"/>
      <c r="G14" s="132"/>
      <c r="H14" s="137"/>
      <c r="I14" s="81"/>
      <c r="J14" s="83" t="s">
        <v>110</v>
      </c>
      <c r="K14" s="82" t="s">
        <v>51</v>
      </c>
      <c r="L14" s="82" t="s">
        <v>111</v>
      </c>
      <c r="M14" s="83" t="s">
        <v>110</v>
      </c>
      <c r="N14" s="82" t="s">
        <v>51</v>
      </c>
      <c r="O14" s="82" t="s">
        <v>111</v>
      </c>
      <c r="P14" s="83" t="s">
        <v>110</v>
      </c>
      <c r="Q14" s="82" t="s">
        <v>51</v>
      </c>
      <c r="R14" s="82" t="s">
        <v>111</v>
      </c>
      <c r="S14" s="83" t="s">
        <v>110</v>
      </c>
      <c r="T14" s="82" t="s">
        <v>51</v>
      </c>
      <c r="U14" s="82" t="s">
        <v>111</v>
      </c>
      <c r="V14" s="83" t="s">
        <v>110</v>
      </c>
      <c r="W14" s="82" t="s">
        <v>51</v>
      </c>
      <c r="X14" s="82" t="s">
        <v>111</v>
      </c>
      <c r="Y14" s="83" t="s">
        <v>110</v>
      </c>
      <c r="Z14" s="82" t="s">
        <v>51</v>
      </c>
      <c r="AA14" s="82" t="s">
        <v>111</v>
      </c>
      <c r="AB14" s="83" t="s">
        <v>110</v>
      </c>
      <c r="AC14" s="82" t="s">
        <v>51</v>
      </c>
      <c r="AD14" s="82" t="s">
        <v>111</v>
      </c>
      <c r="AE14" s="83" t="s">
        <v>110</v>
      </c>
      <c r="AF14" s="82" t="s">
        <v>51</v>
      </c>
      <c r="AG14" s="82" t="s">
        <v>111</v>
      </c>
    </row>
    <row r="15" spans="1:33" x14ac:dyDescent="0.25">
      <c r="A15" s="13">
        <f>WORKDAY(A16,1,JoursFeries!$B$3:$CH$15)</f>
        <v>42851</v>
      </c>
      <c r="B15" s="19" t="s">
        <v>116</v>
      </c>
      <c r="C15" s="19">
        <v>13</v>
      </c>
      <c r="E15" s="19">
        <v>1791</v>
      </c>
      <c r="F15" s="24">
        <f t="shared" ref="F15:F77" si="3">IF(ISBLANK(B15),"",
IF(B15=$C$4,(IF(ISBLANK(C15),10,C15)-IF(ISBLANK(D15),0,D15))*$F$4,
IF(B15=$C$5,(IF(ISBLANK(C15),10,C15)-IF(ISBLANK(D15),0,D15))*$F$5,
IF(B15=$C$6,(IF(ISBLANK(C15),10,C15)-IF(ISBLANK(D15),0,D15))*$F$6,
IF(B15=$C$7,(IF(ISBLANK(C15),10,C15)-IF(ISBLANK(D15),0,D15))*$F$7,IF(B15=$C$8,(IF(ISBLANK(C15),10,C15)-IF(ISBLANK(D15),0,D15))*$F$8,
(IF(ISBLANK(C15),10,C15)-IF(ISBLANK(D15),0,D15))*$F$9))))))</f>
        <v>1615.2801123130953</v>
      </c>
      <c r="G15" s="16">
        <f t="shared" ref="G15:G76" si="4">IF(ISBLANK(E15),"",E15-F15)</f>
        <v>175.71988768690471</v>
      </c>
      <c r="H15" s="15">
        <f>IF(ISBLANK(C15)," ",IF(ISBLANK(E15)," ",E15/(C15-IF(ISBLANK(D15),0,D15))))</f>
        <v>137.76923076923077</v>
      </c>
      <c r="I15" s="15"/>
      <c r="J15" s="22">
        <v>344</v>
      </c>
      <c r="K15" s="21">
        <f t="shared" ref="K15:K45" si="5">IF(ISBLANK(J15),"",J15/(C15-IF(ISBLANK(D15),0,D15)))</f>
        <v>26.46153846153846</v>
      </c>
      <c r="L15" s="23">
        <f t="shared" ref="L15:L77" si="6">IF(ISBLANK(J15),"",IF(ISBLANK(E15),"",J15/E15))</f>
        <v>0.192071468453378</v>
      </c>
      <c r="M15" s="22">
        <v>302</v>
      </c>
      <c r="N15" s="21">
        <f t="shared" ref="N15:N77" si="7">IF(ISBLANK(M15),"",M15/($C15-IF(ISBLANK($D15),0,$D15)))</f>
        <v>23.23076923076923</v>
      </c>
      <c r="O15" s="23">
        <f t="shared" ref="O15:O77" si="8">IF(ISBLANK(M15),"",IF(ISBLANK($E15),"",M15/$E15))</f>
        <v>0.16862088218872137</v>
      </c>
      <c r="P15" s="22">
        <v>480</v>
      </c>
      <c r="Q15" s="21">
        <f t="shared" ref="Q15:Q44" si="9">IF(ISBLANK(P15),"",P15/($C15-IF(ISBLANK($D15),0,$D15)))</f>
        <v>36.92307692307692</v>
      </c>
      <c r="R15" s="23">
        <f t="shared" ref="R15:R76" si="10">IF(ISBLANK(P15),"",IF(ISBLANK($E15),"",P15/$E15))</f>
        <v>0.26800670016750416</v>
      </c>
      <c r="S15" s="22">
        <v>240</v>
      </c>
      <c r="T15" s="21">
        <f t="shared" ref="T15:T44" si="11">IF(ISBLANK(S15),"",S15/($C15-IF(ISBLANK($D15),0,$D15)))</f>
        <v>18.46153846153846</v>
      </c>
      <c r="U15" s="23">
        <f t="shared" ref="U15:U76" si="12">IF(ISBLANK(S15),"",IF(ISBLANK($E15),"",S15/$E15))</f>
        <v>0.13400335008375208</v>
      </c>
      <c r="V15" s="22"/>
      <c r="W15" s="21" t="str">
        <f t="shared" ref="W15:W44" si="13">IF(ISBLANK(V15),"",V15/($C15-IF(ISBLANK($D15),0,$D15)))</f>
        <v/>
      </c>
      <c r="X15" s="23" t="str">
        <f t="shared" ref="X15:X76" si="14">IF(ISBLANK(V15),"",IF(ISBLANK($E15),"",V15/$E15))</f>
        <v/>
      </c>
      <c r="Y15" s="22"/>
      <c r="Z15" s="21" t="str">
        <f t="shared" ref="Z15:Z44" si="15">IF(ISBLANK(Y15),"",Y15/($C15-IF(ISBLANK($D15),0,$D15)))</f>
        <v/>
      </c>
      <c r="AA15" s="23" t="str">
        <f t="shared" ref="AA15:AA76" si="16">IF(ISBLANK(Y15),"",IF(ISBLANK($E15),"",Y15/$E15))</f>
        <v/>
      </c>
      <c r="AB15" s="22">
        <v>425</v>
      </c>
      <c r="AC15" s="21">
        <f t="shared" ref="AC15:AC44" si="17">IF(ISBLANK(AB15),"",AB15/($C15-IF(ISBLANK($D15),0,$D15)))</f>
        <v>32.692307692307693</v>
      </c>
      <c r="AD15" s="23">
        <f t="shared" ref="AD15:AD76" si="18">IF(ISBLANK(AB15),"",IF(ISBLANK($E15),"",AB15/$E15))</f>
        <v>0.23729759910664433</v>
      </c>
      <c r="AE15" s="22"/>
      <c r="AF15" s="21" t="str">
        <f t="shared" ref="AF15:AF44" si="19">IF(ISBLANK(AE15),"",AE15/($C15-IF(ISBLANK($D15),0,$D15)))</f>
        <v/>
      </c>
      <c r="AG15" s="85" t="str">
        <f t="shared" ref="AG15:AG76" si="20">IF(ISBLANK(AE15),"",IF(ISBLANK($E15),"",AE15/$E15))</f>
        <v/>
      </c>
    </row>
    <row r="16" spans="1:33" x14ac:dyDescent="0.25">
      <c r="A16" s="13">
        <f>WORKDAY(A17,1,JoursFeries!$B$3:$CH$15)</f>
        <v>42850</v>
      </c>
      <c r="F16" s="24" t="str">
        <f t="shared" si="3"/>
        <v/>
      </c>
      <c r="G16" s="16" t="str">
        <f t="shared" si="4"/>
        <v/>
      </c>
      <c r="H16" s="15" t="str">
        <f t="shared" ref="H16:H79" si="21">IF(ISBLANK(C16)," ",IF(ISBLANK(E16)," ",E16/(C16-IF(ISBLANK(D16),0,D16))))</f>
        <v xml:space="preserve"> </v>
      </c>
      <c r="I16" s="15"/>
      <c r="J16" s="22"/>
      <c r="K16" s="21" t="str">
        <f t="shared" si="5"/>
        <v/>
      </c>
      <c r="L16" s="23" t="str">
        <f t="shared" si="6"/>
        <v/>
      </c>
      <c r="M16" s="22"/>
      <c r="N16" s="21" t="str">
        <f t="shared" si="7"/>
        <v/>
      </c>
      <c r="O16" s="23" t="str">
        <f t="shared" si="8"/>
        <v/>
      </c>
      <c r="P16" s="22"/>
      <c r="Q16" s="21" t="str">
        <f t="shared" si="9"/>
        <v/>
      </c>
      <c r="R16" s="23" t="str">
        <f t="shared" si="10"/>
        <v/>
      </c>
      <c r="S16" s="22"/>
      <c r="T16" s="21" t="str">
        <f t="shared" si="11"/>
        <v/>
      </c>
      <c r="U16" s="23" t="str">
        <f t="shared" si="12"/>
        <v/>
      </c>
      <c r="V16" s="22"/>
      <c r="W16" s="21" t="str">
        <f t="shared" si="13"/>
        <v/>
      </c>
      <c r="X16" s="23" t="str">
        <f t="shared" si="14"/>
        <v/>
      </c>
      <c r="Y16" s="22"/>
      <c r="Z16" s="21" t="str">
        <f t="shared" si="15"/>
        <v/>
      </c>
      <c r="AA16" s="23" t="str">
        <f t="shared" si="16"/>
        <v/>
      </c>
      <c r="AB16" s="22"/>
      <c r="AC16" s="21" t="str">
        <f t="shared" si="17"/>
        <v/>
      </c>
      <c r="AD16" s="23" t="str">
        <f t="shared" si="18"/>
        <v/>
      </c>
      <c r="AE16" s="22"/>
      <c r="AF16" s="21" t="str">
        <f t="shared" si="19"/>
        <v/>
      </c>
      <c r="AG16" s="85" t="str">
        <f t="shared" si="20"/>
        <v/>
      </c>
    </row>
    <row r="17" spans="1:33" x14ac:dyDescent="0.25">
      <c r="A17" s="13">
        <f>WORKDAY(A18,1,JoursFeries!$B$3:$CH$15)</f>
        <v>42849</v>
      </c>
      <c r="F17" s="24" t="str">
        <f t="shared" si="3"/>
        <v/>
      </c>
      <c r="G17" s="16" t="str">
        <f t="shared" si="4"/>
        <v/>
      </c>
      <c r="H17" s="15" t="str">
        <f t="shared" si="21"/>
        <v xml:space="preserve"> </v>
      </c>
      <c r="I17" s="15"/>
      <c r="J17" s="22"/>
      <c r="K17" s="21" t="str">
        <f t="shared" si="5"/>
        <v/>
      </c>
      <c r="L17" s="23" t="str">
        <f t="shared" si="6"/>
        <v/>
      </c>
      <c r="M17" s="22"/>
      <c r="N17" s="21" t="str">
        <f t="shared" si="7"/>
        <v/>
      </c>
      <c r="O17" s="23" t="str">
        <f t="shared" si="8"/>
        <v/>
      </c>
      <c r="P17" s="22"/>
      <c r="Q17" s="21" t="str">
        <f t="shared" si="9"/>
        <v/>
      </c>
      <c r="R17" s="23" t="str">
        <f t="shared" si="10"/>
        <v/>
      </c>
      <c r="S17" s="22"/>
      <c r="T17" s="21" t="str">
        <f t="shared" si="11"/>
        <v/>
      </c>
      <c r="U17" s="23" t="str">
        <f t="shared" si="12"/>
        <v/>
      </c>
      <c r="V17" s="22"/>
      <c r="W17" s="21" t="str">
        <f t="shared" si="13"/>
        <v/>
      </c>
      <c r="X17" s="23" t="str">
        <f t="shared" si="14"/>
        <v/>
      </c>
      <c r="Y17" s="22"/>
      <c r="Z17" s="21" t="str">
        <f t="shared" si="15"/>
        <v/>
      </c>
      <c r="AA17" s="23" t="str">
        <f t="shared" si="16"/>
        <v/>
      </c>
      <c r="AB17" s="22"/>
      <c r="AC17" s="21" t="str">
        <f t="shared" si="17"/>
        <v/>
      </c>
      <c r="AD17" s="23" t="str">
        <f t="shared" si="18"/>
        <v/>
      </c>
      <c r="AE17" s="22"/>
      <c r="AF17" s="21" t="str">
        <f t="shared" si="19"/>
        <v/>
      </c>
      <c r="AG17" s="85" t="str">
        <f t="shared" si="20"/>
        <v/>
      </c>
    </row>
    <row r="18" spans="1:33" x14ac:dyDescent="0.25">
      <c r="A18" s="13">
        <f>WORKDAY(A19,1,JoursFeries!$B$3:$CH$15)</f>
        <v>42846</v>
      </c>
      <c r="B18" s="19" t="s">
        <v>116</v>
      </c>
      <c r="C18" s="19">
        <v>8</v>
      </c>
      <c r="E18" s="19">
        <v>1035</v>
      </c>
      <c r="F18" s="24">
        <f t="shared" si="3"/>
        <v>994.01853065421255</v>
      </c>
      <c r="G18" s="16">
        <f t="shared" si="4"/>
        <v>40.981469345787445</v>
      </c>
      <c r="H18" s="15">
        <f t="shared" si="21"/>
        <v>129.375</v>
      </c>
      <c r="I18" s="15"/>
      <c r="J18" s="22">
        <v>287</v>
      </c>
      <c r="K18" s="21">
        <f t="shared" si="5"/>
        <v>35.875</v>
      </c>
      <c r="L18" s="23">
        <f t="shared" si="6"/>
        <v>0.27729468599033819</v>
      </c>
      <c r="M18" s="22">
        <v>209</v>
      </c>
      <c r="N18" s="21">
        <f t="shared" si="7"/>
        <v>26.125</v>
      </c>
      <c r="O18" s="23">
        <f t="shared" si="8"/>
        <v>0.20193236714975846</v>
      </c>
      <c r="P18" s="22">
        <v>239</v>
      </c>
      <c r="Q18" s="21">
        <f t="shared" si="9"/>
        <v>29.875</v>
      </c>
      <c r="R18" s="23">
        <f t="shared" si="10"/>
        <v>0.23091787439613526</v>
      </c>
      <c r="S18" s="22"/>
      <c r="T18" s="21" t="str">
        <f t="shared" si="11"/>
        <v/>
      </c>
      <c r="U18" s="23" t="str">
        <f t="shared" si="12"/>
        <v/>
      </c>
      <c r="V18" s="22"/>
      <c r="W18" s="21" t="str">
        <f t="shared" si="13"/>
        <v/>
      </c>
      <c r="X18" s="23" t="str">
        <f t="shared" si="14"/>
        <v/>
      </c>
      <c r="Y18" s="22"/>
      <c r="Z18" s="21" t="str">
        <f t="shared" si="15"/>
        <v/>
      </c>
      <c r="AA18" s="23" t="str">
        <f t="shared" si="16"/>
        <v/>
      </c>
      <c r="AB18" s="22">
        <v>300</v>
      </c>
      <c r="AC18" s="21">
        <f t="shared" si="17"/>
        <v>37.5</v>
      </c>
      <c r="AD18" s="23">
        <f t="shared" si="18"/>
        <v>0.28985507246376813</v>
      </c>
      <c r="AE18" s="22"/>
      <c r="AF18" s="21" t="str">
        <f t="shared" si="19"/>
        <v/>
      </c>
      <c r="AG18" s="85" t="str">
        <f t="shared" si="20"/>
        <v/>
      </c>
    </row>
    <row r="19" spans="1:33" x14ac:dyDescent="0.25">
      <c r="A19" s="13">
        <f>WORKDAY(A20,1,JoursFeries!$B$3:$CH$15)</f>
        <v>42845</v>
      </c>
      <c r="B19" s="19" t="s">
        <v>116</v>
      </c>
      <c r="C19" s="19">
        <v>13</v>
      </c>
      <c r="E19" s="19">
        <f>-48+1688</f>
        <v>1640</v>
      </c>
      <c r="F19" s="24">
        <f t="shared" si="3"/>
        <v>1615.2801123130953</v>
      </c>
      <c r="G19" s="16">
        <f t="shared" si="4"/>
        <v>24.719887686904713</v>
      </c>
      <c r="H19" s="15">
        <f t="shared" si="21"/>
        <v>126.15384615384616</v>
      </c>
      <c r="I19" s="15"/>
      <c r="J19" s="22">
        <v>388</v>
      </c>
      <c r="K19" s="21">
        <f t="shared" si="5"/>
        <v>29.846153846153847</v>
      </c>
      <c r="L19" s="23">
        <f t="shared" si="6"/>
        <v>0.23658536585365852</v>
      </c>
      <c r="M19" s="22">
        <v>170</v>
      </c>
      <c r="N19" s="21">
        <f t="shared" si="7"/>
        <v>13.076923076923077</v>
      </c>
      <c r="O19" s="23">
        <f t="shared" si="8"/>
        <v>0.10365853658536585</v>
      </c>
      <c r="P19" s="22">
        <v>290</v>
      </c>
      <c r="Q19" s="21">
        <f t="shared" si="9"/>
        <v>22.307692307692307</v>
      </c>
      <c r="R19" s="23">
        <f t="shared" si="10"/>
        <v>0.17682926829268292</v>
      </c>
      <c r="S19" s="22">
        <v>192</v>
      </c>
      <c r="T19" s="21">
        <f t="shared" si="11"/>
        <v>14.76923076923077</v>
      </c>
      <c r="U19" s="23">
        <f t="shared" si="12"/>
        <v>0.11707317073170732</v>
      </c>
      <c r="V19" s="22"/>
      <c r="W19" s="21" t="str">
        <f t="shared" si="13"/>
        <v/>
      </c>
      <c r="X19" s="23" t="str">
        <f t="shared" si="14"/>
        <v/>
      </c>
      <c r="Y19" s="22"/>
      <c r="Z19" s="21" t="str">
        <f t="shared" si="15"/>
        <v/>
      </c>
      <c r="AA19" s="23" t="str">
        <f t="shared" si="16"/>
        <v/>
      </c>
      <c r="AB19" s="22">
        <v>600</v>
      </c>
      <c r="AC19" s="21">
        <f t="shared" si="17"/>
        <v>46.153846153846153</v>
      </c>
      <c r="AD19" s="23">
        <f t="shared" si="18"/>
        <v>0.36585365853658536</v>
      </c>
      <c r="AE19" s="22"/>
      <c r="AF19" s="21" t="str">
        <f t="shared" si="19"/>
        <v/>
      </c>
      <c r="AG19" s="85" t="str">
        <f t="shared" si="20"/>
        <v/>
      </c>
    </row>
    <row r="20" spans="1:33" x14ac:dyDescent="0.25">
      <c r="A20" s="13">
        <f>WORKDAY(A21,1,JoursFeries!$B$3:$CH$15)</f>
        <v>42844</v>
      </c>
      <c r="B20" s="19" t="s">
        <v>116</v>
      </c>
      <c r="C20" s="19">
        <v>13</v>
      </c>
      <c r="E20" s="19">
        <f>-32+1431</f>
        <v>1399</v>
      </c>
      <c r="F20" s="24">
        <f t="shared" si="3"/>
        <v>1615.2801123130953</v>
      </c>
      <c r="G20" s="16">
        <f t="shared" si="4"/>
        <v>-216.28011231309529</v>
      </c>
      <c r="H20" s="15">
        <f t="shared" si="21"/>
        <v>107.61538461538461</v>
      </c>
      <c r="I20" s="15"/>
      <c r="J20" s="22">
        <v>311</v>
      </c>
      <c r="K20" s="21">
        <f t="shared" si="5"/>
        <v>23.923076923076923</v>
      </c>
      <c r="L20" s="23">
        <f t="shared" si="6"/>
        <v>0.22230164403145103</v>
      </c>
      <c r="M20" s="22">
        <v>219</v>
      </c>
      <c r="N20" s="21">
        <f t="shared" si="7"/>
        <v>16.846153846153847</v>
      </c>
      <c r="O20" s="23">
        <f t="shared" si="8"/>
        <v>0.15654038598999284</v>
      </c>
      <c r="P20" s="22">
        <v>35</v>
      </c>
      <c r="Q20" s="21">
        <f t="shared" si="9"/>
        <v>2.6923076923076925</v>
      </c>
      <c r="R20" s="23">
        <f t="shared" si="10"/>
        <v>2.5017869907076482E-2</v>
      </c>
      <c r="S20" s="22">
        <v>240</v>
      </c>
      <c r="T20" s="21">
        <f t="shared" si="11"/>
        <v>18.46153846153846</v>
      </c>
      <c r="U20" s="23">
        <f t="shared" si="12"/>
        <v>0.17155110793423875</v>
      </c>
      <c r="V20" s="22"/>
      <c r="W20" s="21" t="str">
        <f t="shared" si="13"/>
        <v/>
      </c>
      <c r="X20" s="23" t="str">
        <f t="shared" si="14"/>
        <v/>
      </c>
      <c r="Y20" s="22"/>
      <c r="Z20" s="21" t="str">
        <f t="shared" si="15"/>
        <v/>
      </c>
      <c r="AA20" s="23" t="str">
        <f t="shared" si="16"/>
        <v/>
      </c>
      <c r="AB20" s="22">
        <v>594</v>
      </c>
      <c r="AC20" s="21">
        <f t="shared" si="17"/>
        <v>45.692307692307693</v>
      </c>
      <c r="AD20" s="23">
        <f t="shared" si="18"/>
        <v>0.42458899213724088</v>
      </c>
      <c r="AE20" s="22"/>
      <c r="AF20" s="21" t="str">
        <f t="shared" si="19"/>
        <v/>
      </c>
      <c r="AG20" s="85" t="str">
        <f t="shared" si="20"/>
        <v/>
      </c>
    </row>
    <row r="21" spans="1:33" x14ac:dyDescent="0.25">
      <c r="A21" s="13">
        <f>WORKDAY(A22,1,JoursFeries!$B$3:$CH$15)</f>
        <v>42843</v>
      </c>
      <c r="B21" s="19" t="s">
        <v>116</v>
      </c>
      <c r="C21" s="19">
        <v>11</v>
      </c>
      <c r="E21" s="19">
        <v>1473</v>
      </c>
      <c r="F21" s="24">
        <f t="shared" si="3"/>
        <v>1366.7754796495424</v>
      </c>
      <c r="G21" s="16">
        <f t="shared" si="4"/>
        <v>106.22452035045762</v>
      </c>
      <c r="H21" s="15">
        <f t="shared" si="21"/>
        <v>133.90909090909091</v>
      </c>
      <c r="I21" s="15"/>
      <c r="J21" s="22">
        <v>383</v>
      </c>
      <c r="K21" s="21">
        <f t="shared" si="5"/>
        <v>34.81818181818182</v>
      </c>
      <c r="L21" s="23">
        <f t="shared" si="6"/>
        <v>0.26001357773251865</v>
      </c>
      <c r="M21" s="22">
        <v>212</v>
      </c>
      <c r="N21" s="21">
        <f t="shared" si="7"/>
        <v>19.272727272727273</v>
      </c>
      <c r="O21" s="23">
        <f t="shared" si="8"/>
        <v>0.14392396469789545</v>
      </c>
      <c r="P21" s="22">
        <v>260</v>
      </c>
      <c r="Q21" s="21">
        <f t="shared" si="9"/>
        <v>23.636363636363637</v>
      </c>
      <c r="R21" s="23">
        <f t="shared" si="10"/>
        <v>0.17651052274270196</v>
      </c>
      <c r="S21" s="22">
        <v>96</v>
      </c>
      <c r="T21" s="21">
        <f t="shared" si="11"/>
        <v>8.7272727272727266</v>
      </c>
      <c r="U21" s="23">
        <f t="shared" si="12"/>
        <v>6.5173116089613028E-2</v>
      </c>
      <c r="V21" s="22"/>
      <c r="W21" s="21" t="str">
        <f t="shared" si="13"/>
        <v/>
      </c>
      <c r="X21" s="23" t="str">
        <f t="shared" si="14"/>
        <v/>
      </c>
      <c r="Y21" s="22"/>
      <c r="Z21" s="21" t="str">
        <f t="shared" si="15"/>
        <v/>
      </c>
      <c r="AA21" s="23" t="str">
        <f t="shared" si="16"/>
        <v/>
      </c>
      <c r="AB21" s="22">
        <v>522</v>
      </c>
      <c r="AC21" s="21">
        <f t="shared" si="17"/>
        <v>47.454545454545453</v>
      </c>
      <c r="AD21" s="23">
        <f t="shared" si="18"/>
        <v>0.3543788187372709</v>
      </c>
      <c r="AE21" s="22"/>
      <c r="AF21" s="21" t="str">
        <f t="shared" si="19"/>
        <v/>
      </c>
      <c r="AG21" s="85" t="str">
        <f t="shared" si="20"/>
        <v/>
      </c>
    </row>
    <row r="22" spans="1:33" x14ac:dyDescent="0.25">
      <c r="A22" s="13">
        <f>WORKDAY(A23,1,JoursFeries!$B$3:$CH$15)</f>
        <v>42839</v>
      </c>
      <c r="F22" s="24" t="str">
        <f t="shared" si="3"/>
        <v/>
      </c>
      <c r="G22" s="16" t="str">
        <f t="shared" si="4"/>
        <v/>
      </c>
      <c r="H22" s="15" t="str">
        <f t="shared" si="21"/>
        <v xml:space="preserve"> </v>
      </c>
      <c r="I22" s="15"/>
      <c r="J22" s="22"/>
      <c r="K22" s="21" t="str">
        <f t="shared" si="5"/>
        <v/>
      </c>
      <c r="L22" s="23" t="str">
        <f t="shared" si="6"/>
        <v/>
      </c>
      <c r="M22" s="22"/>
      <c r="N22" s="21" t="str">
        <f t="shared" si="7"/>
        <v/>
      </c>
      <c r="O22" s="23" t="str">
        <f t="shared" si="8"/>
        <v/>
      </c>
      <c r="P22" s="22"/>
      <c r="Q22" s="21" t="str">
        <f t="shared" si="9"/>
        <v/>
      </c>
      <c r="R22" s="23" t="str">
        <f t="shared" si="10"/>
        <v/>
      </c>
      <c r="S22" s="22"/>
      <c r="T22" s="21" t="str">
        <f t="shared" si="11"/>
        <v/>
      </c>
      <c r="U22" s="23" t="str">
        <f t="shared" si="12"/>
        <v/>
      </c>
      <c r="V22" s="22"/>
      <c r="W22" s="21" t="str">
        <f t="shared" si="13"/>
        <v/>
      </c>
      <c r="X22" s="23" t="str">
        <f t="shared" si="14"/>
        <v/>
      </c>
      <c r="Y22" s="22"/>
      <c r="Z22" s="21" t="str">
        <f t="shared" si="15"/>
        <v/>
      </c>
      <c r="AA22" s="23" t="str">
        <f t="shared" si="16"/>
        <v/>
      </c>
      <c r="AB22" s="22"/>
      <c r="AC22" s="21" t="str">
        <f t="shared" si="17"/>
        <v/>
      </c>
      <c r="AD22" s="23" t="str">
        <f t="shared" si="18"/>
        <v/>
      </c>
      <c r="AE22" s="22"/>
      <c r="AF22" s="21" t="str">
        <f t="shared" si="19"/>
        <v/>
      </c>
      <c r="AG22" s="85" t="str">
        <f t="shared" si="20"/>
        <v/>
      </c>
    </row>
    <row r="23" spans="1:33" x14ac:dyDescent="0.25">
      <c r="A23" s="13">
        <f>WORKDAY(A24,1,JoursFeries!$B$3:$CH$15)</f>
        <v>42838</v>
      </c>
      <c r="B23" s="19" t="s">
        <v>115</v>
      </c>
      <c r="C23" s="19">
        <v>13</v>
      </c>
      <c r="E23" s="19">
        <f>-32+1830</f>
        <v>1798</v>
      </c>
      <c r="F23" s="24">
        <f t="shared" si="3"/>
        <v>1503.4202007762351</v>
      </c>
      <c r="G23" s="16">
        <f t="shared" si="4"/>
        <v>294.57979922376489</v>
      </c>
      <c r="H23" s="15">
        <f t="shared" si="21"/>
        <v>138.30769230769232</v>
      </c>
      <c r="I23" s="15"/>
      <c r="J23" s="22">
        <v>491</v>
      </c>
      <c r="K23" s="21">
        <f t="shared" si="5"/>
        <v>37.769230769230766</v>
      </c>
      <c r="L23" s="23">
        <f t="shared" si="6"/>
        <v>0.27308120133481645</v>
      </c>
      <c r="M23" s="22">
        <v>298</v>
      </c>
      <c r="N23" s="21">
        <f t="shared" si="7"/>
        <v>22.923076923076923</v>
      </c>
      <c r="O23" s="23">
        <f t="shared" si="8"/>
        <v>0.1657397107897664</v>
      </c>
      <c r="P23" s="22">
        <v>430</v>
      </c>
      <c r="Q23" s="21">
        <f t="shared" si="9"/>
        <v>33.07692307692308</v>
      </c>
      <c r="R23" s="23">
        <f t="shared" si="10"/>
        <v>0.23915461624026696</v>
      </c>
      <c r="S23" s="22">
        <v>219</v>
      </c>
      <c r="T23" s="21">
        <f t="shared" si="11"/>
        <v>16.846153846153847</v>
      </c>
      <c r="U23" s="23">
        <f t="shared" si="12"/>
        <v>0.1218020022246941</v>
      </c>
      <c r="V23" s="22"/>
      <c r="W23" s="21" t="str">
        <f t="shared" si="13"/>
        <v/>
      </c>
      <c r="X23" s="23" t="str">
        <f t="shared" si="14"/>
        <v/>
      </c>
      <c r="Y23" s="22">
        <v>360</v>
      </c>
      <c r="Z23" s="21">
        <f t="shared" si="15"/>
        <v>27.692307692307693</v>
      </c>
      <c r="AA23" s="23">
        <f t="shared" si="16"/>
        <v>0.20022246941045607</v>
      </c>
      <c r="AB23" s="22"/>
      <c r="AC23" s="21" t="str">
        <f t="shared" si="17"/>
        <v/>
      </c>
      <c r="AD23" s="23" t="str">
        <f t="shared" si="18"/>
        <v/>
      </c>
      <c r="AE23" s="22"/>
      <c r="AF23" s="21" t="str">
        <f t="shared" si="19"/>
        <v/>
      </c>
      <c r="AG23" s="85" t="str">
        <f t="shared" si="20"/>
        <v/>
      </c>
    </row>
    <row r="24" spans="1:33" x14ac:dyDescent="0.25">
      <c r="A24" s="13">
        <f>WORKDAY(A25,1,JoursFeries!$B$3:$CH$15)</f>
        <v>42837</v>
      </c>
      <c r="B24" s="19" t="s">
        <v>115</v>
      </c>
      <c r="C24" s="19">
        <v>13</v>
      </c>
      <c r="E24" s="19">
        <f>-51+1913</f>
        <v>1862</v>
      </c>
      <c r="F24" s="24">
        <f t="shared" si="3"/>
        <v>1503.4202007762351</v>
      </c>
      <c r="G24" s="16">
        <f t="shared" si="4"/>
        <v>358.57979922376489</v>
      </c>
      <c r="H24" s="15">
        <f t="shared" si="21"/>
        <v>143.23076923076923</v>
      </c>
      <c r="I24" s="15"/>
      <c r="J24" s="22">
        <v>570</v>
      </c>
      <c r="K24" s="21">
        <f t="shared" si="5"/>
        <v>43.846153846153847</v>
      </c>
      <c r="L24" s="23">
        <f t="shared" si="6"/>
        <v>0.30612244897959184</v>
      </c>
      <c r="M24" s="22">
        <v>257</v>
      </c>
      <c r="N24" s="21">
        <f t="shared" si="7"/>
        <v>19.76923076923077</v>
      </c>
      <c r="O24" s="23">
        <f t="shared" si="8"/>
        <v>0.13802363050483352</v>
      </c>
      <c r="P24" s="22">
        <v>458</v>
      </c>
      <c r="Q24" s="21">
        <f t="shared" si="9"/>
        <v>35.230769230769234</v>
      </c>
      <c r="R24" s="23">
        <f t="shared" si="10"/>
        <v>0.24597207303974222</v>
      </c>
      <c r="S24" s="22">
        <v>199</v>
      </c>
      <c r="T24" s="21">
        <f t="shared" si="11"/>
        <v>15.307692307692308</v>
      </c>
      <c r="U24" s="23">
        <f t="shared" si="12"/>
        <v>0.10687432867883996</v>
      </c>
      <c r="V24" s="22"/>
      <c r="W24" s="21" t="str">
        <f t="shared" si="13"/>
        <v/>
      </c>
      <c r="X24" s="23" t="str">
        <f t="shared" si="14"/>
        <v/>
      </c>
      <c r="Y24" s="22">
        <v>378</v>
      </c>
      <c r="Z24" s="21">
        <f t="shared" si="15"/>
        <v>29.076923076923077</v>
      </c>
      <c r="AA24" s="23">
        <f t="shared" si="16"/>
        <v>0.20300751879699247</v>
      </c>
      <c r="AB24" s="22"/>
      <c r="AC24" s="21" t="str">
        <f t="shared" si="17"/>
        <v/>
      </c>
      <c r="AD24" s="23" t="str">
        <f t="shared" si="18"/>
        <v/>
      </c>
      <c r="AE24" s="22"/>
      <c r="AF24" s="21" t="str">
        <f t="shared" si="19"/>
        <v/>
      </c>
      <c r="AG24" s="85" t="str">
        <f t="shared" si="20"/>
        <v/>
      </c>
    </row>
    <row r="25" spans="1:33" x14ac:dyDescent="0.25">
      <c r="A25" s="13">
        <f>WORKDAY(A26,1,JoursFeries!$B$3:$CH$15)</f>
        <v>42836</v>
      </c>
      <c r="B25" s="19" t="s">
        <v>115</v>
      </c>
      <c r="C25" s="19">
        <v>12</v>
      </c>
      <c r="E25" s="19">
        <f>-40+1622</f>
        <v>1582</v>
      </c>
      <c r="F25" s="24">
        <f t="shared" si="3"/>
        <v>1387.7724930242171</v>
      </c>
      <c r="G25" s="16">
        <f t="shared" si="4"/>
        <v>194.22750697578294</v>
      </c>
      <c r="H25" s="15">
        <f t="shared" si="21"/>
        <v>131.83333333333334</v>
      </c>
      <c r="I25" s="15"/>
      <c r="J25" s="22">
        <v>515</v>
      </c>
      <c r="K25" s="21">
        <f t="shared" si="5"/>
        <v>42.916666666666664</v>
      </c>
      <c r="L25" s="23">
        <f t="shared" si="6"/>
        <v>0.32553729456384323</v>
      </c>
      <c r="M25" s="22">
        <v>191</v>
      </c>
      <c r="N25" s="21">
        <f t="shared" si="7"/>
        <v>15.916666666666666</v>
      </c>
      <c r="O25" s="23">
        <f t="shared" si="8"/>
        <v>0.12073324905183312</v>
      </c>
      <c r="P25" s="22">
        <v>297</v>
      </c>
      <c r="Q25" s="21">
        <f t="shared" si="9"/>
        <v>24.75</v>
      </c>
      <c r="R25" s="23">
        <f t="shared" si="10"/>
        <v>0.18773704171934261</v>
      </c>
      <c r="S25" s="22">
        <v>199</v>
      </c>
      <c r="T25" s="21">
        <f t="shared" si="11"/>
        <v>16.583333333333332</v>
      </c>
      <c r="U25" s="23">
        <f t="shared" si="12"/>
        <v>0.12579013906447534</v>
      </c>
      <c r="V25" s="22"/>
      <c r="W25" s="21" t="str">
        <f t="shared" si="13"/>
        <v/>
      </c>
      <c r="X25" s="23" t="str">
        <f t="shared" si="14"/>
        <v/>
      </c>
      <c r="Y25" s="22">
        <v>380</v>
      </c>
      <c r="Z25" s="21">
        <f t="shared" si="15"/>
        <v>31.666666666666668</v>
      </c>
      <c r="AA25" s="23">
        <f t="shared" si="16"/>
        <v>0.24020227560050569</v>
      </c>
      <c r="AB25" s="22"/>
      <c r="AC25" s="21" t="str">
        <f t="shared" si="17"/>
        <v/>
      </c>
      <c r="AD25" s="23" t="str">
        <f t="shared" si="18"/>
        <v/>
      </c>
      <c r="AE25" s="22"/>
      <c r="AF25" s="21" t="str">
        <f t="shared" si="19"/>
        <v/>
      </c>
      <c r="AG25" s="85" t="str">
        <f t="shared" si="20"/>
        <v/>
      </c>
    </row>
    <row r="26" spans="1:33" x14ac:dyDescent="0.25">
      <c r="A26" s="13">
        <f>WORKDAY(A27,1,JoursFeries!$B$3:$CH$15)</f>
        <v>42835</v>
      </c>
      <c r="B26" s="19" t="s">
        <v>115</v>
      </c>
      <c r="C26" s="19">
        <v>13</v>
      </c>
      <c r="E26" s="19">
        <f>-80+2261</f>
        <v>2181</v>
      </c>
      <c r="F26" s="24">
        <f t="shared" si="3"/>
        <v>1503.4202007762351</v>
      </c>
      <c r="G26" s="16">
        <f t="shared" si="4"/>
        <v>677.57979922376489</v>
      </c>
      <c r="H26" s="15">
        <f t="shared" si="21"/>
        <v>167.76923076923077</v>
      </c>
      <c r="I26" s="15"/>
      <c r="J26" s="22">
        <v>636</v>
      </c>
      <c r="K26" s="21">
        <f t="shared" si="5"/>
        <v>48.92307692307692</v>
      </c>
      <c r="L26" s="23">
        <f t="shared" si="6"/>
        <v>0.29160935350756534</v>
      </c>
      <c r="M26" s="22">
        <v>328</v>
      </c>
      <c r="N26" s="21">
        <f t="shared" si="7"/>
        <v>25.23076923076923</v>
      </c>
      <c r="O26" s="23">
        <f t="shared" si="8"/>
        <v>0.15038972948188903</v>
      </c>
      <c r="P26" s="22">
        <v>434</v>
      </c>
      <c r="Q26" s="21">
        <f t="shared" si="9"/>
        <v>33.384615384615387</v>
      </c>
      <c r="R26" s="23">
        <f t="shared" si="10"/>
        <v>0.19899128839981658</v>
      </c>
      <c r="S26" s="22">
        <v>403</v>
      </c>
      <c r="T26" s="21">
        <f t="shared" si="11"/>
        <v>31</v>
      </c>
      <c r="U26" s="23">
        <f t="shared" si="12"/>
        <v>0.18477762494268685</v>
      </c>
      <c r="V26" s="22"/>
      <c r="W26" s="21" t="str">
        <f t="shared" si="13"/>
        <v/>
      </c>
      <c r="X26" s="23" t="str">
        <f t="shared" si="14"/>
        <v/>
      </c>
      <c r="Y26" s="22">
        <v>380</v>
      </c>
      <c r="Z26" s="21">
        <f t="shared" si="15"/>
        <v>29.23076923076923</v>
      </c>
      <c r="AA26" s="23">
        <f t="shared" si="16"/>
        <v>0.17423200366804217</v>
      </c>
      <c r="AB26" s="22"/>
      <c r="AC26" s="21" t="str">
        <f t="shared" si="17"/>
        <v/>
      </c>
      <c r="AD26" s="23" t="str">
        <f t="shared" si="18"/>
        <v/>
      </c>
      <c r="AE26" s="22"/>
      <c r="AF26" s="21" t="str">
        <f t="shared" si="19"/>
        <v/>
      </c>
      <c r="AG26" s="85" t="str">
        <f t="shared" si="20"/>
        <v/>
      </c>
    </row>
    <row r="27" spans="1:33" x14ac:dyDescent="0.25">
      <c r="A27" s="13">
        <f>WORKDAY(A28,1,JoursFeries!$B$3:$CH$15)</f>
        <v>42832</v>
      </c>
      <c r="B27" s="19" t="s">
        <v>115</v>
      </c>
      <c r="C27" s="19">
        <v>13</v>
      </c>
      <c r="E27" s="19">
        <f>-51+2059</f>
        <v>2008</v>
      </c>
      <c r="F27" s="24">
        <f t="shared" si="3"/>
        <v>1503.4202007762351</v>
      </c>
      <c r="G27" s="16">
        <f t="shared" si="4"/>
        <v>504.57979922376489</v>
      </c>
      <c r="H27" s="15">
        <f t="shared" si="21"/>
        <v>154.46153846153845</v>
      </c>
      <c r="I27" s="15"/>
      <c r="J27" s="22">
        <v>594</v>
      </c>
      <c r="K27" s="21">
        <f t="shared" si="5"/>
        <v>45.692307692307693</v>
      </c>
      <c r="L27" s="23">
        <f t="shared" si="6"/>
        <v>0.2958167330677291</v>
      </c>
      <c r="M27" s="22">
        <v>358</v>
      </c>
      <c r="N27" s="21">
        <f t="shared" si="7"/>
        <v>27.53846153846154</v>
      </c>
      <c r="O27" s="23">
        <f t="shared" si="8"/>
        <v>0.17828685258964144</v>
      </c>
      <c r="P27" s="22">
        <v>368</v>
      </c>
      <c r="Q27" s="21">
        <f t="shared" si="9"/>
        <v>28.307692307692307</v>
      </c>
      <c r="R27" s="23">
        <f t="shared" si="10"/>
        <v>0.18326693227091634</v>
      </c>
      <c r="S27" s="22">
        <v>238</v>
      </c>
      <c r="T27" s="21">
        <f t="shared" si="11"/>
        <v>18.307692307692307</v>
      </c>
      <c r="U27" s="23">
        <f t="shared" si="12"/>
        <v>0.11852589641434264</v>
      </c>
      <c r="V27" s="22"/>
      <c r="W27" s="21" t="str">
        <f t="shared" si="13"/>
        <v/>
      </c>
      <c r="X27" s="23" t="str">
        <f t="shared" si="14"/>
        <v/>
      </c>
      <c r="Y27" s="22">
        <v>450</v>
      </c>
      <c r="Z27" s="21">
        <f t="shared" si="15"/>
        <v>34.615384615384613</v>
      </c>
      <c r="AA27" s="23">
        <f t="shared" si="16"/>
        <v>0.22410358565737051</v>
      </c>
      <c r="AB27" s="22"/>
      <c r="AC27" s="21" t="str">
        <f t="shared" si="17"/>
        <v/>
      </c>
      <c r="AD27" s="23" t="str">
        <f t="shared" si="18"/>
        <v/>
      </c>
      <c r="AE27" s="22"/>
      <c r="AF27" s="21" t="str">
        <f t="shared" si="19"/>
        <v/>
      </c>
      <c r="AG27" s="85" t="str">
        <f t="shared" si="20"/>
        <v/>
      </c>
    </row>
    <row r="28" spans="1:33" x14ac:dyDescent="0.25">
      <c r="A28" s="13">
        <f>WORKDAY(A29,1,JoursFeries!$B$3:$CH$15)</f>
        <v>42831</v>
      </c>
      <c r="B28" s="19" t="s">
        <v>115</v>
      </c>
      <c r="C28" s="19">
        <v>13</v>
      </c>
      <c r="E28" s="19">
        <f>-64+1790</f>
        <v>1726</v>
      </c>
      <c r="F28" s="24">
        <f t="shared" si="3"/>
        <v>1503.4202007762351</v>
      </c>
      <c r="G28" s="16">
        <f t="shared" si="4"/>
        <v>222.57979922376489</v>
      </c>
      <c r="H28" s="15">
        <f t="shared" si="21"/>
        <v>132.76923076923077</v>
      </c>
      <c r="I28" s="15"/>
      <c r="J28" s="22">
        <v>468</v>
      </c>
      <c r="K28" s="21">
        <f t="shared" si="5"/>
        <v>36</v>
      </c>
      <c r="L28" s="23">
        <f t="shared" si="6"/>
        <v>0.27114716106604869</v>
      </c>
      <c r="M28" s="22">
        <v>291</v>
      </c>
      <c r="N28" s="21">
        <f t="shared" si="7"/>
        <v>22.384615384615383</v>
      </c>
      <c r="O28" s="23">
        <f t="shared" si="8"/>
        <v>0.16859791425260717</v>
      </c>
      <c r="P28" s="22">
        <v>308</v>
      </c>
      <c r="Q28" s="21">
        <f t="shared" si="9"/>
        <v>23.692307692307693</v>
      </c>
      <c r="R28" s="23">
        <f t="shared" si="10"/>
        <v>0.17844727694090382</v>
      </c>
      <c r="S28" s="22">
        <v>260</v>
      </c>
      <c r="T28" s="21">
        <f t="shared" si="11"/>
        <v>20</v>
      </c>
      <c r="U28" s="23">
        <f t="shared" si="12"/>
        <v>0.15063731170336037</v>
      </c>
      <c r="V28" s="22"/>
      <c r="W28" s="21" t="str">
        <f t="shared" si="13"/>
        <v/>
      </c>
      <c r="X28" s="23" t="str">
        <f t="shared" si="14"/>
        <v/>
      </c>
      <c r="Y28" s="22">
        <v>399</v>
      </c>
      <c r="Z28" s="21">
        <f t="shared" si="15"/>
        <v>30.692307692307693</v>
      </c>
      <c r="AA28" s="23">
        <f t="shared" si="16"/>
        <v>0.23117033603707995</v>
      </c>
      <c r="AB28" s="22"/>
      <c r="AC28" s="21" t="str">
        <f t="shared" si="17"/>
        <v/>
      </c>
      <c r="AD28" s="23" t="str">
        <f t="shared" si="18"/>
        <v/>
      </c>
      <c r="AE28" s="22"/>
      <c r="AF28" s="21" t="str">
        <f t="shared" si="19"/>
        <v/>
      </c>
      <c r="AG28" s="85" t="str">
        <f t="shared" si="20"/>
        <v/>
      </c>
    </row>
    <row r="29" spans="1:33" x14ac:dyDescent="0.25">
      <c r="A29" s="13">
        <f>WORKDAY(A30,1,JoursFeries!$B$3:$CH$15)</f>
        <v>42830</v>
      </c>
      <c r="B29" s="19" t="s">
        <v>115</v>
      </c>
      <c r="C29" s="19">
        <v>13</v>
      </c>
      <c r="E29" s="19">
        <f>-80+1821</f>
        <v>1741</v>
      </c>
      <c r="F29" s="24">
        <f t="shared" si="3"/>
        <v>1503.4202007762351</v>
      </c>
      <c r="G29" s="16">
        <f t="shared" si="4"/>
        <v>237.57979922376489</v>
      </c>
      <c r="H29" s="15">
        <f t="shared" si="21"/>
        <v>133.92307692307693</v>
      </c>
      <c r="I29" s="15"/>
      <c r="J29" s="22">
        <v>496</v>
      </c>
      <c r="K29" s="21">
        <f t="shared" si="5"/>
        <v>38.153846153846153</v>
      </c>
      <c r="L29" s="23">
        <f t="shared" si="6"/>
        <v>0.2848937392303274</v>
      </c>
      <c r="M29" s="22">
        <v>201</v>
      </c>
      <c r="N29" s="21">
        <f t="shared" si="7"/>
        <v>15.461538461538462</v>
      </c>
      <c r="O29" s="23">
        <f t="shared" si="8"/>
        <v>0.11545089029293509</v>
      </c>
      <c r="P29" s="22">
        <v>420</v>
      </c>
      <c r="Q29" s="21">
        <f t="shared" si="9"/>
        <v>32.307692307692307</v>
      </c>
      <c r="R29" s="23">
        <f t="shared" si="10"/>
        <v>0.24124066628374496</v>
      </c>
      <c r="S29" s="22">
        <v>300</v>
      </c>
      <c r="T29" s="21">
        <f t="shared" si="11"/>
        <v>23.076923076923077</v>
      </c>
      <c r="U29" s="23">
        <f t="shared" si="12"/>
        <v>0.1723147616312464</v>
      </c>
      <c r="V29" s="22"/>
      <c r="W29" s="21" t="str">
        <f t="shared" si="13"/>
        <v/>
      </c>
      <c r="X29" s="23" t="str">
        <f t="shared" si="14"/>
        <v/>
      </c>
      <c r="Y29" s="22">
        <v>324</v>
      </c>
      <c r="Z29" s="21">
        <f t="shared" si="15"/>
        <v>24.923076923076923</v>
      </c>
      <c r="AA29" s="23">
        <f t="shared" si="16"/>
        <v>0.18609994256174611</v>
      </c>
      <c r="AB29" s="22"/>
      <c r="AC29" s="21" t="str">
        <f t="shared" si="17"/>
        <v/>
      </c>
      <c r="AD29" s="23" t="str">
        <f t="shared" si="18"/>
        <v/>
      </c>
      <c r="AE29" s="22"/>
      <c r="AF29" s="21" t="str">
        <f t="shared" si="19"/>
        <v/>
      </c>
      <c r="AG29" s="85" t="str">
        <f t="shared" si="20"/>
        <v/>
      </c>
    </row>
    <row r="30" spans="1:33" x14ac:dyDescent="0.25">
      <c r="A30" s="13">
        <f>WORKDAY(A31,1,JoursFeries!$B$3:$CH$15)</f>
        <v>42829</v>
      </c>
      <c r="B30" s="19" t="s">
        <v>115</v>
      </c>
      <c r="C30" s="19">
        <v>8</v>
      </c>
      <c r="E30" s="19">
        <f>-64+1387</f>
        <v>1323</v>
      </c>
      <c r="F30" s="24">
        <f t="shared" si="3"/>
        <v>925.18166201614463</v>
      </c>
      <c r="G30" s="16">
        <f t="shared" si="4"/>
        <v>397.81833798385537</v>
      </c>
      <c r="H30" s="15">
        <f t="shared" si="21"/>
        <v>165.375</v>
      </c>
      <c r="I30" s="15"/>
      <c r="J30" s="22">
        <v>383</v>
      </c>
      <c r="K30" s="21">
        <f t="shared" si="5"/>
        <v>47.875</v>
      </c>
      <c r="L30" s="23">
        <f t="shared" si="6"/>
        <v>0.2894935752078609</v>
      </c>
      <c r="M30" s="22">
        <v>204</v>
      </c>
      <c r="N30" s="21">
        <f t="shared" si="7"/>
        <v>25.5</v>
      </c>
      <c r="O30" s="23">
        <f t="shared" si="8"/>
        <v>0.15419501133786848</v>
      </c>
      <c r="P30" s="22">
        <v>341</v>
      </c>
      <c r="Q30" s="21">
        <f t="shared" si="9"/>
        <v>42.625</v>
      </c>
      <c r="R30" s="23">
        <f t="shared" si="10"/>
        <v>0.25774754346182915</v>
      </c>
      <c r="S30" s="22">
        <v>80</v>
      </c>
      <c r="T30" s="21">
        <f t="shared" si="11"/>
        <v>10</v>
      </c>
      <c r="U30" s="23">
        <f t="shared" si="12"/>
        <v>6.0468631897203327E-2</v>
      </c>
      <c r="V30" s="22"/>
      <c r="W30" s="21" t="str">
        <f t="shared" si="13"/>
        <v/>
      </c>
      <c r="X30" s="23" t="str">
        <f t="shared" si="14"/>
        <v/>
      </c>
      <c r="Y30" s="22">
        <v>315</v>
      </c>
      <c r="Z30" s="21">
        <f t="shared" si="15"/>
        <v>39.375</v>
      </c>
      <c r="AA30" s="23">
        <f t="shared" si="16"/>
        <v>0.23809523809523808</v>
      </c>
      <c r="AB30" s="22"/>
      <c r="AC30" s="21" t="str">
        <f t="shared" si="17"/>
        <v/>
      </c>
      <c r="AD30" s="23" t="str">
        <f t="shared" si="18"/>
        <v/>
      </c>
      <c r="AE30" s="22"/>
      <c r="AF30" s="21" t="str">
        <f t="shared" si="19"/>
        <v/>
      </c>
      <c r="AG30" s="85" t="str">
        <f t="shared" si="20"/>
        <v/>
      </c>
    </row>
    <row r="31" spans="1:33" x14ac:dyDescent="0.25">
      <c r="A31" s="13">
        <f>WORKDAY(A32,1,JoursFeries!$B$3:$CH$15)</f>
        <v>42828</v>
      </c>
      <c r="B31" s="19" t="s">
        <v>115</v>
      </c>
      <c r="C31" s="19">
        <v>13</v>
      </c>
      <c r="E31" s="19">
        <f>-112+1700</f>
        <v>1588</v>
      </c>
      <c r="F31" s="24">
        <f t="shared" si="3"/>
        <v>1503.4202007762351</v>
      </c>
      <c r="G31" s="16">
        <f t="shared" si="4"/>
        <v>84.579799223764894</v>
      </c>
      <c r="H31" s="15">
        <f t="shared" si="21"/>
        <v>122.15384615384616</v>
      </c>
      <c r="I31" s="15"/>
      <c r="J31" s="22">
        <v>471</v>
      </c>
      <c r="K31" s="21">
        <f t="shared" si="5"/>
        <v>36.230769230769234</v>
      </c>
      <c r="L31" s="23">
        <f t="shared" si="6"/>
        <v>0.29659949622166248</v>
      </c>
      <c r="M31" s="22">
        <v>220</v>
      </c>
      <c r="N31" s="21">
        <f t="shared" si="7"/>
        <v>16.923076923076923</v>
      </c>
      <c r="O31" s="23">
        <f t="shared" si="8"/>
        <v>0.1385390428211587</v>
      </c>
      <c r="P31" s="22">
        <v>294</v>
      </c>
      <c r="Q31" s="21">
        <f t="shared" si="9"/>
        <v>22.615384615384617</v>
      </c>
      <c r="R31" s="23">
        <f t="shared" si="10"/>
        <v>0.18513853904282115</v>
      </c>
      <c r="S31" s="22">
        <v>279</v>
      </c>
      <c r="T31" s="21">
        <f t="shared" si="11"/>
        <v>21.46153846153846</v>
      </c>
      <c r="U31" s="23">
        <f t="shared" si="12"/>
        <v>0.1756926952141058</v>
      </c>
      <c r="V31" s="22"/>
      <c r="W31" s="21" t="str">
        <f t="shared" si="13"/>
        <v/>
      </c>
      <c r="X31" s="23" t="str">
        <f t="shared" si="14"/>
        <v/>
      </c>
      <c r="Y31" s="22">
        <v>324</v>
      </c>
      <c r="Z31" s="21">
        <f t="shared" si="15"/>
        <v>24.923076923076923</v>
      </c>
      <c r="AA31" s="23">
        <f t="shared" si="16"/>
        <v>0.20403022670025189</v>
      </c>
      <c r="AB31" s="22"/>
      <c r="AC31" s="21" t="str">
        <f t="shared" si="17"/>
        <v/>
      </c>
      <c r="AD31" s="23" t="str">
        <f t="shared" si="18"/>
        <v/>
      </c>
      <c r="AE31" s="22"/>
      <c r="AF31" s="21" t="str">
        <f t="shared" si="19"/>
        <v/>
      </c>
      <c r="AG31" s="85" t="str">
        <f t="shared" si="20"/>
        <v/>
      </c>
    </row>
    <row r="32" spans="1:33" x14ac:dyDescent="0.25">
      <c r="A32" s="13">
        <f>WORKDAY(A33,1,JoursFeries!$B$3:$CH$15)</f>
        <v>42825</v>
      </c>
      <c r="B32" s="19" t="s">
        <v>115</v>
      </c>
      <c r="C32" s="19">
        <v>13</v>
      </c>
      <c r="E32" s="19">
        <f>-96+1685</f>
        <v>1589</v>
      </c>
      <c r="F32" s="24">
        <f t="shared" si="3"/>
        <v>1503.4202007762351</v>
      </c>
      <c r="G32" s="16">
        <f t="shared" si="4"/>
        <v>85.579799223764894</v>
      </c>
      <c r="H32" s="15">
        <f t="shared" si="21"/>
        <v>122.23076923076923</v>
      </c>
      <c r="I32" s="15"/>
      <c r="J32" s="22">
        <v>536</v>
      </c>
      <c r="K32" s="21">
        <f t="shared" si="5"/>
        <v>41.230769230769234</v>
      </c>
      <c r="L32" s="23">
        <f t="shared" si="6"/>
        <v>0.33731906859660166</v>
      </c>
      <c r="M32" s="22">
        <v>235</v>
      </c>
      <c r="N32" s="21">
        <f t="shared" si="7"/>
        <v>18.076923076923077</v>
      </c>
      <c r="O32" s="23">
        <f t="shared" si="8"/>
        <v>0.14789175582127123</v>
      </c>
      <c r="P32" s="22">
        <v>406</v>
      </c>
      <c r="Q32" s="21">
        <f t="shared" si="9"/>
        <v>31.23076923076923</v>
      </c>
      <c r="R32" s="23">
        <f t="shared" si="10"/>
        <v>0.25550660792951541</v>
      </c>
      <c r="S32" s="22">
        <v>160</v>
      </c>
      <c r="T32" s="21">
        <f t="shared" si="11"/>
        <v>12.307692307692308</v>
      </c>
      <c r="U32" s="23">
        <f t="shared" si="12"/>
        <v>0.10069225928256766</v>
      </c>
      <c r="V32" s="22"/>
      <c r="W32" s="21" t="str">
        <f t="shared" si="13"/>
        <v/>
      </c>
      <c r="X32" s="23" t="str">
        <f t="shared" si="14"/>
        <v/>
      </c>
      <c r="Y32" s="22">
        <v>252</v>
      </c>
      <c r="Z32" s="21">
        <f t="shared" si="15"/>
        <v>19.384615384615383</v>
      </c>
      <c r="AA32" s="23">
        <f t="shared" si="16"/>
        <v>0.15859030837004406</v>
      </c>
      <c r="AB32" s="22"/>
      <c r="AC32" s="21" t="str">
        <f t="shared" si="17"/>
        <v/>
      </c>
      <c r="AD32" s="23" t="str">
        <f t="shared" si="18"/>
        <v/>
      </c>
      <c r="AE32" s="22"/>
      <c r="AF32" s="21" t="str">
        <f t="shared" si="19"/>
        <v/>
      </c>
      <c r="AG32" s="85" t="str">
        <f t="shared" si="20"/>
        <v/>
      </c>
    </row>
    <row r="33" spans="1:33" x14ac:dyDescent="0.25">
      <c r="A33" s="13">
        <f>WORKDAY(A34,1,JoursFeries!$B$3:$CH$15)</f>
        <v>42824</v>
      </c>
      <c r="B33" s="19" t="s">
        <v>115</v>
      </c>
      <c r="C33" s="19">
        <v>13</v>
      </c>
      <c r="E33" s="19">
        <f>-128+1784</f>
        <v>1656</v>
      </c>
      <c r="F33" s="24">
        <f t="shared" si="3"/>
        <v>1503.4202007762351</v>
      </c>
      <c r="G33" s="16">
        <f t="shared" si="4"/>
        <v>152.57979922376489</v>
      </c>
      <c r="H33" s="15">
        <f t="shared" si="21"/>
        <v>127.38461538461539</v>
      </c>
      <c r="I33" s="15"/>
      <c r="J33" s="22">
        <v>528</v>
      </c>
      <c r="K33" s="21">
        <f t="shared" si="5"/>
        <v>40.615384615384613</v>
      </c>
      <c r="L33" s="23">
        <f t="shared" si="6"/>
        <v>0.3188405797101449</v>
      </c>
      <c r="M33" s="22">
        <v>211</v>
      </c>
      <c r="N33" s="21">
        <f t="shared" si="7"/>
        <v>16.23076923076923</v>
      </c>
      <c r="O33" s="23">
        <f t="shared" si="8"/>
        <v>0.12741545893719808</v>
      </c>
      <c r="P33" s="22">
        <v>322</v>
      </c>
      <c r="Q33" s="21">
        <f t="shared" si="9"/>
        <v>24.76923076923077</v>
      </c>
      <c r="R33" s="23">
        <f t="shared" si="10"/>
        <v>0.19444444444444445</v>
      </c>
      <c r="S33" s="22">
        <v>272</v>
      </c>
      <c r="T33" s="21">
        <f t="shared" si="11"/>
        <v>20.923076923076923</v>
      </c>
      <c r="U33" s="23">
        <f t="shared" si="12"/>
        <v>0.16425120772946861</v>
      </c>
      <c r="V33" s="22"/>
      <c r="W33" s="21" t="str">
        <f t="shared" si="13"/>
        <v/>
      </c>
      <c r="X33" s="23" t="str">
        <f t="shared" si="14"/>
        <v/>
      </c>
      <c r="Y33" s="22">
        <v>323</v>
      </c>
      <c r="Z33" s="21">
        <f t="shared" si="15"/>
        <v>24.846153846153847</v>
      </c>
      <c r="AA33" s="23">
        <f t="shared" si="16"/>
        <v>0.19504830917874397</v>
      </c>
      <c r="AB33" s="22"/>
      <c r="AC33" s="21" t="str">
        <f t="shared" si="17"/>
        <v/>
      </c>
      <c r="AD33" s="23" t="str">
        <f t="shared" si="18"/>
        <v/>
      </c>
      <c r="AE33" s="22"/>
      <c r="AF33" s="21" t="str">
        <f t="shared" si="19"/>
        <v/>
      </c>
      <c r="AG33" s="85" t="str">
        <f t="shared" si="20"/>
        <v/>
      </c>
    </row>
    <row r="34" spans="1:33" x14ac:dyDescent="0.25">
      <c r="A34" s="18">
        <f>WORKDAY(A35,1,JoursFeries!$B$3:$CH$15)</f>
        <v>42823</v>
      </c>
      <c r="B34" s="19" t="s">
        <v>115</v>
      </c>
      <c r="C34" s="19">
        <v>13</v>
      </c>
      <c r="E34" s="19">
        <f>-96+1631</f>
        <v>1535</v>
      </c>
      <c r="F34" s="24">
        <f t="shared" si="3"/>
        <v>1503.4202007762351</v>
      </c>
      <c r="G34" s="16">
        <f t="shared" si="4"/>
        <v>31.579799223764894</v>
      </c>
      <c r="H34" s="15">
        <f t="shared" si="21"/>
        <v>118.07692307692308</v>
      </c>
      <c r="I34" s="15"/>
      <c r="J34" s="22">
        <v>476</v>
      </c>
      <c r="K34" s="21">
        <f t="shared" si="5"/>
        <v>36.615384615384613</v>
      </c>
      <c r="L34" s="23">
        <f t="shared" si="6"/>
        <v>0.31009771986970686</v>
      </c>
      <c r="M34" s="22">
        <v>160</v>
      </c>
      <c r="N34" s="21">
        <f t="shared" si="7"/>
        <v>12.307692307692308</v>
      </c>
      <c r="O34" s="23">
        <f t="shared" si="8"/>
        <v>0.10423452768729642</v>
      </c>
      <c r="P34" s="22">
        <v>320</v>
      </c>
      <c r="Q34" s="21">
        <f t="shared" si="9"/>
        <v>24.615384615384617</v>
      </c>
      <c r="R34" s="23">
        <f t="shared" si="10"/>
        <v>0.20846905537459284</v>
      </c>
      <c r="S34" s="22">
        <v>256</v>
      </c>
      <c r="T34" s="21">
        <f t="shared" si="11"/>
        <v>19.692307692307693</v>
      </c>
      <c r="U34" s="23">
        <f t="shared" si="12"/>
        <v>0.16677524429967427</v>
      </c>
      <c r="V34" s="22"/>
      <c r="W34" s="21" t="str">
        <f t="shared" si="13"/>
        <v/>
      </c>
      <c r="X34" s="23" t="str">
        <f t="shared" si="14"/>
        <v/>
      </c>
      <c r="Y34" s="22">
        <v>323</v>
      </c>
      <c r="Z34" s="21">
        <f t="shared" si="15"/>
        <v>24.846153846153847</v>
      </c>
      <c r="AA34" s="23">
        <f t="shared" si="16"/>
        <v>0.21042345276872965</v>
      </c>
      <c r="AB34" s="22"/>
      <c r="AC34" s="21" t="str">
        <f t="shared" si="17"/>
        <v/>
      </c>
      <c r="AD34" s="23" t="str">
        <f t="shared" si="18"/>
        <v/>
      </c>
      <c r="AE34" s="22"/>
      <c r="AF34" s="21" t="str">
        <f t="shared" si="19"/>
        <v/>
      </c>
      <c r="AG34" s="85" t="str">
        <f t="shared" si="20"/>
        <v/>
      </c>
    </row>
    <row r="35" spans="1:33" x14ac:dyDescent="0.25">
      <c r="A35" s="13">
        <f>WORKDAY(A36,1,JoursFeries!$B$3:$CH$15)</f>
        <v>42822</v>
      </c>
      <c r="F35" s="24" t="str">
        <f t="shared" si="3"/>
        <v/>
      </c>
      <c r="G35" s="16" t="str">
        <f t="shared" si="4"/>
        <v/>
      </c>
      <c r="H35" s="15" t="str">
        <f t="shared" si="21"/>
        <v xml:space="preserve"> </v>
      </c>
      <c r="I35" s="15"/>
      <c r="J35" s="22"/>
      <c r="K35" s="21" t="str">
        <f t="shared" si="5"/>
        <v/>
      </c>
      <c r="L35" s="23" t="str">
        <f t="shared" si="6"/>
        <v/>
      </c>
      <c r="M35" s="22"/>
      <c r="N35" s="21" t="str">
        <f t="shared" si="7"/>
        <v/>
      </c>
      <c r="O35" s="23" t="str">
        <f t="shared" si="8"/>
        <v/>
      </c>
      <c r="P35" s="22"/>
      <c r="Q35" s="21" t="str">
        <f t="shared" si="9"/>
        <v/>
      </c>
      <c r="R35" s="23" t="str">
        <f t="shared" si="10"/>
        <v/>
      </c>
      <c r="S35" s="22"/>
      <c r="T35" s="21" t="str">
        <f t="shared" si="11"/>
        <v/>
      </c>
      <c r="U35" s="23" t="str">
        <f t="shared" si="12"/>
        <v/>
      </c>
      <c r="V35" s="22"/>
      <c r="W35" s="21" t="str">
        <f t="shared" si="13"/>
        <v/>
      </c>
      <c r="X35" s="23" t="str">
        <f t="shared" si="14"/>
        <v/>
      </c>
      <c r="Y35" s="22"/>
      <c r="Z35" s="21" t="str">
        <f t="shared" si="15"/>
        <v/>
      </c>
      <c r="AA35" s="23" t="str">
        <f t="shared" si="16"/>
        <v/>
      </c>
      <c r="AB35" s="22"/>
      <c r="AC35" s="21" t="str">
        <f t="shared" si="17"/>
        <v/>
      </c>
      <c r="AD35" s="23" t="str">
        <f t="shared" si="18"/>
        <v/>
      </c>
      <c r="AE35" s="22"/>
      <c r="AF35" s="21" t="str">
        <f t="shared" si="19"/>
        <v/>
      </c>
      <c r="AG35" s="85" t="str">
        <f t="shared" si="20"/>
        <v/>
      </c>
    </row>
    <row r="36" spans="1:33" x14ac:dyDescent="0.25">
      <c r="A36" s="13">
        <f>WORKDAY(A37,1,JoursFeries!$B$3:$CH$15)</f>
        <v>42821</v>
      </c>
      <c r="F36" s="24" t="str">
        <f t="shared" si="3"/>
        <v/>
      </c>
      <c r="G36" s="16" t="str">
        <f t="shared" si="4"/>
        <v/>
      </c>
      <c r="H36" s="15" t="str">
        <f t="shared" si="21"/>
        <v xml:space="preserve"> </v>
      </c>
      <c r="I36" s="15"/>
      <c r="J36" s="22"/>
      <c r="K36" s="21" t="str">
        <f t="shared" si="5"/>
        <v/>
      </c>
      <c r="L36" s="23" t="str">
        <f t="shared" si="6"/>
        <v/>
      </c>
      <c r="M36" s="22"/>
      <c r="N36" s="21" t="str">
        <f t="shared" si="7"/>
        <v/>
      </c>
      <c r="O36" s="23" t="str">
        <f t="shared" si="8"/>
        <v/>
      </c>
      <c r="P36" s="22"/>
      <c r="Q36" s="21" t="str">
        <f t="shared" si="9"/>
        <v/>
      </c>
      <c r="R36" s="23" t="str">
        <f t="shared" si="10"/>
        <v/>
      </c>
      <c r="S36" s="22"/>
      <c r="T36" s="21" t="str">
        <f t="shared" si="11"/>
        <v/>
      </c>
      <c r="U36" s="23" t="str">
        <f t="shared" si="12"/>
        <v/>
      </c>
      <c r="V36" s="22"/>
      <c r="W36" s="21" t="str">
        <f t="shared" si="13"/>
        <v/>
      </c>
      <c r="X36" s="23" t="str">
        <f t="shared" si="14"/>
        <v/>
      </c>
      <c r="Y36" s="22"/>
      <c r="Z36" s="21" t="str">
        <f t="shared" si="15"/>
        <v/>
      </c>
      <c r="AA36" s="23" t="str">
        <f t="shared" si="16"/>
        <v/>
      </c>
      <c r="AB36" s="22"/>
      <c r="AC36" s="21" t="str">
        <f t="shared" si="17"/>
        <v/>
      </c>
      <c r="AD36" s="23" t="str">
        <f t="shared" si="18"/>
        <v/>
      </c>
      <c r="AE36" s="22"/>
      <c r="AF36" s="21" t="str">
        <f t="shared" si="19"/>
        <v/>
      </c>
      <c r="AG36" s="85" t="str">
        <f t="shared" si="20"/>
        <v/>
      </c>
    </row>
    <row r="37" spans="1:33" x14ac:dyDescent="0.25">
      <c r="A37" s="13">
        <f>WORKDAY(A38,1,JoursFeries!$B$3:$CH$15)</f>
        <v>42818</v>
      </c>
      <c r="F37" s="24" t="str">
        <f t="shared" si="3"/>
        <v/>
      </c>
      <c r="G37" s="16" t="str">
        <f t="shared" si="4"/>
        <v/>
      </c>
      <c r="H37" s="15" t="str">
        <f t="shared" si="21"/>
        <v xml:space="preserve"> </v>
      </c>
      <c r="I37" s="15"/>
      <c r="J37" s="22"/>
      <c r="K37" s="21" t="str">
        <f t="shared" si="5"/>
        <v/>
      </c>
      <c r="L37" s="23" t="str">
        <f t="shared" si="6"/>
        <v/>
      </c>
      <c r="M37" s="22"/>
      <c r="N37" s="21" t="str">
        <f t="shared" si="7"/>
        <v/>
      </c>
      <c r="O37" s="23" t="str">
        <f t="shared" si="8"/>
        <v/>
      </c>
      <c r="P37" s="22"/>
      <c r="Q37" s="21" t="str">
        <f t="shared" si="9"/>
        <v/>
      </c>
      <c r="R37" s="23" t="str">
        <f t="shared" si="10"/>
        <v/>
      </c>
      <c r="S37" s="22"/>
      <c r="T37" s="21" t="str">
        <f t="shared" si="11"/>
        <v/>
      </c>
      <c r="U37" s="23" t="str">
        <f t="shared" si="12"/>
        <v/>
      </c>
      <c r="V37" s="22"/>
      <c r="W37" s="21" t="str">
        <f t="shared" si="13"/>
        <v/>
      </c>
      <c r="X37" s="23" t="str">
        <f t="shared" si="14"/>
        <v/>
      </c>
      <c r="Y37" s="22"/>
      <c r="Z37" s="21" t="str">
        <f t="shared" si="15"/>
        <v/>
      </c>
      <c r="AA37" s="23" t="str">
        <f t="shared" si="16"/>
        <v/>
      </c>
      <c r="AB37" s="22"/>
      <c r="AC37" s="21" t="str">
        <f t="shared" si="17"/>
        <v/>
      </c>
      <c r="AD37" s="23" t="str">
        <f t="shared" si="18"/>
        <v/>
      </c>
      <c r="AE37" s="22"/>
      <c r="AF37" s="21" t="str">
        <f t="shared" si="19"/>
        <v/>
      </c>
      <c r="AG37" s="85" t="str">
        <f t="shared" si="20"/>
        <v/>
      </c>
    </row>
    <row r="38" spans="1:33" x14ac:dyDescent="0.25">
      <c r="A38" s="13">
        <f>WORKDAY(A39,1,JoursFeries!$B$3:$CH$15)</f>
        <v>42817</v>
      </c>
      <c r="B38" s="19" t="s">
        <v>115</v>
      </c>
      <c r="C38" s="19">
        <v>7</v>
      </c>
      <c r="E38" s="19">
        <f>-30+964</f>
        <v>934</v>
      </c>
      <c r="F38" s="24">
        <f t="shared" si="3"/>
        <v>809.53395426412658</v>
      </c>
      <c r="G38" s="16">
        <f t="shared" si="4"/>
        <v>124.46604573587342</v>
      </c>
      <c r="H38" s="15">
        <f t="shared" si="21"/>
        <v>133.42857142857142</v>
      </c>
      <c r="I38" s="15"/>
      <c r="J38" s="22">
        <v>281</v>
      </c>
      <c r="K38" s="21">
        <f t="shared" si="5"/>
        <v>40.142857142857146</v>
      </c>
      <c r="L38" s="23">
        <f t="shared" si="6"/>
        <v>0.30085653104925053</v>
      </c>
      <c r="M38" s="22">
        <v>209</v>
      </c>
      <c r="N38" s="21">
        <f t="shared" si="7"/>
        <v>29.857142857142858</v>
      </c>
      <c r="O38" s="23">
        <f t="shared" si="8"/>
        <v>0.22376873661670235</v>
      </c>
      <c r="P38" s="22">
        <v>210</v>
      </c>
      <c r="Q38" s="21">
        <f t="shared" si="9"/>
        <v>30</v>
      </c>
      <c r="R38" s="23">
        <f t="shared" si="10"/>
        <v>0.22483940042826553</v>
      </c>
      <c r="S38" s="22">
        <v>90</v>
      </c>
      <c r="T38" s="21">
        <f t="shared" si="11"/>
        <v>12.857142857142858</v>
      </c>
      <c r="U38" s="23">
        <f t="shared" si="12"/>
        <v>9.6359743040685231E-2</v>
      </c>
      <c r="V38" s="22"/>
      <c r="W38" s="21" t="str">
        <f t="shared" si="13"/>
        <v/>
      </c>
      <c r="X38" s="23" t="str">
        <f t="shared" si="14"/>
        <v/>
      </c>
      <c r="Y38" s="22">
        <v>144</v>
      </c>
      <c r="Z38" s="21">
        <f t="shared" si="15"/>
        <v>20.571428571428573</v>
      </c>
      <c r="AA38" s="23">
        <f t="shared" si="16"/>
        <v>0.15417558886509636</v>
      </c>
      <c r="AB38" s="22"/>
      <c r="AC38" s="21" t="str">
        <f t="shared" si="17"/>
        <v/>
      </c>
      <c r="AD38" s="23" t="str">
        <f t="shared" si="18"/>
        <v/>
      </c>
      <c r="AE38" s="22"/>
      <c r="AF38" s="21" t="str">
        <f t="shared" si="19"/>
        <v/>
      </c>
      <c r="AG38" s="85" t="str">
        <f t="shared" si="20"/>
        <v/>
      </c>
    </row>
    <row r="39" spans="1:33" x14ac:dyDescent="0.25">
      <c r="A39" s="13">
        <f>WORKDAY(A40,1,JoursFeries!$B$3:$CH$15)</f>
        <v>42816</v>
      </c>
      <c r="B39" s="19" t="s">
        <v>116</v>
      </c>
      <c r="C39" s="19">
        <v>13</v>
      </c>
      <c r="E39" s="19">
        <f>-15+2002</f>
        <v>1987</v>
      </c>
      <c r="F39" s="24">
        <f t="shared" si="3"/>
        <v>1615.2801123130953</v>
      </c>
      <c r="G39" s="16">
        <f t="shared" si="4"/>
        <v>371.71988768690471</v>
      </c>
      <c r="H39" s="15">
        <f t="shared" si="21"/>
        <v>152.84615384615384</v>
      </c>
      <c r="I39" s="15"/>
      <c r="J39" s="22">
        <v>640</v>
      </c>
      <c r="K39" s="21">
        <f t="shared" si="5"/>
        <v>49.230769230769234</v>
      </c>
      <c r="L39" s="23">
        <f t="shared" si="6"/>
        <v>0.32209360845495721</v>
      </c>
      <c r="M39" s="22">
        <v>239</v>
      </c>
      <c r="N39" s="21">
        <f t="shared" si="7"/>
        <v>18.384615384615383</v>
      </c>
      <c r="O39" s="23">
        <f t="shared" si="8"/>
        <v>0.12028183190739809</v>
      </c>
      <c r="P39" s="22">
        <v>388</v>
      </c>
      <c r="Q39" s="21">
        <f t="shared" si="9"/>
        <v>29.846153846153847</v>
      </c>
      <c r="R39" s="23">
        <f t="shared" si="10"/>
        <v>0.19526925012581781</v>
      </c>
      <c r="S39" s="22">
        <v>285</v>
      </c>
      <c r="T39" s="21">
        <f t="shared" si="11"/>
        <v>21.923076923076923</v>
      </c>
      <c r="U39" s="23">
        <f t="shared" si="12"/>
        <v>0.14343231001509812</v>
      </c>
      <c r="V39" s="22"/>
      <c r="W39" s="21" t="str">
        <f t="shared" si="13"/>
        <v/>
      </c>
      <c r="X39" s="23" t="str">
        <f t="shared" si="14"/>
        <v/>
      </c>
      <c r="Y39" s="22"/>
      <c r="Z39" s="21" t="str">
        <f t="shared" si="15"/>
        <v/>
      </c>
      <c r="AA39" s="23" t="str">
        <f t="shared" si="16"/>
        <v/>
      </c>
      <c r="AB39" s="22">
        <v>435</v>
      </c>
      <c r="AC39" s="21">
        <f t="shared" si="17"/>
        <v>33.46153846153846</v>
      </c>
      <c r="AD39" s="23">
        <f t="shared" si="18"/>
        <v>0.21892299949672875</v>
      </c>
      <c r="AE39" s="22"/>
      <c r="AF39" s="21" t="str">
        <f t="shared" si="19"/>
        <v/>
      </c>
      <c r="AG39" s="85" t="str">
        <f t="shared" si="20"/>
        <v/>
      </c>
    </row>
    <row r="40" spans="1:33" x14ac:dyDescent="0.25">
      <c r="A40" s="13">
        <f>WORKDAY(A41,1,JoursFeries!$B$3:$CH$15)</f>
        <v>42815</v>
      </c>
      <c r="B40" s="19" t="s">
        <v>116</v>
      </c>
      <c r="C40" s="19">
        <v>12</v>
      </c>
      <c r="E40" s="19">
        <f>-30+1618</f>
        <v>1588</v>
      </c>
      <c r="F40" s="24">
        <f t="shared" si="3"/>
        <v>1491.0277959813188</v>
      </c>
      <c r="G40" s="16">
        <f t="shared" si="4"/>
        <v>96.972204018681168</v>
      </c>
      <c r="H40" s="15">
        <f t="shared" si="21"/>
        <v>132.33333333333334</v>
      </c>
      <c r="I40" s="15"/>
      <c r="J40" s="22">
        <v>483</v>
      </c>
      <c r="K40" s="21">
        <f t="shared" si="5"/>
        <v>40.25</v>
      </c>
      <c r="L40" s="23">
        <f t="shared" si="6"/>
        <v>0.30415617128463474</v>
      </c>
      <c r="M40" s="22">
        <v>195</v>
      </c>
      <c r="N40" s="21">
        <f t="shared" si="7"/>
        <v>16.25</v>
      </c>
      <c r="O40" s="23">
        <f t="shared" si="8"/>
        <v>0.12279596977329975</v>
      </c>
      <c r="P40" s="22">
        <v>297</v>
      </c>
      <c r="Q40" s="21">
        <f t="shared" si="9"/>
        <v>24.75</v>
      </c>
      <c r="R40" s="23">
        <f t="shared" si="10"/>
        <v>0.18702770780856423</v>
      </c>
      <c r="S40" s="22">
        <v>165</v>
      </c>
      <c r="T40" s="21">
        <f t="shared" si="11"/>
        <v>13.75</v>
      </c>
      <c r="U40" s="23">
        <f t="shared" si="12"/>
        <v>0.10390428211586902</v>
      </c>
      <c r="V40" s="22"/>
      <c r="W40" s="21" t="str">
        <f t="shared" si="13"/>
        <v/>
      </c>
      <c r="X40" s="23" t="str">
        <f t="shared" si="14"/>
        <v/>
      </c>
      <c r="Y40" s="22"/>
      <c r="Z40" s="21" t="str">
        <f t="shared" si="15"/>
        <v/>
      </c>
      <c r="AA40" s="23" t="str">
        <f t="shared" si="16"/>
        <v/>
      </c>
      <c r="AB40" s="22">
        <v>448</v>
      </c>
      <c r="AC40" s="21">
        <f t="shared" si="17"/>
        <v>37.333333333333336</v>
      </c>
      <c r="AD40" s="23">
        <f t="shared" si="18"/>
        <v>0.28211586901763225</v>
      </c>
      <c r="AE40" s="22"/>
      <c r="AF40" s="21" t="str">
        <f t="shared" si="19"/>
        <v/>
      </c>
      <c r="AG40" s="85" t="str">
        <f t="shared" si="20"/>
        <v/>
      </c>
    </row>
    <row r="41" spans="1:33" x14ac:dyDescent="0.25">
      <c r="A41" s="13">
        <f>WORKDAY(A42,1,JoursFeries!$B$3:$CH$15)</f>
        <v>42814</v>
      </c>
      <c r="B41" s="19" t="s">
        <v>116</v>
      </c>
      <c r="C41" s="19">
        <v>12</v>
      </c>
      <c r="E41" s="19">
        <f>-42+1573</f>
        <v>1531</v>
      </c>
      <c r="F41" s="24">
        <f t="shared" si="3"/>
        <v>1491.0277959813188</v>
      </c>
      <c r="G41" s="16">
        <f t="shared" si="4"/>
        <v>39.972204018681168</v>
      </c>
      <c r="H41" s="15">
        <f t="shared" si="21"/>
        <v>127.58333333333333</v>
      </c>
      <c r="I41" s="15"/>
      <c r="J41" s="22">
        <v>413</v>
      </c>
      <c r="K41" s="21">
        <f t="shared" si="5"/>
        <v>34.416666666666664</v>
      </c>
      <c r="L41" s="23">
        <f t="shared" si="6"/>
        <v>0.26975832789026782</v>
      </c>
      <c r="M41" s="22">
        <v>215</v>
      </c>
      <c r="N41" s="21">
        <f t="shared" si="7"/>
        <v>17.916666666666668</v>
      </c>
      <c r="O41" s="23">
        <f t="shared" si="8"/>
        <v>0.14043109079033311</v>
      </c>
      <c r="P41" s="22">
        <v>357</v>
      </c>
      <c r="Q41" s="21">
        <f t="shared" si="9"/>
        <v>29.75</v>
      </c>
      <c r="R41" s="23">
        <f t="shared" si="10"/>
        <v>0.23318092749836708</v>
      </c>
      <c r="S41" s="22">
        <v>154</v>
      </c>
      <c r="T41" s="21">
        <f t="shared" si="11"/>
        <v>12.833333333333334</v>
      </c>
      <c r="U41" s="23">
        <f t="shared" si="12"/>
        <v>0.10058785107772697</v>
      </c>
      <c r="V41" s="22"/>
      <c r="W41" s="21" t="str">
        <f t="shared" si="13"/>
        <v/>
      </c>
      <c r="X41" s="23" t="str">
        <f t="shared" si="14"/>
        <v/>
      </c>
      <c r="Y41" s="22"/>
      <c r="Z41" s="21" t="str">
        <f t="shared" si="15"/>
        <v/>
      </c>
      <c r="AA41" s="23" t="str">
        <f t="shared" si="16"/>
        <v/>
      </c>
      <c r="AB41" s="22">
        <v>392</v>
      </c>
      <c r="AC41" s="21">
        <f t="shared" si="17"/>
        <v>32.666666666666664</v>
      </c>
      <c r="AD41" s="23">
        <f t="shared" si="18"/>
        <v>0.25604180274330501</v>
      </c>
      <c r="AE41" s="22"/>
      <c r="AF41" s="21" t="str">
        <f t="shared" si="19"/>
        <v/>
      </c>
      <c r="AG41" s="85" t="str">
        <f t="shared" si="20"/>
        <v/>
      </c>
    </row>
    <row r="42" spans="1:33" x14ac:dyDescent="0.25">
      <c r="A42" s="13">
        <f>WORKDAY(A43,1,JoursFeries!$B$3:$CH$15)</f>
        <v>42811</v>
      </c>
      <c r="F42" s="24" t="str">
        <f t="shared" si="3"/>
        <v/>
      </c>
      <c r="G42" s="16" t="str">
        <f t="shared" si="4"/>
        <v/>
      </c>
      <c r="H42" s="15" t="str">
        <f t="shared" si="21"/>
        <v xml:space="preserve"> </v>
      </c>
      <c r="I42" s="15"/>
      <c r="J42" s="22"/>
      <c r="K42" s="21" t="str">
        <f t="shared" si="5"/>
        <v/>
      </c>
      <c r="L42" s="23" t="str">
        <f t="shared" si="6"/>
        <v/>
      </c>
      <c r="M42" s="22"/>
      <c r="N42" s="21" t="str">
        <f t="shared" si="7"/>
        <v/>
      </c>
      <c r="O42" s="23" t="str">
        <f t="shared" si="8"/>
        <v/>
      </c>
      <c r="P42" s="22"/>
      <c r="Q42" s="21" t="str">
        <f t="shared" si="9"/>
        <v/>
      </c>
      <c r="R42" s="23" t="str">
        <f t="shared" si="10"/>
        <v/>
      </c>
      <c r="S42" s="22"/>
      <c r="T42" s="21" t="str">
        <f t="shared" si="11"/>
        <v/>
      </c>
      <c r="U42" s="23" t="str">
        <f t="shared" si="12"/>
        <v/>
      </c>
      <c r="V42" s="22"/>
      <c r="W42" s="21" t="str">
        <f t="shared" si="13"/>
        <v/>
      </c>
      <c r="X42" s="23" t="str">
        <f t="shared" si="14"/>
        <v/>
      </c>
      <c r="Y42" s="22"/>
      <c r="Z42" s="21" t="str">
        <f t="shared" si="15"/>
        <v/>
      </c>
      <c r="AA42" s="23" t="str">
        <f t="shared" si="16"/>
        <v/>
      </c>
      <c r="AB42" s="22"/>
      <c r="AC42" s="21" t="str">
        <f t="shared" si="17"/>
        <v/>
      </c>
      <c r="AD42" s="23" t="str">
        <f t="shared" si="18"/>
        <v/>
      </c>
      <c r="AE42" s="22"/>
      <c r="AF42" s="21" t="str">
        <f t="shared" si="19"/>
        <v/>
      </c>
      <c r="AG42" s="85" t="str">
        <f t="shared" si="20"/>
        <v/>
      </c>
    </row>
    <row r="43" spans="1:33" x14ac:dyDescent="0.25">
      <c r="A43" s="13">
        <f>WORKDAY(A44,1,JoursFeries!$B$3:$CH$15)</f>
        <v>42810</v>
      </c>
      <c r="B43" s="19" t="s">
        <v>116</v>
      </c>
      <c r="C43" s="19">
        <v>11</v>
      </c>
      <c r="E43" s="19">
        <v>1608</v>
      </c>
      <c r="F43" s="24">
        <f t="shared" si="3"/>
        <v>1366.7754796495424</v>
      </c>
      <c r="G43" s="16">
        <f t="shared" si="4"/>
        <v>241.22452035045762</v>
      </c>
      <c r="H43" s="15">
        <f t="shared" si="21"/>
        <v>146.18181818181819</v>
      </c>
      <c r="I43" s="15"/>
      <c r="J43" s="22">
        <v>478</v>
      </c>
      <c r="K43" s="21">
        <f t="shared" si="5"/>
        <v>43.454545454545453</v>
      </c>
      <c r="L43" s="23">
        <f t="shared" si="6"/>
        <v>0.29726368159203981</v>
      </c>
      <c r="M43" s="22">
        <v>191</v>
      </c>
      <c r="N43" s="21">
        <f t="shared" si="7"/>
        <v>17.363636363636363</v>
      </c>
      <c r="O43" s="23">
        <f t="shared" si="8"/>
        <v>0.11878109452736318</v>
      </c>
      <c r="P43" s="22">
        <v>332</v>
      </c>
      <c r="Q43" s="21">
        <f t="shared" si="9"/>
        <v>30.181818181818183</v>
      </c>
      <c r="R43" s="23">
        <f t="shared" si="10"/>
        <v>0.20646766169154229</v>
      </c>
      <c r="S43" s="22">
        <v>172</v>
      </c>
      <c r="T43" s="21">
        <f t="shared" si="11"/>
        <v>15.636363636363637</v>
      </c>
      <c r="U43" s="23">
        <f t="shared" si="12"/>
        <v>0.10696517412935323</v>
      </c>
      <c r="V43" s="22"/>
      <c r="W43" s="21" t="str">
        <f t="shared" si="13"/>
        <v/>
      </c>
      <c r="X43" s="23" t="str">
        <f t="shared" si="14"/>
        <v/>
      </c>
      <c r="Y43" s="22"/>
      <c r="Z43" s="21" t="str">
        <f t="shared" si="15"/>
        <v/>
      </c>
      <c r="AA43" s="23" t="str">
        <f t="shared" si="16"/>
        <v/>
      </c>
      <c r="AB43" s="22">
        <v>435</v>
      </c>
      <c r="AC43" s="21">
        <f t="shared" si="17"/>
        <v>39.545454545454547</v>
      </c>
      <c r="AD43" s="23">
        <f t="shared" si="18"/>
        <v>0.27052238805970147</v>
      </c>
      <c r="AE43" s="22"/>
      <c r="AF43" s="21" t="str">
        <f t="shared" si="19"/>
        <v/>
      </c>
      <c r="AG43" s="85" t="str">
        <f t="shared" si="20"/>
        <v/>
      </c>
    </row>
    <row r="44" spans="1:33" x14ac:dyDescent="0.25">
      <c r="A44" s="13">
        <f>WORKDAY(A45,1,JoursFeries!$B$3:$CH$15)</f>
        <v>42809</v>
      </c>
      <c r="B44" s="19" t="s">
        <v>116</v>
      </c>
      <c r="C44" s="19">
        <v>9.5</v>
      </c>
      <c r="E44" s="19">
        <v>1346</v>
      </c>
      <c r="F44" s="24">
        <f t="shared" si="3"/>
        <v>1180.3970051518775</v>
      </c>
      <c r="G44" s="16">
        <f t="shared" si="4"/>
        <v>165.60299484812253</v>
      </c>
      <c r="H44" s="15">
        <f t="shared" si="21"/>
        <v>141.68421052631578</v>
      </c>
      <c r="I44" s="15"/>
      <c r="J44" s="22">
        <v>362</v>
      </c>
      <c r="K44" s="21">
        <f t="shared" si="5"/>
        <v>38.10526315789474</v>
      </c>
      <c r="L44" s="23">
        <f t="shared" si="6"/>
        <v>0.2689450222882615</v>
      </c>
      <c r="M44" s="22">
        <v>176</v>
      </c>
      <c r="N44" s="21">
        <f t="shared" si="7"/>
        <v>18.526315789473685</v>
      </c>
      <c r="O44" s="23">
        <f t="shared" si="8"/>
        <v>0.13075780089153047</v>
      </c>
      <c r="P44" s="22">
        <v>249</v>
      </c>
      <c r="Q44" s="21">
        <f t="shared" si="9"/>
        <v>26.210526315789473</v>
      </c>
      <c r="R44" s="23">
        <f t="shared" si="10"/>
        <v>0.18499257057949481</v>
      </c>
      <c r="S44" s="22">
        <v>154</v>
      </c>
      <c r="T44" s="21">
        <f t="shared" si="11"/>
        <v>16.210526315789473</v>
      </c>
      <c r="U44" s="23">
        <f t="shared" si="12"/>
        <v>0.11441307578008915</v>
      </c>
      <c r="V44" s="22"/>
      <c r="W44" s="21" t="str">
        <f t="shared" si="13"/>
        <v/>
      </c>
      <c r="X44" s="23" t="str">
        <f t="shared" si="14"/>
        <v/>
      </c>
      <c r="Y44" s="22"/>
      <c r="Z44" s="21" t="str">
        <f t="shared" si="15"/>
        <v/>
      </c>
      <c r="AA44" s="23" t="str">
        <f t="shared" si="16"/>
        <v/>
      </c>
      <c r="AB44" s="22">
        <v>405</v>
      </c>
      <c r="AC44" s="21">
        <f t="shared" si="17"/>
        <v>42.631578947368418</v>
      </c>
      <c r="AD44" s="23">
        <f t="shared" si="18"/>
        <v>0.30089153046062406</v>
      </c>
      <c r="AE44" s="22"/>
      <c r="AF44" s="21" t="str">
        <f t="shared" si="19"/>
        <v/>
      </c>
      <c r="AG44" s="85" t="str">
        <f t="shared" si="20"/>
        <v/>
      </c>
    </row>
    <row r="45" spans="1:33" x14ac:dyDescent="0.25">
      <c r="A45" s="13">
        <f>WORKDAY(A46,1,JoursFeries!$B$3:$CH$15)</f>
        <v>42808</v>
      </c>
      <c r="B45" s="19" t="s">
        <v>116</v>
      </c>
      <c r="C45" s="19">
        <v>11</v>
      </c>
      <c r="E45" s="19">
        <v>1661</v>
      </c>
      <c r="F45" s="24">
        <f t="shared" si="3"/>
        <v>1366.7754796495424</v>
      </c>
      <c r="G45" s="16">
        <f t="shared" si="4"/>
        <v>294.22452035045762</v>
      </c>
      <c r="H45" s="15">
        <f t="shared" si="21"/>
        <v>151</v>
      </c>
      <c r="I45" s="15"/>
      <c r="J45" s="22">
        <v>475</v>
      </c>
      <c r="K45" s="21">
        <f t="shared" si="5"/>
        <v>43.18181818181818</v>
      </c>
      <c r="L45" s="23">
        <f t="shared" si="6"/>
        <v>0.2859723058398555</v>
      </c>
      <c r="M45" s="22">
        <v>216</v>
      </c>
      <c r="N45" s="21">
        <f t="shared" si="7"/>
        <v>19.636363636363637</v>
      </c>
      <c r="O45" s="23">
        <f t="shared" si="8"/>
        <v>0.13004214328717639</v>
      </c>
      <c r="P45" s="22">
        <v>313</v>
      </c>
      <c r="Q45" s="21">
        <f t="shared" ref="Q45:Q76" si="22">IF(ISBLANK(P45),"",P45/($C45-IF(ISBLANK($D45),0,$D45)))</f>
        <v>28.454545454545453</v>
      </c>
      <c r="R45" s="23">
        <f t="shared" si="10"/>
        <v>0.18844069837447322</v>
      </c>
      <c r="S45" s="22">
        <v>252</v>
      </c>
      <c r="T45" s="21">
        <f t="shared" ref="T45:T76" si="23">IF(ISBLANK(S45),"",S45/($C45-IF(ISBLANK($D45),0,$D45)))</f>
        <v>22.90909090909091</v>
      </c>
      <c r="U45" s="23">
        <f t="shared" si="12"/>
        <v>0.15171583383503914</v>
      </c>
      <c r="V45" s="22"/>
      <c r="W45" s="21" t="str">
        <f t="shared" ref="W45:W76" si="24">IF(ISBLANK(V45),"",V45/($C45-IF(ISBLANK($D45),0,$D45)))</f>
        <v/>
      </c>
      <c r="X45" s="23" t="str">
        <f t="shared" si="14"/>
        <v/>
      </c>
      <c r="Y45" s="22"/>
      <c r="Z45" s="21" t="str">
        <f t="shared" ref="Z45:Z76" si="25">IF(ISBLANK(Y45),"",Y45/($C45-IF(ISBLANK($D45),0,$D45)))</f>
        <v/>
      </c>
      <c r="AA45" s="23" t="str">
        <f t="shared" si="16"/>
        <v/>
      </c>
      <c r="AB45" s="22">
        <v>405</v>
      </c>
      <c r="AC45" s="21">
        <f t="shared" ref="AC45:AC76" si="26">IF(ISBLANK(AB45),"",AB45/($C45-IF(ISBLANK($D45),0,$D45)))</f>
        <v>36.81818181818182</v>
      </c>
      <c r="AD45" s="23">
        <f t="shared" si="18"/>
        <v>0.24382901866345574</v>
      </c>
      <c r="AE45" s="22"/>
      <c r="AF45" s="21" t="str">
        <f t="shared" ref="AF45:AF76" si="27">IF(ISBLANK(AE45),"",AE45/($C45-IF(ISBLANK($D45),0,$D45)))</f>
        <v/>
      </c>
      <c r="AG45" s="85" t="str">
        <f t="shared" si="20"/>
        <v/>
      </c>
    </row>
    <row r="46" spans="1:33" x14ac:dyDescent="0.25">
      <c r="A46" s="13">
        <f>WORKDAY(A47,1,JoursFeries!$B$3:$CH$15)</f>
        <v>42807</v>
      </c>
      <c r="B46" s="19" t="s">
        <v>116</v>
      </c>
      <c r="C46" s="19">
        <v>11</v>
      </c>
      <c r="E46" s="19">
        <v>1457</v>
      </c>
      <c r="F46" s="24">
        <f t="shared" si="3"/>
        <v>1366.7754796495424</v>
      </c>
      <c r="G46" s="16">
        <f t="shared" si="4"/>
        <v>90.224520350457624</v>
      </c>
      <c r="H46" s="15">
        <f t="shared" si="21"/>
        <v>132.45454545454547</v>
      </c>
      <c r="I46" s="15"/>
      <c r="J46" s="22">
        <v>415</v>
      </c>
      <c r="K46" s="21">
        <f t="shared" ref="K46:K77" si="28">IF(ISBLANK(J46),"",J46/(C46-IF(ISBLANK(D46),0,D46)))</f>
        <v>37.727272727272727</v>
      </c>
      <c r="L46" s="23">
        <f t="shared" si="6"/>
        <v>0.28483184625943719</v>
      </c>
      <c r="M46" s="22">
        <v>187</v>
      </c>
      <c r="N46" s="21">
        <f t="shared" si="7"/>
        <v>17</v>
      </c>
      <c r="O46" s="23">
        <f t="shared" si="8"/>
        <v>0.12834591626630062</v>
      </c>
      <c r="P46" s="22">
        <v>311</v>
      </c>
      <c r="Q46" s="21">
        <f t="shared" si="22"/>
        <v>28.272727272727273</v>
      </c>
      <c r="R46" s="23">
        <f t="shared" si="10"/>
        <v>0.21345229924502401</v>
      </c>
      <c r="S46" s="22">
        <v>154</v>
      </c>
      <c r="T46" s="21">
        <f t="shared" si="23"/>
        <v>14</v>
      </c>
      <c r="U46" s="23">
        <f t="shared" si="12"/>
        <v>0.10569663692518874</v>
      </c>
      <c r="V46" s="22"/>
      <c r="W46" s="21" t="str">
        <f t="shared" si="24"/>
        <v/>
      </c>
      <c r="X46" s="23" t="str">
        <f t="shared" si="14"/>
        <v/>
      </c>
      <c r="Y46" s="22"/>
      <c r="Z46" s="21" t="str">
        <f t="shared" si="25"/>
        <v/>
      </c>
      <c r="AA46" s="23" t="str">
        <f t="shared" si="16"/>
        <v/>
      </c>
      <c r="AB46" s="22">
        <v>390</v>
      </c>
      <c r="AC46" s="21">
        <f t="shared" si="26"/>
        <v>35.454545454545453</v>
      </c>
      <c r="AD46" s="23">
        <f t="shared" si="18"/>
        <v>0.26767330130404943</v>
      </c>
      <c r="AE46" s="22"/>
      <c r="AF46" s="21" t="str">
        <f t="shared" si="27"/>
        <v/>
      </c>
      <c r="AG46" s="85" t="str">
        <f t="shared" si="20"/>
        <v/>
      </c>
    </row>
    <row r="47" spans="1:33" x14ac:dyDescent="0.25">
      <c r="A47" s="13">
        <f>WORKDAY(A48,1,JoursFeries!$B$3:$CH$15)</f>
        <v>42804</v>
      </c>
      <c r="B47" s="19" t="s">
        <v>116</v>
      </c>
      <c r="C47" s="19">
        <v>11</v>
      </c>
      <c r="E47" s="19">
        <v>1699</v>
      </c>
      <c r="F47" s="24">
        <f t="shared" si="3"/>
        <v>1366.7754796495424</v>
      </c>
      <c r="G47" s="16">
        <f t="shared" si="4"/>
        <v>332.22452035045762</v>
      </c>
      <c r="H47" s="15">
        <f t="shared" si="21"/>
        <v>154.45454545454547</v>
      </c>
      <c r="I47" s="15"/>
      <c r="J47" s="22">
        <v>490</v>
      </c>
      <c r="K47" s="21">
        <f t="shared" si="28"/>
        <v>44.545454545454547</v>
      </c>
      <c r="L47" s="23">
        <f t="shared" si="6"/>
        <v>0.28840494408475575</v>
      </c>
      <c r="M47" s="22">
        <v>209</v>
      </c>
      <c r="N47" s="21">
        <f t="shared" si="7"/>
        <v>19</v>
      </c>
      <c r="O47" s="23">
        <f t="shared" si="8"/>
        <v>0.12301353737492643</v>
      </c>
      <c r="P47" s="22">
        <v>304</v>
      </c>
      <c r="Q47" s="21">
        <f t="shared" si="22"/>
        <v>27.636363636363637</v>
      </c>
      <c r="R47" s="23">
        <f t="shared" si="10"/>
        <v>0.17892878163625661</v>
      </c>
      <c r="S47" s="22">
        <v>196</v>
      </c>
      <c r="T47" s="21">
        <f t="shared" si="23"/>
        <v>17.818181818181817</v>
      </c>
      <c r="U47" s="23">
        <f t="shared" si="12"/>
        <v>0.1153619776339023</v>
      </c>
      <c r="V47" s="22"/>
      <c r="W47" s="21" t="str">
        <f t="shared" si="24"/>
        <v/>
      </c>
      <c r="X47" s="23" t="str">
        <f t="shared" si="14"/>
        <v/>
      </c>
      <c r="Y47" s="22"/>
      <c r="Z47" s="21" t="str">
        <f t="shared" si="25"/>
        <v/>
      </c>
      <c r="AA47" s="23" t="str">
        <f t="shared" si="16"/>
        <v/>
      </c>
      <c r="AB47" s="22">
        <v>500</v>
      </c>
      <c r="AC47" s="21">
        <f t="shared" si="26"/>
        <v>45.454545454545453</v>
      </c>
      <c r="AD47" s="23">
        <f t="shared" si="18"/>
        <v>0.29429075927015891</v>
      </c>
      <c r="AE47" s="22"/>
      <c r="AF47" s="21" t="str">
        <f t="shared" si="27"/>
        <v/>
      </c>
      <c r="AG47" s="85" t="str">
        <f t="shared" si="20"/>
        <v/>
      </c>
    </row>
    <row r="48" spans="1:33" x14ac:dyDescent="0.25">
      <c r="A48" s="13">
        <f>WORKDAY(A49,1,JoursFeries!$B$3:$CH$15)</f>
        <v>42803</v>
      </c>
      <c r="B48" s="19" t="s">
        <v>116</v>
      </c>
      <c r="C48" s="19">
        <v>11</v>
      </c>
      <c r="E48" s="19">
        <v>1433</v>
      </c>
      <c r="F48" s="24">
        <f t="shared" si="3"/>
        <v>1366.7754796495424</v>
      </c>
      <c r="G48" s="16">
        <f t="shared" si="4"/>
        <v>66.224520350457624</v>
      </c>
      <c r="H48" s="15">
        <f t="shared" si="21"/>
        <v>130.27272727272728</v>
      </c>
      <c r="I48" s="15"/>
      <c r="J48" s="22">
        <v>494</v>
      </c>
      <c r="K48" s="21">
        <f t="shared" si="28"/>
        <v>44.909090909090907</v>
      </c>
      <c r="L48" s="23">
        <f t="shared" si="6"/>
        <v>0.34473133286810886</v>
      </c>
      <c r="M48" s="22">
        <v>202</v>
      </c>
      <c r="N48" s="21">
        <f t="shared" si="7"/>
        <v>18.363636363636363</v>
      </c>
      <c r="O48" s="23">
        <f t="shared" si="8"/>
        <v>0.14096301465457084</v>
      </c>
      <c r="P48" s="22">
        <v>315</v>
      </c>
      <c r="Q48" s="21">
        <f t="shared" si="22"/>
        <v>28.636363636363637</v>
      </c>
      <c r="R48" s="23">
        <f t="shared" si="10"/>
        <v>0.2198185624563852</v>
      </c>
      <c r="S48" s="22">
        <v>100</v>
      </c>
      <c r="T48" s="21">
        <f t="shared" si="23"/>
        <v>9.0909090909090917</v>
      </c>
      <c r="U48" s="23">
        <f t="shared" si="12"/>
        <v>6.978367062107467E-2</v>
      </c>
      <c r="V48" s="22"/>
      <c r="W48" s="21" t="str">
        <f t="shared" si="24"/>
        <v/>
      </c>
      <c r="X48" s="23" t="str">
        <f t="shared" si="14"/>
        <v/>
      </c>
      <c r="Y48" s="22"/>
      <c r="Z48" s="21" t="str">
        <f t="shared" si="25"/>
        <v/>
      </c>
      <c r="AA48" s="23" t="str">
        <f t="shared" si="16"/>
        <v/>
      </c>
      <c r="AB48" s="22">
        <v>322</v>
      </c>
      <c r="AC48" s="21">
        <f t="shared" si="26"/>
        <v>29.272727272727273</v>
      </c>
      <c r="AD48" s="23">
        <f t="shared" si="18"/>
        <v>0.22470341939986044</v>
      </c>
      <c r="AE48" s="22"/>
      <c r="AF48" s="21" t="str">
        <f t="shared" si="27"/>
        <v/>
      </c>
      <c r="AG48" s="85" t="str">
        <f t="shared" si="20"/>
        <v/>
      </c>
    </row>
    <row r="49" spans="1:33" x14ac:dyDescent="0.25">
      <c r="A49" s="13">
        <f>WORKDAY(A50,1,JoursFeries!$B$3:$CH$15)</f>
        <v>42802</v>
      </c>
      <c r="B49" s="19" t="s">
        <v>116</v>
      </c>
      <c r="C49" s="19">
        <v>11</v>
      </c>
      <c r="E49" s="19">
        <v>1486</v>
      </c>
      <c r="F49" s="24">
        <f t="shared" si="3"/>
        <v>1366.7754796495424</v>
      </c>
      <c r="G49" s="16">
        <f t="shared" si="4"/>
        <v>119.22452035045762</v>
      </c>
      <c r="H49" s="15">
        <f t="shared" si="21"/>
        <v>135.09090909090909</v>
      </c>
      <c r="I49" s="15"/>
      <c r="J49" s="22">
        <v>429</v>
      </c>
      <c r="K49" s="21">
        <f t="shared" si="28"/>
        <v>39</v>
      </c>
      <c r="L49" s="23">
        <f t="shared" si="6"/>
        <v>0.28869448183041724</v>
      </c>
      <c r="M49" s="22">
        <v>172</v>
      </c>
      <c r="N49" s="21">
        <f t="shared" si="7"/>
        <v>15.636363636363637</v>
      </c>
      <c r="O49" s="23">
        <f t="shared" si="8"/>
        <v>0.11574697173620457</v>
      </c>
      <c r="P49" s="22">
        <v>317</v>
      </c>
      <c r="Q49" s="21">
        <f t="shared" si="22"/>
        <v>28.818181818181817</v>
      </c>
      <c r="R49" s="23">
        <f t="shared" si="10"/>
        <v>0.21332436069986541</v>
      </c>
      <c r="S49" s="22">
        <v>198</v>
      </c>
      <c r="T49" s="21">
        <f t="shared" si="23"/>
        <v>18</v>
      </c>
      <c r="U49" s="23">
        <f t="shared" si="12"/>
        <v>0.13324360699865412</v>
      </c>
      <c r="V49" s="22"/>
      <c r="W49" s="21" t="str">
        <f t="shared" si="24"/>
        <v/>
      </c>
      <c r="X49" s="23" t="str">
        <f t="shared" si="14"/>
        <v/>
      </c>
      <c r="Y49" s="22"/>
      <c r="Z49" s="21" t="str">
        <f t="shared" si="25"/>
        <v/>
      </c>
      <c r="AA49" s="23" t="str">
        <f t="shared" si="16"/>
        <v/>
      </c>
      <c r="AB49" s="22">
        <v>370</v>
      </c>
      <c r="AC49" s="21">
        <f t="shared" si="26"/>
        <v>33.636363636363633</v>
      </c>
      <c r="AD49" s="23">
        <f t="shared" si="18"/>
        <v>0.24899057873485869</v>
      </c>
      <c r="AE49" s="22"/>
      <c r="AF49" s="21" t="str">
        <f t="shared" si="27"/>
        <v/>
      </c>
      <c r="AG49" s="85" t="str">
        <f t="shared" si="20"/>
        <v/>
      </c>
    </row>
    <row r="50" spans="1:33" x14ac:dyDescent="0.25">
      <c r="A50" s="13">
        <f>WORKDAY(A51,1,JoursFeries!$B$3:$CH$15)</f>
        <v>42801</v>
      </c>
      <c r="B50" s="19" t="s">
        <v>116</v>
      </c>
      <c r="C50" s="19">
        <v>12</v>
      </c>
      <c r="E50" s="19">
        <f>-14+1610</f>
        <v>1596</v>
      </c>
      <c r="F50" s="24">
        <f t="shared" si="3"/>
        <v>1491.0277959813188</v>
      </c>
      <c r="G50" s="16">
        <f t="shared" si="4"/>
        <v>104.97220401868117</v>
      </c>
      <c r="H50" s="15">
        <f t="shared" si="21"/>
        <v>133</v>
      </c>
      <c r="I50" s="15"/>
      <c r="J50" s="22">
        <v>390</v>
      </c>
      <c r="K50" s="21">
        <f t="shared" si="28"/>
        <v>32.5</v>
      </c>
      <c r="L50" s="23">
        <f t="shared" si="6"/>
        <v>0.24436090225563908</v>
      </c>
      <c r="M50" s="22">
        <v>182</v>
      </c>
      <c r="N50" s="21">
        <f t="shared" si="7"/>
        <v>15.166666666666666</v>
      </c>
      <c r="O50" s="23">
        <f t="shared" si="8"/>
        <v>0.11403508771929824</v>
      </c>
      <c r="P50" s="22">
        <v>322</v>
      </c>
      <c r="Q50" s="21">
        <f t="shared" si="22"/>
        <v>26.833333333333332</v>
      </c>
      <c r="R50" s="23">
        <f t="shared" si="10"/>
        <v>0.20175438596491227</v>
      </c>
      <c r="S50" s="22">
        <v>184</v>
      </c>
      <c r="T50" s="21">
        <f t="shared" si="23"/>
        <v>15.333333333333334</v>
      </c>
      <c r="U50" s="23">
        <f t="shared" si="12"/>
        <v>0.11528822055137844</v>
      </c>
      <c r="V50" s="22"/>
      <c r="W50" s="21" t="str">
        <f t="shared" si="24"/>
        <v/>
      </c>
      <c r="X50" s="23" t="str">
        <f t="shared" si="14"/>
        <v/>
      </c>
      <c r="Y50" s="22"/>
      <c r="Z50" s="21" t="str">
        <f t="shared" si="25"/>
        <v/>
      </c>
      <c r="AA50" s="23" t="str">
        <f t="shared" si="16"/>
        <v/>
      </c>
      <c r="AB50" s="22">
        <v>518</v>
      </c>
      <c r="AC50" s="21">
        <f t="shared" si="26"/>
        <v>43.166666666666664</v>
      </c>
      <c r="AD50" s="23">
        <f t="shared" si="18"/>
        <v>0.32456140350877194</v>
      </c>
      <c r="AE50" s="22"/>
      <c r="AF50" s="21" t="str">
        <f t="shared" si="27"/>
        <v/>
      </c>
      <c r="AG50" s="85" t="str">
        <f t="shared" si="20"/>
        <v/>
      </c>
    </row>
    <row r="51" spans="1:33" x14ac:dyDescent="0.25">
      <c r="A51" s="13">
        <f>WORKDAY(A52,1,JoursFeries!$B$3:$CH$15)</f>
        <v>42800</v>
      </c>
      <c r="F51" s="24" t="str">
        <f t="shared" si="3"/>
        <v/>
      </c>
      <c r="G51" s="16" t="str">
        <f t="shared" si="4"/>
        <v/>
      </c>
      <c r="H51" s="15" t="str">
        <f t="shared" si="21"/>
        <v xml:space="preserve"> </v>
      </c>
      <c r="I51" s="15"/>
      <c r="J51" s="22"/>
      <c r="K51" s="21" t="str">
        <f t="shared" si="28"/>
        <v/>
      </c>
      <c r="L51" s="23" t="str">
        <f t="shared" si="6"/>
        <v/>
      </c>
      <c r="M51" s="22"/>
      <c r="N51" s="21" t="str">
        <f t="shared" si="7"/>
        <v/>
      </c>
      <c r="O51" s="23" t="str">
        <f t="shared" si="8"/>
        <v/>
      </c>
      <c r="P51" s="22"/>
      <c r="Q51" s="21" t="str">
        <f t="shared" si="22"/>
        <v/>
      </c>
      <c r="R51" s="23" t="str">
        <f t="shared" si="10"/>
        <v/>
      </c>
      <c r="S51" s="22"/>
      <c r="T51" s="21" t="str">
        <f t="shared" si="23"/>
        <v/>
      </c>
      <c r="U51" s="23" t="str">
        <f t="shared" si="12"/>
        <v/>
      </c>
      <c r="V51" s="22"/>
      <c r="W51" s="21" t="str">
        <f t="shared" si="24"/>
        <v/>
      </c>
      <c r="X51" s="23" t="str">
        <f t="shared" si="14"/>
        <v/>
      </c>
      <c r="Y51" s="22"/>
      <c r="Z51" s="21" t="str">
        <f t="shared" si="25"/>
        <v/>
      </c>
      <c r="AA51" s="23" t="str">
        <f t="shared" si="16"/>
        <v/>
      </c>
      <c r="AB51" s="22"/>
      <c r="AC51" s="21" t="str">
        <f t="shared" si="26"/>
        <v/>
      </c>
      <c r="AD51" s="23" t="str">
        <f t="shared" si="18"/>
        <v/>
      </c>
      <c r="AE51" s="22"/>
      <c r="AF51" s="21" t="str">
        <f t="shared" si="27"/>
        <v/>
      </c>
      <c r="AG51" s="85" t="str">
        <f t="shared" si="20"/>
        <v/>
      </c>
    </row>
    <row r="52" spans="1:33" x14ac:dyDescent="0.25">
      <c r="A52" s="13">
        <f>WORKDAY(A53,1,JoursFeries!$B$3:$CH$15)</f>
        <v>42797</v>
      </c>
      <c r="B52" s="19" t="s">
        <v>120</v>
      </c>
      <c r="C52" s="19">
        <v>4</v>
      </c>
      <c r="E52" s="19">
        <f>-70+714</f>
        <v>644</v>
      </c>
      <c r="F52" s="24">
        <f t="shared" si="3"/>
        <v>604.66139340494897</v>
      </c>
      <c r="G52" s="16">
        <f t="shared" si="4"/>
        <v>39.338606595051033</v>
      </c>
      <c r="H52" s="15">
        <f t="shared" si="21"/>
        <v>161</v>
      </c>
      <c r="I52" s="15"/>
      <c r="J52" s="22">
        <v>70</v>
      </c>
      <c r="K52" s="21">
        <f t="shared" si="28"/>
        <v>17.5</v>
      </c>
      <c r="L52" s="23">
        <f t="shared" si="6"/>
        <v>0.10869565217391304</v>
      </c>
      <c r="M52" s="22">
        <v>84</v>
      </c>
      <c r="N52" s="21">
        <f t="shared" si="7"/>
        <v>21</v>
      </c>
      <c r="O52" s="23">
        <f t="shared" si="8"/>
        <v>0.13043478260869565</v>
      </c>
      <c r="P52" s="22">
        <v>126</v>
      </c>
      <c r="Q52" s="21">
        <f t="shared" si="22"/>
        <v>31.5</v>
      </c>
      <c r="R52" s="23">
        <f t="shared" si="10"/>
        <v>0.19565217391304349</v>
      </c>
      <c r="S52" s="22"/>
      <c r="T52" s="21" t="str">
        <f t="shared" si="23"/>
        <v/>
      </c>
      <c r="U52" s="23" t="str">
        <f t="shared" si="12"/>
        <v/>
      </c>
      <c r="V52" s="22"/>
      <c r="W52" s="21" t="str">
        <f t="shared" si="24"/>
        <v/>
      </c>
      <c r="X52" s="23" t="str">
        <f t="shared" si="14"/>
        <v/>
      </c>
      <c r="Y52" s="22"/>
      <c r="Z52" s="21" t="str">
        <f t="shared" si="25"/>
        <v/>
      </c>
      <c r="AA52" s="23" t="str">
        <f t="shared" si="16"/>
        <v/>
      </c>
      <c r="AB52" s="22">
        <v>196</v>
      </c>
      <c r="AC52" s="21">
        <f t="shared" si="26"/>
        <v>49</v>
      </c>
      <c r="AD52" s="23">
        <f t="shared" si="18"/>
        <v>0.30434782608695654</v>
      </c>
      <c r="AE52" s="22"/>
      <c r="AF52" s="21" t="str">
        <f t="shared" si="27"/>
        <v/>
      </c>
      <c r="AG52" s="85" t="str">
        <f t="shared" si="20"/>
        <v/>
      </c>
    </row>
    <row r="53" spans="1:33" x14ac:dyDescent="0.25">
      <c r="A53" s="13">
        <f>WORKDAY(A54,1,JoursFeries!$B$3:$CH$15)</f>
        <v>42796</v>
      </c>
      <c r="B53" s="19" t="s">
        <v>120</v>
      </c>
      <c r="C53" s="19">
        <v>11</v>
      </c>
      <c r="E53" s="19">
        <v>2002</v>
      </c>
      <c r="F53" s="24">
        <f t="shared" si="3"/>
        <v>1662.8188318636096</v>
      </c>
      <c r="G53" s="16">
        <f t="shared" si="4"/>
        <v>339.1811681363904</v>
      </c>
      <c r="H53" s="15">
        <f t="shared" si="21"/>
        <v>182</v>
      </c>
      <c r="I53" s="15"/>
      <c r="J53" s="22">
        <v>182</v>
      </c>
      <c r="K53" s="21">
        <f t="shared" si="28"/>
        <v>16.545454545454547</v>
      </c>
      <c r="L53" s="23">
        <f t="shared" si="6"/>
        <v>9.0909090909090912E-2</v>
      </c>
      <c r="M53" s="22">
        <v>154</v>
      </c>
      <c r="N53" s="21">
        <f t="shared" si="7"/>
        <v>14</v>
      </c>
      <c r="O53" s="23">
        <f t="shared" si="8"/>
        <v>7.6923076923076927E-2</v>
      </c>
      <c r="P53" s="22">
        <v>252</v>
      </c>
      <c r="Q53" s="21">
        <f t="shared" si="22"/>
        <v>22.90909090909091</v>
      </c>
      <c r="R53" s="23">
        <f t="shared" si="10"/>
        <v>0.12587412587412589</v>
      </c>
      <c r="S53" s="22"/>
      <c r="T53" s="21" t="str">
        <f t="shared" si="23"/>
        <v/>
      </c>
      <c r="U53" s="23" t="str">
        <f t="shared" si="12"/>
        <v/>
      </c>
      <c r="V53" s="22"/>
      <c r="W53" s="21" t="str">
        <f t="shared" si="24"/>
        <v/>
      </c>
      <c r="X53" s="23" t="str">
        <f t="shared" si="14"/>
        <v/>
      </c>
      <c r="Y53" s="22"/>
      <c r="Z53" s="21" t="str">
        <f t="shared" si="25"/>
        <v/>
      </c>
      <c r="AA53" s="23" t="str">
        <f t="shared" si="16"/>
        <v/>
      </c>
      <c r="AB53" s="22">
        <v>560</v>
      </c>
      <c r="AC53" s="21">
        <f t="shared" si="26"/>
        <v>50.909090909090907</v>
      </c>
      <c r="AD53" s="23">
        <f t="shared" si="18"/>
        <v>0.27972027972027974</v>
      </c>
      <c r="AE53" s="22"/>
      <c r="AF53" s="21" t="str">
        <f t="shared" si="27"/>
        <v/>
      </c>
      <c r="AG53" s="85" t="str">
        <f t="shared" si="20"/>
        <v/>
      </c>
    </row>
    <row r="54" spans="1:33" x14ac:dyDescent="0.25">
      <c r="A54" s="13">
        <f>WORKDAY(A55,1,JoursFeries!$B$3:$CH$15)</f>
        <v>42795</v>
      </c>
      <c r="B54" s="19" t="s">
        <v>120</v>
      </c>
      <c r="C54" s="19">
        <v>11</v>
      </c>
      <c r="E54" s="19">
        <v>1568</v>
      </c>
      <c r="F54" s="24">
        <f t="shared" si="3"/>
        <v>1662.8188318636096</v>
      </c>
      <c r="G54" s="16">
        <f t="shared" si="4"/>
        <v>-94.818831863609603</v>
      </c>
      <c r="H54" s="15">
        <f t="shared" si="21"/>
        <v>142.54545454545453</v>
      </c>
      <c r="I54" s="15"/>
      <c r="J54" s="22">
        <v>112</v>
      </c>
      <c r="K54" s="21">
        <f t="shared" si="28"/>
        <v>10.181818181818182</v>
      </c>
      <c r="L54" s="23">
        <f t="shared" si="6"/>
        <v>7.1428571428571425E-2</v>
      </c>
      <c r="M54" s="22">
        <v>98</v>
      </c>
      <c r="N54" s="21">
        <f t="shared" si="7"/>
        <v>8.9090909090909083</v>
      </c>
      <c r="O54" s="23">
        <f t="shared" si="8"/>
        <v>6.25E-2</v>
      </c>
      <c r="P54" s="22">
        <v>168</v>
      </c>
      <c r="Q54" s="21">
        <f t="shared" si="22"/>
        <v>15.272727272727273</v>
      </c>
      <c r="R54" s="23">
        <f t="shared" si="10"/>
        <v>0.10714285714285714</v>
      </c>
      <c r="S54" s="22"/>
      <c r="T54" s="21" t="str">
        <f t="shared" si="23"/>
        <v/>
      </c>
      <c r="U54" s="23" t="str">
        <f t="shared" si="12"/>
        <v/>
      </c>
      <c r="V54" s="22"/>
      <c r="W54" s="21" t="str">
        <f t="shared" si="24"/>
        <v/>
      </c>
      <c r="X54" s="23" t="str">
        <f t="shared" si="14"/>
        <v/>
      </c>
      <c r="Y54" s="22"/>
      <c r="Z54" s="21" t="str">
        <f t="shared" si="25"/>
        <v/>
      </c>
      <c r="AA54" s="23" t="str">
        <f t="shared" si="16"/>
        <v/>
      </c>
      <c r="AB54" s="22">
        <v>462</v>
      </c>
      <c r="AC54" s="21">
        <f t="shared" si="26"/>
        <v>42</v>
      </c>
      <c r="AD54" s="23">
        <f t="shared" si="18"/>
        <v>0.29464285714285715</v>
      </c>
      <c r="AE54" s="22"/>
      <c r="AF54" s="21" t="str">
        <f t="shared" si="27"/>
        <v/>
      </c>
      <c r="AG54" s="85" t="str">
        <f t="shared" si="20"/>
        <v/>
      </c>
    </row>
    <row r="55" spans="1:33" x14ac:dyDescent="0.25">
      <c r="A55" s="13">
        <f>WORKDAY(A56,1,JoursFeries!$B$3:$CH$15)</f>
        <v>42794</v>
      </c>
      <c r="B55" s="19" t="s">
        <v>120</v>
      </c>
      <c r="C55" s="19">
        <v>11</v>
      </c>
      <c r="E55" s="19">
        <v>1442</v>
      </c>
      <c r="F55" s="24">
        <f t="shared" si="3"/>
        <v>1662.8188318636096</v>
      </c>
      <c r="G55" s="16">
        <f t="shared" si="4"/>
        <v>-220.8188318636096</v>
      </c>
      <c r="H55" s="15">
        <f t="shared" si="21"/>
        <v>131.09090909090909</v>
      </c>
      <c r="I55" s="15"/>
      <c r="J55" s="22">
        <v>154</v>
      </c>
      <c r="K55" s="21">
        <f t="shared" si="28"/>
        <v>14</v>
      </c>
      <c r="L55" s="23">
        <f t="shared" si="6"/>
        <v>0.10679611650485436</v>
      </c>
      <c r="M55" s="22">
        <v>154</v>
      </c>
      <c r="N55" s="21">
        <f t="shared" si="7"/>
        <v>14</v>
      </c>
      <c r="O55" s="23">
        <f t="shared" si="8"/>
        <v>0.10679611650485436</v>
      </c>
      <c r="P55" s="22">
        <v>252</v>
      </c>
      <c r="Q55" s="21">
        <f t="shared" si="22"/>
        <v>22.90909090909091</v>
      </c>
      <c r="R55" s="23">
        <f t="shared" si="10"/>
        <v>0.17475728155339806</v>
      </c>
      <c r="S55" s="22"/>
      <c r="T55" s="21" t="str">
        <f t="shared" si="23"/>
        <v/>
      </c>
      <c r="U55" s="23" t="str">
        <f t="shared" si="12"/>
        <v/>
      </c>
      <c r="V55" s="22"/>
      <c r="W55" s="21" t="str">
        <f t="shared" si="24"/>
        <v/>
      </c>
      <c r="X55" s="23" t="str">
        <f t="shared" si="14"/>
        <v/>
      </c>
      <c r="Y55" s="22"/>
      <c r="Z55" s="21" t="str">
        <f t="shared" si="25"/>
        <v/>
      </c>
      <c r="AA55" s="23" t="str">
        <f t="shared" si="16"/>
        <v/>
      </c>
      <c r="AB55" s="22">
        <v>364</v>
      </c>
      <c r="AC55" s="21">
        <f t="shared" si="26"/>
        <v>33.090909090909093</v>
      </c>
      <c r="AD55" s="23">
        <f t="shared" si="18"/>
        <v>0.25242718446601942</v>
      </c>
      <c r="AE55" s="22">
        <v>518</v>
      </c>
      <c r="AF55" s="21">
        <f t="shared" si="27"/>
        <v>47.090909090909093</v>
      </c>
      <c r="AG55" s="85">
        <f t="shared" si="20"/>
        <v>0.35922330097087379</v>
      </c>
    </row>
    <row r="56" spans="1:33" x14ac:dyDescent="0.25">
      <c r="A56" s="13">
        <f>WORKDAY(A57,1,JoursFeries!$B$3:$CH$15)</f>
        <v>42793</v>
      </c>
      <c r="B56" s="19" t="s">
        <v>120</v>
      </c>
      <c r="C56" s="19">
        <v>9</v>
      </c>
      <c r="E56" s="19">
        <v>588</v>
      </c>
      <c r="F56" s="24">
        <f t="shared" si="3"/>
        <v>1360.4881351611352</v>
      </c>
      <c r="G56" s="16">
        <f t="shared" si="4"/>
        <v>-772.48813516113523</v>
      </c>
      <c r="H56" s="15">
        <f t="shared" si="21"/>
        <v>65.333333333333329</v>
      </c>
      <c r="I56" s="15"/>
      <c r="J56" s="22">
        <v>98</v>
      </c>
      <c r="K56" s="21">
        <f t="shared" si="28"/>
        <v>10.888888888888889</v>
      </c>
      <c r="L56" s="23">
        <f t="shared" si="6"/>
        <v>0.16666666666666666</v>
      </c>
      <c r="M56" s="22">
        <v>56</v>
      </c>
      <c r="N56" s="21">
        <f t="shared" si="7"/>
        <v>6.2222222222222223</v>
      </c>
      <c r="O56" s="23">
        <f t="shared" si="8"/>
        <v>9.5238095238095233E-2</v>
      </c>
      <c r="P56" s="22">
        <v>140</v>
      </c>
      <c r="Q56" s="21">
        <f t="shared" si="22"/>
        <v>15.555555555555555</v>
      </c>
      <c r="R56" s="23">
        <f t="shared" si="10"/>
        <v>0.23809523809523808</v>
      </c>
      <c r="S56" s="22"/>
      <c r="T56" s="21" t="str">
        <f t="shared" si="23"/>
        <v/>
      </c>
      <c r="U56" s="23" t="str">
        <f t="shared" si="12"/>
        <v/>
      </c>
      <c r="V56" s="22"/>
      <c r="W56" s="21" t="str">
        <f t="shared" si="24"/>
        <v/>
      </c>
      <c r="X56" s="23" t="str">
        <f t="shared" si="14"/>
        <v/>
      </c>
      <c r="Y56" s="22"/>
      <c r="Z56" s="21" t="str">
        <f t="shared" si="25"/>
        <v/>
      </c>
      <c r="AA56" s="23" t="str">
        <f t="shared" si="16"/>
        <v/>
      </c>
      <c r="AB56" s="22">
        <v>182</v>
      </c>
      <c r="AC56" s="21">
        <f t="shared" si="26"/>
        <v>20.222222222222221</v>
      </c>
      <c r="AD56" s="23">
        <f t="shared" si="18"/>
        <v>0.30952380952380953</v>
      </c>
      <c r="AE56" s="88">
        <v>112</v>
      </c>
      <c r="AF56" s="21">
        <f t="shared" si="27"/>
        <v>12.444444444444445</v>
      </c>
      <c r="AG56" s="85">
        <f t="shared" si="20"/>
        <v>0.19047619047619047</v>
      </c>
    </row>
    <row r="57" spans="1:33" x14ac:dyDescent="0.25">
      <c r="A57" s="13">
        <f>WORKDAY(A58,1,JoursFeries!$B$3:$CH$15)</f>
        <v>42790</v>
      </c>
      <c r="B57" s="19" t="s">
        <v>120</v>
      </c>
      <c r="C57" s="19">
        <v>11</v>
      </c>
      <c r="E57" s="19">
        <v>1302</v>
      </c>
      <c r="F57" s="24">
        <f t="shared" si="3"/>
        <v>1662.8188318636096</v>
      </c>
      <c r="G57" s="16">
        <f t="shared" si="4"/>
        <v>-360.8188318636096</v>
      </c>
      <c r="H57" s="15">
        <f t="shared" si="21"/>
        <v>118.36363636363636</v>
      </c>
      <c r="I57" s="15"/>
      <c r="J57" s="22">
        <v>140</v>
      </c>
      <c r="K57" s="21">
        <f t="shared" si="28"/>
        <v>12.727272727272727</v>
      </c>
      <c r="L57" s="23">
        <f t="shared" si="6"/>
        <v>0.10752688172043011</v>
      </c>
      <c r="M57" s="22">
        <v>126</v>
      </c>
      <c r="N57" s="21">
        <f t="shared" si="7"/>
        <v>11.454545454545455</v>
      </c>
      <c r="O57" s="23">
        <f t="shared" si="8"/>
        <v>9.6774193548387094E-2</v>
      </c>
      <c r="P57" s="22">
        <v>168</v>
      </c>
      <c r="Q57" s="21">
        <f t="shared" si="22"/>
        <v>15.272727272727273</v>
      </c>
      <c r="R57" s="23">
        <f t="shared" si="10"/>
        <v>0.12903225806451613</v>
      </c>
      <c r="S57" s="22"/>
      <c r="T57" s="21" t="str">
        <f t="shared" si="23"/>
        <v/>
      </c>
      <c r="U57" s="23" t="str">
        <f t="shared" si="12"/>
        <v/>
      </c>
      <c r="V57" s="22"/>
      <c r="W57" s="21" t="str">
        <f t="shared" si="24"/>
        <v/>
      </c>
      <c r="X57" s="23" t="str">
        <f t="shared" si="14"/>
        <v/>
      </c>
      <c r="Y57" s="22"/>
      <c r="Z57" s="21" t="str">
        <f t="shared" si="25"/>
        <v/>
      </c>
      <c r="AA57" s="23" t="str">
        <f t="shared" si="16"/>
        <v/>
      </c>
      <c r="AB57" s="22">
        <v>378</v>
      </c>
      <c r="AC57" s="21">
        <f t="shared" si="26"/>
        <v>34.363636363636367</v>
      </c>
      <c r="AD57" s="23">
        <f t="shared" si="18"/>
        <v>0.29032258064516131</v>
      </c>
      <c r="AE57" s="22">
        <v>490</v>
      </c>
      <c r="AF57" s="21">
        <f t="shared" si="27"/>
        <v>44.545454545454547</v>
      </c>
      <c r="AG57" s="85">
        <f t="shared" si="20"/>
        <v>0.37634408602150538</v>
      </c>
    </row>
    <row r="58" spans="1:33" x14ac:dyDescent="0.25">
      <c r="A58" s="13">
        <f>WORKDAY(A59,1,JoursFeries!$B$3:$CH$15)</f>
        <v>42789</v>
      </c>
      <c r="B58" s="19" t="s">
        <v>120</v>
      </c>
      <c r="C58" s="19">
        <v>11</v>
      </c>
      <c r="E58" s="19">
        <f>-70+1596</f>
        <v>1526</v>
      </c>
      <c r="F58" s="24">
        <f t="shared" si="3"/>
        <v>1662.8188318636096</v>
      </c>
      <c r="G58" s="16">
        <f t="shared" si="4"/>
        <v>-136.8188318636096</v>
      </c>
      <c r="H58" s="15">
        <f t="shared" si="21"/>
        <v>138.72727272727272</v>
      </c>
      <c r="I58" s="15"/>
      <c r="J58" s="22">
        <v>98</v>
      </c>
      <c r="K58" s="21">
        <f t="shared" si="28"/>
        <v>8.9090909090909083</v>
      </c>
      <c r="L58" s="23">
        <f t="shared" si="6"/>
        <v>6.4220183486238536E-2</v>
      </c>
      <c r="M58" s="22">
        <v>84</v>
      </c>
      <c r="N58" s="21">
        <f t="shared" si="7"/>
        <v>7.6363636363636367</v>
      </c>
      <c r="O58" s="23">
        <f t="shared" si="8"/>
        <v>5.5045871559633031E-2</v>
      </c>
      <c r="P58" s="22">
        <v>126</v>
      </c>
      <c r="Q58" s="21">
        <f t="shared" si="22"/>
        <v>11.454545454545455</v>
      </c>
      <c r="R58" s="23">
        <f t="shared" si="10"/>
        <v>8.2568807339449546E-2</v>
      </c>
      <c r="S58" s="22"/>
      <c r="T58" s="21" t="str">
        <f t="shared" si="23"/>
        <v/>
      </c>
      <c r="U58" s="23" t="str">
        <f t="shared" si="12"/>
        <v/>
      </c>
      <c r="V58" s="22"/>
      <c r="W58" s="21" t="str">
        <f t="shared" si="24"/>
        <v/>
      </c>
      <c r="X58" s="23" t="str">
        <f t="shared" si="14"/>
        <v/>
      </c>
      <c r="Y58" s="22"/>
      <c r="Z58" s="21" t="str">
        <f t="shared" si="25"/>
        <v/>
      </c>
      <c r="AA58" s="23" t="str">
        <f t="shared" si="16"/>
        <v/>
      </c>
      <c r="AB58" s="22">
        <v>490</v>
      </c>
      <c r="AC58" s="21">
        <f t="shared" si="26"/>
        <v>44.545454545454547</v>
      </c>
      <c r="AD58" s="23">
        <f t="shared" si="18"/>
        <v>0.32110091743119268</v>
      </c>
      <c r="AE58" s="22">
        <v>728</v>
      </c>
      <c r="AF58" s="21">
        <f t="shared" si="27"/>
        <v>66.181818181818187</v>
      </c>
      <c r="AG58" s="85">
        <f t="shared" si="20"/>
        <v>0.47706422018348627</v>
      </c>
    </row>
    <row r="59" spans="1:33" x14ac:dyDescent="0.25">
      <c r="A59" s="13">
        <f>WORKDAY(A60,1,JoursFeries!$B$3:$CH$15)</f>
        <v>42788</v>
      </c>
      <c r="B59" s="19" t="s">
        <v>120</v>
      </c>
      <c r="C59" s="19">
        <v>11</v>
      </c>
      <c r="E59" s="19">
        <v>1788</v>
      </c>
      <c r="F59" s="24">
        <f t="shared" si="3"/>
        <v>1662.8188318636096</v>
      </c>
      <c r="G59" s="16">
        <f t="shared" si="4"/>
        <v>125.1811681363904</v>
      </c>
      <c r="H59" s="15">
        <f t="shared" si="21"/>
        <v>162.54545454545453</v>
      </c>
      <c r="I59" s="15"/>
      <c r="J59" s="22">
        <v>122</v>
      </c>
      <c r="K59" s="21">
        <f t="shared" si="28"/>
        <v>11.090909090909092</v>
      </c>
      <c r="L59" s="23">
        <f t="shared" si="6"/>
        <v>6.8232662192393739E-2</v>
      </c>
      <c r="M59" s="22">
        <v>112</v>
      </c>
      <c r="N59" s="21">
        <f t="shared" si="7"/>
        <v>10.181818181818182</v>
      </c>
      <c r="O59" s="23">
        <f t="shared" si="8"/>
        <v>6.2639821029082776E-2</v>
      </c>
      <c r="P59" s="22">
        <v>224</v>
      </c>
      <c r="Q59" s="21">
        <f t="shared" si="22"/>
        <v>20.363636363636363</v>
      </c>
      <c r="R59" s="23">
        <f t="shared" si="10"/>
        <v>0.12527964205816555</v>
      </c>
      <c r="S59" s="22"/>
      <c r="T59" s="21" t="str">
        <f t="shared" si="23"/>
        <v/>
      </c>
      <c r="U59" s="23" t="str">
        <f t="shared" si="12"/>
        <v/>
      </c>
      <c r="V59" s="22"/>
      <c r="W59" s="21" t="str">
        <f t="shared" si="24"/>
        <v/>
      </c>
      <c r="X59" s="23" t="str">
        <f t="shared" si="14"/>
        <v/>
      </c>
      <c r="Y59" s="22"/>
      <c r="Z59" s="21" t="str">
        <f t="shared" si="25"/>
        <v/>
      </c>
      <c r="AA59" s="23" t="str">
        <f t="shared" si="16"/>
        <v/>
      </c>
      <c r="AB59" s="22">
        <v>490</v>
      </c>
      <c r="AC59" s="21">
        <f t="shared" si="26"/>
        <v>44.545454545454547</v>
      </c>
      <c r="AD59" s="23">
        <f t="shared" si="18"/>
        <v>0.27404921700223711</v>
      </c>
      <c r="AE59" s="22">
        <v>840</v>
      </c>
      <c r="AF59" s="21">
        <f t="shared" si="27"/>
        <v>76.36363636363636</v>
      </c>
      <c r="AG59" s="85">
        <f t="shared" si="20"/>
        <v>0.46979865771812079</v>
      </c>
    </row>
    <row r="60" spans="1:33" x14ac:dyDescent="0.25">
      <c r="A60" s="13">
        <f>WORKDAY(A61,1,JoursFeries!$B$3:$CH$15)</f>
        <v>42787</v>
      </c>
      <c r="B60" s="19" t="s">
        <v>120</v>
      </c>
      <c r="C60" s="19">
        <v>8</v>
      </c>
      <c r="E60" s="19">
        <v>1302</v>
      </c>
      <c r="F60" s="24">
        <f t="shared" si="3"/>
        <v>1209.3227868098979</v>
      </c>
      <c r="G60" s="16">
        <f t="shared" si="4"/>
        <v>92.677213190102066</v>
      </c>
      <c r="H60" s="15">
        <f t="shared" si="21"/>
        <v>162.75</v>
      </c>
      <c r="I60" s="15"/>
      <c r="J60" s="22">
        <v>196</v>
      </c>
      <c r="K60" s="21">
        <f t="shared" si="28"/>
        <v>24.5</v>
      </c>
      <c r="L60" s="23">
        <f t="shared" si="6"/>
        <v>0.15053763440860216</v>
      </c>
      <c r="M60" s="22">
        <v>126</v>
      </c>
      <c r="N60" s="21">
        <f t="shared" si="7"/>
        <v>15.75</v>
      </c>
      <c r="O60" s="23">
        <f t="shared" si="8"/>
        <v>9.6774193548387094E-2</v>
      </c>
      <c r="P60" s="22">
        <v>196</v>
      </c>
      <c r="Q60" s="21">
        <f t="shared" si="22"/>
        <v>24.5</v>
      </c>
      <c r="R60" s="23">
        <f t="shared" si="10"/>
        <v>0.15053763440860216</v>
      </c>
      <c r="S60" s="22"/>
      <c r="T60" s="21" t="str">
        <f t="shared" si="23"/>
        <v/>
      </c>
      <c r="U60" s="23" t="str">
        <f t="shared" si="12"/>
        <v/>
      </c>
      <c r="V60" s="22"/>
      <c r="W60" s="21" t="str">
        <f t="shared" si="24"/>
        <v/>
      </c>
      <c r="X60" s="23" t="str">
        <f t="shared" si="14"/>
        <v/>
      </c>
      <c r="Y60" s="22"/>
      <c r="Z60" s="21" t="str">
        <f t="shared" si="25"/>
        <v/>
      </c>
      <c r="AA60" s="23" t="str">
        <f t="shared" si="16"/>
        <v/>
      </c>
      <c r="AB60" s="22">
        <v>210</v>
      </c>
      <c r="AC60" s="21">
        <f t="shared" si="26"/>
        <v>26.25</v>
      </c>
      <c r="AD60" s="23">
        <f t="shared" si="18"/>
        <v>0.16129032258064516</v>
      </c>
      <c r="AE60" s="22">
        <v>574</v>
      </c>
      <c r="AF60" s="21">
        <f t="shared" si="27"/>
        <v>71.75</v>
      </c>
      <c r="AG60" s="85">
        <f t="shared" si="20"/>
        <v>0.44086021505376344</v>
      </c>
    </row>
    <row r="61" spans="1:33" x14ac:dyDescent="0.25">
      <c r="A61" s="13">
        <f>WORKDAY(A62,1,JoursFeries!$B$3:$CH$15)</f>
        <v>42786</v>
      </c>
      <c r="F61" s="24" t="str">
        <f t="shared" si="3"/>
        <v/>
      </c>
      <c r="G61" s="16" t="str">
        <f t="shared" si="4"/>
        <v/>
      </c>
      <c r="H61" s="15" t="str">
        <f t="shared" si="21"/>
        <v xml:space="preserve"> </v>
      </c>
      <c r="I61" s="15"/>
      <c r="J61" s="22"/>
      <c r="K61" s="21" t="str">
        <f t="shared" si="28"/>
        <v/>
      </c>
      <c r="L61" s="23" t="str">
        <f t="shared" si="6"/>
        <v/>
      </c>
      <c r="M61" s="22"/>
      <c r="N61" s="21" t="str">
        <f t="shared" si="7"/>
        <v/>
      </c>
      <c r="O61" s="23" t="str">
        <f t="shared" si="8"/>
        <v/>
      </c>
      <c r="P61" s="22"/>
      <c r="Q61" s="21" t="str">
        <f t="shared" si="22"/>
        <v/>
      </c>
      <c r="R61" s="23" t="str">
        <f t="shared" si="10"/>
        <v/>
      </c>
      <c r="S61" s="22"/>
      <c r="T61" s="21" t="str">
        <f t="shared" si="23"/>
        <v/>
      </c>
      <c r="U61" s="23" t="str">
        <f t="shared" si="12"/>
        <v/>
      </c>
      <c r="V61" s="22"/>
      <c r="W61" s="21" t="str">
        <f t="shared" si="24"/>
        <v/>
      </c>
      <c r="X61" s="23" t="str">
        <f t="shared" si="14"/>
        <v/>
      </c>
      <c r="Y61" s="22"/>
      <c r="Z61" s="21" t="str">
        <f t="shared" si="25"/>
        <v/>
      </c>
      <c r="AA61" s="23" t="str">
        <f t="shared" si="16"/>
        <v/>
      </c>
      <c r="AB61" s="22"/>
      <c r="AC61" s="21" t="str">
        <f t="shared" si="26"/>
        <v/>
      </c>
      <c r="AD61" s="23" t="str">
        <f t="shared" si="18"/>
        <v/>
      </c>
      <c r="AE61" s="22"/>
      <c r="AF61" s="21" t="str">
        <f t="shared" si="27"/>
        <v/>
      </c>
      <c r="AG61" s="85" t="str">
        <f t="shared" si="20"/>
        <v/>
      </c>
    </row>
    <row r="62" spans="1:33" x14ac:dyDescent="0.25">
      <c r="A62" s="13">
        <f>WORKDAY(A63,1,JoursFeries!$B$3:$CH$15)</f>
        <v>42783</v>
      </c>
      <c r="F62" s="24" t="str">
        <f t="shared" si="3"/>
        <v/>
      </c>
      <c r="G62" s="16" t="str">
        <f t="shared" si="4"/>
        <v/>
      </c>
      <c r="H62" s="15" t="str">
        <f t="shared" si="21"/>
        <v xml:space="preserve"> </v>
      </c>
      <c r="I62" s="15"/>
      <c r="J62" s="22"/>
      <c r="K62" s="21" t="str">
        <f t="shared" si="28"/>
        <v/>
      </c>
      <c r="L62" s="23" t="str">
        <f t="shared" si="6"/>
        <v/>
      </c>
      <c r="M62" s="22"/>
      <c r="N62" s="21" t="str">
        <f t="shared" si="7"/>
        <v/>
      </c>
      <c r="O62" s="23" t="str">
        <f t="shared" si="8"/>
        <v/>
      </c>
      <c r="P62" s="22"/>
      <c r="Q62" s="21" t="str">
        <f t="shared" si="22"/>
        <v/>
      </c>
      <c r="R62" s="23" t="str">
        <f t="shared" si="10"/>
        <v/>
      </c>
      <c r="S62" s="22"/>
      <c r="T62" s="21" t="str">
        <f t="shared" si="23"/>
        <v/>
      </c>
      <c r="U62" s="23" t="str">
        <f t="shared" si="12"/>
        <v/>
      </c>
      <c r="V62" s="22"/>
      <c r="W62" s="21" t="str">
        <f t="shared" si="24"/>
        <v/>
      </c>
      <c r="X62" s="23" t="str">
        <f t="shared" si="14"/>
        <v/>
      </c>
      <c r="Y62" s="22"/>
      <c r="Z62" s="21" t="str">
        <f t="shared" si="25"/>
        <v/>
      </c>
      <c r="AA62" s="23" t="str">
        <f t="shared" si="16"/>
        <v/>
      </c>
      <c r="AB62" s="22"/>
      <c r="AC62" s="21" t="str">
        <f t="shared" si="26"/>
        <v/>
      </c>
      <c r="AD62" s="23" t="str">
        <f t="shared" si="18"/>
        <v/>
      </c>
      <c r="AE62" s="22"/>
      <c r="AF62" s="21" t="str">
        <f t="shared" si="27"/>
        <v/>
      </c>
      <c r="AG62" s="85" t="str">
        <f t="shared" si="20"/>
        <v/>
      </c>
    </row>
    <row r="63" spans="1:33" x14ac:dyDescent="0.25">
      <c r="A63" s="13">
        <f>WORKDAY(A64,1,JoursFeries!$B$3:$CH$15)</f>
        <v>42782</v>
      </c>
      <c r="B63" s="19" t="s">
        <v>120</v>
      </c>
      <c r="C63" s="19">
        <v>7</v>
      </c>
      <c r="E63" s="19">
        <v>1058</v>
      </c>
      <c r="F63" s="24">
        <f t="shared" si="3"/>
        <v>1058.1574384586606</v>
      </c>
      <c r="G63" s="16">
        <f t="shared" si="4"/>
        <v>-0.15743845866063566</v>
      </c>
      <c r="H63" s="15">
        <f t="shared" si="21"/>
        <v>151.14285714285714</v>
      </c>
      <c r="I63" s="15"/>
      <c r="J63" s="22">
        <v>112</v>
      </c>
      <c r="K63" s="21">
        <f t="shared" si="28"/>
        <v>16</v>
      </c>
      <c r="L63" s="23">
        <f t="shared" si="6"/>
        <v>0.10586011342155009</v>
      </c>
      <c r="M63" s="22">
        <v>126</v>
      </c>
      <c r="N63" s="21">
        <f t="shared" si="7"/>
        <v>18</v>
      </c>
      <c r="O63" s="23">
        <f t="shared" si="8"/>
        <v>0.11909262759924386</v>
      </c>
      <c r="P63" s="22">
        <v>210</v>
      </c>
      <c r="Q63" s="21">
        <f t="shared" si="22"/>
        <v>30</v>
      </c>
      <c r="R63" s="23">
        <f t="shared" si="10"/>
        <v>0.19848771266540643</v>
      </c>
      <c r="S63" s="22"/>
      <c r="T63" s="21" t="str">
        <f t="shared" si="23"/>
        <v/>
      </c>
      <c r="U63" s="23" t="str">
        <f t="shared" si="12"/>
        <v/>
      </c>
      <c r="V63" s="22"/>
      <c r="W63" s="21" t="str">
        <f t="shared" si="24"/>
        <v/>
      </c>
      <c r="X63" s="23" t="str">
        <f t="shared" si="14"/>
        <v/>
      </c>
      <c r="Y63" s="22"/>
      <c r="Z63" s="21" t="str">
        <f t="shared" si="25"/>
        <v/>
      </c>
      <c r="AA63" s="23" t="str">
        <f t="shared" si="16"/>
        <v/>
      </c>
      <c r="AB63" s="22">
        <v>210</v>
      </c>
      <c r="AC63" s="21">
        <f t="shared" si="26"/>
        <v>30</v>
      </c>
      <c r="AD63" s="23">
        <f t="shared" si="18"/>
        <v>0.19848771266540643</v>
      </c>
      <c r="AE63" s="22">
        <v>400</v>
      </c>
      <c r="AF63" s="21">
        <f t="shared" si="27"/>
        <v>57.142857142857146</v>
      </c>
      <c r="AG63" s="85">
        <f t="shared" si="20"/>
        <v>0.3780718336483932</v>
      </c>
    </row>
    <row r="64" spans="1:33" x14ac:dyDescent="0.25">
      <c r="A64" s="13">
        <f>WORKDAY(A65,1,JoursFeries!$B$3:$CH$15)</f>
        <v>42781</v>
      </c>
      <c r="B64" s="19" t="s">
        <v>120</v>
      </c>
      <c r="C64" s="19">
        <v>11</v>
      </c>
      <c r="E64" s="19">
        <v>2030</v>
      </c>
      <c r="F64" s="24">
        <f t="shared" si="3"/>
        <v>1662.8188318636096</v>
      </c>
      <c r="G64" s="16">
        <f t="shared" si="4"/>
        <v>367.1811681363904</v>
      </c>
      <c r="H64" s="15">
        <f t="shared" si="21"/>
        <v>184.54545454545453</v>
      </c>
      <c r="I64" s="15"/>
      <c r="J64" s="22">
        <v>210</v>
      </c>
      <c r="K64" s="21">
        <f t="shared" si="28"/>
        <v>19.09090909090909</v>
      </c>
      <c r="L64" s="23">
        <f t="shared" si="6"/>
        <v>0.10344827586206896</v>
      </c>
      <c r="M64" s="22">
        <v>140</v>
      </c>
      <c r="N64" s="21">
        <f t="shared" si="7"/>
        <v>12.727272727272727</v>
      </c>
      <c r="O64" s="23">
        <f t="shared" si="8"/>
        <v>6.8965517241379309E-2</v>
      </c>
      <c r="P64" s="22">
        <v>210</v>
      </c>
      <c r="Q64" s="21">
        <f t="shared" si="22"/>
        <v>19.09090909090909</v>
      </c>
      <c r="R64" s="23">
        <f t="shared" si="10"/>
        <v>0.10344827586206896</v>
      </c>
      <c r="S64" s="22"/>
      <c r="T64" s="21" t="str">
        <f t="shared" si="23"/>
        <v/>
      </c>
      <c r="U64" s="23" t="str">
        <f t="shared" si="12"/>
        <v/>
      </c>
      <c r="V64" s="22"/>
      <c r="W64" s="21" t="str">
        <f t="shared" si="24"/>
        <v/>
      </c>
      <c r="X64" s="23" t="str">
        <f t="shared" si="14"/>
        <v/>
      </c>
      <c r="Y64" s="22"/>
      <c r="Z64" s="21" t="str">
        <f t="shared" si="25"/>
        <v/>
      </c>
      <c r="AA64" s="23" t="str">
        <f t="shared" si="16"/>
        <v/>
      </c>
      <c r="AB64" s="22">
        <v>600</v>
      </c>
      <c r="AC64" s="21">
        <f t="shared" si="26"/>
        <v>54.545454545454547</v>
      </c>
      <c r="AD64" s="23">
        <f t="shared" si="18"/>
        <v>0.29556650246305421</v>
      </c>
      <c r="AE64" s="22">
        <v>870</v>
      </c>
      <c r="AF64" s="21">
        <f t="shared" si="27"/>
        <v>79.090909090909093</v>
      </c>
      <c r="AG64" s="85">
        <f t="shared" si="20"/>
        <v>0.42857142857142855</v>
      </c>
    </row>
    <row r="65" spans="1:33" x14ac:dyDescent="0.25">
      <c r="A65" s="13">
        <f>WORKDAY(A66,1,JoursFeries!$B$3:$CH$15)</f>
        <v>42780</v>
      </c>
      <c r="B65" s="19" t="s">
        <v>120</v>
      </c>
      <c r="C65" s="19">
        <v>11</v>
      </c>
      <c r="E65" s="19">
        <v>1240</v>
      </c>
      <c r="F65" s="24">
        <f t="shared" si="3"/>
        <v>1662.8188318636096</v>
      </c>
      <c r="G65" s="16">
        <f t="shared" si="4"/>
        <v>-422.8188318636096</v>
      </c>
      <c r="H65" s="15">
        <f t="shared" si="21"/>
        <v>112.72727272727273</v>
      </c>
      <c r="I65" s="15"/>
      <c r="J65" s="22">
        <v>156</v>
      </c>
      <c r="K65" s="21">
        <f t="shared" si="28"/>
        <v>14.181818181818182</v>
      </c>
      <c r="L65" s="23">
        <f t="shared" si="6"/>
        <v>0.12580645161290321</v>
      </c>
      <c r="M65" s="22">
        <v>78</v>
      </c>
      <c r="N65" s="21">
        <f t="shared" si="7"/>
        <v>7.0909090909090908</v>
      </c>
      <c r="O65" s="23">
        <f t="shared" si="8"/>
        <v>6.2903225806451607E-2</v>
      </c>
      <c r="P65" s="22">
        <v>156</v>
      </c>
      <c r="Q65" s="21">
        <f t="shared" si="22"/>
        <v>14.181818181818182</v>
      </c>
      <c r="R65" s="23">
        <f t="shared" si="10"/>
        <v>0.12580645161290321</v>
      </c>
      <c r="S65" s="22"/>
      <c r="T65" s="21" t="str">
        <f t="shared" si="23"/>
        <v/>
      </c>
      <c r="U65" s="23" t="str">
        <f t="shared" si="12"/>
        <v/>
      </c>
      <c r="V65" s="22"/>
      <c r="W65" s="21" t="str">
        <f t="shared" si="24"/>
        <v/>
      </c>
      <c r="X65" s="23" t="str">
        <f t="shared" si="14"/>
        <v/>
      </c>
      <c r="Y65" s="22"/>
      <c r="Z65" s="21" t="str">
        <f t="shared" si="25"/>
        <v/>
      </c>
      <c r="AA65" s="23" t="str">
        <f t="shared" si="16"/>
        <v/>
      </c>
      <c r="AB65" s="22">
        <v>300</v>
      </c>
      <c r="AC65" s="21">
        <f t="shared" si="26"/>
        <v>27.272727272727273</v>
      </c>
      <c r="AD65" s="23">
        <f t="shared" si="18"/>
        <v>0.24193548387096775</v>
      </c>
      <c r="AE65" s="22">
        <v>550</v>
      </c>
      <c r="AF65" s="21">
        <f t="shared" si="27"/>
        <v>50</v>
      </c>
      <c r="AG65" s="85">
        <f t="shared" si="20"/>
        <v>0.44354838709677419</v>
      </c>
    </row>
    <row r="66" spans="1:33" x14ac:dyDescent="0.25">
      <c r="A66" s="13">
        <f>WORKDAY(A67,1,JoursFeries!$B$3:$CH$15)</f>
        <v>42779</v>
      </c>
      <c r="F66" s="24" t="str">
        <f t="shared" si="3"/>
        <v/>
      </c>
      <c r="G66" s="16" t="str">
        <f t="shared" si="4"/>
        <v/>
      </c>
      <c r="H66" s="15" t="str">
        <f t="shared" si="21"/>
        <v xml:space="preserve"> </v>
      </c>
      <c r="I66" s="15"/>
      <c r="J66" s="22"/>
      <c r="K66" s="21" t="str">
        <f t="shared" si="28"/>
        <v/>
      </c>
      <c r="L66" s="23" t="str">
        <f t="shared" si="6"/>
        <v/>
      </c>
      <c r="M66" s="22"/>
      <c r="N66" s="21" t="str">
        <f t="shared" si="7"/>
        <v/>
      </c>
      <c r="O66" s="23" t="str">
        <f t="shared" si="8"/>
        <v/>
      </c>
      <c r="P66" s="22"/>
      <c r="Q66" s="21" t="str">
        <f t="shared" si="22"/>
        <v/>
      </c>
      <c r="R66" s="23" t="str">
        <f t="shared" si="10"/>
        <v/>
      </c>
      <c r="S66" s="22"/>
      <c r="T66" s="21" t="str">
        <f t="shared" si="23"/>
        <v/>
      </c>
      <c r="U66" s="23" t="str">
        <f t="shared" si="12"/>
        <v/>
      </c>
      <c r="V66" s="22"/>
      <c r="W66" s="21" t="str">
        <f t="shared" si="24"/>
        <v/>
      </c>
      <c r="X66" s="23" t="str">
        <f t="shared" si="14"/>
        <v/>
      </c>
      <c r="Y66" s="22"/>
      <c r="Z66" s="21" t="str">
        <f t="shared" si="25"/>
        <v/>
      </c>
      <c r="AA66" s="23" t="str">
        <f t="shared" si="16"/>
        <v/>
      </c>
      <c r="AB66" s="22"/>
      <c r="AC66" s="21" t="str">
        <f t="shared" si="26"/>
        <v/>
      </c>
      <c r="AD66" s="23" t="str">
        <f t="shared" si="18"/>
        <v/>
      </c>
      <c r="AE66" s="22"/>
      <c r="AF66" s="21" t="str">
        <f t="shared" si="27"/>
        <v/>
      </c>
      <c r="AG66" s="85" t="str">
        <f t="shared" si="20"/>
        <v/>
      </c>
    </row>
    <row r="67" spans="1:33" x14ac:dyDescent="0.25">
      <c r="A67" s="13">
        <f>WORKDAY(A68,1,JoursFeries!$B$3:$CH$15)</f>
        <v>42776</v>
      </c>
      <c r="B67" s="19" t="s">
        <v>118</v>
      </c>
      <c r="C67" s="19">
        <v>11</v>
      </c>
      <c r="E67" s="19">
        <f>-200+1572</f>
        <v>1372</v>
      </c>
      <c r="F67" s="24">
        <f t="shared" si="3"/>
        <v>1630.9707999999998</v>
      </c>
      <c r="G67" s="16">
        <f t="shared" si="4"/>
        <v>-258.97079999999983</v>
      </c>
      <c r="H67" s="15">
        <f t="shared" si="21"/>
        <v>124.72727272727273</v>
      </c>
      <c r="I67" s="15"/>
      <c r="J67" s="22">
        <v>221</v>
      </c>
      <c r="K67" s="21">
        <f t="shared" si="28"/>
        <v>20.09090909090909</v>
      </c>
      <c r="L67" s="23">
        <f t="shared" si="6"/>
        <v>0.16107871720116618</v>
      </c>
      <c r="M67" s="22">
        <v>104</v>
      </c>
      <c r="N67" s="21">
        <f t="shared" si="7"/>
        <v>9.454545454545455</v>
      </c>
      <c r="O67" s="23">
        <f t="shared" si="8"/>
        <v>7.5801749271137031E-2</v>
      </c>
      <c r="P67" s="22">
        <v>156</v>
      </c>
      <c r="Q67" s="21">
        <f t="shared" si="22"/>
        <v>14.181818181818182</v>
      </c>
      <c r="R67" s="23">
        <f t="shared" si="10"/>
        <v>0.11370262390670553</v>
      </c>
      <c r="S67" s="22"/>
      <c r="T67" s="21" t="str">
        <f t="shared" si="23"/>
        <v/>
      </c>
      <c r="U67" s="23" t="str">
        <f t="shared" si="12"/>
        <v/>
      </c>
      <c r="V67" s="22">
        <v>611</v>
      </c>
      <c r="W67" s="21">
        <f t="shared" si="24"/>
        <v>55.545454545454547</v>
      </c>
      <c r="X67" s="23">
        <f t="shared" si="14"/>
        <v>0.44533527696793002</v>
      </c>
      <c r="Y67" s="22"/>
      <c r="Z67" s="21" t="str">
        <f t="shared" si="25"/>
        <v/>
      </c>
      <c r="AA67" s="23" t="str">
        <f t="shared" si="16"/>
        <v/>
      </c>
      <c r="AB67" s="22">
        <v>280</v>
      </c>
      <c r="AC67" s="21">
        <f t="shared" si="26"/>
        <v>25.454545454545453</v>
      </c>
      <c r="AD67" s="23">
        <f t="shared" si="18"/>
        <v>0.20408163265306123</v>
      </c>
      <c r="AE67" s="22"/>
      <c r="AF67" s="21" t="str">
        <f t="shared" si="27"/>
        <v/>
      </c>
      <c r="AG67" s="85" t="str">
        <f t="shared" si="20"/>
        <v/>
      </c>
    </row>
    <row r="68" spans="1:33" x14ac:dyDescent="0.25">
      <c r="A68" s="13">
        <f>WORKDAY(A69,1,JoursFeries!$B$3:$CH$15)</f>
        <v>42775</v>
      </c>
      <c r="B68" s="19" t="s">
        <v>118</v>
      </c>
      <c r="C68" s="19">
        <v>10</v>
      </c>
      <c r="E68" s="19">
        <f>-200+1809</f>
        <v>1609</v>
      </c>
      <c r="F68" s="24">
        <f t="shared" si="3"/>
        <v>1482.7007272727271</v>
      </c>
      <c r="G68" s="16">
        <f t="shared" si="4"/>
        <v>126.29927272727286</v>
      </c>
      <c r="H68" s="15">
        <f t="shared" si="21"/>
        <v>160.9</v>
      </c>
      <c r="I68" s="15"/>
      <c r="J68" s="22">
        <v>247</v>
      </c>
      <c r="K68" s="21">
        <f t="shared" si="28"/>
        <v>24.7</v>
      </c>
      <c r="L68" s="23">
        <f t="shared" si="6"/>
        <v>0.15351149782473586</v>
      </c>
      <c r="M68" s="22">
        <v>130</v>
      </c>
      <c r="N68" s="21">
        <f t="shared" si="7"/>
        <v>13</v>
      </c>
      <c r="O68" s="23">
        <f t="shared" si="8"/>
        <v>8.079552517091361E-2</v>
      </c>
      <c r="P68" s="22">
        <v>182</v>
      </c>
      <c r="Q68" s="21">
        <f t="shared" si="22"/>
        <v>18.2</v>
      </c>
      <c r="R68" s="23">
        <f t="shared" si="10"/>
        <v>0.11311373523927906</v>
      </c>
      <c r="S68" s="22"/>
      <c r="T68" s="21" t="str">
        <f t="shared" si="23"/>
        <v/>
      </c>
      <c r="U68" s="23" t="str">
        <f t="shared" si="12"/>
        <v/>
      </c>
      <c r="V68" s="22">
        <v>650</v>
      </c>
      <c r="W68" s="21">
        <f t="shared" si="24"/>
        <v>65</v>
      </c>
      <c r="X68" s="23">
        <f t="shared" si="14"/>
        <v>0.40397762585456803</v>
      </c>
      <c r="Y68" s="22"/>
      <c r="Z68" s="21" t="str">
        <f t="shared" si="25"/>
        <v/>
      </c>
      <c r="AA68" s="23" t="str">
        <f t="shared" si="16"/>
        <v/>
      </c>
      <c r="AB68" s="22">
        <v>400</v>
      </c>
      <c r="AC68" s="21">
        <f t="shared" si="26"/>
        <v>40</v>
      </c>
      <c r="AD68" s="23">
        <f t="shared" si="18"/>
        <v>0.24860161591050342</v>
      </c>
      <c r="AE68" s="22"/>
      <c r="AF68" s="21" t="str">
        <f t="shared" si="27"/>
        <v/>
      </c>
      <c r="AG68" s="85" t="str">
        <f t="shared" si="20"/>
        <v/>
      </c>
    </row>
    <row r="69" spans="1:33" x14ac:dyDescent="0.25">
      <c r="A69" s="13">
        <f>WORKDAY(A70,1,JoursFeries!$B$3:$CH$15)</f>
        <v>42774</v>
      </c>
      <c r="B69" s="19" t="s">
        <v>118</v>
      </c>
      <c r="C69" s="19">
        <v>12</v>
      </c>
      <c r="E69" s="19">
        <f>-300+1847</f>
        <v>1547</v>
      </c>
      <c r="F69" s="24">
        <f t="shared" si="3"/>
        <v>1779.2408727272727</v>
      </c>
      <c r="G69" s="16">
        <f t="shared" si="4"/>
        <v>-232.24087272727274</v>
      </c>
      <c r="H69" s="15">
        <f t="shared" si="21"/>
        <v>128.91666666666666</v>
      </c>
      <c r="I69" s="15"/>
      <c r="J69" s="22">
        <v>208</v>
      </c>
      <c r="K69" s="21">
        <f t="shared" si="28"/>
        <v>17.333333333333332</v>
      </c>
      <c r="L69" s="23">
        <f t="shared" si="6"/>
        <v>0.13445378151260504</v>
      </c>
      <c r="M69" s="22">
        <v>130</v>
      </c>
      <c r="N69" s="21">
        <f t="shared" si="7"/>
        <v>10.833333333333334</v>
      </c>
      <c r="O69" s="23">
        <f t="shared" si="8"/>
        <v>8.4033613445378158E-2</v>
      </c>
      <c r="P69" s="22">
        <v>169</v>
      </c>
      <c r="Q69" s="21">
        <f t="shared" si="22"/>
        <v>14.083333333333334</v>
      </c>
      <c r="R69" s="23">
        <f t="shared" si="10"/>
        <v>0.1092436974789916</v>
      </c>
      <c r="S69" s="22"/>
      <c r="T69" s="21" t="str">
        <f t="shared" si="23"/>
        <v/>
      </c>
      <c r="U69" s="23" t="str">
        <f t="shared" si="12"/>
        <v/>
      </c>
      <c r="V69" s="22">
        <v>650</v>
      </c>
      <c r="W69" s="21">
        <f t="shared" si="24"/>
        <v>54.166666666666664</v>
      </c>
      <c r="X69" s="23">
        <f t="shared" si="14"/>
        <v>0.42016806722689076</v>
      </c>
      <c r="Y69" s="22"/>
      <c r="Z69" s="21" t="str">
        <f t="shared" si="25"/>
        <v/>
      </c>
      <c r="AA69" s="23" t="str">
        <f t="shared" si="16"/>
        <v/>
      </c>
      <c r="AB69" s="22">
        <v>390</v>
      </c>
      <c r="AC69" s="21">
        <f t="shared" si="26"/>
        <v>32.5</v>
      </c>
      <c r="AD69" s="23">
        <f t="shared" si="18"/>
        <v>0.25210084033613445</v>
      </c>
      <c r="AE69" s="22"/>
      <c r="AF69" s="21" t="str">
        <f t="shared" si="27"/>
        <v/>
      </c>
      <c r="AG69" s="85" t="str">
        <f t="shared" si="20"/>
        <v/>
      </c>
    </row>
    <row r="70" spans="1:33" x14ac:dyDescent="0.25">
      <c r="A70" s="13">
        <f>WORKDAY(A71,1,JoursFeries!$B$3:$CH$15)</f>
        <v>42773</v>
      </c>
      <c r="B70" s="19" t="s">
        <v>118</v>
      </c>
      <c r="C70" s="19">
        <v>10</v>
      </c>
      <c r="E70" s="19">
        <v>1231</v>
      </c>
      <c r="F70" s="24">
        <f t="shared" si="3"/>
        <v>1482.7007272727271</v>
      </c>
      <c r="G70" s="16">
        <f t="shared" si="4"/>
        <v>-251.70072727272714</v>
      </c>
      <c r="H70" s="15">
        <f t="shared" si="21"/>
        <v>123.1</v>
      </c>
      <c r="I70" s="15"/>
      <c r="J70" s="22">
        <v>224</v>
      </c>
      <c r="K70" s="21">
        <f t="shared" si="28"/>
        <v>22.4</v>
      </c>
      <c r="L70" s="23">
        <f t="shared" si="6"/>
        <v>0.18196588139723802</v>
      </c>
      <c r="M70" s="22">
        <v>84</v>
      </c>
      <c r="N70" s="21">
        <f t="shared" si="7"/>
        <v>8.4</v>
      </c>
      <c r="O70" s="23">
        <f t="shared" si="8"/>
        <v>6.8237205523964256E-2</v>
      </c>
      <c r="P70" s="22">
        <v>117</v>
      </c>
      <c r="Q70" s="21">
        <f t="shared" si="22"/>
        <v>11.7</v>
      </c>
      <c r="R70" s="23">
        <f t="shared" si="10"/>
        <v>9.5044679122664497E-2</v>
      </c>
      <c r="S70" s="22"/>
      <c r="T70" s="21" t="str">
        <f t="shared" si="23"/>
        <v/>
      </c>
      <c r="U70" s="23" t="str">
        <f t="shared" si="12"/>
        <v/>
      </c>
      <c r="V70" s="22">
        <v>455</v>
      </c>
      <c r="W70" s="21">
        <f t="shared" si="24"/>
        <v>45.5</v>
      </c>
      <c r="X70" s="23">
        <f t="shared" si="14"/>
        <v>0.36961819658813971</v>
      </c>
      <c r="Y70" s="22"/>
      <c r="Z70" s="21" t="str">
        <f t="shared" si="25"/>
        <v/>
      </c>
      <c r="AA70" s="23" t="str">
        <f t="shared" si="16"/>
        <v/>
      </c>
      <c r="AB70" s="22">
        <v>351</v>
      </c>
      <c r="AC70" s="21">
        <f t="shared" si="26"/>
        <v>35.1</v>
      </c>
      <c r="AD70" s="23">
        <f t="shared" si="18"/>
        <v>0.28513403736799348</v>
      </c>
      <c r="AE70" s="22"/>
      <c r="AF70" s="21" t="str">
        <f t="shared" si="27"/>
        <v/>
      </c>
      <c r="AG70" s="85" t="str">
        <f t="shared" si="20"/>
        <v/>
      </c>
    </row>
    <row r="71" spans="1:33" x14ac:dyDescent="0.25">
      <c r="A71" s="13">
        <f>WORKDAY(A72,1,JoursFeries!$B$3:$CH$15)</f>
        <v>42772</v>
      </c>
      <c r="F71" s="24" t="str">
        <f t="shared" si="3"/>
        <v/>
      </c>
      <c r="G71" s="16" t="str">
        <f t="shared" si="4"/>
        <v/>
      </c>
      <c r="H71" s="15" t="str">
        <f t="shared" si="21"/>
        <v xml:space="preserve"> </v>
      </c>
      <c r="I71" s="15"/>
      <c r="J71" s="22"/>
      <c r="K71" s="21" t="str">
        <f t="shared" si="28"/>
        <v/>
      </c>
      <c r="L71" s="23" t="str">
        <f t="shared" si="6"/>
        <v/>
      </c>
      <c r="M71" s="22"/>
      <c r="N71" s="21" t="str">
        <f t="shared" si="7"/>
        <v/>
      </c>
      <c r="O71" s="23" t="str">
        <f t="shared" si="8"/>
        <v/>
      </c>
      <c r="P71" s="22"/>
      <c r="Q71" s="21" t="str">
        <f t="shared" si="22"/>
        <v/>
      </c>
      <c r="R71" s="23" t="str">
        <f t="shared" si="10"/>
        <v/>
      </c>
      <c r="S71" s="22"/>
      <c r="T71" s="21" t="str">
        <f t="shared" si="23"/>
        <v/>
      </c>
      <c r="U71" s="23" t="str">
        <f t="shared" si="12"/>
        <v/>
      </c>
      <c r="V71" s="22"/>
      <c r="W71" s="21" t="str">
        <f t="shared" si="24"/>
        <v/>
      </c>
      <c r="X71" s="23" t="str">
        <f t="shared" si="14"/>
        <v/>
      </c>
      <c r="Y71" s="22"/>
      <c r="Z71" s="21" t="str">
        <f t="shared" si="25"/>
        <v/>
      </c>
      <c r="AA71" s="23" t="str">
        <f t="shared" si="16"/>
        <v/>
      </c>
      <c r="AB71" s="22"/>
      <c r="AC71" s="21" t="str">
        <f t="shared" si="26"/>
        <v/>
      </c>
      <c r="AD71" s="23" t="str">
        <f t="shared" si="18"/>
        <v/>
      </c>
      <c r="AE71" s="22"/>
      <c r="AF71" s="21" t="str">
        <f t="shared" si="27"/>
        <v/>
      </c>
      <c r="AG71" s="85" t="str">
        <f t="shared" si="20"/>
        <v/>
      </c>
    </row>
    <row r="72" spans="1:33" x14ac:dyDescent="0.25">
      <c r="A72" s="13">
        <f>WORKDAY(A73,1,JoursFeries!$B$3:$CH$15)</f>
        <v>42769</v>
      </c>
      <c r="B72" s="19" t="s">
        <v>116</v>
      </c>
      <c r="C72" s="19">
        <v>11</v>
      </c>
      <c r="E72" s="19">
        <v>1047</v>
      </c>
      <c r="F72" s="24">
        <f t="shared" si="3"/>
        <v>1366.7754796495424</v>
      </c>
      <c r="G72" s="16">
        <f t="shared" si="4"/>
        <v>-319.77547964954238</v>
      </c>
      <c r="H72" s="15">
        <f t="shared" si="21"/>
        <v>95.181818181818187</v>
      </c>
      <c r="I72" s="15"/>
      <c r="J72" s="22">
        <v>260</v>
      </c>
      <c r="K72" s="21">
        <f t="shared" si="28"/>
        <v>23.636363636363637</v>
      </c>
      <c r="L72" s="23">
        <f t="shared" si="6"/>
        <v>0.24832855778414517</v>
      </c>
      <c r="M72" s="22">
        <v>161</v>
      </c>
      <c r="N72" s="21">
        <f t="shared" si="7"/>
        <v>14.636363636363637</v>
      </c>
      <c r="O72" s="23">
        <f t="shared" si="8"/>
        <v>0.15377268385864373</v>
      </c>
      <c r="P72" s="22">
        <v>149</v>
      </c>
      <c r="Q72" s="21">
        <f t="shared" si="22"/>
        <v>13.545454545454545</v>
      </c>
      <c r="R72" s="23">
        <f t="shared" si="10"/>
        <v>0.14231136580706782</v>
      </c>
      <c r="S72" s="22">
        <v>252</v>
      </c>
      <c r="T72" s="21">
        <f t="shared" si="23"/>
        <v>22.90909090909091</v>
      </c>
      <c r="U72" s="23">
        <f t="shared" si="12"/>
        <v>0.24068767908309455</v>
      </c>
      <c r="V72" s="22"/>
      <c r="W72" s="21" t="str">
        <f t="shared" si="24"/>
        <v/>
      </c>
      <c r="X72" s="23" t="str">
        <f t="shared" si="14"/>
        <v/>
      </c>
      <c r="Y72" s="22"/>
      <c r="Z72" s="21" t="str">
        <f t="shared" si="25"/>
        <v/>
      </c>
      <c r="AA72" s="23" t="str">
        <f t="shared" si="16"/>
        <v/>
      </c>
      <c r="AB72" s="22">
        <v>225</v>
      </c>
      <c r="AC72" s="21">
        <f t="shared" si="26"/>
        <v>20.454545454545453</v>
      </c>
      <c r="AD72" s="23">
        <f t="shared" si="18"/>
        <v>0.2148997134670487</v>
      </c>
      <c r="AE72" s="22"/>
      <c r="AF72" s="21" t="str">
        <f t="shared" si="27"/>
        <v/>
      </c>
      <c r="AG72" s="85" t="str">
        <f t="shared" si="20"/>
        <v/>
      </c>
    </row>
    <row r="73" spans="1:33" x14ac:dyDescent="0.25">
      <c r="A73" s="13">
        <f>WORKDAY(A74,1,JoursFeries!$B$3:$CH$15)</f>
        <v>42768</v>
      </c>
      <c r="B73" s="19" t="s">
        <v>116</v>
      </c>
      <c r="C73" s="19">
        <v>11</v>
      </c>
      <c r="E73" s="19">
        <v>1146</v>
      </c>
      <c r="F73" s="24">
        <f t="shared" si="3"/>
        <v>1366.7754796495424</v>
      </c>
      <c r="G73" s="16">
        <f t="shared" si="4"/>
        <v>-220.77547964954238</v>
      </c>
      <c r="H73" s="15">
        <f t="shared" si="21"/>
        <v>104.18181818181819</v>
      </c>
      <c r="I73" s="15"/>
      <c r="J73" s="22">
        <v>320</v>
      </c>
      <c r="K73" s="21">
        <f t="shared" si="28"/>
        <v>29.09090909090909</v>
      </c>
      <c r="L73" s="23">
        <f t="shared" si="6"/>
        <v>0.27923211169284468</v>
      </c>
      <c r="M73" s="22">
        <v>140</v>
      </c>
      <c r="N73" s="21">
        <f t="shared" si="7"/>
        <v>12.727272727272727</v>
      </c>
      <c r="O73" s="23">
        <f t="shared" si="8"/>
        <v>0.12216404886561955</v>
      </c>
      <c r="P73" s="22">
        <v>202</v>
      </c>
      <c r="Q73" s="21">
        <f t="shared" si="22"/>
        <v>18.363636363636363</v>
      </c>
      <c r="R73" s="23">
        <f t="shared" si="10"/>
        <v>0.17626527050610821</v>
      </c>
      <c r="S73" s="22">
        <v>144</v>
      </c>
      <c r="T73" s="21">
        <f t="shared" si="23"/>
        <v>13.090909090909092</v>
      </c>
      <c r="U73" s="23">
        <f t="shared" si="12"/>
        <v>0.1256544502617801</v>
      </c>
      <c r="V73" s="22"/>
      <c r="W73" s="21" t="str">
        <f t="shared" si="24"/>
        <v/>
      </c>
      <c r="X73" s="23" t="str">
        <f t="shared" si="14"/>
        <v/>
      </c>
      <c r="Y73" s="22"/>
      <c r="Z73" s="21" t="str">
        <f t="shared" si="25"/>
        <v/>
      </c>
      <c r="AA73" s="23" t="str">
        <f t="shared" si="16"/>
        <v/>
      </c>
      <c r="AB73" s="22">
        <v>340</v>
      </c>
      <c r="AC73" s="21">
        <f t="shared" si="26"/>
        <v>30.90909090909091</v>
      </c>
      <c r="AD73" s="23">
        <f t="shared" si="18"/>
        <v>0.29668411867364747</v>
      </c>
      <c r="AE73" s="22"/>
      <c r="AF73" s="21" t="str">
        <f t="shared" si="27"/>
        <v/>
      </c>
      <c r="AG73" s="85" t="str">
        <f t="shared" si="20"/>
        <v/>
      </c>
    </row>
    <row r="74" spans="1:33" x14ac:dyDescent="0.25">
      <c r="A74" s="13">
        <f>WORKDAY(A75,1,JoursFeries!$B$3:$CH$15)</f>
        <v>42767</v>
      </c>
      <c r="B74" s="19" t="s">
        <v>116</v>
      </c>
      <c r="C74" s="19">
        <v>11</v>
      </c>
      <c r="E74" s="19">
        <v>1366</v>
      </c>
      <c r="F74" s="24">
        <f t="shared" si="3"/>
        <v>1366.7754796495424</v>
      </c>
      <c r="G74" s="16">
        <f t="shared" si="4"/>
        <v>-0.77547964954237614</v>
      </c>
      <c r="H74" s="15">
        <f t="shared" si="21"/>
        <v>124.18181818181819</v>
      </c>
      <c r="I74" s="15"/>
      <c r="J74" s="22">
        <v>357</v>
      </c>
      <c r="K74" s="21">
        <f t="shared" si="28"/>
        <v>32.454545454545453</v>
      </c>
      <c r="L74" s="23">
        <f t="shared" si="6"/>
        <v>0.26134699853587118</v>
      </c>
      <c r="M74" s="22">
        <v>180</v>
      </c>
      <c r="N74" s="21">
        <f t="shared" si="7"/>
        <v>16.363636363636363</v>
      </c>
      <c r="O74" s="23">
        <f t="shared" si="8"/>
        <v>0.13177159590043924</v>
      </c>
      <c r="P74" s="22">
        <v>179</v>
      </c>
      <c r="Q74" s="21">
        <f t="shared" si="22"/>
        <v>16.272727272727273</v>
      </c>
      <c r="R74" s="23">
        <f t="shared" si="10"/>
        <v>0.13103953147877012</v>
      </c>
      <c r="S74" s="22">
        <v>150</v>
      </c>
      <c r="T74" s="21">
        <f t="shared" si="23"/>
        <v>13.636363636363637</v>
      </c>
      <c r="U74" s="23">
        <f t="shared" si="12"/>
        <v>0.10980966325036604</v>
      </c>
      <c r="V74" s="22"/>
      <c r="W74" s="21" t="str">
        <f t="shared" si="24"/>
        <v/>
      </c>
      <c r="X74" s="23" t="str">
        <f t="shared" si="14"/>
        <v/>
      </c>
      <c r="Y74" s="22"/>
      <c r="Z74" s="21" t="str">
        <f t="shared" si="25"/>
        <v/>
      </c>
      <c r="AA74" s="23" t="str">
        <f t="shared" si="16"/>
        <v/>
      </c>
      <c r="AB74" s="22">
        <v>500</v>
      </c>
      <c r="AC74" s="21">
        <f t="shared" si="26"/>
        <v>45.454545454545453</v>
      </c>
      <c r="AD74" s="23">
        <f t="shared" si="18"/>
        <v>0.36603221083455345</v>
      </c>
      <c r="AE74" s="22"/>
      <c r="AF74" s="21" t="str">
        <f t="shared" si="27"/>
        <v/>
      </c>
      <c r="AG74" s="85" t="str">
        <f t="shared" si="20"/>
        <v/>
      </c>
    </row>
    <row r="75" spans="1:33" x14ac:dyDescent="0.25">
      <c r="A75" s="13">
        <f>WORKDAY(A76,1,JoursFeries!$B$3:$CH$15)</f>
        <v>42766</v>
      </c>
      <c r="B75" s="19" t="s">
        <v>116</v>
      </c>
      <c r="C75" s="19">
        <v>7</v>
      </c>
      <c r="E75" s="19">
        <v>674</v>
      </c>
      <c r="F75" s="24">
        <f t="shared" si="3"/>
        <v>869.76621432243599</v>
      </c>
      <c r="G75" s="16">
        <f t="shared" si="4"/>
        <v>-195.76621432243599</v>
      </c>
      <c r="H75" s="15">
        <f t="shared" si="21"/>
        <v>96.285714285714292</v>
      </c>
      <c r="I75" s="15"/>
      <c r="J75" s="22">
        <v>133</v>
      </c>
      <c r="K75" s="21">
        <f t="shared" si="28"/>
        <v>19</v>
      </c>
      <c r="L75" s="23">
        <f t="shared" si="6"/>
        <v>0.19732937685459942</v>
      </c>
      <c r="M75" s="22">
        <v>88</v>
      </c>
      <c r="N75" s="21">
        <f t="shared" si="7"/>
        <v>12.571428571428571</v>
      </c>
      <c r="O75" s="23">
        <f t="shared" si="8"/>
        <v>0.13056379821958458</v>
      </c>
      <c r="P75" s="22">
        <v>148</v>
      </c>
      <c r="Q75" s="21">
        <f t="shared" si="22"/>
        <v>21.142857142857142</v>
      </c>
      <c r="R75" s="23">
        <f t="shared" si="10"/>
        <v>0.21958456973293769</v>
      </c>
      <c r="S75" s="22">
        <v>105</v>
      </c>
      <c r="T75" s="21">
        <f t="shared" si="23"/>
        <v>15</v>
      </c>
      <c r="U75" s="23">
        <f t="shared" si="12"/>
        <v>0.15578635014836795</v>
      </c>
      <c r="V75" s="22"/>
      <c r="W75" s="21" t="str">
        <f t="shared" si="24"/>
        <v/>
      </c>
      <c r="X75" s="23" t="str">
        <f t="shared" si="14"/>
        <v/>
      </c>
      <c r="Y75" s="22"/>
      <c r="Z75" s="21" t="str">
        <f t="shared" si="25"/>
        <v/>
      </c>
      <c r="AA75" s="23" t="str">
        <f t="shared" si="16"/>
        <v/>
      </c>
      <c r="AB75" s="22">
        <v>200</v>
      </c>
      <c r="AC75" s="21">
        <f t="shared" si="26"/>
        <v>28.571428571428573</v>
      </c>
      <c r="AD75" s="23">
        <f t="shared" si="18"/>
        <v>0.29673590504451036</v>
      </c>
      <c r="AE75" s="22"/>
      <c r="AF75" s="21" t="str">
        <f t="shared" si="27"/>
        <v/>
      </c>
      <c r="AG75" s="85" t="str">
        <f t="shared" si="20"/>
        <v/>
      </c>
    </row>
    <row r="76" spans="1:33" x14ac:dyDescent="0.25">
      <c r="A76" s="13">
        <f>WORKDAY(A77,1,JoursFeries!$B$3:$CH$15)</f>
        <v>42765</v>
      </c>
      <c r="B76" s="19" t="s">
        <v>116</v>
      </c>
      <c r="C76" s="19">
        <v>10</v>
      </c>
      <c r="E76" s="19">
        <f>-22+1668-500</f>
        <v>1146</v>
      </c>
      <c r="F76" s="24">
        <f t="shared" si="3"/>
        <v>1242.5231633177657</v>
      </c>
      <c r="G76" s="16">
        <f t="shared" si="4"/>
        <v>-96.523163317765693</v>
      </c>
      <c r="H76" s="15">
        <f t="shared" si="21"/>
        <v>114.6</v>
      </c>
      <c r="I76" s="15"/>
      <c r="J76" s="22">
        <v>310</v>
      </c>
      <c r="K76" s="21">
        <f t="shared" si="28"/>
        <v>31</v>
      </c>
      <c r="L76" s="23">
        <f t="shared" si="6"/>
        <v>0.27050610820244331</v>
      </c>
      <c r="M76" s="22">
        <v>165</v>
      </c>
      <c r="N76" s="21">
        <f t="shared" si="7"/>
        <v>16.5</v>
      </c>
      <c r="O76" s="23">
        <f t="shared" si="8"/>
        <v>0.14397905759162305</v>
      </c>
      <c r="P76" s="22">
        <v>196</v>
      </c>
      <c r="Q76" s="21">
        <f t="shared" si="22"/>
        <v>19.600000000000001</v>
      </c>
      <c r="R76" s="23">
        <f t="shared" si="10"/>
        <v>0.17102966841186737</v>
      </c>
      <c r="S76" s="22">
        <v>200</v>
      </c>
      <c r="T76" s="21">
        <f t="shared" si="23"/>
        <v>20</v>
      </c>
      <c r="U76" s="23">
        <f t="shared" si="12"/>
        <v>0.17452006980802792</v>
      </c>
      <c r="V76" s="22"/>
      <c r="W76" s="21" t="str">
        <f t="shared" si="24"/>
        <v/>
      </c>
      <c r="X76" s="23" t="str">
        <f t="shared" si="14"/>
        <v/>
      </c>
      <c r="Y76" s="22"/>
      <c r="Z76" s="21" t="str">
        <f t="shared" si="25"/>
        <v/>
      </c>
      <c r="AA76" s="23" t="str">
        <f t="shared" si="16"/>
        <v/>
      </c>
      <c r="AB76" s="22">
        <v>275</v>
      </c>
      <c r="AC76" s="21">
        <f t="shared" si="26"/>
        <v>27.5</v>
      </c>
      <c r="AD76" s="23">
        <f t="shared" si="18"/>
        <v>0.23996509598603841</v>
      </c>
      <c r="AE76" s="22"/>
      <c r="AF76" s="21" t="str">
        <f t="shared" si="27"/>
        <v/>
      </c>
      <c r="AG76" s="85" t="str">
        <f t="shared" si="20"/>
        <v/>
      </c>
    </row>
    <row r="77" spans="1:33" x14ac:dyDescent="0.25">
      <c r="A77" s="13">
        <f>WORKDAY(A78,1,JoursFeries!$B$3:$CH$15)</f>
        <v>42762</v>
      </c>
      <c r="B77" s="19" t="s">
        <v>116</v>
      </c>
      <c r="C77" s="19">
        <v>10</v>
      </c>
      <c r="E77" s="19">
        <f>-200+2090</f>
        <v>1890</v>
      </c>
      <c r="F77" s="24">
        <f t="shared" si="3"/>
        <v>1242.5231633177657</v>
      </c>
      <c r="G77" s="16">
        <f t="shared" ref="G77:G140" si="29">IF(ISBLANK(E77),"",E77-F77)</f>
        <v>647.47683668223431</v>
      </c>
      <c r="H77" s="15">
        <f t="shared" si="21"/>
        <v>189</v>
      </c>
      <c r="I77" s="15"/>
      <c r="J77" s="22">
        <v>511</v>
      </c>
      <c r="K77" s="21">
        <f t="shared" si="28"/>
        <v>51.1</v>
      </c>
      <c r="L77" s="23">
        <f t="shared" si="6"/>
        <v>0.27037037037037037</v>
      </c>
      <c r="M77" s="22">
        <v>189</v>
      </c>
      <c r="N77" s="21">
        <f t="shared" si="7"/>
        <v>18.899999999999999</v>
      </c>
      <c r="O77" s="23">
        <f t="shared" si="8"/>
        <v>0.1</v>
      </c>
      <c r="P77" s="22">
        <v>520</v>
      </c>
      <c r="Q77" s="21">
        <f t="shared" ref="Q77:Q108" si="30">IF(ISBLANK(P77),"",P77/($C77-IF(ISBLANK($D77),0,$D77)))</f>
        <v>52</v>
      </c>
      <c r="R77" s="23">
        <f t="shared" ref="R77:R140" si="31">IF(ISBLANK(P77),"",IF(ISBLANK($E77),"",P77/$E77))</f>
        <v>0.27513227513227512</v>
      </c>
      <c r="S77" s="22">
        <v>280</v>
      </c>
      <c r="T77" s="21">
        <f t="shared" ref="T77:T108" si="32">IF(ISBLANK(S77),"",S77/($C77-IF(ISBLANK($D77),0,$D77)))</f>
        <v>28</v>
      </c>
      <c r="U77" s="23">
        <f t="shared" ref="U77:U140" si="33">IF(ISBLANK(S77),"",IF(ISBLANK($E77),"",S77/$E77))</f>
        <v>0.14814814814814814</v>
      </c>
      <c r="V77" s="22"/>
      <c r="W77" s="21" t="str">
        <f t="shared" ref="W77:W108" si="34">IF(ISBLANK(V77),"",V77/($C77-IF(ISBLANK($D77),0,$D77)))</f>
        <v/>
      </c>
      <c r="X77" s="23" t="str">
        <f t="shared" ref="X77:X140" si="35">IF(ISBLANK(V77),"",IF(ISBLANK($E77),"",V77/$E77))</f>
        <v/>
      </c>
      <c r="Y77" s="22"/>
      <c r="Z77" s="21" t="str">
        <f t="shared" ref="Z77:Z108" si="36">IF(ISBLANK(Y77),"",Y77/($C77-IF(ISBLANK($D77),0,$D77)))</f>
        <v/>
      </c>
      <c r="AA77" s="23" t="str">
        <f t="shared" ref="AA77:AA140" si="37">IF(ISBLANK(Y77),"",IF(ISBLANK($E77),"",Y77/$E77))</f>
        <v/>
      </c>
      <c r="AB77" s="22">
        <v>390</v>
      </c>
      <c r="AC77" s="21">
        <f t="shared" ref="AC77:AC108" si="38">IF(ISBLANK(AB77),"",AB77/($C77-IF(ISBLANK($D77),0,$D77)))</f>
        <v>39</v>
      </c>
      <c r="AD77" s="23">
        <f t="shared" ref="AD77:AD140" si="39">IF(ISBLANK(AB77),"",IF(ISBLANK($E77),"",AB77/$E77))</f>
        <v>0.20634920634920634</v>
      </c>
      <c r="AE77" s="22"/>
      <c r="AF77" s="21" t="str">
        <f t="shared" ref="AF77:AF108" si="40">IF(ISBLANK(AE77),"",AE77/($C77-IF(ISBLANK($D77),0,$D77)))</f>
        <v/>
      </c>
      <c r="AG77" s="85" t="str">
        <f t="shared" ref="AG77:AG140" si="41">IF(ISBLANK(AE77),"",IF(ISBLANK($E77),"",AE77/$E77))</f>
        <v/>
      </c>
    </row>
    <row r="78" spans="1:33" x14ac:dyDescent="0.25">
      <c r="A78" s="13">
        <f>WORKDAY(A79,1,JoursFeries!$B$3:$CH$15)</f>
        <v>42761</v>
      </c>
      <c r="F78" s="24" t="str">
        <f t="shared" ref="F78:F141" si="42">IF(ISBLANK(B78),"",
IF(B78=$C$4,(IF(ISBLANK(C78),10,C78)-IF(ISBLANK(D78),0,D78))*$F$4,
IF(B78=$C$5,(IF(ISBLANK(C78),10,C78)-IF(ISBLANK(D78),0,D78))*$F$5,
IF(B78=$C$6,(IF(ISBLANK(C78),10,C78)-IF(ISBLANK(D78),0,D78))*$F$6,
IF(B78=$C$7,(IF(ISBLANK(C78),10,C78)-IF(ISBLANK(D78),0,D78))*$F$7,IF(B78=$C$8,(IF(ISBLANK(C78),10,C78)-IF(ISBLANK(D78),0,D78))*$F$8,
(IF(ISBLANK(C78),10,C78)-IF(ISBLANK(D78),0,D78))*$F$9))))))</f>
        <v/>
      </c>
      <c r="G78" s="16" t="str">
        <f t="shared" si="29"/>
        <v/>
      </c>
      <c r="H78" s="15" t="str">
        <f t="shared" si="21"/>
        <v xml:space="preserve"> </v>
      </c>
      <c r="I78" s="15"/>
      <c r="J78" s="22"/>
      <c r="K78" s="21" t="str">
        <f t="shared" ref="K78:K109" si="43">IF(ISBLANK(J78),"",J78/(C78-IF(ISBLANK(D78),0,D78)))</f>
        <v/>
      </c>
      <c r="L78" s="23" t="str">
        <f t="shared" ref="L78:L141" si="44">IF(ISBLANK(J78),"",IF(ISBLANK(E78),"",J78/E78))</f>
        <v/>
      </c>
      <c r="M78" s="22"/>
      <c r="N78" s="21" t="str">
        <f t="shared" ref="N78:N141" si="45">IF(ISBLANK(M78),"",M78/($C78-IF(ISBLANK($D78),0,$D78)))</f>
        <v/>
      </c>
      <c r="O78" s="23" t="str">
        <f t="shared" ref="O78:O141" si="46">IF(ISBLANK(M78),"",IF(ISBLANK($E78),"",M78/$E78))</f>
        <v/>
      </c>
      <c r="P78" s="22"/>
      <c r="Q78" s="21" t="str">
        <f t="shared" si="30"/>
        <v/>
      </c>
      <c r="R78" s="23" t="str">
        <f t="shared" si="31"/>
        <v/>
      </c>
      <c r="S78" s="22"/>
      <c r="T78" s="21" t="str">
        <f t="shared" si="32"/>
        <v/>
      </c>
      <c r="U78" s="23" t="str">
        <f t="shared" si="33"/>
        <v/>
      </c>
      <c r="V78" s="22"/>
      <c r="W78" s="21" t="str">
        <f t="shared" si="34"/>
        <v/>
      </c>
      <c r="X78" s="23" t="str">
        <f t="shared" si="35"/>
        <v/>
      </c>
      <c r="Y78" s="22"/>
      <c r="Z78" s="21" t="str">
        <f t="shared" si="36"/>
        <v/>
      </c>
      <c r="AA78" s="23" t="str">
        <f t="shared" si="37"/>
        <v/>
      </c>
      <c r="AB78" s="22"/>
      <c r="AC78" s="21" t="str">
        <f t="shared" si="38"/>
        <v/>
      </c>
      <c r="AD78" s="23" t="str">
        <f t="shared" si="39"/>
        <v/>
      </c>
      <c r="AE78" s="22"/>
      <c r="AF78" s="21" t="str">
        <f t="shared" si="40"/>
        <v/>
      </c>
      <c r="AG78" s="85" t="str">
        <f t="shared" si="41"/>
        <v/>
      </c>
    </row>
    <row r="79" spans="1:33" x14ac:dyDescent="0.25">
      <c r="A79" s="13">
        <f>WORKDAY(A80,1,JoursFeries!$B$3:$CH$15)</f>
        <v>42760</v>
      </c>
      <c r="F79" s="24" t="str">
        <f t="shared" si="42"/>
        <v/>
      </c>
      <c r="G79" s="16" t="str">
        <f t="shared" si="29"/>
        <v/>
      </c>
      <c r="H79" s="15" t="str">
        <f t="shared" si="21"/>
        <v xml:space="preserve"> </v>
      </c>
      <c r="I79" s="15"/>
      <c r="J79" s="22"/>
      <c r="K79" s="21" t="str">
        <f t="shared" si="43"/>
        <v/>
      </c>
      <c r="L79" s="23" t="str">
        <f t="shared" si="44"/>
        <v/>
      </c>
      <c r="M79" s="22"/>
      <c r="N79" s="21" t="str">
        <f t="shared" si="45"/>
        <v/>
      </c>
      <c r="O79" s="23" t="str">
        <f t="shared" si="46"/>
        <v/>
      </c>
      <c r="P79" s="22"/>
      <c r="Q79" s="21" t="str">
        <f t="shared" si="30"/>
        <v/>
      </c>
      <c r="R79" s="23" t="str">
        <f t="shared" si="31"/>
        <v/>
      </c>
      <c r="S79" s="22"/>
      <c r="T79" s="21" t="str">
        <f t="shared" si="32"/>
        <v/>
      </c>
      <c r="U79" s="23" t="str">
        <f t="shared" si="33"/>
        <v/>
      </c>
      <c r="V79" s="22"/>
      <c r="W79" s="21" t="str">
        <f t="shared" si="34"/>
        <v/>
      </c>
      <c r="X79" s="23" t="str">
        <f t="shared" si="35"/>
        <v/>
      </c>
      <c r="Y79" s="22"/>
      <c r="Z79" s="21" t="str">
        <f t="shared" si="36"/>
        <v/>
      </c>
      <c r="AA79" s="23" t="str">
        <f t="shared" si="37"/>
        <v/>
      </c>
      <c r="AB79" s="22"/>
      <c r="AC79" s="21" t="str">
        <f t="shared" si="38"/>
        <v/>
      </c>
      <c r="AD79" s="23" t="str">
        <f t="shared" si="39"/>
        <v/>
      </c>
      <c r="AE79" s="22"/>
      <c r="AF79" s="21" t="str">
        <f t="shared" si="40"/>
        <v/>
      </c>
      <c r="AG79" s="85" t="str">
        <f t="shared" si="41"/>
        <v/>
      </c>
    </row>
    <row r="80" spans="1:33" x14ac:dyDescent="0.25">
      <c r="A80" s="13">
        <f>WORKDAY(A81,1,JoursFeries!$B$3:$CH$15)</f>
        <v>42759</v>
      </c>
      <c r="F80" s="24" t="str">
        <f t="shared" si="42"/>
        <v/>
      </c>
      <c r="G80" s="16" t="str">
        <f t="shared" si="29"/>
        <v/>
      </c>
      <c r="H80" s="15" t="str">
        <f t="shared" ref="H80:H143" si="47">IF(ISBLANK(C80)," ",IF(ISBLANK(E80)," ",E80/(C80-IF(ISBLANK(D80),0,D80))))</f>
        <v xml:space="preserve"> </v>
      </c>
      <c r="I80" s="15"/>
      <c r="J80" s="22"/>
      <c r="K80" s="21" t="str">
        <f t="shared" si="43"/>
        <v/>
      </c>
      <c r="L80" s="23" t="str">
        <f t="shared" si="44"/>
        <v/>
      </c>
      <c r="M80" s="22"/>
      <c r="N80" s="21" t="str">
        <f t="shared" si="45"/>
        <v/>
      </c>
      <c r="O80" s="23" t="str">
        <f t="shared" si="46"/>
        <v/>
      </c>
      <c r="P80" s="22"/>
      <c r="Q80" s="21" t="str">
        <f t="shared" si="30"/>
        <v/>
      </c>
      <c r="R80" s="23" t="str">
        <f t="shared" si="31"/>
        <v/>
      </c>
      <c r="S80" s="22"/>
      <c r="T80" s="21" t="str">
        <f t="shared" si="32"/>
        <v/>
      </c>
      <c r="U80" s="23" t="str">
        <f t="shared" si="33"/>
        <v/>
      </c>
      <c r="V80" s="22"/>
      <c r="W80" s="21" t="str">
        <f t="shared" si="34"/>
        <v/>
      </c>
      <c r="X80" s="23" t="str">
        <f t="shared" si="35"/>
        <v/>
      </c>
      <c r="Y80" s="22"/>
      <c r="Z80" s="21" t="str">
        <f t="shared" si="36"/>
        <v/>
      </c>
      <c r="AA80" s="23" t="str">
        <f t="shared" si="37"/>
        <v/>
      </c>
      <c r="AB80" s="22"/>
      <c r="AC80" s="21" t="str">
        <f t="shared" si="38"/>
        <v/>
      </c>
      <c r="AD80" s="23" t="str">
        <f t="shared" si="39"/>
        <v/>
      </c>
      <c r="AE80" s="22"/>
      <c r="AF80" s="21" t="str">
        <f t="shared" si="40"/>
        <v/>
      </c>
      <c r="AG80" s="85" t="str">
        <f t="shared" si="41"/>
        <v/>
      </c>
    </row>
    <row r="81" spans="1:33" x14ac:dyDescent="0.25">
      <c r="A81" s="13">
        <f>WORKDAY(A82,1,JoursFeries!$B$3:$CH$15)</f>
        <v>42758</v>
      </c>
      <c r="F81" s="24" t="str">
        <f t="shared" si="42"/>
        <v/>
      </c>
      <c r="G81" s="16" t="str">
        <f t="shared" si="29"/>
        <v/>
      </c>
      <c r="H81" s="15" t="str">
        <f t="shared" si="47"/>
        <v xml:space="preserve"> </v>
      </c>
      <c r="I81" s="15"/>
      <c r="J81" s="22"/>
      <c r="K81" s="21" t="str">
        <f t="shared" si="43"/>
        <v/>
      </c>
      <c r="L81" s="23" t="str">
        <f t="shared" si="44"/>
        <v/>
      </c>
      <c r="M81" s="22"/>
      <c r="N81" s="21" t="str">
        <f t="shared" si="45"/>
        <v/>
      </c>
      <c r="O81" s="23" t="str">
        <f t="shared" si="46"/>
        <v/>
      </c>
      <c r="P81" s="22"/>
      <c r="Q81" s="21" t="str">
        <f t="shared" si="30"/>
        <v/>
      </c>
      <c r="R81" s="23" t="str">
        <f t="shared" si="31"/>
        <v/>
      </c>
      <c r="S81" s="22"/>
      <c r="T81" s="21" t="str">
        <f t="shared" si="32"/>
        <v/>
      </c>
      <c r="U81" s="23" t="str">
        <f t="shared" si="33"/>
        <v/>
      </c>
      <c r="V81" s="22"/>
      <c r="W81" s="21" t="str">
        <f t="shared" si="34"/>
        <v/>
      </c>
      <c r="X81" s="23" t="str">
        <f t="shared" si="35"/>
        <v/>
      </c>
      <c r="Y81" s="22"/>
      <c r="Z81" s="21" t="str">
        <f t="shared" si="36"/>
        <v/>
      </c>
      <c r="AA81" s="23" t="str">
        <f t="shared" si="37"/>
        <v/>
      </c>
      <c r="AB81" s="22"/>
      <c r="AC81" s="21" t="str">
        <f t="shared" si="38"/>
        <v/>
      </c>
      <c r="AD81" s="23" t="str">
        <f t="shared" si="39"/>
        <v/>
      </c>
      <c r="AE81" s="22"/>
      <c r="AF81" s="21" t="str">
        <f t="shared" si="40"/>
        <v/>
      </c>
      <c r="AG81" s="85" t="str">
        <f t="shared" si="41"/>
        <v/>
      </c>
    </row>
    <row r="82" spans="1:33" x14ac:dyDescent="0.25">
      <c r="A82" s="13">
        <f>WORKDAY(A83,1,JoursFeries!$B$3:$CH$15)</f>
        <v>42755</v>
      </c>
      <c r="F82" s="24" t="str">
        <f t="shared" si="42"/>
        <v/>
      </c>
      <c r="G82" s="16" t="str">
        <f t="shared" si="29"/>
        <v/>
      </c>
      <c r="H82" s="15" t="str">
        <f t="shared" si="47"/>
        <v xml:space="preserve"> </v>
      </c>
      <c r="I82" s="15"/>
      <c r="J82" s="22"/>
      <c r="K82" s="21" t="str">
        <f t="shared" si="43"/>
        <v/>
      </c>
      <c r="L82" s="23" t="str">
        <f t="shared" si="44"/>
        <v/>
      </c>
      <c r="M82" s="22"/>
      <c r="N82" s="21" t="str">
        <f t="shared" si="45"/>
        <v/>
      </c>
      <c r="O82" s="23" t="str">
        <f t="shared" si="46"/>
        <v/>
      </c>
      <c r="P82" s="22"/>
      <c r="Q82" s="21" t="str">
        <f t="shared" si="30"/>
        <v/>
      </c>
      <c r="R82" s="23" t="str">
        <f t="shared" si="31"/>
        <v/>
      </c>
      <c r="S82" s="22"/>
      <c r="T82" s="21" t="str">
        <f t="shared" si="32"/>
        <v/>
      </c>
      <c r="U82" s="23" t="str">
        <f t="shared" si="33"/>
        <v/>
      </c>
      <c r="V82" s="22"/>
      <c r="W82" s="21" t="str">
        <f t="shared" si="34"/>
        <v/>
      </c>
      <c r="X82" s="23" t="str">
        <f t="shared" si="35"/>
        <v/>
      </c>
      <c r="Y82" s="22"/>
      <c r="Z82" s="21" t="str">
        <f t="shared" si="36"/>
        <v/>
      </c>
      <c r="AA82" s="23" t="str">
        <f t="shared" si="37"/>
        <v/>
      </c>
      <c r="AB82" s="22"/>
      <c r="AC82" s="21" t="str">
        <f t="shared" si="38"/>
        <v/>
      </c>
      <c r="AD82" s="23" t="str">
        <f t="shared" si="39"/>
        <v/>
      </c>
      <c r="AE82" s="22"/>
      <c r="AF82" s="21" t="str">
        <f t="shared" si="40"/>
        <v/>
      </c>
      <c r="AG82" s="85" t="str">
        <f t="shared" si="41"/>
        <v/>
      </c>
    </row>
    <row r="83" spans="1:33" x14ac:dyDescent="0.25">
      <c r="A83" s="13">
        <f>WORKDAY(A84,1,JoursFeries!$B$3:$CH$15)</f>
        <v>42754</v>
      </c>
      <c r="F83" s="24" t="str">
        <f t="shared" si="42"/>
        <v/>
      </c>
      <c r="G83" s="16" t="str">
        <f t="shared" si="29"/>
        <v/>
      </c>
      <c r="H83" s="15" t="str">
        <f t="shared" si="47"/>
        <v xml:space="preserve"> </v>
      </c>
      <c r="I83" s="15"/>
      <c r="J83" s="22"/>
      <c r="K83" s="21" t="str">
        <f t="shared" si="43"/>
        <v/>
      </c>
      <c r="L83" s="23" t="str">
        <f t="shared" si="44"/>
        <v/>
      </c>
      <c r="M83" s="22"/>
      <c r="N83" s="21" t="str">
        <f t="shared" si="45"/>
        <v/>
      </c>
      <c r="O83" s="23" t="str">
        <f t="shared" si="46"/>
        <v/>
      </c>
      <c r="P83" s="22"/>
      <c r="Q83" s="21" t="str">
        <f t="shared" si="30"/>
        <v/>
      </c>
      <c r="R83" s="23" t="str">
        <f t="shared" si="31"/>
        <v/>
      </c>
      <c r="S83" s="22"/>
      <c r="T83" s="21" t="str">
        <f t="shared" si="32"/>
        <v/>
      </c>
      <c r="U83" s="23" t="str">
        <f t="shared" si="33"/>
        <v/>
      </c>
      <c r="V83" s="22"/>
      <c r="W83" s="21" t="str">
        <f t="shared" si="34"/>
        <v/>
      </c>
      <c r="X83" s="23" t="str">
        <f t="shared" si="35"/>
        <v/>
      </c>
      <c r="Y83" s="22"/>
      <c r="Z83" s="21" t="str">
        <f t="shared" si="36"/>
        <v/>
      </c>
      <c r="AA83" s="23" t="str">
        <f t="shared" si="37"/>
        <v/>
      </c>
      <c r="AB83" s="22"/>
      <c r="AC83" s="21" t="str">
        <f t="shared" si="38"/>
        <v/>
      </c>
      <c r="AD83" s="23" t="str">
        <f t="shared" si="39"/>
        <v/>
      </c>
      <c r="AE83" s="22"/>
      <c r="AF83" s="21" t="str">
        <f t="shared" si="40"/>
        <v/>
      </c>
      <c r="AG83" s="85" t="str">
        <f t="shared" si="41"/>
        <v/>
      </c>
    </row>
    <row r="84" spans="1:33" x14ac:dyDescent="0.25">
      <c r="A84" s="13">
        <f>WORKDAY(A85,1,JoursFeries!$B$3:$CH$15)</f>
        <v>42753</v>
      </c>
      <c r="F84" s="24" t="str">
        <f t="shared" si="42"/>
        <v/>
      </c>
      <c r="G84" s="16" t="str">
        <f t="shared" si="29"/>
        <v/>
      </c>
      <c r="H84" s="15" t="str">
        <f t="shared" si="47"/>
        <v xml:space="preserve"> </v>
      </c>
      <c r="I84" s="15"/>
      <c r="J84" s="22"/>
      <c r="K84" s="21" t="str">
        <f t="shared" si="43"/>
        <v/>
      </c>
      <c r="L84" s="23" t="str">
        <f t="shared" si="44"/>
        <v/>
      </c>
      <c r="M84" s="22"/>
      <c r="N84" s="21" t="str">
        <f t="shared" si="45"/>
        <v/>
      </c>
      <c r="O84" s="23" t="str">
        <f t="shared" si="46"/>
        <v/>
      </c>
      <c r="P84" s="22"/>
      <c r="Q84" s="21" t="str">
        <f t="shared" si="30"/>
        <v/>
      </c>
      <c r="R84" s="23" t="str">
        <f t="shared" si="31"/>
        <v/>
      </c>
      <c r="S84" s="22"/>
      <c r="T84" s="21" t="str">
        <f t="shared" si="32"/>
        <v/>
      </c>
      <c r="U84" s="23" t="str">
        <f t="shared" si="33"/>
        <v/>
      </c>
      <c r="V84" s="22"/>
      <c r="W84" s="21" t="str">
        <f t="shared" si="34"/>
        <v/>
      </c>
      <c r="X84" s="23" t="str">
        <f t="shared" si="35"/>
        <v/>
      </c>
      <c r="Y84" s="22"/>
      <c r="Z84" s="21" t="str">
        <f t="shared" si="36"/>
        <v/>
      </c>
      <c r="AA84" s="23" t="str">
        <f t="shared" si="37"/>
        <v/>
      </c>
      <c r="AB84" s="22"/>
      <c r="AC84" s="21" t="str">
        <f t="shared" si="38"/>
        <v/>
      </c>
      <c r="AD84" s="23" t="str">
        <f t="shared" si="39"/>
        <v/>
      </c>
      <c r="AE84" s="22"/>
      <c r="AF84" s="21" t="str">
        <f t="shared" si="40"/>
        <v/>
      </c>
      <c r="AG84" s="85" t="str">
        <f t="shared" si="41"/>
        <v/>
      </c>
    </row>
    <row r="85" spans="1:33" x14ac:dyDescent="0.25">
      <c r="A85" s="13">
        <f>WORKDAY(A86,1,JoursFeries!$B$3:$CH$15)</f>
        <v>42752</v>
      </c>
      <c r="F85" s="24" t="str">
        <f t="shared" si="42"/>
        <v/>
      </c>
      <c r="G85" s="16" t="str">
        <f t="shared" si="29"/>
        <v/>
      </c>
      <c r="H85" s="15" t="str">
        <f t="shared" si="47"/>
        <v xml:space="preserve"> </v>
      </c>
      <c r="I85" s="15"/>
      <c r="J85" s="22"/>
      <c r="K85" s="21" t="str">
        <f t="shared" si="43"/>
        <v/>
      </c>
      <c r="L85" s="23" t="str">
        <f t="shared" si="44"/>
        <v/>
      </c>
      <c r="M85" s="22"/>
      <c r="N85" s="21" t="str">
        <f t="shared" si="45"/>
        <v/>
      </c>
      <c r="O85" s="23" t="str">
        <f t="shared" si="46"/>
        <v/>
      </c>
      <c r="P85" s="22"/>
      <c r="Q85" s="21" t="str">
        <f t="shared" si="30"/>
        <v/>
      </c>
      <c r="R85" s="23" t="str">
        <f t="shared" si="31"/>
        <v/>
      </c>
      <c r="S85" s="22"/>
      <c r="T85" s="21" t="str">
        <f t="shared" si="32"/>
        <v/>
      </c>
      <c r="U85" s="23" t="str">
        <f t="shared" si="33"/>
        <v/>
      </c>
      <c r="V85" s="22"/>
      <c r="W85" s="21" t="str">
        <f t="shared" si="34"/>
        <v/>
      </c>
      <c r="X85" s="23" t="str">
        <f t="shared" si="35"/>
        <v/>
      </c>
      <c r="Y85" s="22"/>
      <c r="Z85" s="21" t="str">
        <f t="shared" si="36"/>
        <v/>
      </c>
      <c r="AA85" s="23" t="str">
        <f t="shared" si="37"/>
        <v/>
      </c>
      <c r="AB85" s="22"/>
      <c r="AC85" s="21" t="str">
        <f t="shared" si="38"/>
        <v/>
      </c>
      <c r="AD85" s="23" t="str">
        <f t="shared" si="39"/>
        <v/>
      </c>
      <c r="AE85" s="22"/>
      <c r="AF85" s="21" t="str">
        <f t="shared" si="40"/>
        <v/>
      </c>
      <c r="AG85" s="85" t="str">
        <f t="shared" si="41"/>
        <v/>
      </c>
    </row>
    <row r="86" spans="1:33" x14ac:dyDescent="0.25">
      <c r="A86" s="13">
        <f>WORKDAY(A87,1,JoursFeries!$B$3:$CH$15)</f>
        <v>42751</v>
      </c>
      <c r="F86" s="24" t="str">
        <f t="shared" si="42"/>
        <v/>
      </c>
      <c r="G86" s="16" t="str">
        <f t="shared" si="29"/>
        <v/>
      </c>
      <c r="H86" s="15" t="str">
        <f t="shared" si="47"/>
        <v xml:space="preserve"> </v>
      </c>
      <c r="I86" s="15"/>
      <c r="J86" s="22"/>
      <c r="K86" s="21" t="str">
        <f t="shared" si="43"/>
        <v/>
      </c>
      <c r="L86" s="23" t="str">
        <f t="shared" si="44"/>
        <v/>
      </c>
      <c r="M86" s="22"/>
      <c r="N86" s="21" t="str">
        <f t="shared" si="45"/>
        <v/>
      </c>
      <c r="O86" s="23" t="str">
        <f t="shared" si="46"/>
        <v/>
      </c>
      <c r="P86" s="22"/>
      <c r="Q86" s="21" t="str">
        <f t="shared" si="30"/>
        <v/>
      </c>
      <c r="R86" s="23" t="str">
        <f t="shared" si="31"/>
        <v/>
      </c>
      <c r="S86" s="22"/>
      <c r="T86" s="21" t="str">
        <f t="shared" si="32"/>
        <v/>
      </c>
      <c r="U86" s="23" t="str">
        <f t="shared" si="33"/>
        <v/>
      </c>
      <c r="V86" s="22"/>
      <c r="W86" s="21" t="str">
        <f t="shared" si="34"/>
        <v/>
      </c>
      <c r="X86" s="23" t="str">
        <f t="shared" si="35"/>
        <v/>
      </c>
      <c r="Y86" s="22"/>
      <c r="Z86" s="21" t="str">
        <f t="shared" si="36"/>
        <v/>
      </c>
      <c r="AA86" s="23" t="str">
        <f t="shared" si="37"/>
        <v/>
      </c>
      <c r="AB86" s="22"/>
      <c r="AC86" s="21" t="str">
        <f t="shared" si="38"/>
        <v/>
      </c>
      <c r="AD86" s="23" t="str">
        <f t="shared" si="39"/>
        <v/>
      </c>
      <c r="AE86" s="22"/>
      <c r="AF86" s="21" t="str">
        <f t="shared" si="40"/>
        <v/>
      </c>
      <c r="AG86" s="85" t="str">
        <f t="shared" si="41"/>
        <v/>
      </c>
    </row>
    <row r="87" spans="1:33" x14ac:dyDescent="0.25">
      <c r="A87" s="13">
        <f>WORKDAY(A88,1,JoursFeries!$B$3:$CH$15)</f>
        <v>42748</v>
      </c>
      <c r="F87" s="24" t="str">
        <f t="shared" si="42"/>
        <v/>
      </c>
      <c r="G87" s="16" t="str">
        <f t="shared" si="29"/>
        <v/>
      </c>
      <c r="H87" s="15" t="str">
        <f t="shared" si="47"/>
        <v xml:space="preserve"> </v>
      </c>
      <c r="I87" s="15"/>
      <c r="J87" s="22"/>
      <c r="K87" s="21" t="str">
        <f t="shared" si="43"/>
        <v/>
      </c>
      <c r="L87" s="23" t="str">
        <f t="shared" si="44"/>
        <v/>
      </c>
      <c r="M87" s="22"/>
      <c r="N87" s="21" t="str">
        <f t="shared" si="45"/>
        <v/>
      </c>
      <c r="O87" s="23" t="str">
        <f t="shared" si="46"/>
        <v/>
      </c>
      <c r="P87" s="22"/>
      <c r="Q87" s="21" t="str">
        <f t="shared" si="30"/>
        <v/>
      </c>
      <c r="R87" s="23" t="str">
        <f t="shared" si="31"/>
        <v/>
      </c>
      <c r="S87" s="22"/>
      <c r="T87" s="21" t="str">
        <f t="shared" si="32"/>
        <v/>
      </c>
      <c r="U87" s="23" t="str">
        <f t="shared" si="33"/>
        <v/>
      </c>
      <c r="V87" s="22"/>
      <c r="W87" s="21" t="str">
        <f t="shared" si="34"/>
        <v/>
      </c>
      <c r="X87" s="23" t="str">
        <f t="shared" si="35"/>
        <v/>
      </c>
      <c r="Y87" s="22"/>
      <c r="Z87" s="21" t="str">
        <f t="shared" si="36"/>
        <v/>
      </c>
      <c r="AA87" s="23" t="str">
        <f t="shared" si="37"/>
        <v/>
      </c>
      <c r="AB87" s="22"/>
      <c r="AC87" s="21" t="str">
        <f t="shared" si="38"/>
        <v/>
      </c>
      <c r="AD87" s="23" t="str">
        <f t="shared" si="39"/>
        <v/>
      </c>
      <c r="AE87" s="22"/>
      <c r="AF87" s="21" t="str">
        <f t="shared" si="40"/>
        <v/>
      </c>
      <c r="AG87" s="85" t="str">
        <f t="shared" si="41"/>
        <v/>
      </c>
    </row>
    <row r="88" spans="1:33" x14ac:dyDescent="0.25">
      <c r="A88" s="13">
        <f>WORKDAY(A89,1,JoursFeries!$B$3:$CH$15)</f>
        <v>42747</v>
      </c>
      <c r="F88" s="24" t="str">
        <f t="shared" si="42"/>
        <v/>
      </c>
      <c r="G88" s="16" t="str">
        <f t="shared" si="29"/>
        <v/>
      </c>
      <c r="H88" s="15" t="str">
        <f t="shared" si="47"/>
        <v xml:space="preserve"> </v>
      </c>
      <c r="I88" s="15"/>
      <c r="J88" s="22"/>
      <c r="K88" s="21" t="str">
        <f t="shared" si="43"/>
        <v/>
      </c>
      <c r="L88" s="23" t="str">
        <f t="shared" si="44"/>
        <v/>
      </c>
      <c r="M88" s="22"/>
      <c r="N88" s="21" t="str">
        <f t="shared" si="45"/>
        <v/>
      </c>
      <c r="O88" s="23" t="str">
        <f t="shared" si="46"/>
        <v/>
      </c>
      <c r="P88" s="22"/>
      <c r="Q88" s="21" t="str">
        <f t="shared" si="30"/>
        <v/>
      </c>
      <c r="R88" s="23" t="str">
        <f t="shared" si="31"/>
        <v/>
      </c>
      <c r="S88" s="22"/>
      <c r="T88" s="21" t="str">
        <f t="shared" si="32"/>
        <v/>
      </c>
      <c r="U88" s="23" t="str">
        <f t="shared" si="33"/>
        <v/>
      </c>
      <c r="V88" s="22"/>
      <c r="W88" s="21" t="str">
        <f t="shared" si="34"/>
        <v/>
      </c>
      <c r="X88" s="23" t="str">
        <f t="shared" si="35"/>
        <v/>
      </c>
      <c r="Y88" s="22"/>
      <c r="Z88" s="21" t="str">
        <f t="shared" si="36"/>
        <v/>
      </c>
      <c r="AA88" s="23" t="str">
        <f t="shared" si="37"/>
        <v/>
      </c>
      <c r="AB88" s="22"/>
      <c r="AC88" s="21" t="str">
        <f t="shared" si="38"/>
        <v/>
      </c>
      <c r="AD88" s="23" t="str">
        <f t="shared" si="39"/>
        <v/>
      </c>
      <c r="AE88" s="22"/>
      <c r="AF88" s="21" t="str">
        <f t="shared" si="40"/>
        <v/>
      </c>
      <c r="AG88" s="85" t="str">
        <f t="shared" si="41"/>
        <v/>
      </c>
    </row>
    <row r="89" spans="1:33" x14ac:dyDescent="0.25">
      <c r="A89" s="13">
        <f>WORKDAY(A90,1,JoursFeries!$B$3:$CH$15)</f>
        <v>42746</v>
      </c>
      <c r="F89" s="24" t="str">
        <f t="shared" si="42"/>
        <v/>
      </c>
      <c r="G89" s="16" t="str">
        <f t="shared" si="29"/>
        <v/>
      </c>
      <c r="H89" s="15" t="str">
        <f t="shared" si="47"/>
        <v xml:space="preserve"> </v>
      </c>
      <c r="I89" s="15"/>
      <c r="J89" s="22"/>
      <c r="K89" s="21" t="str">
        <f t="shared" si="43"/>
        <v/>
      </c>
      <c r="L89" s="23" t="str">
        <f t="shared" si="44"/>
        <v/>
      </c>
      <c r="M89" s="22"/>
      <c r="N89" s="21" t="str">
        <f t="shared" si="45"/>
        <v/>
      </c>
      <c r="O89" s="23" t="str">
        <f t="shared" si="46"/>
        <v/>
      </c>
      <c r="P89" s="22"/>
      <c r="Q89" s="21" t="str">
        <f t="shared" si="30"/>
        <v/>
      </c>
      <c r="R89" s="23" t="str">
        <f t="shared" si="31"/>
        <v/>
      </c>
      <c r="S89" s="22"/>
      <c r="T89" s="21" t="str">
        <f t="shared" si="32"/>
        <v/>
      </c>
      <c r="U89" s="23" t="str">
        <f t="shared" si="33"/>
        <v/>
      </c>
      <c r="V89" s="22"/>
      <c r="W89" s="21" t="str">
        <f t="shared" si="34"/>
        <v/>
      </c>
      <c r="X89" s="23" t="str">
        <f t="shared" si="35"/>
        <v/>
      </c>
      <c r="Y89" s="22"/>
      <c r="Z89" s="21" t="str">
        <f t="shared" si="36"/>
        <v/>
      </c>
      <c r="AA89" s="23" t="str">
        <f t="shared" si="37"/>
        <v/>
      </c>
      <c r="AB89" s="22"/>
      <c r="AC89" s="21" t="str">
        <f t="shared" si="38"/>
        <v/>
      </c>
      <c r="AD89" s="23" t="str">
        <f t="shared" si="39"/>
        <v/>
      </c>
      <c r="AE89" s="22"/>
      <c r="AF89" s="21" t="str">
        <f t="shared" si="40"/>
        <v/>
      </c>
      <c r="AG89" s="85" t="str">
        <f t="shared" si="41"/>
        <v/>
      </c>
    </row>
    <row r="90" spans="1:33" x14ac:dyDescent="0.25">
      <c r="A90" s="13">
        <f>WORKDAY(A91,1,JoursFeries!$B$3:$CH$15)</f>
        <v>42745</v>
      </c>
      <c r="F90" s="24" t="str">
        <f t="shared" si="42"/>
        <v/>
      </c>
      <c r="G90" s="16" t="str">
        <f t="shared" si="29"/>
        <v/>
      </c>
      <c r="H90" s="15" t="str">
        <f t="shared" si="47"/>
        <v xml:space="preserve"> </v>
      </c>
      <c r="I90" s="15"/>
      <c r="J90" s="22"/>
      <c r="K90" s="21" t="str">
        <f t="shared" si="43"/>
        <v/>
      </c>
      <c r="L90" s="23" t="str">
        <f t="shared" si="44"/>
        <v/>
      </c>
      <c r="M90" s="22"/>
      <c r="N90" s="21" t="str">
        <f t="shared" si="45"/>
        <v/>
      </c>
      <c r="O90" s="23" t="str">
        <f t="shared" si="46"/>
        <v/>
      </c>
      <c r="P90" s="22"/>
      <c r="Q90" s="21" t="str">
        <f t="shared" si="30"/>
        <v/>
      </c>
      <c r="R90" s="23" t="str">
        <f t="shared" si="31"/>
        <v/>
      </c>
      <c r="S90" s="22"/>
      <c r="T90" s="21" t="str">
        <f t="shared" si="32"/>
        <v/>
      </c>
      <c r="U90" s="23" t="str">
        <f t="shared" si="33"/>
        <v/>
      </c>
      <c r="V90" s="22"/>
      <c r="W90" s="21" t="str">
        <f t="shared" si="34"/>
        <v/>
      </c>
      <c r="X90" s="23" t="str">
        <f t="shared" si="35"/>
        <v/>
      </c>
      <c r="Y90" s="22"/>
      <c r="Z90" s="21" t="str">
        <f t="shared" si="36"/>
        <v/>
      </c>
      <c r="AA90" s="23" t="str">
        <f t="shared" si="37"/>
        <v/>
      </c>
      <c r="AB90" s="22"/>
      <c r="AC90" s="21" t="str">
        <f t="shared" si="38"/>
        <v/>
      </c>
      <c r="AD90" s="23" t="str">
        <f t="shared" si="39"/>
        <v/>
      </c>
      <c r="AE90" s="22"/>
      <c r="AF90" s="21" t="str">
        <f t="shared" si="40"/>
        <v/>
      </c>
      <c r="AG90" s="85" t="str">
        <f t="shared" si="41"/>
        <v/>
      </c>
    </row>
    <row r="91" spans="1:33" x14ac:dyDescent="0.25">
      <c r="A91" s="13">
        <f>WORKDAY(A92,1,JoursFeries!$B$3:$CH$15)</f>
        <v>42744</v>
      </c>
      <c r="F91" s="24" t="str">
        <f t="shared" si="42"/>
        <v/>
      </c>
      <c r="G91" s="16" t="str">
        <f t="shared" si="29"/>
        <v/>
      </c>
      <c r="H91" s="15" t="str">
        <f t="shared" si="47"/>
        <v xml:space="preserve"> </v>
      </c>
      <c r="I91" s="15"/>
      <c r="J91" s="22"/>
      <c r="K91" s="21" t="str">
        <f t="shared" si="43"/>
        <v/>
      </c>
      <c r="L91" s="23" t="str">
        <f t="shared" si="44"/>
        <v/>
      </c>
      <c r="M91" s="22"/>
      <c r="N91" s="21" t="str">
        <f t="shared" si="45"/>
        <v/>
      </c>
      <c r="O91" s="23" t="str">
        <f t="shared" si="46"/>
        <v/>
      </c>
      <c r="P91" s="22"/>
      <c r="Q91" s="21" t="str">
        <f t="shared" si="30"/>
        <v/>
      </c>
      <c r="R91" s="23" t="str">
        <f t="shared" si="31"/>
        <v/>
      </c>
      <c r="S91" s="22"/>
      <c r="T91" s="21" t="str">
        <f t="shared" si="32"/>
        <v/>
      </c>
      <c r="U91" s="23" t="str">
        <f t="shared" si="33"/>
        <v/>
      </c>
      <c r="V91" s="22"/>
      <c r="W91" s="21" t="str">
        <f t="shared" si="34"/>
        <v/>
      </c>
      <c r="X91" s="23" t="str">
        <f t="shared" si="35"/>
        <v/>
      </c>
      <c r="Y91" s="22"/>
      <c r="Z91" s="21" t="str">
        <f t="shared" si="36"/>
        <v/>
      </c>
      <c r="AA91" s="23" t="str">
        <f t="shared" si="37"/>
        <v/>
      </c>
      <c r="AB91" s="22"/>
      <c r="AC91" s="21" t="str">
        <f t="shared" si="38"/>
        <v/>
      </c>
      <c r="AD91" s="23" t="str">
        <f t="shared" si="39"/>
        <v/>
      </c>
      <c r="AE91" s="22"/>
      <c r="AF91" s="21" t="str">
        <f t="shared" si="40"/>
        <v/>
      </c>
      <c r="AG91" s="85" t="str">
        <f t="shared" si="41"/>
        <v/>
      </c>
    </row>
    <row r="92" spans="1:33" x14ac:dyDescent="0.25">
      <c r="A92" s="13">
        <f>WORKDAY(A93,1,JoursFeries!$B$3:$CH$15)</f>
        <v>42741</v>
      </c>
      <c r="F92" s="24" t="str">
        <f t="shared" si="42"/>
        <v/>
      </c>
      <c r="G92" s="16" t="str">
        <f t="shared" si="29"/>
        <v/>
      </c>
      <c r="H92" s="15" t="str">
        <f t="shared" si="47"/>
        <v xml:space="preserve"> </v>
      </c>
      <c r="I92" s="15"/>
      <c r="J92" s="22"/>
      <c r="K92" s="21" t="str">
        <f t="shared" si="43"/>
        <v/>
      </c>
      <c r="L92" s="23" t="str">
        <f t="shared" si="44"/>
        <v/>
      </c>
      <c r="M92" s="22"/>
      <c r="N92" s="21" t="str">
        <f t="shared" si="45"/>
        <v/>
      </c>
      <c r="O92" s="23" t="str">
        <f t="shared" si="46"/>
        <v/>
      </c>
      <c r="P92" s="22"/>
      <c r="Q92" s="21" t="str">
        <f t="shared" si="30"/>
        <v/>
      </c>
      <c r="R92" s="23" t="str">
        <f t="shared" si="31"/>
        <v/>
      </c>
      <c r="S92" s="22"/>
      <c r="T92" s="21" t="str">
        <f t="shared" si="32"/>
        <v/>
      </c>
      <c r="U92" s="23" t="str">
        <f t="shared" si="33"/>
        <v/>
      </c>
      <c r="V92" s="22"/>
      <c r="W92" s="21" t="str">
        <f t="shared" si="34"/>
        <v/>
      </c>
      <c r="X92" s="23" t="str">
        <f t="shared" si="35"/>
        <v/>
      </c>
      <c r="Y92" s="22"/>
      <c r="Z92" s="21" t="str">
        <f t="shared" si="36"/>
        <v/>
      </c>
      <c r="AA92" s="23" t="str">
        <f t="shared" si="37"/>
        <v/>
      </c>
      <c r="AB92" s="22"/>
      <c r="AC92" s="21" t="str">
        <f t="shared" si="38"/>
        <v/>
      </c>
      <c r="AD92" s="23" t="str">
        <f t="shared" si="39"/>
        <v/>
      </c>
      <c r="AE92" s="22"/>
      <c r="AF92" s="21" t="str">
        <f t="shared" si="40"/>
        <v/>
      </c>
      <c r="AG92" s="85" t="str">
        <f t="shared" si="41"/>
        <v/>
      </c>
    </row>
    <row r="93" spans="1:33" x14ac:dyDescent="0.25">
      <c r="A93" s="13">
        <f>WORKDAY(A94,1,JoursFeries!$B$3:$CH$15)</f>
        <v>42740</v>
      </c>
      <c r="F93" s="24" t="str">
        <f t="shared" si="42"/>
        <v/>
      </c>
      <c r="G93" s="16" t="str">
        <f t="shared" si="29"/>
        <v/>
      </c>
      <c r="H93" s="15" t="str">
        <f t="shared" si="47"/>
        <v xml:space="preserve"> </v>
      </c>
      <c r="I93" s="15"/>
      <c r="J93" s="22"/>
      <c r="K93" s="21" t="str">
        <f t="shared" si="43"/>
        <v/>
      </c>
      <c r="L93" s="23" t="str">
        <f t="shared" si="44"/>
        <v/>
      </c>
      <c r="M93" s="22"/>
      <c r="N93" s="21" t="str">
        <f t="shared" si="45"/>
        <v/>
      </c>
      <c r="O93" s="23" t="str">
        <f t="shared" si="46"/>
        <v/>
      </c>
      <c r="P93" s="22"/>
      <c r="Q93" s="21" t="str">
        <f t="shared" si="30"/>
        <v/>
      </c>
      <c r="R93" s="23" t="str">
        <f t="shared" si="31"/>
        <v/>
      </c>
      <c r="S93" s="22"/>
      <c r="T93" s="21" t="str">
        <f t="shared" si="32"/>
        <v/>
      </c>
      <c r="U93" s="23" t="str">
        <f t="shared" si="33"/>
        <v/>
      </c>
      <c r="V93" s="22"/>
      <c r="W93" s="21" t="str">
        <f t="shared" si="34"/>
        <v/>
      </c>
      <c r="X93" s="23" t="str">
        <f t="shared" si="35"/>
        <v/>
      </c>
      <c r="Y93" s="22"/>
      <c r="Z93" s="21" t="str">
        <f t="shared" si="36"/>
        <v/>
      </c>
      <c r="AA93" s="23" t="str">
        <f t="shared" si="37"/>
        <v/>
      </c>
      <c r="AB93" s="22"/>
      <c r="AC93" s="21" t="str">
        <f t="shared" si="38"/>
        <v/>
      </c>
      <c r="AD93" s="23" t="str">
        <f t="shared" si="39"/>
        <v/>
      </c>
      <c r="AE93" s="22"/>
      <c r="AF93" s="21" t="str">
        <f t="shared" si="40"/>
        <v/>
      </c>
      <c r="AG93" s="85" t="str">
        <f t="shared" si="41"/>
        <v/>
      </c>
    </row>
    <row r="94" spans="1:33" x14ac:dyDescent="0.25">
      <c r="A94" s="13">
        <f>WORKDAY(A95,1,JoursFeries!$B$3:$CH$15)</f>
        <v>42739</v>
      </c>
      <c r="F94" s="24" t="str">
        <f t="shared" si="42"/>
        <v/>
      </c>
      <c r="G94" s="16" t="str">
        <f t="shared" si="29"/>
        <v/>
      </c>
      <c r="H94" s="15" t="str">
        <f t="shared" si="47"/>
        <v xml:space="preserve"> </v>
      </c>
      <c r="I94" s="15"/>
      <c r="J94" s="22"/>
      <c r="K94" s="21" t="str">
        <f t="shared" si="43"/>
        <v/>
      </c>
      <c r="L94" s="23" t="str">
        <f t="shared" si="44"/>
        <v/>
      </c>
      <c r="M94" s="22"/>
      <c r="N94" s="21" t="str">
        <f t="shared" si="45"/>
        <v/>
      </c>
      <c r="O94" s="23" t="str">
        <f t="shared" si="46"/>
        <v/>
      </c>
      <c r="P94" s="22"/>
      <c r="Q94" s="21" t="str">
        <f t="shared" si="30"/>
        <v/>
      </c>
      <c r="R94" s="23" t="str">
        <f t="shared" si="31"/>
        <v/>
      </c>
      <c r="S94" s="22"/>
      <c r="T94" s="21" t="str">
        <f t="shared" si="32"/>
        <v/>
      </c>
      <c r="U94" s="23" t="str">
        <f t="shared" si="33"/>
        <v/>
      </c>
      <c r="V94" s="22"/>
      <c r="W94" s="21" t="str">
        <f t="shared" si="34"/>
        <v/>
      </c>
      <c r="X94" s="23" t="str">
        <f t="shared" si="35"/>
        <v/>
      </c>
      <c r="Y94" s="22"/>
      <c r="Z94" s="21" t="str">
        <f t="shared" si="36"/>
        <v/>
      </c>
      <c r="AA94" s="23" t="str">
        <f t="shared" si="37"/>
        <v/>
      </c>
      <c r="AB94" s="22"/>
      <c r="AC94" s="21" t="str">
        <f t="shared" si="38"/>
        <v/>
      </c>
      <c r="AD94" s="23" t="str">
        <f t="shared" si="39"/>
        <v/>
      </c>
      <c r="AE94" s="22"/>
      <c r="AF94" s="21" t="str">
        <f t="shared" si="40"/>
        <v/>
      </c>
      <c r="AG94" s="85" t="str">
        <f t="shared" si="41"/>
        <v/>
      </c>
    </row>
    <row r="95" spans="1:33" x14ac:dyDescent="0.25">
      <c r="A95" s="13">
        <f>WORKDAY(A96,1,JoursFeries!$B$3:$CH$15)</f>
        <v>42738</v>
      </c>
      <c r="F95" s="24" t="str">
        <f t="shared" si="42"/>
        <v/>
      </c>
      <c r="G95" s="16" t="str">
        <f t="shared" si="29"/>
        <v/>
      </c>
      <c r="H95" s="15" t="str">
        <f t="shared" si="47"/>
        <v xml:space="preserve"> </v>
      </c>
      <c r="I95" s="15"/>
      <c r="J95" s="22"/>
      <c r="K95" s="21" t="str">
        <f t="shared" si="43"/>
        <v/>
      </c>
      <c r="L95" s="23" t="str">
        <f t="shared" si="44"/>
        <v/>
      </c>
      <c r="M95" s="22"/>
      <c r="N95" s="21" t="str">
        <f t="shared" si="45"/>
        <v/>
      </c>
      <c r="O95" s="23" t="str">
        <f t="shared" si="46"/>
        <v/>
      </c>
      <c r="P95" s="22"/>
      <c r="Q95" s="21" t="str">
        <f t="shared" si="30"/>
        <v/>
      </c>
      <c r="R95" s="23" t="str">
        <f t="shared" si="31"/>
        <v/>
      </c>
      <c r="S95" s="22"/>
      <c r="T95" s="21" t="str">
        <f t="shared" si="32"/>
        <v/>
      </c>
      <c r="U95" s="23" t="str">
        <f t="shared" si="33"/>
        <v/>
      </c>
      <c r="V95" s="22"/>
      <c r="W95" s="21" t="str">
        <f t="shared" si="34"/>
        <v/>
      </c>
      <c r="X95" s="23" t="str">
        <f t="shared" si="35"/>
        <v/>
      </c>
      <c r="Y95" s="22"/>
      <c r="Z95" s="21" t="str">
        <f t="shared" si="36"/>
        <v/>
      </c>
      <c r="AA95" s="23" t="str">
        <f t="shared" si="37"/>
        <v/>
      </c>
      <c r="AB95" s="22"/>
      <c r="AC95" s="21" t="str">
        <f t="shared" si="38"/>
        <v/>
      </c>
      <c r="AD95" s="23" t="str">
        <f t="shared" si="39"/>
        <v/>
      </c>
      <c r="AE95" s="22"/>
      <c r="AF95" s="21" t="str">
        <f t="shared" si="40"/>
        <v/>
      </c>
      <c r="AG95" s="85" t="str">
        <f t="shared" si="41"/>
        <v/>
      </c>
    </row>
    <row r="96" spans="1:33" x14ac:dyDescent="0.25">
      <c r="A96" s="13">
        <f>WORKDAY(A97,1,JoursFeries!$B$3:$CH$15)</f>
        <v>42737</v>
      </c>
      <c r="F96" s="24" t="str">
        <f t="shared" si="42"/>
        <v/>
      </c>
      <c r="G96" s="16" t="str">
        <f t="shared" si="29"/>
        <v/>
      </c>
      <c r="H96" s="15" t="str">
        <f t="shared" si="47"/>
        <v xml:space="preserve"> </v>
      </c>
      <c r="I96" s="15"/>
      <c r="J96" s="22"/>
      <c r="K96" s="21" t="str">
        <f t="shared" si="43"/>
        <v/>
      </c>
      <c r="L96" s="23" t="str">
        <f t="shared" si="44"/>
        <v/>
      </c>
      <c r="M96" s="22"/>
      <c r="N96" s="21" t="str">
        <f t="shared" si="45"/>
        <v/>
      </c>
      <c r="O96" s="23" t="str">
        <f t="shared" si="46"/>
        <v/>
      </c>
      <c r="P96" s="22"/>
      <c r="Q96" s="21" t="str">
        <f t="shared" si="30"/>
        <v/>
      </c>
      <c r="R96" s="23" t="str">
        <f t="shared" si="31"/>
        <v/>
      </c>
      <c r="S96" s="22"/>
      <c r="T96" s="21" t="str">
        <f t="shared" si="32"/>
        <v/>
      </c>
      <c r="U96" s="23" t="str">
        <f t="shared" si="33"/>
        <v/>
      </c>
      <c r="V96" s="22"/>
      <c r="W96" s="21" t="str">
        <f t="shared" si="34"/>
        <v/>
      </c>
      <c r="X96" s="23" t="str">
        <f t="shared" si="35"/>
        <v/>
      </c>
      <c r="Y96" s="22"/>
      <c r="Z96" s="21" t="str">
        <f t="shared" si="36"/>
        <v/>
      </c>
      <c r="AA96" s="23" t="str">
        <f t="shared" si="37"/>
        <v/>
      </c>
      <c r="AB96" s="22"/>
      <c r="AC96" s="21" t="str">
        <f t="shared" si="38"/>
        <v/>
      </c>
      <c r="AD96" s="23" t="str">
        <f t="shared" si="39"/>
        <v/>
      </c>
      <c r="AE96" s="22"/>
      <c r="AF96" s="21" t="str">
        <f t="shared" si="40"/>
        <v/>
      </c>
      <c r="AG96" s="85" t="str">
        <f t="shared" si="41"/>
        <v/>
      </c>
    </row>
    <row r="97" spans="1:33" x14ac:dyDescent="0.25">
      <c r="A97" s="13">
        <f>WORKDAY(A98,1,JoursFeries!$B$3:$CH$15)</f>
        <v>42734</v>
      </c>
      <c r="F97" s="24" t="str">
        <f t="shared" si="42"/>
        <v/>
      </c>
      <c r="G97" s="16" t="str">
        <f t="shared" si="29"/>
        <v/>
      </c>
      <c r="H97" s="15" t="str">
        <f t="shared" si="47"/>
        <v xml:space="preserve"> </v>
      </c>
      <c r="I97" s="15"/>
      <c r="J97" s="22"/>
      <c r="K97" s="21" t="str">
        <f t="shared" si="43"/>
        <v/>
      </c>
      <c r="L97" s="23" t="str">
        <f t="shared" si="44"/>
        <v/>
      </c>
      <c r="M97" s="22"/>
      <c r="N97" s="21" t="str">
        <f t="shared" si="45"/>
        <v/>
      </c>
      <c r="O97" s="23" t="str">
        <f t="shared" si="46"/>
        <v/>
      </c>
      <c r="P97" s="22"/>
      <c r="Q97" s="21" t="str">
        <f t="shared" si="30"/>
        <v/>
      </c>
      <c r="R97" s="23" t="str">
        <f t="shared" si="31"/>
        <v/>
      </c>
      <c r="S97" s="22"/>
      <c r="T97" s="21" t="str">
        <f t="shared" si="32"/>
        <v/>
      </c>
      <c r="U97" s="23" t="str">
        <f t="shared" si="33"/>
        <v/>
      </c>
      <c r="V97" s="22"/>
      <c r="W97" s="21" t="str">
        <f t="shared" si="34"/>
        <v/>
      </c>
      <c r="X97" s="23" t="str">
        <f t="shared" si="35"/>
        <v/>
      </c>
      <c r="Y97" s="22"/>
      <c r="Z97" s="21" t="str">
        <f t="shared" si="36"/>
        <v/>
      </c>
      <c r="AA97" s="23" t="str">
        <f t="shared" si="37"/>
        <v/>
      </c>
      <c r="AB97" s="22"/>
      <c r="AC97" s="21" t="str">
        <f t="shared" si="38"/>
        <v/>
      </c>
      <c r="AD97" s="23" t="str">
        <f t="shared" si="39"/>
        <v/>
      </c>
      <c r="AE97" s="22"/>
      <c r="AF97" s="21" t="str">
        <f t="shared" si="40"/>
        <v/>
      </c>
      <c r="AG97" s="85" t="str">
        <f t="shared" si="41"/>
        <v/>
      </c>
    </row>
    <row r="98" spans="1:33" x14ac:dyDescent="0.25">
      <c r="A98" s="13">
        <f>WORKDAY(A99,1,JoursFeries!$B$3:$CH$15)</f>
        <v>42733</v>
      </c>
      <c r="F98" s="24" t="str">
        <f t="shared" si="42"/>
        <v/>
      </c>
      <c r="G98" s="16" t="str">
        <f t="shared" si="29"/>
        <v/>
      </c>
      <c r="H98" s="15" t="str">
        <f t="shared" si="47"/>
        <v xml:space="preserve"> </v>
      </c>
      <c r="I98" s="15"/>
      <c r="J98" s="22"/>
      <c r="K98" s="21" t="str">
        <f t="shared" si="43"/>
        <v/>
      </c>
      <c r="L98" s="23" t="str">
        <f t="shared" si="44"/>
        <v/>
      </c>
      <c r="M98" s="22"/>
      <c r="N98" s="21" t="str">
        <f t="shared" si="45"/>
        <v/>
      </c>
      <c r="O98" s="23" t="str">
        <f t="shared" si="46"/>
        <v/>
      </c>
      <c r="P98" s="22"/>
      <c r="Q98" s="21" t="str">
        <f t="shared" si="30"/>
        <v/>
      </c>
      <c r="R98" s="23" t="str">
        <f t="shared" si="31"/>
        <v/>
      </c>
      <c r="S98" s="22"/>
      <c r="T98" s="21" t="str">
        <f t="shared" si="32"/>
        <v/>
      </c>
      <c r="U98" s="23" t="str">
        <f t="shared" si="33"/>
        <v/>
      </c>
      <c r="V98" s="22"/>
      <c r="W98" s="21" t="str">
        <f t="shared" si="34"/>
        <v/>
      </c>
      <c r="X98" s="23" t="str">
        <f t="shared" si="35"/>
        <v/>
      </c>
      <c r="Y98" s="22"/>
      <c r="Z98" s="21" t="str">
        <f t="shared" si="36"/>
        <v/>
      </c>
      <c r="AA98" s="23" t="str">
        <f t="shared" si="37"/>
        <v/>
      </c>
      <c r="AB98" s="22"/>
      <c r="AC98" s="21" t="str">
        <f t="shared" si="38"/>
        <v/>
      </c>
      <c r="AD98" s="23" t="str">
        <f t="shared" si="39"/>
        <v/>
      </c>
      <c r="AE98" s="22"/>
      <c r="AF98" s="21" t="str">
        <f t="shared" si="40"/>
        <v/>
      </c>
      <c r="AG98" s="85" t="str">
        <f t="shared" si="41"/>
        <v/>
      </c>
    </row>
    <row r="99" spans="1:33" x14ac:dyDescent="0.25">
      <c r="A99" s="13">
        <f>WORKDAY(A100,1,JoursFeries!$B$3:$CH$15)</f>
        <v>42732</v>
      </c>
      <c r="F99" s="24" t="str">
        <f t="shared" si="42"/>
        <v/>
      </c>
      <c r="G99" s="16" t="str">
        <f t="shared" si="29"/>
        <v/>
      </c>
      <c r="H99" s="15" t="str">
        <f t="shared" si="47"/>
        <v xml:space="preserve"> </v>
      </c>
      <c r="I99" s="15"/>
      <c r="J99" s="22"/>
      <c r="K99" s="21" t="str">
        <f t="shared" si="43"/>
        <v/>
      </c>
      <c r="L99" s="23" t="str">
        <f t="shared" si="44"/>
        <v/>
      </c>
      <c r="M99" s="22"/>
      <c r="N99" s="21" t="str">
        <f t="shared" si="45"/>
        <v/>
      </c>
      <c r="O99" s="23" t="str">
        <f t="shared" si="46"/>
        <v/>
      </c>
      <c r="P99" s="22"/>
      <c r="Q99" s="21" t="str">
        <f t="shared" si="30"/>
        <v/>
      </c>
      <c r="R99" s="23" t="str">
        <f t="shared" si="31"/>
        <v/>
      </c>
      <c r="S99" s="22"/>
      <c r="T99" s="21" t="str">
        <f t="shared" si="32"/>
        <v/>
      </c>
      <c r="U99" s="23" t="str">
        <f t="shared" si="33"/>
        <v/>
      </c>
      <c r="V99" s="22"/>
      <c r="W99" s="21" t="str">
        <f t="shared" si="34"/>
        <v/>
      </c>
      <c r="X99" s="23" t="str">
        <f t="shared" si="35"/>
        <v/>
      </c>
      <c r="Y99" s="22"/>
      <c r="Z99" s="21" t="str">
        <f t="shared" si="36"/>
        <v/>
      </c>
      <c r="AA99" s="23" t="str">
        <f t="shared" si="37"/>
        <v/>
      </c>
      <c r="AB99" s="22"/>
      <c r="AC99" s="21" t="str">
        <f t="shared" si="38"/>
        <v/>
      </c>
      <c r="AD99" s="23" t="str">
        <f t="shared" si="39"/>
        <v/>
      </c>
      <c r="AE99" s="22"/>
      <c r="AF99" s="21" t="str">
        <f t="shared" si="40"/>
        <v/>
      </c>
      <c r="AG99" s="85" t="str">
        <f t="shared" si="41"/>
        <v/>
      </c>
    </row>
    <row r="100" spans="1:33" x14ac:dyDescent="0.25">
      <c r="A100" s="13">
        <f>WORKDAY(A101,1,JoursFeries!$B$3:$CH$15)</f>
        <v>42731</v>
      </c>
      <c r="F100" s="24" t="str">
        <f t="shared" si="42"/>
        <v/>
      </c>
      <c r="G100" s="16" t="str">
        <f t="shared" si="29"/>
        <v/>
      </c>
      <c r="H100" s="15" t="str">
        <f t="shared" si="47"/>
        <v xml:space="preserve"> </v>
      </c>
      <c r="I100" s="15"/>
      <c r="J100" s="22"/>
      <c r="K100" s="21" t="str">
        <f t="shared" si="43"/>
        <v/>
      </c>
      <c r="L100" s="23" t="str">
        <f t="shared" si="44"/>
        <v/>
      </c>
      <c r="M100" s="22"/>
      <c r="N100" s="21" t="str">
        <f t="shared" si="45"/>
        <v/>
      </c>
      <c r="O100" s="23" t="str">
        <f t="shared" si="46"/>
        <v/>
      </c>
      <c r="P100" s="22"/>
      <c r="Q100" s="21" t="str">
        <f t="shared" si="30"/>
        <v/>
      </c>
      <c r="R100" s="23" t="str">
        <f t="shared" si="31"/>
        <v/>
      </c>
      <c r="S100" s="22"/>
      <c r="T100" s="21" t="str">
        <f t="shared" si="32"/>
        <v/>
      </c>
      <c r="U100" s="23" t="str">
        <f t="shared" si="33"/>
        <v/>
      </c>
      <c r="V100" s="22"/>
      <c r="W100" s="21" t="str">
        <f t="shared" si="34"/>
        <v/>
      </c>
      <c r="X100" s="23" t="str">
        <f t="shared" si="35"/>
        <v/>
      </c>
      <c r="Y100" s="22"/>
      <c r="Z100" s="21" t="str">
        <f t="shared" si="36"/>
        <v/>
      </c>
      <c r="AA100" s="23" t="str">
        <f t="shared" si="37"/>
        <v/>
      </c>
      <c r="AB100" s="22"/>
      <c r="AC100" s="21" t="str">
        <f t="shared" si="38"/>
        <v/>
      </c>
      <c r="AD100" s="23" t="str">
        <f t="shared" si="39"/>
        <v/>
      </c>
      <c r="AE100" s="22"/>
      <c r="AF100" s="21" t="str">
        <f t="shared" si="40"/>
        <v/>
      </c>
      <c r="AG100" s="85" t="str">
        <f t="shared" si="41"/>
        <v/>
      </c>
    </row>
    <row r="101" spans="1:33" x14ac:dyDescent="0.25">
      <c r="A101" s="13">
        <f>WORKDAY(A102,1,JoursFeries!$B$3:$CH$15)</f>
        <v>42730</v>
      </c>
      <c r="F101" s="24" t="str">
        <f t="shared" si="42"/>
        <v/>
      </c>
      <c r="G101" s="16" t="str">
        <f t="shared" si="29"/>
        <v/>
      </c>
      <c r="H101" s="15" t="str">
        <f t="shared" si="47"/>
        <v xml:space="preserve"> </v>
      </c>
      <c r="I101" s="15"/>
      <c r="J101" s="22"/>
      <c r="K101" s="21" t="str">
        <f t="shared" si="43"/>
        <v/>
      </c>
      <c r="L101" s="23" t="str">
        <f t="shared" si="44"/>
        <v/>
      </c>
      <c r="M101" s="22"/>
      <c r="N101" s="21" t="str">
        <f t="shared" si="45"/>
        <v/>
      </c>
      <c r="O101" s="23" t="str">
        <f t="shared" si="46"/>
        <v/>
      </c>
      <c r="P101" s="22"/>
      <c r="Q101" s="21" t="str">
        <f t="shared" si="30"/>
        <v/>
      </c>
      <c r="R101" s="23" t="str">
        <f t="shared" si="31"/>
        <v/>
      </c>
      <c r="S101" s="22"/>
      <c r="T101" s="21" t="str">
        <f t="shared" si="32"/>
        <v/>
      </c>
      <c r="U101" s="23" t="str">
        <f t="shared" si="33"/>
        <v/>
      </c>
      <c r="V101" s="22"/>
      <c r="W101" s="21" t="str">
        <f t="shared" si="34"/>
        <v/>
      </c>
      <c r="X101" s="23" t="str">
        <f t="shared" si="35"/>
        <v/>
      </c>
      <c r="Y101" s="22"/>
      <c r="Z101" s="21" t="str">
        <f t="shared" si="36"/>
        <v/>
      </c>
      <c r="AA101" s="23" t="str">
        <f t="shared" si="37"/>
        <v/>
      </c>
      <c r="AB101" s="22"/>
      <c r="AC101" s="21" t="str">
        <f t="shared" si="38"/>
        <v/>
      </c>
      <c r="AD101" s="23" t="str">
        <f t="shared" si="39"/>
        <v/>
      </c>
      <c r="AE101" s="22"/>
      <c r="AF101" s="21" t="str">
        <f t="shared" si="40"/>
        <v/>
      </c>
      <c r="AG101" s="85" t="str">
        <f t="shared" si="41"/>
        <v/>
      </c>
    </row>
    <row r="102" spans="1:33" x14ac:dyDescent="0.25">
      <c r="A102" s="13">
        <f>WORKDAY(A103,1,JoursFeries!$B$3:$CH$15)</f>
        <v>42727</v>
      </c>
      <c r="F102" s="24" t="str">
        <f t="shared" si="42"/>
        <v/>
      </c>
      <c r="G102" s="16" t="str">
        <f t="shared" si="29"/>
        <v/>
      </c>
      <c r="H102" s="15" t="str">
        <f t="shared" si="47"/>
        <v xml:space="preserve"> </v>
      </c>
      <c r="I102" s="15"/>
      <c r="J102" s="22"/>
      <c r="K102" s="21" t="str">
        <f t="shared" si="43"/>
        <v/>
      </c>
      <c r="L102" s="23" t="str">
        <f t="shared" si="44"/>
        <v/>
      </c>
      <c r="M102" s="22"/>
      <c r="N102" s="21" t="str">
        <f t="shared" si="45"/>
        <v/>
      </c>
      <c r="O102" s="23" t="str">
        <f t="shared" si="46"/>
        <v/>
      </c>
      <c r="P102" s="22"/>
      <c r="Q102" s="21" t="str">
        <f t="shared" si="30"/>
        <v/>
      </c>
      <c r="R102" s="23" t="str">
        <f t="shared" si="31"/>
        <v/>
      </c>
      <c r="S102" s="22"/>
      <c r="T102" s="21" t="str">
        <f t="shared" si="32"/>
        <v/>
      </c>
      <c r="U102" s="23" t="str">
        <f t="shared" si="33"/>
        <v/>
      </c>
      <c r="V102" s="22"/>
      <c r="W102" s="21" t="str">
        <f t="shared" si="34"/>
        <v/>
      </c>
      <c r="X102" s="23" t="str">
        <f t="shared" si="35"/>
        <v/>
      </c>
      <c r="Y102" s="22"/>
      <c r="Z102" s="21" t="str">
        <f t="shared" si="36"/>
        <v/>
      </c>
      <c r="AA102" s="23" t="str">
        <f t="shared" si="37"/>
        <v/>
      </c>
      <c r="AB102" s="22"/>
      <c r="AC102" s="21" t="str">
        <f t="shared" si="38"/>
        <v/>
      </c>
      <c r="AD102" s="23" t="str">
        <f t="shared" si="39"/>
        <v/>
      </c>
      <c r="AE102" s="22"/>
      <c r="AF102" s="21" t="str">
        <f t="shared" si="40"/>
        <v/>
      </c>
      <c r="AG102" s="85" t="str">
        <f t="shared" si="41"/>
        <v/>
      </c>
    </row>
    <row r="103" spans="1:33" x14ac:dyDescent="0.25">
      <c r="A103" s="13">
        <f>WORKDAY(A104,1,JoursFeries!$B$3:$CH$15)</f>
        <v>42726</v>
      </c>
      <c r="F103" s="24" t="str">
        <f t="shared" si="42"/>
        <v/>
      </c>
      <c r="G103" s="16" t="str">
        <f t="shared" si="29"/>
        <v/>
      </c>
      <c r="H103" s="15" t="str">
        <f t="shared" si="47"/>
        <v xml:space="preserve"> </v>
      </c>
      <c r="I103" s="15"/>
      <c r="J103" s="22"/>
      <c r="K103" s="21" t="str">
        <f t="shared" si="43"/>
        <v/>
      </c>
      <c r="L103" s="23" t="str">
        <f t="shared" si="44"/>
        <v/>
      </c>
      <c r="M103" s="22"/>
      <c r="N103" s="21" t="str">
        <f t="shared" si="45"/>
        <v/>
      </c>
      <c r="O103" s="23" t="str">
        <f t="shared" si="46"/>
        <v/>
      </c>
      <c r="P103" s="22"/>
      <c r="Q103" s="21" t="str">
        <f t="shared" si="30"/>
        <v/>
      </c>
      <c r="R103" s="23" t="str">
        <f t="shared" si="31"/>
        <v/>
      </c>
      <c r="S103" s="22"/>
      <c r="T103" s="21" t="str">
        <f t="shared" si="32"/>
        <v/>
      </c>
      <c r="U103" s="23" t="str">
        <f t="shared" si="33"/>
        <v/>
      </c>
      <c r="V103" s="22"/>
      <c r="W103" s="21" t="str">
        <f t="shared" si="34"/>
        <v/>
      </c>
      <c r="X103" s="23" t="str">
        <f t="shared" si="35"/>
        <v/>
      </c>
      <c r="Y103" s="22"/>
      <c r="Z103" s="21" t="str">
        <f t="shared" si="36"/>
        <v/>
      </c>
      <c r="AA103" s="23" t="str">
        <f t="shared" si="37"/>
        <v/>
      </c>
      <c r="AB103" s="22"/>
      <c r="AC103" s="21" t="str">
        <f t="shared" si="38"/>
        <v/>
      </c>
      <c r="AD103" s="23" t="str">
        <f t="shared" si="39"/>
        <v/>
      </c>
      <c r="AE103" s="22"/>
      <c r="AF103" s="21" t="str">
        <f t="shared" si="40"/>
        <v/>
      </c>
      <c r="AG103" s="85" t="str">
        <f t="shared" si="41"/>
        <v/>
      </c>
    </row>
    <row r="104" spans="1:33" x14ac:dyDescent="0.25">
      <c r="A104" s="13">
        <f>WORKDAY(A105,1,JoursFeries!$B$3:$CH$15)</f>
        <v>42725</v>
      </c>
      <c r="F104" s="24" t="str">
        <f t="shared" si="42"/>
        <v/>
      </c>
      <c r="G104" s="16" t="str">
        <f t="shared" si="29"/>
        <v/>
      </c>
      <c r="H104" s="15" t="str">
        <f t="shared" si="47"/>
        <v xml:space="preserve"> </v>
      </c>
      <c r="I104" s="15"/>
      <c r="J104" s="22"/>
      <c r="K104" s="21" t="str">
        <f t="shared" si="43"/>
        <v/>
      </c>
      <c r="L104" s="23" t="str">
        <f t="shared" si="44"/>
        <v/>
      </c>
      <c r="M104" s="22"/>
      <c r="N104" s="21" t="str">
        <f t="shared" si="45"/>
        <v/>
      </c>
      <c r="O104" s="23" t="str">
        <f t="shared" si="46"/>
        <v/>
      </c>
      <c r="P104" s="22"/>
      <c r="Q104" s="21" t="str">
        <f t="shared" si="30"/>
        <v/>
      </c>
      <c r="R104" s="23" t="str">
        <f t="shared" si="31"/>
        <v/>
      </c>
      <c r="S104" s="22"/>
      <c r="T104" s="21" t="str">
        <f t="shared" si="32"/>
        <v/>
      </c>
      <c r="U104" s="23" t="str">
        <f t="shared" si="33"/>
        <v/>
      </c>
      <c r="V104" s="22"/>
      <c r="W104" s="21" t="str">
        <f t="shared" si="34"/>
        <v/>
      </c>
      <c r="X104" s="23" t="str">
        <f t="shared" si="35"/>
        <v/>
      </c>
      <c r="Y104" s="22"/>
      <c r="Z104" s="21" t="str">
        <f t="shared" si="36"/>
        <v/>
      </c>
      <c r="AA104" s="23" t="str">
        <f t="shared" si="37"/>
        <v/>
      </c>
      <c r="AB104" s="22"/>
      <c r="AC104" s="21" t="str">
        <f t="shared" si="38"/>
        <v/>
      </c>
      <c r="AD104" s="23" t="str">
        <f t="shared" si="39"/>
        <v/>
      </c>
      <c r="AE104" s="22"/>
      <c r="AF104" s="21" t="str">
        <f t="shared" si="40"/>
        <v/>
      </c>
      <c r="AG104" s="85" t="str">
        <f t="shared" si="41"/>
        <v/>
      </c>
    </row>
    <row r="105" spans="1:33" x14ac:dyDescent="0.25">
      <c r="A105" s="13">
        <f>WORKDAY(A106,1,JoursFeries!$B$3:$CH$15)</f>
        <v>42724</v>
      </c>
      <c r="F105" s="24" t="str">
        <f t="shared" si="42"/>
        <v/>
      </c>
      <c r="G105" s="16" t="str">
        <f t="shared" si="29"/>
        <v/>
      </c>
      <c r="H105" s="15" t="str">
        <f t="shared" si="47"/>
        <v xml:space="preserve"> </v>
      </c>
      <c r="I105" s="15"/>
      <c r="J105" s="22"/>
      <c r="K105" s="21" t="str">
        <f t="shared" si="43"/>
        <v/>
      </c>
      <c r="L105" s="23" t="str">
        <f t="shared" si="44"/>
        <v/>
      </c>
      <c r="M105" s="22"/>
      <c r="N105" s="21" t="str">
        <f t="shared" si="45"/>
        <v/>
      </c>
      <c r="O105" s="23" t="str">
        <f t="shared" si="46"/>
        <v/>
      </c>
      <c r="P105" s="22"/>
      <c r="Q105" s="21" t="str">
        <f t="shared" si="30"/>
        <v/>
      </c>
      <c r="R105" s="23" t="str">
        <f t="shared" si="31"/>
        <v/>
      </c>
      <c r="S105" s="22"/>
      <c r="T105" s="21" t="str">
        <f t="shared" si="32"/>
        <v/>
      </c>
      <c r="U105" s="23" t="str">
        <f t="shared" si="33"/>
        <v/>
      </c>
      <c r="V105" s="22"/>
      <c r="W105" s="21" t="str">
        <f t="shared" si="34"/>
        <v/>
      </c>
      <c r="X105" s="23" t="str">
        <f t="shared" si="35"/>
        <v/>
      </c>
      <c r="Y105" s="22"/>
      <c r="Z105" s="21" t="str">
        <f t="shared" si="36"/>
        <v/>
      </c>
      <c r="AA105" s="23" t="str">
        <f t="shared" si="37"/>
        <v/>
      </c>
      <c r="AB105" s="22"/>
      <c r="AC105" s="21" t="str">
        <f t="shared" si="38"/>
        <v/>
      </c>
      <c r="AD105" s="23" t="str">
        <f t="shared" si="39"/>
        <v/>
      </c>
      <c r="AE105" s="22"/>
      <c r="AF105" s="21" t="str">
        <f t="shared" si="40"/>
        <v/>
      </c>
      <c r="AG105" s="85" t="str">
        <f t="shared" si="41"/>
        <v/>
      </c>
    </row>
    <row r="106" spans="1:33" x14ac:dyDescent="0.25">
      <c r="A106" s="13">
        <f>WORKDAY(A107,1,JoursFeries!$B$3:$CH$15)</f>
        <v>42723</v>
      </c>
      <c r="F106" s="24" t="str">
        <f t="shared" si="42"/>
        <v/>
      </c>
      <c r="G106" s="16" t="str">
        <f t="shared" si="29"/>
        <v/>
      </c>
      <c r="H106" s="15" t="str">
        <f t="shared" si="47"/>
        <v xml:space="preserve"> </v>
      </c>
      <c r="I106" s="15"/>
      <c r="J106" s="22"/>
      <c r="K106" s="21" t="str">
        <f t="shared" si="43"/>
        <v/>
      </c>
      <c r="L106" s="23" t="str">
        <f t="shared" si="44"/>
        <v/>
      </c>
      <c r="M106" s="22"/>
      <c r="N106" s="21" t="str">
        <f t="shared" si="45"/>
        <v/>
      </c>
      <c r="O106" s="23" t="str">
        <f t="shared" si="46"/>
        <v/>
      </c>
      <c r="P106" s="22"/>
      <c r="Q106" s="21" t="str">
        <f t="shared" si="30"/>
        <v/>
      </c>
      <c r="R106" s="23" t="str">
        <f t="shared" si="31"/>
        <v/>
      </c>
      <c r="S106" s="22"/>
      <c r="T106" s="21" t="str">
        <f t="shared" si="32"/>
        <v/>
      </c>
      <c r="U106" s="23" t="str">
        <f t="shared" si="33"/>
        <v/>
      </c>
      <c r="V106" s="22"/>
      <c r="W106" s="21" t="str">
        <f t="shared" si="34"/>
        <v/>
      </c>
      <c r="X106" s="23" t="str">
        <f t="shared" si="35"/>
        <v/>
      </c>
      <c r="Y106" s="22"/>
      <c r="Z106" s="21" t="str">
        <f t="shared" si="36"/>
        <v/>
      </c>
      <c r="AA106" s="23" t="str">
        <f t="shared" si="37"/>
        <v/>
      </c>
      <c r="AB106" s="22"/>
      <c r="AC106" s="21" t="str">
        <f t="shared" si="38"/>
        <v/>
      </c>
      <c r="AD106" s="23" t="str">
        <f t="shared" si="39"/>
        <v/>
      </c>
      <c r="AE106" s="22"/>
      <c r="AF106" s="21" t="str">
        <f t="shared" si="40"/>
        <v/>
      </c>
      <c r="AG106" s="85" t="str">
        <f t="shared" si="41"/>
        <v/>
      </c>
    </row>
    <row r="107" spans="1:33" x14ac:dyDescent="0.25">
      <c r="A107" s="13">
        <f>WORKDAY(A108,1,JoursFeries!$B$3:$CH$15)</f>
        <v>42720</v>
      </c>
      <c r="F107" s="24" t="str">
        <f t="shared" si="42"/>
        <v/>
      </c>
      <c r="G107" s="16" t="str">
        <f t="shared" si="29"/>
        <v/>
      </c>
      <c r="H107" s="15" t="str">
        <f t="shared" si="47"/>
        <v xml:space="preserve"> </v>
      </c>
      <c r="I107" s="15"/>
      <c r="J107" s="22"/>
      <c r="K107" s="21" t="str">
        <f t="shared" si="43"/>
        <v/>
      </c>
      <c r="L107" s="23" t="str">
        <f t="shared" si="44"/>
        <v/>
      </c>
      <c r="M107" s="22"/>
      <c r="N107" s="21" t="str">
        <f t="shared" si="45"/>
        <v/>
      </c>
      <c r="O107" s="23" t="str">
        <f t="shared" si="46"/>
        <v/>
      </c>
      <c r="P107" s="22"/>
      <c r="Q107" s="21" t="str">
        <f t="shared" si="30"/>
        <v/>
      </c>
      <c r="R107" s="23" t="str">
        <f t="shared" si="31"/>
        <v/>
      </c>
      <c r="S107" s="22"/>
      <c r="T107" s="21" t="str">
        <f t="shared" si="32"/>
        <v/>
      </c>
      <c r="U107" s="23" t="str">
        <f t="shared" si="33"/>
        <v/>
      </c>
      <c r="V107" s="22"/>
      <c r="W107" s="21" t="str">
        <f t="shared" si="34"/>
        <v/>
      </c>
      <c r="X107" s="23" t="str">
        <f t="shared" si="35"/>
        <v/>
      </c>
      <c r="Y107" s="22"/>
      <c r="Z107" s="21" t="str">
        <f t="shared" si="36"/>
        <v/>
      </c>
      <c r="AA107" s="23" t="str">
        <f t="shared" si="37"/>
        <v/>
      </c>
      <c r="AB107" s="22"/>
      <c r="AC107" s="21" t="str">
        <f t="shared" si="38"/>
        <v/>
      </c>
      <c r="AD107" s="23" t="str">
        <f t="shared" si="39"/>
        <v/>
      </c>
      <c r="AE107" s="22"/>
      <c r="AF107" s="21" t="str">
        <f t="shared" si="40"/>
        <v/>
      </c>
      <c r="AG107" s="85" t="str">
        <f t="shared" si="41"/>
        <v/>
      </c>
    </row>
    <row r="108" spans="1:33" x14ac:dyDescent="0.25">
      <c r="A108" s="13">
        <f>WORKDAY(A109,1,JoursFeries!$B$3:$CH$15)</f>
        <v>42719</v>
      </c>
      <c r="F108" s="24" t="str">
        <f t="shared" si="42"/>
        <v/>
      </c>
      <c r="G108" s="16" t="str">
        <f t="shared" si="29"/>
        <v/>
      </c>
      <c r="H108" s="15" t="str">
        <f t="shared" si="47"/>
        <v xml:space="preserve"> </v>
      </c>
      <c r="I108" s="15"/>
      <c r="J108" s="22"/>
      <c r="K108" s="21" t="str">
        <f t="shared" si="43"/>
        <v/>
      </c>
      <c r="L108" s="23" t="str">
        <f t="shared" si="44"/>
        <v/>
      </c>
      <c r="M108" s="22"/>
      <c r="N108" s="21" t="str">
        <f t="shared" si="45"/>
        <v/>
      </c>
      <c r="O108" s="23" t="str">
        <f t="shared" si="46"/>
        <v/>
      </c>
      <c r="P108" s="22"/>
      <c r="Q108" s="21" t="str">
        <f t="shared" si="30"/>
        <v/>
      </c>
      <c r="R108" s="23" t="str">
        <f t="shared" si="31"/>
        <v/>
      </c>
      <c r="S108" s="22"/>
      <c r="T108" s="21" t="str">
        <f t="shared" si="32"/>
        <v/>
      </c>
      <c r="U108" s="23" t="str">
        <f t="shared" si="33"/>
        <v/>
      </c>
      <c r="V108" s="22"/>
      <c r="W108" s="21" t="str">
        <f t="shared" si="34"/>
        <v/>
      </c>
      <c r="X108" s="23" t="str">
        <f t="shared" si="35"/>
        <v/>
      </c>
      <c r="Y108" s="22"/>
      <c r="Z108" s="21" t="str">
        <f t="shared" si="36"/>
        <v/>
      </c>
      <c r="AA108" s="23" t="str">
        <f t="shared" si="37"/>
        <v/>
      </c>
      <c r="AB108" s="22"/>
      <c r="AC108" s="21" t="str">
        <f t="shared" si="38"/>
        <v/>
      </c>
      <c r="AD108" s="23" t="str">
        <f t="shared" si="39"/>
        <v/>
      </c>
      <c r="AE108" s="22"/>
      <c r="AF108" s="21" t="str">
        <f t="shared" si="40"/>
        <v/>
      </c>
      <c r="AG108" s="85" t="str">
        <f t="shared" si="41"/>
        <v/>
      </c>
    </row>
    <row r="109" spans="1:33" x14ac:dyDescent="0.25">
      <c r="A109" s="13">
        <f>WORKDAY(A110,1,JoursFeries!$B$3:$CH$15)</f>
        <v>42718</v>
      </c>
      <c r="B109" s="19" t="s">
        <v>116</v>
      </c>
      <c r="C109" s="19">
        <v>8</v>
      </c>
      <c r="E109" s="19">
        <v>1370</v>
      </c>
      <c r="F109" s="24">
        <f t="shared" si="42"/>
        <v>994.01853065421255</v>
      </c>
      <c r="G109" s="16">
        <f t="shared" si="29"/>
        <v>375.98146934578745</v>
      </c>
      <c r="H109" s="15">
        <f t="shared" si="47"/>
        <v>171.25</v>
      </c>
      <c r="I109" s="15"/>
      <c r="J109" s="22">
        <v>339</v>
      </c>
      <c r="K109" s="21">
        <f t="shared" si="43"/>
        <v>42.375</v>
      </c>
      <c r="L109" s="23">
        <f t="shared" si="44"/>
        <v>0.24744525547445256</v>
      </c>
      <c r="M109" s="22">
        <v>224</v>
      </c>
      <c r="N109" s="21">
        <f t="shared" si="45"/>
        <v>28</v>
      </c>
      <c r="O109" s="23">
        <f t="shared" si="46"/>
        <v>0.1635036496350365</v>
      </c>
      <c r="P109" s="22">
        <v>282</v>
      </c>
      <c r="Q109" s="21">
        <f t="shared" ref="Q109:Q140" si="48">IF(ISBLANK(P109),"",P109/($C109-IF(ISBLANK($D109),0,$D109)))</f>
        <v>35.25</v>
      </c>
      <c r="R109" s="23">
        <f t="shared" si="31"/>
        <v>0.20583941605839415</v>
      </c>
      <c r="S109" s="22">
        <v>235</v>
      </c>
      <c r="T109" s="21">
        <f t="shared" ref="T109:T140" si="49">IF(ISBLANK(S109),"",S109/($C109-IF(ISBLANK($D109),0,$D109)))</f>
        <v>29.375</v>
      </c>
      <c r="U109" s="23">
        <f t="shared" si="33"/>
        <v>0.17153284671532848</v>
      </c>
      <c r="V109" s="22"/>
      <c r="W109" s="21" t="str">
        <f t="shared" ref="W109:W140" si="50">IF(ISBLANK(V109),"",V109/($C109-IF(ISBLANK($D109),0,$D109)))</f>
        <v/>
      </c>
      <c r="X109" s="23" t="str">
        <f t="shared" si="35"/>
        <v/>
      </c>
      <c r="Y109" s="22"/>
      <c r="Z109" s="21" t="str">
        <f t="shared" ref="Z109:Z140" si="51">IF(ISBLANK(Y109),"",Y109/($C109-IF(ISBLANK($D109),0,$D109)))</f>
        <v/>
      </c>
      <c r="AA109" s="23" t="str">
        <f t="shared" si="37"/>
        <v/>
      </c>
      <c r="AB109" s="22">
        <v>290</v>
      </c>
      <c r="AC109" s="21">
        <f t="shared" ref="AC109:AC140" si="52">IF(ISBLANK(AB109),"",AB109/($C109-IF(ISBLANK($D109),0,$D109)))</f>
        <v>36.25</v>
      </c>
      <c r="AD109" s="23">
        <f t="shared" si="39"/>
        <v>0.21167883211678831</v>
      </c>
      <c r="AE109" s="22"/>
      <c r="AF109" s="21" t="str">
        <f t="shared" ref="AF109:AF140" si="53">IF(ISBLANK(AE109),"",AE109/($C109-IF(ISBLANK($D109),0,$D109)))</f>
        <v/>
      </c>
      <c r="AG109" s="85" t="str">
        <f t="shared" si="41"/>
        <v/>
      </c>
    </row>
    <row r="110" spans="1:33" x14ac:dyDescent="0.25">
      <c r="A110" s="13">
        <f>WORKDAY(A111,1,JoursFeries!$B$3:$CH$15)</f>
        <v>42717</v>
      </c>
      <c r="B110" s="19" t="s">
        <v>116</v>
      </c>
      <c r="C110" s="19">
        <v>9</v>
      </c>
      <c r="E110" s="19">
        <v>1125</v>
      </c>
      <c r="F110" s="24">
        <f t="shared" si="42"/>
        <v>1118.270846985989</v>
      </c>
      <c r="G110" s="16">
        <f t="shared" si="29"/>
        <v>6.7291530140109899</v>
      </c>
      <c r="H110" s="15">
        <f t="shared" si="47"/>
        <v>125</v>
      </c>
      <c r="I110" s="15"/>
      <c r="J110" s="22">
        <v>273</v>
      </c>
      <c r="K110" s="21">
        <f t="shared" ref="K110:K141" si="54">IF(ISBLANK(J110),"",J110/(C110-IF(ISBLANK(D110),0,D110)))</f>
        <v>30.333333333333332</v>
      </c>
      <c r="L110" s="23">
        <f t="shared" si="44"/>
        <v>0.24266666666666667</v>
      </c>
      <c r="M110" s="22">
        <v>121</v>
      </c>
      <c r="N110" s="21">
        <f t="shared" si="45"/>
        <v>13.444444444444445</v>
      </c>
      <c r="O110" s="23">
        <f t="shared" si="46"/>
        <v>0.10755555555555556</v>
      </c>
      <c r="P110" s="22">
        <v>190</v>
      </c>
      <c r="Q110" s="21">
        <f t="shared" si="48"/>
        <v>21.111111111111111</v>
      </c>
      <c r="R110" s="23">
        <f t="shared" si="31"/>
        <v>0.16888888888888889</v>
      </c>
      <c r="S110" s="22">
        <v>150</v>
      </c>
      <c r="T110" s="21">
        <f t="shared" si="49"/>
        <v>16.666666666666668</v>
      </c>
      <c r="U110" s="23">
        <f t="shared" si="33"/>
        <v>0.13333333333333333</v>
      </c>
      <c r="V110" s="22"/>
      <c r="W110" s="21" t="str">
        <f t="shared" si="50"/>
        <v/>
      </c>
      <c r="X110" s="23" t="str">
        <f t="shared" si="35"/>
        <v/>
      </c>
      <c r="Y110" s="22"/>
      <c r="Z110" s="21" t="str">
        <f t="shared" si="51"/>
        <v/>
      </c>
      <c r="AA110" s="23" t="str">
        <f t="shared" si="37"/>
        <v/>
      </c>
      <c r="AB110" s="22">
        <v>391</v>
      </c>
      <c r="AC110" s="21">
        <f t="shared" si="52"/>
        <v>43.444444444444443</v>
      </c>
      <c r="AD110" s="23">
        <f t="shared" si="39"/>
        <v>0.34755555555555556</v>
      </c>
      <c r="AE110" s="22"/>
      <c r="AF110" s="21" t="str">
        <f t="shared" si="53"/>
        <v/>
      </c>
      <c r="AG110" s="85" t="str">
        <f t="shared" si="41"/>
        <v/>
      </c>
    </row>
    <row r="111" spans="1:33" x14ac:dyDescent="0.25">
      <c r="A111" s="13">
        <f>WORKDAY(A112,1,JoursFeries!$B$3:$CH$15)</f>
        <v>42716</v>
      </c>
      <c r="B111" s="19" t="s">
        <v>116</v>
      </c>
      <c r="C111" s="19">
        <v>8</v>
      </c>
      <c r="E111" s="19">
        <v>927.32</v>
      </c>
      <c r="F111" s="24">
        <f t="shared" si="42"/>
        <v>994.01853065421255</v>
      </c>
      <c r="G111" s="16">
        <f t="shared" si="29"/>
        <v>-66.698530654212504</v>
      </c>
      <c r="H111" s="15">
        <f t="shared" si="47"/>
        <v>115.91500000000001</v>
      </c>
      <c r="I111" s="15"/>
      <c r="J111" s="22">
        <v>174</v>
      </c>
      <c r="K111" s="21">
        <f t="shared" si="54"/>
        <v>21.75</v>
      </c>
      <c r="L111" s="23">
        <f t="shared" si="44"/>
        <v>0.18763749299055341</v>
      </c>
      <c r="M111" s="22">
        <v>29</v>
      </c>
      <c r="N111" s="21">
        <f t="shared" si="45"/>
        <v>3.625</v>
      </c>
      <c r="O111" s="23">
        <f t="shared" si="46"/>
        <v>3.127291549842557E-2</v>
      </c>
      <c r="P111" s="22">
        <v>149</v>
      </c>
      <c r="Q111" s="21">
        <f t="shared" si="48"/>
        <v>18.625</v>
      </c>
      <c r="R111" s="23">
        <f t="shared" si="31"/>
        <v>0.16067808307811757</v>
      </c>
      <c r="S111" s="22">
        <v>149</v>
      </c>
      <c r="T111" s="21">
        <f t="shared" si="49"/>
        <v>18.625</v>
      </c>
      <c r="U111" s="23">
        <f t="shared" si="33"/>
        <v>0.16067808307811757</v>
      </c>
      <c r="V111" s="22"/>
      <c r="W111" s="21" t="str">
        <f t="shared" si="50"/>
        <v/>
      </c>
      <c r="X111" s="23" t="str">
        <f t="shared" si="35"/>
        <v/>
      </c>
      <c r="Y111" s="22"/>
      <c r="Z111" s="21" t="str">
        <f t="shared" si="51"/>
        <v/>
      </c>
      <c r="AA111" s="23" t="str">
        <f t="shared" si="37"/>
        <v/>
      </c>
      <c r="AB111" s="22">
        <v>102</v>
      </c>
      <c r="AC111" s="21">
        <f t="shared" si="52"/>
        <v>12.75</v>
      </c>
      <c r="AD111" s="23">
        <f t="shared" si="39"/>
        <v>0.1099943924427382</v>
      </c>
      <c r="AE111" s="22"/>
      <c r="AF111" s="21" t="str">
        <f t="shared" si="53"/>
        <v/>
      </c>
      <c r="AG111" s="85" t="str">
        <f t="shared" si="41"/>
        <v/>
      </c>
    </row>
    <row r="112" spans="1:33" x14ac:dyDescent="0.25">
      <c r="A112" s="13">
        <f>WORKDAY(A113,1,JoursFeries!$B$3:$CH$15)</f>
        <v>42713</v>
      </c>
      <c r="B112" s="19" t="s">
        <v>116</v>
      </c>
      <c r="C112" s="19">
        <v>8</v>
      </c>
      <c r="E112" s="19">
        <v>994</v>
      </c>
      <c r="F112" s="24">
        <f t="shared" si="42"/>
        <v>994.01853065421255</v>
      </c>
      <c r="G112" s="16">
        <f t="shared" si="29"/>
        <v>-1.8530654212554509E-2</v>
      </c>
      <c r="H112" s="15">
        <f t="shared" si="47"/>
        <v>124.25</v>
      </c>
      <c r="I112" s="15"/>
      <c r="J112" s="22">
        <v>228</v>
      </c>
      <c r="K112" s="21">
        <f t="shared" si="54"/>
        <v>28.5</v>
      </c>
      <c r="L112" s="23">
        <f t="shared" si="44"/>
        <v>0.22937625754527163</v>
      </c>
      <c r="M112" s="22">
        <v>137</v>
      </c>
      <c r="N112" s="21">
        <f t="shared" si="45"/>
        <v>17.125</v>
      </c>
      <c r="O112" s="23">
        <f t="shared" si="46"/>
        <v>0.13782696177062373</v>
      </c>
      <c r="P112" s="22">
        <v>184</v>
      </c>
      <c r="Q112" s="21">
        <f t="shared" si="48"/>
        <v>23</v>
      </c>
      <c r="R112" s="23">
        <f t="shared" si="31"/>
        <v>0.18511066398390341</v>
      </c>
      <c r="S112" s="22">
        <v>105</v>
      </c>
      <c r="T112" s="21">
        <f t="shared" si="49"/>
        <v>13.125</v>
      </c>
      <c r="U112" s="23">
        <f t="shared" si="33"/>
        <v>0.10563380281690141</v>
      </c>
      <c r="V112" s="22"/>
      <c r="W112" s="21" t="str">
        <f t="shared" si="50"/>
        <v/>
      </c>
      <c r="X112" s="23" t="str">
        <f t="shared" si="35"/>
        <v/>
      </c>
      <c r="Y112" s="22"/>
      <c r="Z112" s="21" t="str">
        <f t="shared" si="51"/>
        <v/>
      </c>
      <c r="AA112" s="23" t="str">
        <f t="shared" si="37"/>
        <v/>
      </c>
      <c r="AB112" s="22">
        <v>340</v>
      </c>
      <c r="AC112" s="21">
        <f t="shared" si="52"/>
        <v>42.5</v>
      </c>
      <c r="AD112" s="23">
        <f t="shared" si="39"/>
        <v>0.34205231388329982</v>
      </c>
      <c r="AE112" s="22"/>
      <c r="AF112" s="21" t="str">
        <f t="shared" si="53"/>
        <v/>
      </c>
      <c r="AG112" s="85" t="str">
        <f t="shared" si="41"/>
        <v/>
      </c>
    </row>
    <row r="113" spans="1:33" x14ac:dyDescent="0.25">
      <c r="A113" s="13">
        <f>WORKDAY(A114,1,JoursFeries!$B$3:$CH$15)</f>
        <v>42712</v>
      </c>
      <c r="B113" s="19" t="s">
        <v>116</v>
      </c>
      <c r="C113" s="19">
        <v>11</v>
      </c>
      <c r="E113" s="19">
        <v>1309.7</v>
      </c>
      <c r="F113" s="24">
        <f t="shared" si="42"/>
        <v>1366.7754796495424</v>
      </c>
      <c r="G113" s="16">
        <f t="shared" si="29"/>
        <v>-57.075479649542331</v>
      </c>
      <c r="H113" s="15">
        <f t="shared" si="47"/>
        <v>119.06363636363636</v>
      </c>
      <c r="I113" s="15"/>
      <c r="J113" s="22">
        <v>312</v>
      </c>
      <c r="K113" s="21">
        <f t="shared" si="54"/>
        <v>28.363636363636363</v>
      </c>
      <c r="L113" s="23">
        <f t="shared" si="44"/>
        <v>0.23822249370084753</v>
      </c>
      <c r="M113" s="22">
        <v>102</v>
      </c>
      <c r="N113" s="21">
        <f t="shared" si="45"/>
        <v>9.2727272727272734</v>
      </c>
      <c r="O113" s="23">
        <f t="shared" si="46"/>
        <v>7.7880430632969386E-2</v>
      </c>
      <c r="P113" s="22">
        <v>139</v>
      </c>
      <c r="Q113" s="21">
        <f t="shared" si="48"/>
        <v>12.636363636363637</v>
      </c>
      <c r="R113" s="23">
        <f t="shared" si="31"/>
        <v>0.1061311750782622</v>
      </c>
      <c r="S113" s="22">
        <v>67</v>
      </c>
      <c r="T113" s="21">
        <f t="shared" si="49"/>
        <v>6.0909090909090908</v>
      </c>
      <c r="U113" s="23">
        <f t="shared" si="33"/>
        <v>5.1156753454989691E-2</v>
      </c>
      <c r="V113" s="22"/>
      <c r="W113" s="21" t="str">
        <f t="shared" si="50"/>
        <v/>
      </c>
      <c r="X113" s="23" t="str">
        <f t="shared" si="35"/>
        <v/>
      </c>
      <c r="Y113" s="22"/>
      <c r="Z113" s="21" t="str">
        <f t="shared" si="51"/>
        <v/>
      </c>
      <c r="AA113" s="23" t="str">
        <f t="shared" si="37"/>
        <v/>
      </c>
      <c r="AB113" s="22">
        <v>289</v>
      </c>
      <c r="AC113" s="21">
        <f t="shared" si="52"/>
        <v>26.272727272727273</v>
      </c>
      <c r="AD113" s="23">
        <f t="shared" si="39"/>
        <v>0.22066122012674658</v>
      </c>
      <c r="AE113" s="22"/>
      <c r="AF113" s="21" t="str">
        <f t="shared" si="53"/>
        <v/>
      </c>
      <c r="AG113" s="85" t="str">
        <f t="shared" si="41"/>
        <v/>
      </c>
    </row>
    <row r="114" spans="1:33" x14ac:dyDescent="0.25">
      <c r="A114" s="13">
        <f>WORKDAY(A115,1,JoursFeries!$B$3:$CH$15)</f>
        <v>42711</v>
      </c>
      <c r="B114" s="19" t="s">
        <v>116</v>
      </c>
      <c r="C114" s="19">
        <v>11</v>
      </c>
      <c r="E114" s="19">
        <v>1379.96</v>
      </c>
      <c r="F114" s="24">
        <f t="shared" si="42"/>
        <v>1366.7754796495424</v>
      </c>
      <c r="G114" s="16">
        <f t="shared" si="29"/>
        <v>13.18452035045766</v>
      </c>
      <c r="H114" s="15">
        <f t="shared" si="47"/>
        <v>125.45090909090909</v>
      </c>
      <c r="I114" s="15"/>
      <c r="J114" s="22">
        <v>219</v>
      </c>
      <c r="K114" s="21">
        <f t="shared" si="54"/>
        <v>19.90909090909091</v>
      </c>
      <c r="L114" s="23">
        <f t="shared" si="44"/>
        <v>0.15870025218122263</v>
      </c>
      <c r="M114" s="22">
        <v>154</v>
      </c>
      <c r="N114" s="21">
        <f t="shared" si="45"/>
        <v>14</v>
      </c>
      <c r="O114" s="23">
        <f t="shared" si="46"/>
        <v>0.11159743760688716</v>
      </c>
      <c r="P114" s="22">
        <v>149</v>
      </c>
      <c r="Q114" s="21">
        <f t="shared" si="48"/>
        <v>13.545454545454545</v>
      </c>
      <c r="R114" s="23">
        <f t="shared" si="31"/>
        <v>0.10797414417809212</v>
      </c>
      <c r="S114" s="22">
        <v>30</v>
      </c>
      <c r="T114" s="21">
        <f t="shared" si="49"/>
        <v>2.7272727272727271</v>
      </c>
      <c r="U114" s="23">
        <f t="shared" si="33"/>
        <v>2.1739760572770224E-2</v>
      </c>
      <c r="V114" s="22"/>
      <c r="W114" s="21" t="str">
        <f t="shared" si="50"/>
        <v/>
      </c>
      <c r="X114" s="23" t="str">
        <f t="shared" si="35"/>
        <v/>
      </c>
      <c r="Y114" s="22"/>
      <c r="Z114" s="21" t="str">
        <f t="shared" si="51"/>
        <v/>
      </c>
      <c r="AA114" s="23" t="str">
        <f t="shared" si="37"/>
        <v/>
      </c>
      <c r="AB114" s="22">
        <v>408</v>
      </c>
      <c r="AC114" s="21">
        <f t="shared" si="52"/>
        <v>37.090909090909093</v>
      </c>
      <c r="AD114" s="23">
        <f t="shared" si="39"/>
        <v>0.29566074378967505</v>
      </c>
      <c r="AE114" s="22"/>
      <c r="AF114" s="21" t="str">
        <f t="shared" si="53"/>
        <v/>
      </c>
      <c r="AG114" s="85" t="str">
        <f t="shared" si="41"/>
        <v/>
      </c>
    </row>
    <row r="115" spans="1:33" x14ac:dyDescent="0.25">
      <c r="A115" s="13">
        <f>WORKDAY(A116,1,JoursFeries!$B$3:$CH$15)</f>
        <v>42710</v>
      </c>
      <c r="B115" s="19" t="s">
        <v>116</v>
      </c>
      <c r="C115" s="19">
        <v>11</v>
      </c>
      <c r="E115" s="19">
        <v>1405</v>
      </c>
      <c r="F115" s="24">
        <f t="shared" si="42"/>
        <v>1366.7754796495424</v>
      </c>
      <c r="G115" s="16">
        <f t="shared" si="29"/>
        <v>38.224520350457624</v>
      </c>
      <c r="H115" s="15">
        <f t="shared" si="47"/>
        <v>127.72727272727273</v>
      </c>
      <c r="I115" s="15"/>
      <c r="J115" s="22">
        <v>377</v>
      </c>
      <c r="K115" s="21">
        <f t="shared" si="54"/>
        <v>34.272727272727273</v>
      </c>
      <c r="L115" s="23">
        <f t="shared" si="44"/>
        <v>0.26832740213523132</v>
      </c>
      <c r="M115" s="22">
        <v>173</v>
      </c>
      <c r="N115" s="21">
        <f t="shared" si="45"/>
        <v>15.727272727272727</v>
      </c>
      <c r="O115" s="23">
        <f t="shared" si="46"/>
        <v>0.12313167259786477</v>
      </c>
      <c r="P115" s="22">
        <v>318</v>
      </c>
      <c r="Q115" s="21">
        <f t="shared" si="48"/>
        <v>28.90909090909091</v>
      </c>
      <c r="R115" s="23">
        <f t="shared" si="31"/>
        <v>0.22633451957295372</v>
      </c>
      <c r="S115" s="22">
        <v>180</v>
      </c>
      <c r="T115" s="21">
        <f t="shared" si="49"/>
        <v>16.363636363636363</v>
      </c>
      <c r="U115" s="23">
        <f t="shared" si="33"/>
        <v>0.12811387900355872</v>
      </c>
      <c r="V115" s="22"/>
      <c r="W115" s="21" t="str">
        <f t="shared" si="50"/>
        <v/>
      </c>
      <c r="X115" s="23" t="str">
        <f t="shared" si="35"/>
        <v/>
      </c>
      <c r="Y115" s="22"/>
      <c r="Z115" s="21" t="str">
        <f t="shared" si="51"/>
        <v/>
      </c>
      <c r="AA115" s="23" t="str">
        <f t="shared" si="37"/>
        <v/>
      </c>
      <c r="AB115" s="22">
        <v>357</v>
      </c>
      <c r="AC115" s="21">
        <f t="shared" si="52"/>
        <v>32.454545454545453</v>
      </c>
      <c r="AD115" s="23">
        <f t="shared" si="39"/>
        <v>0.25409252669039145</v>
      </c>
      <c r="AE115" s="22"/>
      <c r="AF115" s="21" t="str">
        <f t="shared" si="53"/>
        <v/>
      </c>
      <c r="AG115" s="85" t="str">
        <f t="shared" si="41"/>
        <v/>
      </c>
    </row>
    <row r="116" spans="1:33" x14ac:dyDescent="0.25">
      <c r="A116" s="18">
        <f>WORKDAY(A117,1,JoursFeries!$B$3:$CH$15)</f>
        <v>42709</v>
      </c>
      <c r="B116" s="19" t="s">
        <v>116</v>
      </c>
      <c r="C116" s="19">
        <v>7</v>
      </c>
      <c r="E116" s="19">
        <v>963.44</v>
      </c>
      <c r="F116" s="24">
        <f t="shared" si="42"/>
        <v>869.76621432243599</v>
      </c>
      <c r="G116" s="16">
        <f t="shared" si="29"/>
        <v>93.673785677564069</v>
      </c>
      <c r="H116" s="15">
        <f t="shared" si="47"/>
        <v>137.63428571428571</v>
      </c>
      <c r="I116" s="15"/>
      <c r="J116" s="22">
        <v>145</v>
      </c>
      <c r="K116" s="21">
        <f t="shared" si="54"/>
        <v>20.714285714285715</v>
      </c>
      <c r="L116" s="23">
        <f t="shared" si="44"/>
        <v>0.15050236651997009</v>
      </c>
      <c r="M116" s="22">
        <v>77</v>
      </c>
      <c r="N116" s="21">
        <f t="shared" si="45"/>
        <v>11</v>
      </c>
      <c r="O116" s="23">
        <f t="shared" si="46"/>
        <v>7.9921946358880669E-2</v>
      </c>
      <c r="P116" s="22">
        <v>105</v>
      </c>
      <c r="Q116" s="21">
        <f t="shared" si="48"/>
        <v>15</v>
      </c>
      <c r="R116" s="23">
        <f t="shared" si="31"/>
        <v>0.10898447230756456</v>
      </c>
      <c r="S116" s="22">
        <v>90</v>
      </c>
      <c r="T116" s="21">
        <f t="shared" si="49"/>
        <v>12.857142857142858</v>
      </c>
      <c r="U116" s="23">
        <f t="shared" si="33"/>
        <v>9.3415261977912473E-2</v>
      </c>
      <c r="V116" s="22"/>
      <c r="W116" s="21" t="str">
        <f t="shared" si="50"/>
        <v/>
      </c>
      <c r="X116" s="23" t="str">
        <f t="shared" si="35"/>
        <v/>
      </c>
      <c r="Y116" s="22"/>
      <c r="Z116" s="21" t="str">
        <f t="shared" si="51"/>
        <v/>
      </c>
      <c r="AA116" s="23" t="str">
        <f t="shared" si="37"/>
        <v/>
      </c>
      <c r="AB116" s="22">
        <v>136</v>
      </c>
      <c r="AC116" s="21">
        <f t="shared" si="52"/>
        <v>19.428571428571427</v>
      </c>
      <c r="AD116" s="23">
        <f t="shared" si="39"/>
        <v>0.14116084032217885</v>
      </c>
      <c r="AE116" s="22"/>
      <c r="AF116" s="21" t="str">
        <f t="shared" si="53"/>
        <v/>
      </c>
      <c r="AG116" s="85" t="str">
        <f t="shared" si="41"/>
        <v/>
      </c>
    </row>
    <row r="117" spans="1:33" x14ac:dyDescent="0.25">
      <c r="A117" s="13">
        <f>WORKDAY(A118,1,JoursFeries!$B$3:$CH$15)</f>
        <v>42706</v>
      </c>
      <c r="B117" s="19" t="s">
        <v>116</v>
      </c>
      <c r="C117" s="19">
        <v>11</v>
      </c>
      <c r="E117" s="19">
        <v>1441.7</v>
      </c>
      <c r="F117" s="24">
        <f t="shared" si="42"/>
        <v>1366.7754796495424</v>
      </c>
      <c r="G117" s="16">
        <f t="shared" si="29"/>
        <v>74.924520350457669</v>
      </c>
      <c r="H117" s="15">
        <f t="shared" si="47"/>
        <v>131.06363636363636</v>
      </c>
      <c r="I117" s="15"/>
      <c r="J117" s="22">
        <v>244</v>
      </c>
      <c r="K117" s="21">
        <f t="shared" si="54"/>
        <v>22.181818181818183</v>
      </c>
      <c r="L117" s="23">
        <f t="shared" si="44"/>
        <v>0.16924464174238746</v>
      </c>
      <c r="M117" s="22">
        <v>150</v>
      </c>
      <c r="N117" s="21">
        <f t="shared" si="45"/>
        <v>13.636363636363637</v>
      </c>
      <c r="O117" s="23">
        <f t="shared" si="46"/>
        <v>0.1040438371367136</v>
      </c>
      <c r="P117" s="22">
        <v>175</v>
      </c>
      <c r="Q117" s="21">
        <f t="shared" si="48"/>
        <v>15.909090909090908</v>
      </c>
      <c r="R117" s="23">
        <f t="shared" si="31"/>
        <v>0.1213844766594992</v>
      </c>
      <c r="S117" s="22">
        <v>185</v>
      </c>
      <c r="T117" s="21">
        <f t="shared" si="49"/>
        <v>16.818181818181817</v>
      </c>
      <c r="U117" s="23">
        <f t="shared" si="33"/>
        <v>0.12832073246861345</v>
      </c>
      <c r="V117" s="22"/>
      <c r="W117" s="21" t="str">
        <f t="shared" si="50"/>
        <v/>
      </c>
      <c r="X117" s="23" t="str">
        <f t="shared" si="35"/>
        <v/>
      </c>
      <c r="Y117" s="22"/>
      <c r="Z117" s="21" t="str">
        <f t="shared" si="51"/>
        <v/>
      </c>
      <c r="AA117" s="23" t="str">
        <f t="shared" si="37"/>
        <v/>
      </c>
      <c r="AB117" s="22">
        <v>268</v>
      </c>
      <c r="AC117" s="21">
        <f t="shared" si="52"/>
        <v>24.363636363636363</v>
      </c>
      <c r="AD117" s="23">
        <f t="shared" si="39"/>
        <v>0.18589165568426164</v>
      </c>
      <c r="AE117" s="22"/>
      <c r="AF117" s="21" t="str">
        <f t="shared" si="53"/>
        <v/>
      </c>
      <c r="AG117" s="85" t="str">
        <f t="shared" si="41"/>
        <v/>
      </c>
    </row>
    <row r="118" spans="1:33" x14ac:dyDescent="0.25">
      <c r="A118" s="13">
        <f>WORKDAY(A119,1,JoursFeries!$B$3:$CH$15)</f>
        <v>42705</v>
      </c>
      <c r="B118" s="19" t="s">
        <v>116</v>
      </c>
      <c r="C118" s="19">
        <v>11</v>
      </c>
      <c r="E118" s="19">
        <v>1301.3</v>
      </c>
      <c r="F118" s="24">
        <f t="shared" si="42"/>
        <v>1366.7754796495424</v>
      </c>
      <c r="G118" s="16">
        <f t="shared" si="29"/>
        <v>-65.475479649542422</v>
      </c>
      <c r="H118" s="15">
        <f t="shared" si="47"/>
        <v>118.3</v>
      </c>
      <c r="I118" s="15"/>
      <c r="J118" s="22"/>
      <c r="K118" s="21" t="str">
        <f t="shared" si="54"/>
        <v/>
      </c>
      <c r="L118" s="23" t="str">
        <f t="shared" si="44"/>
        <v/>
      </c>
      <c r="M118" s="22"/>
      <c r="N118" s="21" t="str">
        <f t="shared" si="45"/>
        <v/>
      </c>
      <c r="O118" s="23" t="str">
        <f t="shared" si="46"/>
        <v/>
      </c>
      <c r="P118" s="22"/>
      <c r="Q118" s="21" t="str">
        <f t="shared" si="48"/>
        <v/>
      </c>
      <c r="R118" s="23" t="str">
        <f t="shared" si="31"/>
        <v/>
      </c>
      <c r="S118" s="22"/>
      <c r="T118" s="21" t="str">
        <f t="shared" si="49"/>
        <v/>
      </c>
      <c r="U118" s="23" t="str">
        <f t="shared" si="33"/>
        <v/>
      </c>
      <c r="V118" s="22"/>
      <c r="W118" s="21" t="str">
        <f t="shared" si="50"/>
        <v/>
      </c>
      <c r="X118" s="23" t="str">
        <f t="shared" si="35"/>
        <v/>
      </c>
      <c r="Y118" s="22"/>
      <c r="Z118" s="21" t="str">
        <f t="shared" si="51"/>
        <v/>
      </c>
      <c r="AA118" s="23" t="str">
        <f t="shared" si="37"/>
        <v/>
      </c>
      <c r="AB118" s="22"/>
      <c r="AC118" s="21" t="str">
        <f t="shared" si="52"/>
        <v/>
      </c>
      <c r="AD118" s="23" t="str">
        <f t="shared" si="39"/>
        <v/>
      </c>
      <c r="AE118" s="22"/>
      <c r="AF118" s="21" t="str">
        <f t="shared" si="53"/>
        <v/>
      </c>
      <c r="AG118" s="85" t="str">
        <f t="shared" si="41"/>
        <v/>
      </c>
    </row>
    <row r="119" spans="1:33" x14ac:dyDescent="0.25">
      <c r="A119" s="18">
        <f>WORKDAY(A120,1,JoursFeries!$B$3:$CH$15)</f>
        <v>42704</v>
      </c>
      <c r="B119" s="19" t="s">
        <v>116</v>
      </c>
      <c r="C119" s="19">
        <v>11</v>
      </c>
      <c r="E119" s="19">
        <v>1498</v>
      </c>
      <c r="F119" s="24">
        <f t="shared" si="42"/>
        <v>1366.7754796495424</v>
      </c>
      <c r="G119" s="16">
        <f t="shared" si="29"/>
        <v>131.22452035045762</v>
      </c>
      <c r="H119" s="15">
        <f t="shared" si="47"/>
        <v>136.18181818181819</v>
      </c>
      <c r="I119" s="15"/>
      <c r="J119" s="22">
        <v>408</v>
      </c>
      <c r="K119" s="21">
        <f t="shared" si="54"/>
        <v>37.090909090909093</v>
      </c>
      <c r="L119" s="23">
        <f t="shared" si="44"/>
        <v>0.27236315086782376</v>
      </c>
      <c r="M119" s="22">
        <v>190</v>
      </c>
      <c r="N119" s="21">
        <f t="shared" si="45"/>
        <v>17.272727272727273</v>
      </c>
      <c r="O119" s="23">
        <f t="shared" si="46"/>
        <v>0.12683578104138851</v>
      </c>
      <c r="P119" s="22">
        <v>260</v>
      </c>
      <c r="Q119" s="21">
        <f t="shared" si="48"/>
        <v>23.636363636363637</v>
      </c>
      <c r="R119" s="23">
        <f t="shared" si="31"/>
        <v>0.17356475300400534</v>
      </c>
      <c r="S119" s="22">
        <v>283</v>
      </c>
      <c r="T119" s="21">
        <f t="shared" si="49"/>
        <v>25.727272727272727</v>
      </c>
      <c r="U119" s="23">
        <f t="shared" si="33"/>
        <v>0.18891855807743657</v>
      </c>
      <c r="V119" s="22"/>
      <c r="W119" s="21" t="str">
        <f t="shared" si="50"/>
        <v/>
      </c>
      <c r="X119" s="23" t="str">
        <f t="shared" si="35"/>
        <v/>
      </c>
      <c r="Y119" s="22"/>
      <c r="Z119" s="21" t="str">
        <f t="shared" si="51"/>
        <v/>
      </c>
      <c r="AA119" s="23" t="str">
        <f t="shared" si="37"/>
        <v/>
      </c>
      <c r="AB119" s="22">
        <v>357</v>
      </c>
      <c r="AC119" s="21">
        <f t="shared" si="52"/>
        <v>32.454545454545453</v>
      </c>
      <c r="AD119" s="23">
        <f t="shared" si="39"/>
        <v>0.23831775700934579</v>
      </c>
      <c r="AE119" s="22"/>
      <c r="AF119" s="21" t="str">
        <f t="shared" si="53"/>
        <v/>
      </c>
      <c r="AG119" s="85" t="str">
        <f t="shared" si="41"/>
        <v/>
      </c>
    </row>
    <row r="120" spans="1:33" x14ac:dyDescent="0.25">
      <c r="A120" s="13">
        <f>WORKDAY(A121,1,JoursFeries!$B$3:$CH$15)</f>
        <v>42703</v>
      </c>
      <c r="B120" s="19" t="s">
        <v>116</v>
      </c>
      <c r="C120" s="19">
        <v>11</v>
      </c>
      <c r="E120" s="19">
        <f>-50.56-9.76+1194.32</f>
        <v>1134</v>
      </c>
      <c r="F120" s="24">
        <f t="shared" si="42"/>
        <v>1366.7754796495424</v>
      </c>
      <c r="G120" s="16">
        <f t="shared" si="29"/>
        <v>-232.77547964954238</v>
      </c>
      <c r="H120" s="15">
        <f t="shared" si="47"/>
        <v>103.09090909090909</v>
      </c>
      <c r="I120" s="15"/>
      <c r="J120" s="22">
        <v>305</v>
      </c>
      <c r="K120" s="21">
        <f t="shared" si="54"/>
        <v>27.727272727272727</v>
      </c>
      <c r="L120" s="23">
        <f t="shared" si="44"/>
        <v>0.26895943562610231</v>
      </c>
      <c r="M120" s="22">
        <v>136</v>
      </c>
      <c r="N120" s="21">
        <f t="shared" si="45"/>
        <v>12.363636363636363</v>
      </c>
      <c r="O120" s="23">
        <f t="shared" si="46"/>
        <v>0.11992945326278659</v>
      </c>
      <c r="P120" s="22">
        <v>165</v>
      </c>
      <c r="Q120" s="21">
        <f t="shared" si="48"/>
        <v>15</v>
      </c>
      <c r="R120" s="23">
        <f t="shared" si="31"/>
        <v>0.14550264550264549</v>
      </c>
      <c r="S120" s="22">
        <v>120</v>
      </c>
      <c r="T120" s="21">
        <f t="shared" si="49"/>
        <v>10.909090909090908</v>
      </c>
      <c r="U120" s="23">
        <f t="shared" si="33"/>
        <v>0.10582010582010581</v>
      </c>
      <c r="V120" s="22"/>
      <c r="W120" s="21" t="str">
        <f t="shared" si="50"/>
        <v/>
      </c>
      <c r="X120" s="23" t="str">
        <f t="shared" si="35"/>
        <v/>
      </c>
      <c r="Y120" s="22"/>
      <c r="Z120" s="21" t="str">
        <f t="shared" si="51"/>
        <v/>
      </c>
      <c r="AA120" s="23" t="str">
        <f t="shared" si="37"/>
        <v/>
      </c>
      <c r="AB120" s="22">
        <v>408</v>
      </c>
      <c r="AC120" s="21">
        <f t="shared" si="52"/>
        <v>37.090909090909093</v>
      </c>
      <c r="AD120" s="23">
        <f t="shared" si="39"/>
        <v>0.35978835978835977</v>
      </c>
      <c r="AE120" s="22"/>
      <c r="AF120" s="21" t="str">
        <f t="shared" si="53"/>
        <v/>
      </c>
      <c r="AG120" s="85" t="str">
        <f t="shared" si="41"/>
        <v/>
      </c>
    </row>
    <row r="121" spans="1:33" x14ac:dyDescent="0.25">
      <c r="A121" s="13">
        <f>WORKDAY(A122,1,JoursFeries!$B$3:$CH$15)</f>
        <v>42702</v>
      </c>
      <c r="B121" s="19" t="s">
        <v>116</v>
      </c>
      <c r="C121" s="19">
        <v>12</v>
      </c>
      <c r="E121" s="19">
        <f>-76.64-24.8+1512.44</f>
        <v>1411</v>
      </c>
      <c r="F121" s="24">
        <f t="shared" si="42"/>
        <v>1491.0277959813188</v>
      </c>
      <c r="G121" s="16">
        <f t="shared" si="29"/>
        <v>-80.027795981318832</v>
      </c>
      <c r="H121" s="15">
        <f t="shared" si="47"/>
        <v>117.58333333333333</v>
      </c>
      <c r="I121" s="15"/>
      <c r="J121" s="22">
        <v>348</v>
      </c>
      <c r="K121" s="21">
        <f t="shared" si="54"/>
        <v>29</v>
      </c>
      <c r="L121" s="23">
        <f t="shared" si="44"/>
        <v>0.24663359319631467</v>
      </c>
      <c r="M121" s="22">
        <v>180</v>
      </c>
      <c r="N121" s="21">
        <f t="shared" si="45"/>
        <v>15</v>
      </c>
      <c r="O121" s="23">
        <f t="shared" si="46"/>
        <v>0.12756909992912827</v>
      </c>
      <c r="P121" s="22">
        <v>250</v>
      </c>
      <c r="Q121" s="21">
        <f t="shared" si="48"/>
        <v>20.833333333333332</v>
      </c>
      <c r="R121" s="23">
        <f t="shared" si="31"/>
        <v>0.1771793054571226</v>
      </c>
      <c r="S121" s="22">
        <v>225</v>
      </c>
      <c r="T121" s="21">
        <f t="shared" si="49"/>
        <v>18.75</v>
      </c>
      <c r="U121" s="23">
        <f t="shared" si="33"/>
        <v>0.15946137491141035</v>
      </c>
      <c r="V121" s="22"/>
      <c r="W121" s="21" t="str">
        <f t="shared" si="50"/>
        <v/>
      </c>
      <c r="X121" s="23" t="str">
        <f t="shared" si="35"/>
        <v/>
      </c>
      <c r="Y121" s="22"/>
      <c r="Z121" s="21" t="str">
        <f t="shared" si="51"/>
        <v/>
      </c>
      <c r="AA121" s="23" t="str">
        <f t="shared" si="37"/>
        <v/>
      </c>
      <c r="AB121" s="22">
        <v>408</v>
      </c>
      <c r="AC121" s="21">
        <f t="shared" si="52"/>
        <v>34</v>
      </c>
      <c r="AD121" s="23">
        <f t="shared" si="39"/>
        <v>0.28915662650602408</v>
      </c>
      <c r="AE121" s="22"/>
      <c r="AF121" s="21" t="str">
        <f t="shared" si="53"/>
        <v/>
      </c>
      <c r="AG121" s="85" t="str">
        <f t="shared" si="41"/>
        <v/>
      </c>
    </row>
    <row r="122" spans="1:33" x14ac:dyDescent="0.25">
      <c r="A122" s="13">
        <f>WORKDAY(A123,1,JoursFeries!$B$3:$CH$15)</f>
        <v>42699</v>
      </c>
      <c r="B122" s="19" t="s">
        <v>116</v>
      </c>
      <c r="C122" s="19">
        <v>11</v>
      </c>
      <c r="E122" s="19">
        <f>-12.7+1388.7-200</f>
        <v>1176</v>
      </c>
      <c r="F122" s="24">
        <f t="shared" si="42"/>
        <v>1366.7754796495424</v>
      </c>
      <c r="G122" s="16">
        <f t="shared" si="29"/>
        <v>-190.77547964954238</v>
      </c>
      <c r="H122" s="15">
        <f t="shared" si="47"/>
        <v>106.90909090909091</v>
      </c>
      <c r="I122" s="15"/>
      <c r="J122" s="22">
        <v>240</v>
      </c>
      <c r="K122" s="21">
        <f t="shared" si="54"/>
        <v>21.818181818181817</v>
      </c>
      <c r="L122" s="23">
        <f t="shared" si="44"/>
        <v>0.20408163265306123</v>
      </c>
      <c r="M122" s="22">
        <v>135</v>
      </c>
      <c r="N122" s="21">
        <f t="shared" si="45"/>
        <v>12.272727272727273</v>
      </c>
      <c r="O122" s="23">
        <f t="shared" si="46"/>
        <v>0.11479591836734694</v>
      </c>
      <c r="P122" s="22">
        <v>210</v>
      </c>
      <c r="Q122" s="21">
        <f t="shared" si="48"/>
        <v>19.09090909090909</v>
      </c>
      <c r="R122" s="23">
        <f t="shared" si="31"/>
        <v>0.17857142857142858</v>
      </c>
      <c r="S122" s="22">
        <v>200</v>
      </c>
      <c r="T122" s="21">
        <f t="shared" si="49"/>
        <v>18.181818181818183</v>
      </c>
      <c r="U122" s="23">
        <f t="shared" si="33"/>
        <v>0.17006802721088435</v>
      </c>
      <c r="V122" s="22"/>
      <c r="W122" s="21" t="str">
        <f t="shared" si="50"/>
        <v/>
      </c>
      <c r="X122" s="23" t="str">
        <f t="shared" si="35"/>
        <v/>
      </c>
      <c r="Y122" s="22"/>
      <c r="Z122" s="21" t="str">
        <f t="shared" si="51"/>
        <v/>
      </c>
      <c r="AA122" s="23" t="str">
        <f t="shared" si="37"/>
        <v/>
      </c>
      <c r="AB122" s="22">
        <v>391</v>
      </c>
      <c r="AC122" s="21">
        <f t="shared" si="52"/>
        <v>35.545454545454547</v>
      </c>
      <c r="AD122" s="23">
        <f t="shared" si="39"/>
        <v>0.33248299319727892</v>
      </c>
      <c r="AE122" s="22"/>
      <c r="AF122" s="21" t="str">
        <f t="shared" si="53"/>
        <v/>
      </c>
      <c r="AG122" s="85" t="str">
        <f t="shared" si="41"/>
        <v/>
      </c>
    </row>
    <row r="123" spans="1:33" x14ac:dyDescent="0.25">
      <c r="A123" s="13">
        <f>WORKDAY(A124,1,JoursFeries!$B$3:$CH$15)</f>
        <v>42698</v>
      </c>
      <c r="B123" s="19" t="s">
        <v>116</v>
      </c>
      <c r="C123" s="19">
        <v>11</v>
      </c>
      <c r="E123" s="19">
        <f>-37.26+1802.26-600</f>
        <v>1165</v>
      </c>
      <c r="F123" s="24">
        <f t="shared" si="42"/>
        <v>1366.7754796495424</v>
      </c>
      <c r="G123" s="16">
        <f t="shared" si="29"/>
        <v>-201.77547964954238</v>
      </c>
      <c r="H123" s="15">
        <f t="shared" si="47"/>
        <v>105.90909090909091</v>
      </c>
      <c r="I123" s="15"/>
      <c r="J123" s="22">
        <v>293</v>
      </c>
      <c r="K123" s="21">
        <f t="shared" si="54"/>
        <v>26.636363636363637</v>
      </c>
      <c r="L123" s="23">
        <f t="shared" si="44"/>
        <v>0.25150214592274678</v>
      </c>
      <c r="M123" s="22">
        <v>129</v>
      </c>
      <c r="N123" s="21">
        <f t="shared" si="45"/>
        <v>11.727272727272727</v>
      </c>
      <c r="O123" s="23">
        <f t="shared" si="46"/>
        <v>0.11072961373390558</v>
      </c>
      <c r="P123" s="22">
        <v>184</v>
      </c>
      <c r="Q123" s="21">
        <f t="shared" si="48"/>
        <v>16.727272727272727</v>
      </c>
      <c r="R123" s="23">
        <f t="shared" si="31"/>
        <v>0.15793991416309014</v>
      </c>
      <c r="S123" s="22">
        <v>270</v>
      </c>
      <c r="T123" s="21">
        <f t="shared" si="49"/>
        <v>24.545454545454547</v>
      </c>
      <c r="U123" s="23">
        <f t="shared" si="33"/>
        <v>0.23175965665236051</v>
      </c>
      <c r="V123" s="22"/>
      <c r="W123" s="21" t="str">
        <f t="shared" si="50"/>
        <v/>
      </c>
      <c r="X123" s="23" t="str">
        <f t="shared" si="35"/>
        <v/>
      </c>
      <c r="Y123" s="22"/>
      <c r="Z123" s="21" t="str">
        <f t="shared" si="51"/>
        <v/>
      </c>
      <c r="AA123" s="23" t="str">
        <f t="shared" si="37"/>
        <v/>
      </c>
      <c r="AB123" s="22">
        <v>289</v>
      </c>
      <c r="AC123" s="21">
        <f t="shared" si="52"/>
        <v>26.272727272727273</v>
      </c>
      <c r="AD123" s="23">
        <f t="shared" si="39"/>
        <v>0.248068669527897</v>
      </c>
      <c r="AE123" s="22"/>
      <c r="AF123" s="21" t="str">
        <f t="shared" si="53"/>
        <v/>
      </c>
      <c r="AG123" s="85" t="str">
        <f t="shared" si="41"/>
        <v/>
      </c>
    </row>
    <row r="124" spans="1:33" x14ac:dyDescent="0.25">
      <c r="A124" s="13">
        <f>WORKDAY(A125,1,JoursFeries!$B$3:$CH$15)</f>
        <v>42697</v>
      </c>
      <c r="B124" s="19" t="s">
        <v>116</v>
      </c>
      <c r="C124" s="19">
        <v>11</v>
      </c>
      <c r="E124" s="19">
        <f>-16.92+1653.92-600</f>
        <v>1037</v>
      </c>
      <c r="F124" s="24">
        <f t="shared" si="42"/>
        <v>1366.7754796495424</v>
      </c>
      <c r="G124" s="16">
        <f t="shared" si="29"/>
        <v>-329.77547964954238</v>
      </c>
      <c r="H124" s="15">
        <f t="shared" si="47"/>
        <v>94.272727272727266</v>
      </c>
      <c r="I124" s="15"/>
      <c r="J124" s="22">
        <v>215</v>
      </c>
      <c r="K124" s="21">
        <f t="shared" si="54"/>
        <v>19.545454545454547</v>
      </c>
      <c r="L124" s="23">
        <f t="shared" si="44"/>
        <v>0.2073288331726133</v>
      </c>
      <c r="M124" s="22">
        <v>118</v>
      </c>
      <c r="N124" s="21">
        <f t="shared" si="45"/>
        <v>10.727272727272727</v>
      </c>
      <c r="O124" s="23">
        <f t="shared" si="46"/>
        <v>0.11378977820636452</v>
      </c>
      <c r="P124" s="22">
        <v>205</v>
      </c>
      <c r="Q124" s="21">
        <f t="shared" si="48"/>
        <v>18.636363636363637</v>
      </c>
      <c r="R124" s="23">
        <f t="shared" si="31"/>
        <v>0.19768563162970107</v>
      </c>
      <c r="S124" s="22">
        <v>227</v>
      </c>
      <c r="T124" s="21">
        <f t="shared" si="49"/>
        <v>20.636363636363637</v>
      </c>
      <c r="U124" s="23">
        <f t="shared" si="33"/>
        <v>0.21890067502410801</v>
      </c>
      <c r="V124" s="22"/>
      <c r="W124" s="21" t="str">
        <f t="shared" si="50"/>
        <v/>
      </c>
      <c r="X124" s="23" t="str">
        <f t="shared" si="35"/>
        <v/>
      </c>
      <c r="Y124" s="22"/>
      <c r="Z124" s="21" t="str">
        <f t="shared" si="51"/>
        <v/>
      </c>
      <c r="AA124" s="23" t="str">
        <f t="shared" si="37"/>
        <v/>
      </c>
      <c r="AB124" s="22">
        <v>272</v>
      </c>
      <c r="AC124" s="21">
        <f t="shared" si="52"/>
        <v>24.727272727272727</v>
      </c>
      <c r="AD124" s="23">
        <f t="shared" si="39"/>
        <v>0.26229508196721313</v>
      </c>
      <c r="AE124" s="22"/>
      <c r="AF124" s="21" t="str">
        <f t="shared" si="53"/>
        <v/>
      </c>
      <c r="AG124" s="85" t="str">
        <f t="shared" si="41"/>
        <v/>
      </c>
    </row>
    <row r="125" spans="1:33" x14ac:dyDescent="0.25">
      <c r="A125" s="13">
        <f>WORKDAY(A126,1,JoursFeries!$B$3:$CH$15)</f>
        <v>42696</v>
      </c>
      <c r="B125" s="19" t="s">
        <v>116</v>
      </c>
      <c r="C125" s="19">
        <v>11</v>
      </c>
      <c r="E125" s="19">
        <f>-99.44+1129.44</f>
        <v>1030</v>
      </c>
      <c r="F125" s="24">
        <f t="shared" si="42"/>
        <v>1366.7754796495424</v>
      </c>
      <c r="G125" s="16">
        <f t="shared" si="29"/>
        <v>-336.77547964954238</v>
      </c>
      <c r="H125" s="15">
        <f t="shared" si="47"/>
        <v>93.63636363636364</v>
      </c>
      <c r="I125" s="15"/>
      <c r="J125" s="22">
        <v>190</v>
      </c>
      <c r="K125" s="21">
        <f t="shared" si="54"/>
        <v>17.272727272727273</v>
      </c>
      <c r="L125" s="23">
        <f t="shared" si="44"/>
        <v>0.18446601941747573</v>
      </c>
      <c r="M125" s="22">
        <v>140</v>
      </c>
      <c r="N125" s="21">
        <f t="shared" si="45"/>
        <v>12.727272727272727</v>
      </c>
      <c r="O125" s="23">
        <f t="shared" si="46"/>
        <v>0.13592233009708737</v>
      </c>
      <c r="P125" s="22">
        <v>85</v>
      </c>
      <c r="Q125" s="21">
        <f t="shared" si="48"/>
        <v>7.7272727272727275</v>
      </c>
      <c r="R125" s="23">
        <f t="shared" si="31"/>
        <v>8.2524271844660199E-2</v>
      </c>
      <c r="S125" s="22">
        <v>260</v>
      </c>
      <c r="T125" s="21">
        <f t="shared" si="49"/>
        <v>23.636363636363637</v>
      </c>
      <c r="U125" s="23">
        <f t="shared" si="33"/>
        <v>0.25242718446601942</v>
      </c>
      <c r="V125" s="22"/>
      <c r="W125" s="21" t="str">
        <f t="shared" si="50"/>
        <v/>
      </c>
      <c r="X125" s="23" t="str">
        <f t="shared" si="35"/>
        <v/>
      </c>
      <c r="Y125" s="22"/>
      <c r="Z125" s="21" t="str">
        <f t="shared" si="51"/>
        <v/>
      </c>
      <c r="AA125" s="23" t="str">
        <f t="shared" si="37"/>
        <v/>
      </c>
      <c r="AB125" s="22">
        <v>355</v>
      </c>
      <c r="AC125" s="21">
        <f t="shared" si="52"/>
        <v>32.272727272727273</v>
      </c>
      <c r="AD125" s="23">
        <f t="shared" si="39"/>
        <v>0.3446601941747573</v>
      </c>
      <c r="AE125" s="22"/>
      <c r="AF125" s="21" t="str">
        <f t="shared" si="53"/>
        <v/>
      </c>
      <c r="AG125" s="85" t="str">
        <f t="shared" si="41"/>
        <v/>
      </c>
    </row>
    <row r="126" spans="1:33" x14ac:dyDescent="0.25">
      <c r="A126" s="13">
        <f>WORKDAY(A127,1,JoursFeries!$B$3:$CH$15)</f>
        <v>42695</v>
      </c>
      <c r="B126" s="19" t="s">
        <v>116</v>
      </c>
      <c r="C126" s="19">
        <v>11</v>
      </c>
      <c r="E126" s="19">
        <f>-61.68+1297.68</f>
        <v>1236</v>
      </c>
      <c r="F126" s="24">
        <f t="shared" si="42"/>
        <v>1366.7754796495424</v>
      </c>
      <c r="G126" s="16">
        <f t="shared" si="29"/>
        <v>-130.77547964954238</v>
      </c>
      <c r="H126" s="15">
        <f t="shared" si="47"/>
        <v>112.36363636363636</v>
      </c>
      <c r="I126" s="15"/>
      <c r="J126" s="22">
        <v>275</v>
      </c>
      <c r="K126" s="21">
        <f t="shared" si="54"/>
        <v>25</v>
      </c>
      <c r="L126" s="23">
        <f t="shared" si="44"/>
        <v>0.22249190938511326</v>
      </c>
      <c r="M126" s="22">
        <v>155</v>
      </c>
      <c r="N126" s="21">
        <f t="shared" si="45"/>
        <v>14.090909090909092</v>
      </c>
      <c r="O126" s="23">
        <f t="shared" si="46"/>
        <v>0.12540453074433658</v>
      </c>
      <c r="P126" s="22">
        <v>179</v>
      </c>
      <c r="Q126" s="21">
        <f t="shared" si="48"/>
        <v>16.272727272727273</v>
      </c>
      <c r="R126" s="23">
        <f t="shared" si="31"/>
        <v>0.14482200647249191</v>
      </c>
      <c r="S126" s="22">
        <v>270</v>
      </c>
      <c r="T126" s="21">
        <f t="shared" si="49"/>
        <v>24.545454545454547</v>
      </c>
      <c r="U126" s="23">
        <f t="shared" si="33"/>
        <v>0.21844660194174756</v>
      </c>
      <c r="V126" s="22"/>
      <c r="W126" s="21" t="str">
        <f t="shared" si="50"/>
        <v/>
      </c>
      <c r="X126" s="23" t="str">
        <f t="shared" si="35"/>
        <v/>
      </c>
      <c r="Y126" s="22"/>
      <c r="Z126" s="21" t="str">
        <f t="shared" si="51"/>
        <v/>
      </c>
      <c r="AA126" s="23" t="str">
        <f t="shared" si="37"/>
        <v/>
      </c>
      <c r="AB126" s="22">
        <v>357</v>
      </c>
      <c r="AC126" s="21">
        <f t="shared" si="52"/>
        <v>32.454545454545453</v>
      </c>
      <c r="AD126" s="23">
        <f t="shared" si="39"/>
        <v>0.28883495145631066</v>
      </c>
      <c r="AE126" s="22"/>
      <c r="AF126" s="21" t="str">
        <f t="shared" si="53"/>
        <v/>
      </c>
      <c r="AG126" s="85" t="str">
        <f t="shared" si="41"/>
        <v/>
      </c>
    </row>
    <row r="127" spans="1:33" x14ac:dyDescent="0.25">
      <c r="A127" s="13">
        <f>WORKDAY(A128,1,JoursFeries!$B$3:$CH$15)</f>
        <v>42692</v>
      </c>
      <c r="B127" s="19" t="s">
        <v>116</v>
      </c>
      <c r="C127" s="19">
        <v>10</v>
      </c>
      <c r="E127" s="19">
        <f>-49.2+1078.08-25.88</f>
        <v>1002.9999999999999</v>
      </c>
      <c r="F127" s="24">
        <f t="shared" si="42"/>
        <v>1242.5231633177657</v>
      </c>
      <c r="G127" s="16">
        <f t="shared" si="29"/>
        <v>-239.52316331776581</v>
      </c>
      <c r="H127" s="15">
        <f t="shared" si="47"/>
        <v>100.29999999999998</v>
      </c>
      <c r="I127" s="15"/>
      <c r="J127" s="22">
        <v>274</v>
      </c>
      <c r="K127" s="21">
        <f t="shared" si="54"/>
        <v>27.4</v>
      </c>
      <c r="L127" s="23">
        <f t="shared" si="44"/>
        <v>0.27318045862412765</v>
      </c>
      <c r="M127" s="22">
        <v>115</v>
      </c>
      <c r="N127" s="21">
        <f t="shared" si="45"/>
        <v>11.5</v>
      </c>
      <c r="O127" s="23">
        <f t="shared" si="46"/>
        <v>0.11465603190428715</v>
      </c>
      <c r="P127" s="22">
        <v>149</v>
      </c>
      <c r="Q127" s="21">
        <f t="shared" si="48"/>
        <v>14.9</v>
      </c>
      <c r="R127" s="23">
        <f t="shared" si="31"/>
        <v>0.14855433698903292</v>
      </c>
      <c r="S127" s="22">
        <v>210</v>
      </c>
      <c r="T127" s="21">
        <f t="shared" si="49"/>
        <v>21</v>
      </c>
      <c r="U127" s="23">
        <f t="shared" si="33"/>
        <v>0.20937188434695914</v>
      </c>
      <c r="V127" s="22"/>
      <c r="W127" s="21" t="str">
        <f t="shared" si="50"/>
        <v/>
      </c>
      <c r="X127" s="23" t="str">
        <f t="shared" si="35"/>
        <v/>
      </c>
      <c r="Y127" s="22"/>
      <c r="Z127" s="21" t="str">
        <f t="shared" si="51"/>
        <v/>
      </c>
      <c r="AA127" s="23" t="str">
        <f t="shared" si="37"/>
        <v/>
      </c>
      <c r="AB127" s="22">
        <v>255</v>
      </c>
      <c r="AC127" s="21">
        <f t="shared" si="52"/>
        <v>25.5</v>
      </c>
      <c r="AD127" s="23">
        <f t="shared" si="39"/>
        <v>0.25423728813559326</v>
      </c>
      <c r="AE127" s="22"/>
      <c r="AF127" s="21" t="str">
        <f t="shared" si="53"/>
        <v/>
      </c>
      <c r="AG127" s="85" t="str">
        <f t="shared" si="41"/>
        <v/>
      </c>
    </row>
    <row r="128" spans="1:33" x14ac:dyDescent="0.25">
      <c r="A128" s="13">
        <f>WORKDAY(A129,1,JoursFeries!$B$3:$CH$15)</f>
        <v>42691</v>
      </c>
      <c r="B128" s="19" t="s">
        <v>116</v>
      </c>
      <c r="C128" s="19">
        <v>11</v>
      </c>
      <c r="E128" s="19">
        <f>-93.48+1378.48</f>
        <v>1285</v>
      </c>
      <c r="F128" s="24">
        <f t="shared" si="42"/>
        <v>1366.7754796495424</v>
      </c>
      <c r="G128" s="16">
        <f t="shared" si="29"/>
        <v>-81.775479649542376</v>
      </c>
      <c r="H128" s="15">
        <f t="shared" si="47"/>
        <v>116.81818181818181</v>
      </c>
      <c r="I128" s="15"/>
      <c r="J128" s="22">
        <v>326</v>
      </c>
      <c r="K128" s="21">
        <f t="shared" si="54"/>
        <v>29.636363636363637</v>
      </c>
      <c r="L128" s="23">
        <f t="shared" si="44"/>
        <v>0.2536964980544747</v>
      </c>
      <c r="M128" s="22">
        <v>175</v>
      </c>
      <c r="N128" s="21">
        <f t="shared" si="45"/>
        <v>15.909090909090908</v>
      </c>
      <c r="O128" s="23">
        <f t="shared" si="46"/>
        <v>0.13618677042801555</v>
      </c>
      <c r="P128" s="22">
        <v>154</v>
      </c>
      <c r="Q128" s="21">
        <f t="shared" si="48"/>
        <v>14</v>
      </c>
      <c r="R128" s="23">
        <f t="shared" si="31"/>
        <v>0.1198443579766537</v>
      </c>
      <c r="S128" s="22">
        <v>300</v>
      </c>
      <c r="T128" s="21">
        <f t="shared" si="49"/>
        <v>27.272727272727273</v>
      </c>
      <c r="U128" s="23">
        <f t="shared" si="33"/>
        <v>0.23346303501945526</v>
      </c>
      <c r="V128" s="22"/>
      <c r="W128" s="21" t="str">
        <f t="shared" si="50"/>
        <v/>
      </c>
      <c r="X128" s="23" t="str">
        <f t="shared" si="35"/>
        <v/>
      </c>
      <c r="Y128" s="22"/>
      <c r="Z128" s="21" t="str">
        <f t="shared" si="51"/>
        <v/>
      </c>
      <c r="AA128" s="23" t="str">
        <f t="shared" si="37"/>
        <v/>
      </c>
      <c r="AB128" s="22">
        <v>330</v>
      </c>
      <c r="AC128" s="21">
        <f t="shared" si="52"/>
        <v>30</v>
      </c>
      <c r="AD128" s="23">
        <f t="shared" si="39"/>
        <v>0.25680933852140075</v>
      </c>
      <c r="AE128" s="22"/>
      <c r="AF128" s="21" t="str">
        <f t="shared" si="53"/>
        <v/>
      </c>
      <c r="AG128" s="85" t="str">
        <f t="shared" si="41"/>
        <v/>
      </c>
    </row>
    <row r="129" spans="1:33" x14ac:dyDescent="0.25">
      <c r="A129" s="13">
        <f>WORKDAY(A130,1,JoursFeries!$B$3:$CH$15)</f>
        <v>42690</v>
      </c>
      <c r="B129" s="19" t="s">
        <v>116</v>
      </c>
      <c r="C129" s="19">
        <v>7</v>
      </c>
      <c r="E129" s="19">
        <f>-79.5+743.5</f>
        <v>664</v>
      </c>
      <c r="F129" s="24">
        <f t="shared" si="42"/>
        <v>869.76621432243599</v>
      </c>
      <c r="G129" s="16">
        <f t="shared" si="29"/>
        <v>-205.76621432243599</v>
      </c>
      <c r="H129" s="15">
        <f t="shared" si="47"/>
        <v>94.857142857142861</v>
      </c>
      <c r="I129" s="15"/>
      <c r="J129" s="22">
        <v>176</v>
      </c>
      <c r="K129" s="21">
        <f t="shared" si="54"/>
        <v>25.142857142857142</v>
      </c>
      <c r="L129" s="23">
        <f t="shared" si="44"/>
        <v>0.26506024096385544</v>
      </c>
      <c r="M129" s="22">
        <v>85</v>
      </c>
      <c r="N129" s="21">
        <f t="shared" si="45"/>
        <v>12.142857142857142</v>
      </c>
      <c r="O129" s="23">
        <f t="shared" si="46"/>
        <v>0.12801204819277109</v>
      </c>
      <c r="P129" s="22">
        <v>34</v>
      </c>
      <c r="Q129" s="21">
        <f t="shared" si="48"/>
        <v>4.8571428571428568</v>
      </c>
      <c r="R129" s="23">
        <f t="shared" si="31"/>
        <v>5.1204819277108432E-2</v>
      </c>
      <c r="S129" s="22">
        <v>165</v>
      </c>
      <c r="T129" s="21">
        <f t="shared" si="49"/>
        <v>23.571428571428573</v>
      </c>
      <c r="U129" s="23">
        <f t="shared" si="33"/>
        <v>0.24849397590361447</v>
      </c>
      <c r="V129" s="22"/>
      <c r="W129" s="21" t="str">
        <f t="shared" si="50"/>
        <v/>
      </c>
      <c r="X129" s="23" t="str">
        <f t="shared" si="35"/>
        <v/>
      </c>
      <c r="Y129" s="22"/>
      <c r="Z129" s="21" t="str">
        <f t="shared" si="51"/>
        <v/>
      </c>
      <c r="AA129" s="23" t="str">
        <f t="shared" si="37"/>
        <v/>
      </c>
      <c r="AB129" s="22">
        <v>204</v>
      </c>
      <c r="AC129" s="21">
        <f t="shared" si="52"/>
        <v>29.142857142857142</v>
      </c>
      <c r="AD129" s="23">
        <f t="shared" si="39"/>
        <v>0.30722891566265059</v>
      </c>
      <c r="AE129" s="22"/>
      <c r="AF129" s="21" t="str">
        <f t="shared" si="53"/>
        <v/>
      </c>
      <c r="AG129" s="85" t="str">
        <f t="shared" si="41"/>
        <v/>
      </c>
    </row>
    <row r="130" spans="1:33" x14ac:dyDescent="0.25">
      <c r="A130" s="13">
        <f>WORKDAY(A131,1,JoursFeries!$B$3:$CH$15)</f>
        <v>42689</v>
      </c>
      <c r="B130" s="19" t="s">
        <v>116</v>
      </c>
      <c r="C130" s="19">
        <v>10</v>
      </c>
      <c r="E130" s="19">
        <v>1190</v>
      </c>
      <c r="F130" s="24">
        <f t="shared" si="42"/>
        <v>1242.5231633177657</v>
      </c>
      <c r="G130" s="16">
        <f t="shared" si="29"/>
        <v>-52.523163317765693</v>
      </c>
      <c r="H130" s="15">
        <f t="shared" si="47"/>
        <v>119</v>
      </c>
      <c r="I130" s="15"/>
      <c r="J130" s="22">
        <v>295</v>
      </c>
      <c r="K130" s="21">
        <f t="shared" si="54"/>
        <v>29.5</v>
      </c>
      <c r="L130" s="23">
        <f t="shared" si="44"/>
        <v>0.24789915966386555</v>
      </c>
      <c r="M130" s="22">
        <v>159</v>
      </c>
      <c r="N130" s="21">
        <f t="shared" si="45"/>
        <v>15.9</v>
      </c>
      <c r="O130" s="23">
        <f t="shared" si="46"/>
        <v>0.13361344537815126</v>
      </c>
      <c r="P130" s="22">
        <v>167</v>
      </c>
      <c r="Q130" s="21">
        <f t="shared" si="48"/>
        <v>16.7</v>
      </c>
      <c r="R130" s="23">
        <f t="shared" si="31"/>
        <v>0.14033613445378151</v>
      </c>
      <c r="S130" s="22">
        <v>195</v>
      </c>
      <c r="T130" s="21">
        <f t="shared" si="49"/>
        <v>19.5</v>
      </c>
      <c r="U130" s="23">
        <f t="shared" si="33"/>
        <v>0.1638655462184874</v>
      </c>
      <c r="V130" s="22"/>
      <c r="W130" s="21" t="str">
        <f t="shared" si="50"/>
        <v/>
      </c>
      <c r="X130" s="23" t="str">
        <f t="shared" si="35"/>
        <v/>
      </c>
      <c r="Y130" s="22"/>
      <c r="Z130" s="21" t="str">
        <f t="shared" si="51"/>
        <v/>
      </c>
      <c r="AA130" s="23" t="str">
        <f t="shared" si="37"/>
        <v/>
      </c>
      <c r="AB130" s="22">
        <v>374</v>
      </c>
      <c r="AC130" s="21">
        <f t="shared" si="52"/>
        <v>37.4</v>
      </c>
      <c r="AD130" s="23">
        <f t="shared" si="39"/>
        <v>0.31428571428571428</v>
      </c>
      <c r="AE130" s="22"/>
      <c r="AF130" s="21" t="str">
        <f t="shared" si="53"/>
        <v/>
      </c>
      <c r="AG130" s="85" t="str">
        <f t="shared" si="41"/>
        <v/>
      </c>
    </row>
    <row r="131" spans="1:33" x14ac:dyDescent="0.25">
      <c r="A131" s="13">
        <f>WORKDAY(A132,1,JoursFeries!$B$3:$CH$15)</f>
        <v>42688</v>
      </c>
      <c r="B131" s="19" t="s">
        <v>118</v>
      </c>
      <c r="C131" s="19">
        <v>11</v>
      </c>
      <c r="E131" s="19">
        <f>-6.22+1596.6-76.38</f>
        <v>1514</v>
      </c>
      <c r="F131" s="24">
        <f t="shared" si="42"/>
        <v>1630.9707999999998</v>
      </c>
      <c r="G131" s="16">
        <f t="shared" si="29"/>
        <v>-116.97079999999983</v>
      </c>
      <c r="H131" s="15">
        <f t="shared" si="47"/>
        <v>137.63636363636363</v>
      </c>
      <c r="I131" s="15"/>
      <c r="J131" s="22">
        <v>269</v>
      </c>
      <c r="K131" s="21">
        <f t="shared" si="54"/>
        <v>24.454545454545453</v>
      </c>
      <c r="L131" s="23">
        <f t="shared" si="44"/>
        <v>0.17767503302509907</v>
      </c>
      <c r="M131" s="22">
        <v>135</v>
      </c>
      <c r="N131" s="21">
        <f t="shared" si="45"/>
        <v>12.272727272727273</v>
      </c>
      <c r="O131" s="23">
        <f t="shared" si="46"/>
        <v>8.9167767503302506E-2</v>
      </c>
      <c r="P131" s="22">
        <v>150</v>
      </c>
      <c r="Q131" s="21">
        <f t="shared" si="48"/>
        <v>13.636363636363637</v>
      </c>
      <c r="R131" s="23">
        <f t="shared" si="31"/>
        <v>9.9075297225891673E-2</v>
      </c>
      <c r="S131" s="22"/>
      <c r="T131" s="21" t="str">
        <f t="shared" si="49"/>
        <v/>
      </c>
      <c r="U131" s="23" t="str">
        <f t="shared" si="33"/>
        <v/>
      </c>
      <c r="V131" s="22">
        <v>450</v>
      </c>
      <c r="W131" s="21">
        <f t="shared" si="50"/>
        <v>40.909090909090907</v>
      </c>
      <c r="X131" s="23">
        <f t="shared" si="35"/>
        <v>0.29722589167767505</v>
      </c>
      <c r="Y131" s="22"/>
      <c r="Z131" s="21" t="str">
        <f t="shared" si="51"/>
        <v/>
      </c>
      <c r="AA131" s="23" t="str">
        <f t="shared" si="37"/>
        <v/>
      </c>
      <c r="AB131" s="22">
        <v>510</v>
      </c>
      <c r="AC131" s="21">
        <f t="shared" si="52"/>
        <v>46.363636363636367</v>
      </c>
      <c r="AD131" s="23">
        <f t="shared" si="39"/>
        <v>0.33685601056803172</v>
      </c>
      <c r="AE131" s="22"/>
      <c r="AF131" s="21" t="str">
        <f t="shared" si="53"/>
        <v/>
      </c>
      <c r="AG131" s="85" t="str">
        <f t="shared" si="41"/>
        <v/>
      </c>
    </row>
    <row r="132" spans="1:33" s="19" customFormat="1" x14ac:dyDescent="0.25">
      <c r="A132" s="18">
        <f>WORKDAY(A133,1,JoursFeries!$B$3:$CH$15)</f>
        <v>42684</v>
      </c>
      <c r="B132" s="19" t="s">
        <v>118</v>
      </c>
      <c r="C132" s="19">
        <v>11</v>
      </c>
      <c r="E132" s="19">
        <v>1722</v>
      </c>
      <c r="F132" s="24">
        <f t="shared" si="42"/>
        <v>1630.9707999999998</v>
      </c>
      <c r="G132" s="20">
        <f t="shared" si="29"/>
        <v>91.029200000000174</v>
      </c>
      <c r="H132" s="21">
        <f t="shared" si="47"/>
        <v>156.54545454545453</v>
      </c>
      <c r="I132" s="21"/>
      <c r="J132" s="22">
        <v>187</v>
      </c>
      <c r="K132" s="21">
        <f t="shared" si="54"/>
        <v>17</v>
      </c>
      <c r="L132" s="23">
        <f t="shared" si="44"/>
        <v>0.10859465737514518</v>
      </c>
      <c r="M132" s="22">
        <v>159</v>
      </c>
      <c r="N132" s="21">
        <f t="shared" si="45"/>
        <v>14.454545454545455</v>
      </c>
      <c r="O132" s="23">
        <f t="shared" si="46"/>
        <v>9.2334494773519168E-2</v>
      </c>
      <c r="P132" s="22">
        <v>200</v>
      </c>
      <c r="Q132" s="21">
        <f t="shared" si="48"/>
        <v>18.181818181818183</v>
      </c>
      <c r="R132" s="23">
        <f t="shared" si="31"/>
        <v>0.11614401858304298</v>
      </c>
      <c r="S132" s="22"/>
      <c r="T132" s="21" t="str">
        <f t="shared" si="49"/>
        <v/>
      </c>
      <c r="U132" s="23" t="str">
        <f t="shared" si="33"/>
        <v/>
      </c>
      <c r="V132" s="22">
        <v>700</v>
      </c>
      <c r="W132" s="21">
        <f t="shared" si="50"/>
        <v>63.636363636363633</v>
      </c>
      <c r="X132" s="23">
        <f t="shared" si="35"/>
        <v>0.4065040650406504</v>
      </c>
      <c r="Y132" s="22"/>
      <c r="Z132" s="21" t="str">
        <f t="shared" si="51"/>
        <v/>
      </c>
      <c r="AA132" s="23" t="str">
        <f t="shared" si="37"/>
        <v/>
      </c>
      <c r="AB132" s="22">
        <v>476</v>
      </c>
      <c r="AC132" s="21">
        <f t="shared" si="52"/>
        <v>43.272727272727273</v>
      </c>
      <c r="AD132" s="23">
        <f t="shared" si="39"/>
        <v>0.27642276422764228</v>
      </c>
      <c r="AE132" s="22"/>
      <c r="AF132" s="21" t="str">
        <f t="shared" si="53"/>
        <v/>
      </c>
      <c r="AG132" s="85" t="str">
        <f t="shared" si="41"/>
        <v/>
      </c>
    </row>
    <row r="133" spans="1:33" x14ac:dyDescent="0.25">
      <c r="A133" s="13">
        <f>WORKDAY(A134,1,JoursFeries!$B$3:$CH$15)</f>
        <v>42683</v>
      </c>
      <c r="B133" s="19" t="s">
        <v>118</v>
      </c>
      <c r="C133" s="19">
        <v>11</v>
      </c>
      <c r="E133" s="19">
        <v>1828</v>
      </c>
      <c r="F133" s="24">
        <f t="shared" si="42"/>
        <v>1630.9707999999998</v>
      </c>
      <c r="G133" s="16">
        <f t="shared" si="29"/>
        <v>197.02920000000017</v>
      </c>
      <c r="H133" s="15">
        <f t="shared" si="47"/>
        <v>166.18181818181819</v>
      </c>
      <c r="I133" s="15"/>
      <c r="J133" s="22">
        <v>269</v>
      </c>
      <c r="K133" s="21">
        <f t="shared" si="54"/>
        <v>24.454545454545453</v>
      </c>
      <c r="L133" s="23">
        <f t="shared" si="44"/>
        <v>0.14715536105032823</v>
      </c>
      <c r="M133" s="22">
        <v>134</v>
      </c>
      <c r="N133" s="21">
        <f t="shared" si="45"/>
        <v>12.181818181818182</v>
      </c>
      <c r="O133" s="23">
        <f t="shared" si="46"/>
        <v>7.3304157549234139E-2</v>
      </c>
      <c r="P133" s="22">
        <v>230</v>
      </c>
      <c r="Q133" s="21">
        <f t="shared" si="48"/>
        <v>20.90909090909091</v>
      </c>
      <c r="R133" s="23">
        <f t="shared" si="31"/>
        <v>0.12582056892778992</v>
      </c>
      <c r="S133" s="22"/>
      <c r="T133" s="21" t="str">
        <f t="shared" si="49"/>
        <v/>
      </c>
      <c r="U133" s="23" t="str">
        <f t="shared" si="33"/>
        <v/>
      </c>
      <c r="V133" s="22">
        <v>600</v>
      </c>
      <c r="W133" s="21">
        <f t="shared" si="50"/>
        <v>54.545454545454547</v>
      </c>
      <c r="X133" s="23">
        <f t="shared" si="35"/>
        <v>0.32822757111597373</v>
      </c>
      <c r="Y133" s="22"/>
      <c r="Z133" s="21" t="str">
        <f t="shared" si="51"/>
        <v/>
      </c>
      <c r="AA133" s="23" t="str">
        <f t="shared" si="37"/>
        <v/>
      </c>
      <c r="AB133" s="22">
        <v>595</v>
      </c>
      <c r="AC133" s="21">
        <f t="shared" si="52"/>
        <v>54.090909090909093</v>
      </c>
      <c r="AD133" s="23">
        <f t="shared" si="39"/>
        <v>0.32549234135667399</v>
      </c>
      <c r="AE133" s="22"/>
      <c r="AF133" s="21" t="str">
        <f t="shared" si="53"/>
        <v/>
      </c>
      <c r="AG133" s="85" t="str">
        <f t="shared" si="41"/>
        <v/>
      </c>
    </row>
    <row r="134" spans="1:33" x14ac:dyDescent="0.25">
      <c r="A134" s="13">
        <f>WORKDAY(A135,1,JoursFeries!$B$3:$CH$15)</f>
        <v>42682</v>
      </c>
      <c r="B134" s="19" t="s">
        <v>118</v>
      </c>
      <c r="C134" s="19">
        <v>11</v>
      </c>
      <c r="E134" s="19">
        <f>-59.54+1694.54</f>
        <v>1635</v>
      </c>
      <c r="F134" s="24">
        <f t="shared" si="42"/>
        <v>1630.9707999999998</v>
      </c>
      <c r="G134" s="16">
        <f t="shared" si="29"/>
        <v>4.0292000000001735</v>
      </c>
      <c r="H134" s="15">
        <f t="shared" si="47"/>
        <v>148.63636363636363</v>
      </c>
      <c r="I134" s="15"/>
      <c r="J134" s="22">
        <v>270</v>
      </c>
      <c r="K134" s="21">
        <f t="shared" si="54"/>
        <v>24.545454545454547</v>
      </c>
      <c r="L134" s="23">
        <f t="shared" si="44"/>
        <v>0.16513761467889909</v>
      </c>
      <c r="M134" s="22">
        <v>158</v>
      </c>
      <c r="N134" s="21">
        <f t="shared" si="45"/>
        <v>14.363636363636363</v>
      </c>
      <c r="O134" s="23">
        <f t="shared" si="46"/>
        <v>9.6636085626911311E-2</v>
      </c>
      <c r="P134" s="22">
        <v>200</v>
      </c>
      <c r="Q134" s="21">
        <f t="shared" si="48"/>
        <v>18.181818181818183</v>
      </c>
      <c r="R134" s="23">
        <f t="shared" si="31"/>
        <v>0.12232415902140673</v>
      </c>
      <c r="S134" s="22"/>
      <c r="T134" s="21" t="str">
        <f t="shared" si="49"/>
        <v/>
      </c>
      <c r="U134" s="23" t="str">
        <f t="shared" si="33"/>
        <v/>
      </c>
      <c r="V134" s="22">
        <v>480</v>
      </c>
      <c r="W134" s="21">
        <f t="shared" si="50"/>
        <v>43.636363636363633</v>
      </c>
      <c r="X134" s="23">
        <f t="shared" si="35"/>
        <v>0.29357798165137616</v>
      </c>
      <c r="Y134" s="22"/>
      <c r="Z134" s="21" t="str">
        <f t="shared" si="51"/>
        <v/>
      </c>
      <c r="AA134" s="23" t="str">
        <f t="shared" si="37"/>
        <v/>
      </c>
      <c r="AB134" s="22">
        <v>527</v>
      </c>
      <c r="AC134" s="21">
        <f t="shared" si="52"/>
        <v>47.909090909090907</v>
      </c>
      <c r="AD134" s="23">
        <f t="shared" si="39"/>
        <v>0.32232415902140671</v>
      </c>
      <c r="AE134" s="22"/>
      <c r="AF134" s="21" t="str">
        <f t="shared" si="53"/>
        <v/>
      </c>
      <c r="AG134" s="85" t="str">
        <f t="shared" si="41"/>
        <v/>
      </c>
    </row>
    <row r="135" spans="1:33" x14ac:dyDescent="0.25">
      <c r="A135" s="13">
        <f>WORKDAY(A136,1,JoursFeries!$B$3:$CH$15)</f>
        <v>42681</v>
      </c>
      <c r="B135" s="19" t="s">
        <v>118</v>
      </c>
      <c r="C135" s="19">
        <v>11</v>
      </c>
      <c r="E135" s="19">
        <f>-29.18+1281.18</f>
        <v>1252</v>
      </c>
      <c r="F135" s="24">
        <f t="shared" si="42"/>
        <v>1630.9707999999998</v>
      </c>
      <c r="G135" s="16">
        <f t="shared" si="29"/>
        <v>-378.97079999999983</v>
      </c>
      <c r="H135" s="15">
        <f t="shared" si="47"/>
        <v>113.81818181818181</v>
      </c>
      <c r="I135" s="15"/>
      <c r="J135" s="22">
        <v>363</v>
      </c>
      <c r="K135" s="21">
        <f t="shared" si="54"/>
        <v>33</v>
      </c>
      <c r="L135" s="23">
        <f t="shared" si="44"/>
        <v>0.28993610223642174</v>
      </c>
      <c r="M135" s="22">
        <v>191</v>
      </c>
      <c r="N135" s="21">
        <f t="shared" si="45"/>
        <v>17.363636363636363</v>
      </c>
      <c r="O135" s="23">
        <f t="shared" si="46"/>
        <v>0.152555910543131</v>
      </c>
      <c r="P135" s="22">
        <v>200</v>
      </c>
      <c r="Q135" s="21">
        <f t="shared" si="48"/>
        <v>18.181818181818183</v>
      </c>
      <c r="R135" s="23">
        <f t="shared" si="31"/>
        <v>0.15974440894568689</v>
      </c>
      <c r="S135" s="22"/>
      <c r="T135" s="21" t="str">
        <f t="shared" si="49"/>
        <v/>
      </c>
      <c r="U135" s="23" t="str">
        <f t="shared" si="33"/>
        <v/>
      </c>
      <c r="V135" s="22">
        <v>120</v>
      </c>
      <c r="W135" s="21">
        <f t="shared" si="50"/>
        <v>10.909090909090908</v>
      </c>
      <c r="X135" s="23">
        <f t="shared" si="35"/>
        <v>9.5846645367412137E-2</v>
      </c>
      <c r="Y135" s="22"/>
      <c r="Z135" s="21" t="str">
        <f t="shared" si="51"/>
        <v/>
      </c>
      <c r="AA135" s="23" t="str">
        <f t="shared" si="37"/>
        <v/>
      </c>
      <c r="AB135" s="22">
        <v>378</v>
      </c>
      <c r="AC135" s="21">
        <f t="shared" si="52"/>
        <v>34.363636363636367</v>
      </c>
      <c r="AD135" s="23">
        <f t="shared" si="39"/>
        <v>0.30191693290734822</v>
      </c>
      <c r="AE135" s="22"/>
      <c r="AF135" s="21" t="str">
        <f t="shared" si="53"/>
        <v/>
      </c>
      <c r="AG135" s="85" t="str">
        <f t="shared" si="41"/>
        <v/>
      </c>
    </row>
    <row r="136" spans="1:33" x14ac:dyDescent="0.25">
      <c r="A136" s="13">
        <f>WORKDAY(A137,1,JoursFeries!$B$3:$CH$15)</f>
        <v>42678</v>
      </c>
      <c r="F136" s="24" t="str">
        <f t="shared" si="42"/>
        <v/>
      </c>
      <c r="G136" s="16" t="str">
        <f t="shared" si="29"/>
        <v/>
      </c>
      <c r="H136" s="15" t="str">
        <f t="shared" si="47"/>
        <v xml:space="preserve"> </v>
      </c>
      <c r="I136" s="15"/>
      <c r="J136" s="22"/>
      <c r="K136" s="21" t="str">
        <f t="shared" si="54"/>
        <v/>
      </c>
      <c r="L136" s="23" t="str">
        <f t="shared" si="44"/>
        <v/>
      </c>
      <c r="M136" s="22"/>
      <c r="N136" s="21" t="str">
        <f t="shared" si="45"/>
        <v/>
      </c>
      <c r="O136" s="23" t="str">
        <f t="shared" si="46"/>
        <v/>
      </c>
      <c r="P136" s="22"/>
      <c r="Q136" s="21" t="str">
        <f t="shared" si="48"/>
        <v/>
      </c>
      <c r="R136" s="23" t="str">
        <f t="shared" si="31"/>
        <v/>
      </c>
      <c r="S136" s="22"/>
      <c r="T136" s="21" t="str">
        <f t="shared" si="49"/>
        <v/>
      </c>
      <c r="U136" s="23" t="str">
        <f t="shared" si="33"/>
        <v/>
      </c>
      <c r="V136" s="22"/>
      <c r="W136" s="21" t="str">
        <f t="shared" si="50"/>
        <v/>
      </c>
      <c r="X136" s="23" t="str">
        <f t="shared" si="35"/>
        <v/>
      </c>
      <c r="Y136" s="22"/>
      <c r="Z136" s="21" t="str">
        <f t="shared" si="51"/>
        <v/>
      </c>
      <c r="AA136" s="23" t="str">
        <f t="shared" si="37"/>
        <v/>
      </c>
      <c r="AB136" s="22"/>
      <c r="AC136" s="21" t="str">
        <f t="shared" si="52"/>
        <v/>
      </c>
      <c r="AD136" s="23" t="str">
        <f t="shared" si="39"/>
        <v/>
      </c>
      <c r="AE136" s="22"/>
      <c r="AF136" s="21" t="str">
        <f t="shared" si="53"/>
        <v/>
      </c>
      <c r="AG136" s="85" t="str">
        <f t="shared" si="41"/>
        <v/>
      </c>
    </row>
    <row r="137" spans="1:33" x14ac:dyDescent="0.25">
      <c r="A137" s="13">
        <f>WORKDAY(A138,1,JoursFeries!$B$3:$CH$15)</f>
        <v>42677</v>
      </c>
      <c r="B137" s="19" t="s">
        <v>118</v>
      </c>
      <c r="C137" s="19">
        <v>11</v>
      </c>
      <c r="E137" s="19">
        <f>1759.6-8.06-23.54</f>
        <v>1728</v>
      </c>
      <c r="F137" s="24">
        <f t="shared" si="42"/>
        <v>1630.9707999999998</v>
      </c>
      <c r="G137" s="16">
        <f t="shared" si="29"/>
        <v>97.029200000000174</v>
      </c>
      <c r="H137" s="15">
        <f t="shared" si="47"/>
        <v>157.09090909090909</v>
      </c>
      <c r="I137" s="15"/>
      <c r="J137" s="22">
        <v>241</v>
      </c>
      <c r="K137" s="21">
        <f t="shared" si="54"/>
        <v>21.90909090909091</v>
      </c>
      <c r="L137" s="23">
        <f t="shared" si="44"/>
        <v>0.13946759259259259</v>
      </c>
      <c r="M137" s="22">
        <v>143</v>
      </c>
      <c r="N137" s="21">
        <f t="shared" si="45"/>
        <v>13</v>
      </c>
      <c r="O137" s="23">
        <f t="shared" si="46"/>
        <v>8.2754629629629636E-2</v>
      </c>
      <c r="P137" s="22">
        <v>112</v>
      </c>
      <c r="Q137" s="21">
        <f t="shared" si="48"/>
        <v>10.181818181818182</v>
      </c>
      <c r="R137" s="23">
        <f t="shared" si="31"/>
        <v>6.4814814814814811E-2</v>
      </c>
      <c r="S137" s="22"/>
      <c r="T137" s="21" t="str">
        <f t="shared" si="49"/>
        <v/>
      </c>
      <c r="U137" s="23" t="str">
        <f t="shared" si="33"/>
        <v/>
      </c>
      <c r="V137" s="22">
        <v>720</v>
      </c>
      <c r="W137" s="21">
        <f t="shared" si="50"/>
        <v>65.454545454545453</v>
      </c>
      <c r="X137" s="23">
        <f t="shared" si="35"/>
        <v>0.41666666666666669</v>
      </c>
      <c r="Y137" s="22"/>
      <c r="Z137" s="21" t="str">
        <f t="shared" si="51"/>
        <v/>
      </c>
      <c r="AA137" s="23" t="str">
        <f t="shared" si="37"/>
        <v/>
      </c>
      <c r="AB137" s="22">
        <v>512</v>
      </c>
      <c r="AC137" s="21">
        <f t="shared" si="52"/>
        <v>46.545454545454547</v>
      </c>
      <c r="AD137" s="23">
        <f t="shared" si="39"/>
        <v>0.29629629629629628</v>
      </c>
      <c r="AE137" s="22"/>
      <c r="AF137" s="21" t="str">
        <f t="shared" si="53"/>
        <v/>
      </c>
      <c r="AG137" s="85" t="str">
        <f t="shared" si="41"/>
        <v/>
      </c>
    </row>
    <row r="138" spans="1:33" x14ac:dyDescent="0.25">
      <c r="A138" s="13">
        <f>WORKDAY(A139,1,JoursFeries!$B$3:$CH$15)</f>
        <v>42676</v>
      </c>
      <c r="F138" s="24" t="str">
        <f t="shared" si="42"/>
        <v/>
      </c>
      <c r="G138" s="16" t="str">
        <f t="shared" si="29"/>
        <v/>
      </c>
      <c r="H138" s="15" t="str">
        <f t="shared" si="47"/>
        <v xml:space="preserve"> </v>
      </c>
      <c r="I138" s="15"/>
      <c r="J138" s="22"/>
      <c r="K138" s="21" t="str">
        <f t="shared" si="54"/>
        <v/>
      </c>
      <c r="L138" s="23" t="str">
        <f t="shared" si="44"/>
        <v/>
      </c>
      <c r="M138" s="22"/>
      <c r="N138" s="21" t="str">
        <f t="shared" si="45"/>
        <v/>
      </c>
      <c r="O138" s="23" t="str">
        <f t="shared" si="46"/>
        <v/>
      </c>
      <c r="P138" s="22"/>
      <c r="Q138" s="21" t="str">
        <f t="shared" si="48"/>
        <v/>
      </c>
      <c r="R138" s="23" t="str">
        <f t="shared" si="31"/>
        <v/>
      </c>
      <c r="S138" s="22"/>
      <c r="T138" s="21" t="str">
        <f t="shared" si="49"/>
        <v/>
      </c>
      <c r="U138" s="23" t="str">
        <f t="shared" si="33"/>
        <v/>
      </c>
      <c r="V138" s="22"/>
      <c r="W138" s="21" t="str">
        <f t="shared" si="50"/>
        <v/>
      </c>
      <c r="X138" s="23" t="str">
        <f t="shared" si="35"/>
        <v/>
      </c>
      <c r="Y138" s="22"/>
      <c r="Z138" s="21" t="str">
        <f t="shared" si="51"/>
        <v/>
      </c>
      <c r="AA138" s="23" t="str">
        <f t="shared" si="37"/>
        <v/>
      </c>
      <c r="AB138" s="22"/>
      <c r="AC138" s="21" t="str">
        <f t="shared" si="52"/>
        <v/>
      </c>
      <c r="AD138" s="23" t="str">
        <f t="shared" si="39"/>
        <v/>
      </c>
      <c r="AE138" s="22"/>
      <c r="AF138" s="21" t="str">
        <f t="shared" si="53"/>
        <v/>
      </c>
      <c r="AG138" s="85" t="str">
        <f t="shared" si="41"/>
        <v/>
      </c>
    </row>
    <row r="139" spans="1:33" x14ac:dyDescent="0.25">
      <c r="A139" s="13">
        <f>WORKDAY(A140,1,JoursFeries!$B$3:$CH$15)</f>
        <v>42675</v>
      </c>
      <c r="F139" s="24" t="str">
        <f t="shared" si="42"/>
        <v/>
      </c>
      <c r="G139" s="16" t="str">
        <f t="shared" si="29"/>
        <v/>
      </c>
      <c r="H139" s="15" t="str">
        <f t="shared" si="47"/>
        <v xml:space="preserve"> </v>
      </c>
      <c r="I139" s="15"/>
      <c r="J139" s="22"/>
      <c r="K139" s="21" t="str">
        <f t="shared" si="54"/>
        <v/>
      </c>
      <c r="L139" s="23" t="str">
        <f t="shared" si="44"/>
        <v/>
      </c>
      <c r="M139" s="22"/>
      <c r="N139" s="21" t="str">
        <f t="shared" si="45"/>
        <v/>
      </c>
      <c r="O139" s="23" t="str">
        <f t="shared" si="46"/>
        <v/>
      </c>
      <c r="P139" s="22"/>
      <c r="Q139" s="21" t="str">
        <f t="shared" si="48"/>
        <v/>
      </c>
      <c r="R139" s="23" t="str">
        <f t="shared" si="31"/>
        <v/>
      </c>
      <c r="S139" s="22"/>
      <c r="T139" s="21" t="str">
        <f t="shared" si="49"/>
        <v/>
      </c>
      <c r="U139" s="23" t="str">
        <f t="shared" si="33"/>
        <v/>
      </c>
      <c r="V139" s="22"/>
      <c r="W139" s="21" t="str">
        <f t="shared" si="50"/>
        <v/>
      </c>
      <c r="X139" s="23" t="str">
        <f t="shared" si="35"/>
        <v/>
      </c>
      <c r="Y139" s="22"/>
      <c r="Z139" s="21" t="str">
        <f t="shared" si="51"/>
        <v/>
      </c>
      <c r="AA139" s="23" t="str">
        <f t="shared" si="37"/>
        <v/>
      </c>
      <c r="AB139" s="22"/>
      <c r="AC139" s="21" t="str">
        <f t="shared" si="52"/>
        <v/>
      </c>
      <c r="AD139" s="23" t="str">
        <f t="shared" si="39"/>
        <v/>
      </c>
      <c r="AE139" s="22"/>
      <c r="AF139" s="21" t="str">
        <f t="shared" si="53"/>
        <v/>
      </c>
      <c r="AG139" s="85" t="str">
        <f t="shared" si="41"/>
        <v/>
      </c>
    </row>
    <row r="140" spans="1:33" x14ac:dyDescent="0.25">
      <c r="A140" s="13">
        <f>WORKDAY(A141,1,JoursFeries!$B$3:$CH$15)</f>
        <v>42674</v>
      </c>
      <c r="F140" s="24" t="str">
        <f t="shared" si="42"/>
        <v/>
      </c>
      <c r="G140" s="16" t="str">
        <f t="shared" si="29"/>
        <v/>
      </c>
      <c r="H140" s="15" t="str">
        <f t="shared" si="47"/>
        <v xml:space="preserve"> </v>
      </c>
      <c r="I140" s="15"/>
      <c r="J140" s="22"/>
      <c r="K140" s="21" t="str">
        <f t="shared" si="54"/>
        <v/>
      </c>
      <c r="L140" s="23" t="str">
        <f t="shared" si="44"/>
        <v/>
      </c>
      <c r="M140" s="22"/>
      <c r="N140" s="21" t="str">
        <f t="shared" si="45"/>
        <v/>
      </c>
      <c r="O140" s="23" t="str">
        <f t="shared" si="46"/>
        <v/>
      </c>
      <c r="P140" s="22"/>
      <c r="Q140" s="21" t="str">
        <f t="shared" si="48"/>
        <v/>
      </c>
      <c r="R140" s="23" t="str">
        <f t="shared" si="31"/>
        <v/>
      </c>
      <c r="S140" s="22"/>
      <c r="T140" s="21" t="str">
        <f t="shared" si="49"/>
        <v/>
      </c>
      <c r="U140" s="23" t="str">
        <f t="shared" si="33"/>
        <v/>
      </c>
      <c r="V140" s="22"/>
      <c r="W140" s="21" t="str">
        <f t="shared" si="50"/>
        <v/>
      </c>
      <c r="X140" s="23" t="str">
        <f t="shared" si="35"/>
        <v/>
      </c>
      <c r="Y140" s="22"/>
      <c r="Z140" s="21" t="str">
        <f t="shared" si="51"/>
        <v/>
      </c>
      <c r="AA140" s="23" t="str">
        <f t="shared" si="37"/>
        <v/>
      </c>
      <c r="AB140" s="22"/>
      <c r="AC140" s="21" t="str">
        <f t="shared" si="52"/>
        <v/>
      </c>
      <c r="AD140" s="23" t="str">
        <f t="shared" si="39"/>
        <v/>
      </c>
      <c r="AE140" s="22"/>
      <c r="AF140" s="21" t="str">
        <f t="shared" si="53"/>
        <v/>
      </c>
      <c r="AG140" s="85" t="str">
        <f t="shared" si="41"/>
        <v/>
      </c>
    </row>
    <row r="141" spans="1:33" x14ac:dyDescent="0.25">
      <c r="A141" s="18">
        <f>WORKDAY(A142,1,JoursFeries!$B$3:$CH$15)</f>
        <v>42671</v>
      </c>
      <c r="F141" s="24" t="str">
        <f t="shared" si="42"/>
        <v/>
      </c>
      <c r="G141" s="16" t="str">
        <f t="shared" ref="G141:G204" si="55">IF(ISBLANK(E141),"",E141-F141)</f>
        <v/>
      </c>
      <c r="H141" s="15" t="str">
        <f t="shared" si="47"/>
        <v xml:space="preserve"> </v>
      </c>
      <c r="I141" s="15"/>
      <c r="J141" s="22"/>
      <c r="K141" s="21" t="str">
        <f t="shared" si="54"/>
        <v/>
      </c>
      <c r="L141" s="23" t="str">
        <f t="shared" si="44"/>
        <v/>
      </c>
      <c r="M141" s="22"/>
      <c r="N141" s="21" t="str">
        <f t="shared" si="45"/>
        <v/>
      </c>
      <c r="O141" s="23" t="str">
        <f t="shared" si="46"/>
        <v/>
      </c>
      <c r="P141" s="22"/>
      <c r="Q141" s="21" t="str">
        <f t="shared" ref="Q141:Q172" si="56">IF(ISBLANK(P141),"",P141/($C141-IF(ISBLANK($D141),0,$D141)))</f>
        <v/>
      </c>
      <c r="R141" s="23" t="str">
        <f t="shared" ref="R141:R204" si="57">IF(ISBLANK(P141),"",IF(ISBLANK($E141),"",P141/$E141))</f>
        <v/>
      </c>
      <c r="S141" s="22"/>
      <c r="T141" s="21" t="str">
        <f t="shared" ref="T141:T172" si="58">IF(ISBLANK(S141),"",S141/($C141-IF(ISBLANK($D141),0,$D141)))</f>
        <v/>
      </c>
      <c r="U141" s="23" t="str">
        <f t="shared" ref="U141:U204" si="59">IF(ISBLANK(S141),"",IF(ISBLANK($E141),"",S141/$E141))</f>
        <v/>
      </c>
      <c r="V141" s="22"/>
      <c r="W141" s="21" t="str">
        <f t="shared" ref="W141:W172" si="60">IF(ISBLANK(V141),"",V141/($C141-IF(ISBLANK($D141),0,$D141)))</f>
        <v/>
      </c>
      <c r="X141" s="23" t="str">
        <f t="shared" ref="X141:X204" si="61">IF(ISBLANK(V141),"",IF(ISBLANK($E141),"",V141/$E141))</f>
        <v/>
      </c>
      <c r="Y141" s="22"/>
      <c r="Z141" s="21" t="str">
        <f t="shared" ref="Z141:Z172" si="62">IF(ISBLANK(Y141),"",Y141/($C141-IF(ISBLANK($D141),0,$D141)))</f>
        <v/>
      </c>
      <c r="AA141" s="23" t="str">
        <f t="shared" ref="AA141:AA204" si="63">IF(ISBLANK(Y141),"",IF(ISBLANK($E141),"",Y141/$E141))</f>
        <v/>
      </c>
      <c r="AB141" s="22"/>
      <c r="AC141" s="21" t="str">
        <f t="shared" ref="AC141:AC172" si="64">IF(ISBLANK(AB141),"",AB141/($C141-IF(ISBLANK($D141),0,$D141)))</f>
        <v/>
      </c>
      <c r="AD141" s="23" t="str">
        <f t="shared" ref="AD141:AD204" si="65">IF(ISBLANK(AB141),"",IF(ISBLANK($E141),"",AB141/$E141))</f>
        <v/>
      </c>
      <c r="AE141" s="22"/>
      <c r="AF141" s="21" t="str">
        <f t="shared" ref="AF141:AF172" si="66">IF(ISBLANK(AE141),"",AE141/($C141-IF(ISBLANK($D141),0,$D141)))</f>
        <v/>
      </c>
      <c r="AG141" s="85" t="str">
        <f t="shared" ref="AG141:AG204" si="67">IF(ISBLANK(AE141),"",IF(ISBLANK($E141),"",AE141/$E141))</f>
        <v/>
      </c>
    </row>
    <row r="142" spans="1:33" x14ac:dyDescent="0.25">
      <c r="A142" s="18">
        <f>WORKDAY(A143,1,JoursFeries!$B$3:$CH$15)</f>
        <v>42670</v>
      </c>
      <c r="F142" s="24" t="str">
        <f t="shared" ref="F142:F205" si="68">IF(ISBLANK(B142),"",
IF(B142=$C$4,(IF(ISBLANK(C142),10,C142)-IF(ISBLANK(D142),0,D142))*$F$4,
IF(B142=$C$5,(IF(ISBLANK(C142),10,C142)-IF(ISBLANK(D142),0,D142))*$F$5,
IF(B142=$C$6,(IF(ISBLANK(C142),10,C142)-IF(ISBLANK(D142),0,D142))*$F$6,
IF(B142=$C$7,(IF(ISBLANK(C142),10,C142)-IF(ISBLANK(D142),0,D142))*$F$7,IF(B142=$C$8,(IF(ISBLANK(C142),10,C142)-IF(ISBLANK(D142),0,D142))*$F$8,
(IF(ISBLANK(C142),10,C142)-IF(ISBLANK(D142),0,D142))*$F$9))))))</f>
        <v/>
      </c>
      <c r="G142" s="16" t="str">
        <f t="shared" si="55"/>
        <v/>
      </c>
      <c r="H142" s="15" t="str">
        <f t="shared" si="47"/>
        <v xml:space="preserve"> </v>
      </c>
      <c r="I142" s="15"/>
      <c r="J142" s="22"/>
      <c r="K142" s="21" t="str">
        <f t="shared" ref="K142:K173" si="69">IF(ISBLANK(J142),"",J142/(C142-IF(ISBLANK(D142),0,D142)))</f>
        <v/>
      </c>
      <c r="L142" s="23" t="str">
        <f t="shared" ref="L142:L205" si="70">IF(ISBLANK(J142),"",IF(ISBLANK(E142),"",J142/E142))</f>
        <v/>
      </c>
      <c r="M142" s="22"/>
      <c r="N142" s="21" t="str">
        <f t="shared" ref="N142:N205" si="71">IF(ISBLANK(M142),"",M142/($C142-IF(ISBLANK($D142),0,$D142)))</f>
        <v/>
      </c>
      <c r="O142" s="23" t="str">
        <f t="shared" ref="O142:O205" si="72">IF(ISBLANK(M142),"",IF(ISBLANK($E142),"",M142/$E142))</f>
        <v/>
      </c>
      <c r="P142" s="22"/>
      <c r="Q142" s="21" t="str">
        <f t="shared" si="56"/>
        <v/>
      </c>
      <c r="R142" s="23" t="str">
        <f t="shared" si="57"/>
        <v/>
      </c>
      <c r="S142" s="22"/>
      <c r="T142" s="21" t="str">
        <f t="shared" si="58"/>
        <v/>
      </c>
      <c r="U142" s="23" t="str">
        <f t="shared" si="59"/>
        <v/>
      </c>
      <c r="V142" s="22"/>
      <c r="W142" s="21" t="str">
        <f t="shared" si="60"/>
        <v/>
      </c>
      <c r="X142" s="23" t="str">
        <f t="shared" si="61"/>
        <v/>
      </c>
      <c r="Y142" s="22"/>
      <c r="Z142" s="21" t="str">
        <f t="shared" si="62"/>
        <v/>
      </c>
      <c r="AA142" s="23" t="str">
        <f t="shared" si="63"/>
        <v/>
      </c>
      <c r="AB142" s="22"/>
      <c r="AC142" s="21" t="str">
        <f t="shared" si="64"/>
        <v/>
      </c>
      <c r="AD142" s="23" t="str">
        <f t="shared" si="65"/>
        <v/>
      </c>
      <c r="AE142" s="22"/>
      <c r="AF142" s="21" t="str">
        <f t="shared" si="66"/>
        <v/>
      </c>
      <c r="AG142" s="85" t="str">
        <f t="shared" si="67"/>
        <v/>
      </c>
    </row>
    <row r="143" spans="1:33" x14ac:dyDescent="0.25">
      <c r="A143" s="13">
        <f>WORKDAY(A144,1,JoursFeries!$B$3:$CH$15)</f>
        <v>42669</v>
      </c>
      <c r="F143" s="24" t="str">
        <f t="shared" si="68"/>
        <v/>
      </c>
      <c r="G143" s="16" t="str">
        <f t="shared" si="55"/>
        <v/>
      </c>
      <c r="H143" s="15" t="str">
        <f t="shared" si="47"/>
        <v xml:space="preserve"> </v>
      </c>
      <c r="I143" s="15"/>
      <c r="J143" s="22"/>
      <c r="K143" s="21" t="str">
        <f t="shared" si="69"/>
        <v/>
      </c>
      <c r="L143" s="23" t="str">
        <f t="shared" si="70"/>
        <v/>
      </c>
      <c r="M143" s="22"/>
      <c r="N143" s="21" t="str">
        <f t="shared" si="71"/>
        <v/>
      </c>
      <c r="O143" s="23" t="str">
        <f t="shared" si="72"/>
        <v/>
      </c>
      <c r="P143" s="22"/>
      <c r="Q143" s="21" t="str">
        <f t="shared" si="56"/>
        <v/>
      </c>
      <c r="R143" s="23" t="str">
        <f t="shared" si="57"/>
        <v/>
      </c>
      <c r="S143" s="22"/>
      <c r="T143" s="21" t="str">
        <f t="shared" si="58"/>
        <v/>
      </c>
      <c r="U143" s="23" t="str">
        <f t="shared" si="59"/>
        <v/>
      </c>
      <c r="V143" s="22"/>
      <c r="W143" s="21" t="str">
        <f t="shared" si="60"/>
        <v/>
      </c>
      <c r="X143" s="23" t="str">
        <f t="shared" si="61"/>
        <v/>
      </c>
      <c r="Y143" s="22"/>
      <c r="Z143" s="21" t="str">
        <f t="shared" si="62"/>
        <v/>
      </c>
      <c r="AA143" s="23" t="str">
        <f t="shared" si="63"/>
        <v/>
      </c>
      <c r="AB143" s="22"/>
      <c r="AC143" s="21" t="str">
        <f t="shared" si="64"/>
        <v/>
      </c>
      <c r="AD143" s="23" t="str">
        <f t="shared" si="65"/>
        <v/>
      </c>
      <c r="AE143" s="22"/>
      <c r="AF143" s="21" t="str">
        <f t="shared" si="66"/>
        <v/>
      </c>
      <c r="AG143" s="85" t="str">
        <f t="shared" si="67"/>
        <v/>
      </c>
    </row>
    <row r="144" spans="1:33" x14ac:dyDescent="0.25">
      <c r="A144" s="13">
        <f>WORKDAY(A145,1,JoursFeries!$B$3:$CH$15)</f>
        <v>42668</v>
      </c>
      <c r="F144" s="24" t="str">
        <f t="shared" si="68"/>
        <v/>
      </c>
      <c r="G144" s="16" t="str">
        <f t="shared" si="55"/>
        <v/>
      </c>
      <c r="H144" s="15" t="str">
        <f t="shared" ref="H144:H207" si="73">IF(ISBLANK(C144)," ",IF(ISBLANK(E144)," ",E144/(C144-IF(ISBLANK(D144),0,D144))))</f>
        <v xml:space="preserve"> </v>
      </c>
      <c r="I144" s="15"/>
      <c r="J144" s="22"/>
      <c r="K144" s="21" t="str">
        <f t="shared" si="69"/>
        <v/>
      </c>
      <c r="L144" s="23" t="str">
        <f t="shared" si="70"/>
        <v/>
      </c>
      <c r="M144" s="22"/>
      <c r="N144" s="21" t="str">
        <f t="shared" si="71"/>
        <v/>
      </c>
      <c r="O144" s="23" t="str">
        <f t="shared" si="72"/>
        <v/>
      </c>
      <c r="P144" s="22"/>
      <c r="Q144" s="21" t="str">
        <f t="shared" si="56"/>
        <v/>
      </c>
      <c r="R144" s="23" t="str">
        <f t="shared" si="57"/>
        <v/>
      </c>
      <c r="S144" s="22"/>
      <c r="T144" s="21" t="str">
        <f t="shared" si="58"/>
        <v/>
      </c>
      <c r="U144" s="23" t="str">
        <f t="shared" si="59"/>
        <v/>
      </c>
      <c r="V144" s="22"/>
      <c r="W144" s="21" t="str">
        <f t="shared" si="60"/>
        <v/>
      </c>
      <c r="X144" s="23" t="str">
        <f t="shared" si="61"/>
        <v/>
      </c>
      <c r="Y144" s="22"/>
      <c r="Z144" s="21" t="str">
        <f t="shared" si="62"/>
        <v/>
      </c>
      <c r="AA144" s="23" t="str">
        <f t="shared" si="63"/>
        <v/>
      </c>
      <c r="AB144" s="22"/>
      <c r="AC144" s="21" t="str">
        <f t="shared" si="64"/>
        <v/>
      </c>
      <c r="AD144" s="23" t="str">
        <f t="shared" si="65"/>
        <v/>
      </c>
      <c r="AE144" s="22"/>
      <c r="AF144" s="21" t="str">
        <f t="shared" si="66"/>
        <v/>
      </c>
      <c r="AG144" s="85" t="str">
        <f t="shared" si="67"/>
        <v/>
      </c>
    </row>
    <row r="145" spans="1:33" x14ac:dyDescent="0.25">
      <c r="A145" s="13">
        <f>WORKDAY(A146,1,JoursFeries!$B$3:$CH$15)</f>
        <v>42667</v>
      </c>
      <c r="F145" s="24" t="str">
        <f t="shared" si="68"/>
        <v/>
      </c>
      <c r="G145" s="16" t="str">
        <f t="shared" si="55"/>
        <v/>
      </c>
      <c r="H145" s="15" t="str">
        <f t="shared" si="73"/>
        <v xml:space="preserve"> </v>
      </c>
      <c r="I145" s="15"/>
      <c r="J145" s="22"/>
      <c r="K145" s="21" t="str">
        <f t="shared" si="69"/>
        <v/>
      </c>
      <c r="L145" s="23" t="str">
        <f t="shared" si="70"/>
        <v/>
      </c>
      <c r="M145" s="22"/>
      <c r="N145" s="21" t="str">
        <f t="shared" si="71"/>
        <v/>
      </c>
      <c r="O145" s="23" t="str">
        <f t="shared" si="72"/>
        <v/>
      </c>
      <c r="P145" s="22"/>
      <c r="Q145" s="21" t="str">
        <f t="shared" si="56"/>
        <v/>
      </c>
      <c r="R145" s="23" t="str">
        <f t="shared" si="57"/>
        <v/>
      </c>
      <c r="S145" s="22"/>
      <c r="T145" s="21" t="str">
        <f t="shared" si="58"/>
        <v/>
      </c>
      <c r="U145" s="23" t="str">
        <f t="shared" si="59"/>
        <v/>
      </c>
      <c r="V145" s="22"/>
      <c r="W145" s="21" t="str">
        <f t="shared" si="60"/>
        <v/>
      </c>
      <c r="X145" s="23" t="str">
        <f t="shared" si="61"/>
        <v/>
      </c>
      <c r="Y145" s="22"/>
      <c r="Z145" s="21" t="str">
        <f t="shared" si="62"/>
        <v/>
      </c>
      <c r="AA145" s="23" t="str">
        <f t="shared" si="63"/>
        <v/>
      </c>
      <c r="AB145" s="22"/>
      <c r="AC145" s="21" t="str">
        <f t="shared" si="64"/>
        <v/>
      </c>
      <c r="AD145" s="23" t="str">
        <f t="shared" si="65"/>
        <v/>
      </c>
      <c r="AE145" s="22"/>
      <c r="AF145" s="21" t="str">
        <f t="shared" si="66"/>
        <v/>
      </c>
      <c r="AG145" s="85" t="str">
        <f t="shared" si="67"/>
        <v/>
      </c>
    </row>
    <row r="146" spans="1:33" x14ac:dyDescent="0.25">
      <c r="A146" s="18">
        <f>WORKDAY(A147,1,JoursFeries!$B$3:$CH$15)</f>
        <v>42664</v>
      </c>
      <c r="F146" s="24" t="str">
        <f t="shared" si="68"/>
        <v/>
      </c>
      <c r="G146" s="16" t="str">
        <f t="shared" si="55"/>
        <v/>
      </c>
      <c r="H146" s="15" t="str">
        <f t="shared" si="73"/>
        <v xml:space="preserve"> </v>
      </c>
      <c r="I146" s="15"/>
      <c r="J146" s="22"/>
      <c r="K146" s="21" t="str">
        <f t="shared" si="69"/>
        <v/>
      </c>
      <c r="L146" s="23" t="str">
        <f t="shared" si="70"/>
        <v/>
      </c>
      <c r="M146" s="22"/>
      <c r="N146" s="21" t="str">
        <f t="shared" si="71"/>
        <v/>
      </c>
      <c r="O146" s="23" t="str">
        <f t="shared" si="72"/>
        <v/>
      </c>
      <c r="P146" s="22"/>
      <c r="Q146" s="21" t="str">
        <f t="shared" si="56"/>
        <v/>
      </c>
      <c r="R146" s="23" t="str">
        <f t="shared" si="57"/>
        <v/>
      </c>
      <c r="S146" s="22"/>
      <c r="T146" s="21" t="str">
        <f t="shared" si="58"/>
        <v/>
      </c>
      <c r="U146" s="23" t="str">
        <f t="shared" si="59"/>
        <v/>
      </c>
      <c r="V146" s="22"/>
      <c r="W146" s="21" t="str">
        <f t="shared" si="60"/>
        <v/>
      </c>
      <c r="X146" s="23" t="str">
        <f t="shared" si="61"/>
        <v/>
      </c>
      <c r="Y146" s="22"/>
      <c r="Z146" s="21" t="str">
        <f t="shared" si="62"/>
        <v/>
      </c>
      <c r="AA146" s="23" t="str">
        <f t="shared" si="63"/>
        <v/>
      </c>
      <c r="AB146" s="22"/>
      <c r="AC146" s="21" t="str">
        <f t="shared" si="64"/>
        <v/>
      </c>
      <c r="AD146" s="23" t="str">
        <f t="shared" si="65"/>
        <v/>
      </c>
      <c r="AE146" s="22"/>
      <c r="AF146" s="21" t="str">
        <f t="shared" si="66"/>
        <v/>
      </c>
      <c r="AG146" s="85" t="str">
        <f t="shared" si="67"/>
        <v/>
      </c>
    </row>
    <row r="147" spans="1:33" x14ac:dyDescent="0.25">
      <c r="A147" s="13">
        <f>WORKDAY(A148,1,JoursFeries!$B$3:$CH$15)</f>
        <v>42663</v>
      </c>
      <c r="B147" s="19" t="s">
        <v>120</v>
      </c>
      <c r="C147" s="19">
        <v>6</v>
      </c>
      <c r="E147" s="19">
        <v>708</v>
      </c>
      <c r="F147" s="24">
        <f t="shared" si="68"/>
        <v>906.99209010742345</v>
      </c>
      <c r="G147" s="16">
        <f t="shared" si="55"/>
        <v>-198.99209010742345</v>
      </c>
      <c r="H147" s="15">
        <f t="shared" si="73"/>
        <v>118</v>
      </c>
      <c r="I147" s="15"/>
      <c r="J147" s="22">
        <v>96</v>
      </c>
      <c r="K147" s="21">
        <f t="shared" si="69"/>
        <v>16</v>
      </c>
      <c r="L147" s="23">
        <f t="shared" si="70"/>
        <v>0.13559322033898305</v>
      </c>
      <c r="M147" s="22">
        <v>53</v>
      </c>
      <c r="N147" s="21">
        <f t="shared" si="71"/>
        <v>8.8333333333333339</v>
      </c>
      <c r="O147" s="23">
        <f t="shared" si="72"/>
        <v>7.4858757062146897E-2</v>
      </c>
      <c r="P147" s="22">
        <v>80</v>
      </c>
      <c r="Q147" s="21">
        <f t="shared" si="56"/>
        <v>13.333333333333334</v>
      </c>
      <c r="R147" s="23">
        <f t="shared" si="57"/>
        <v>0.11299435028248588</v>
      </c>
      <c r="S147" s="22"/>
      <c r="T147" s="21" t="str">
        <f t="shared" si="58"/>
        <v/>
      </c>
      <c r="U147" s="23" t="str">
        <f t="shared" si="59"/>
        <v/>
      </c>
      <c r="V147" s="22"/>
      <c r="W147" s="21" t="str">
        <f t="shared" si="60"/>
        <v/>
      </c>
      <c r="X147" s="23" t="str">
        <f t="shared" si="61"/>
        <v/>
      </c>
      <c r="Y147" s="22"/>
      <c r="Z147" s="21" t="str">
        <f t="shared" si="62"/>
        <v/>
      </c>
      <c r="AA147" s="23" t="str">
        <f t="shared" si="63"/>
        <v/>
      </c>
      <c r="AB147" s="22">
        <v>119</v>
      </c>
      <c r="AC147" s="21">
        <f t="shared" si="64"/>
        <v>19.833333333333332</v>
      </c>
      <c r="AD147" s="23">
        <f t="shared" si="65"/>
        <v>0.16807909604519775</v>
      </c>
      <c r="AE147" s="22">
        <v>360</v>
      </c>
      <c r="AF147" s="21">
        <f t="shared" si="66"/>
        <v>60</v>
      </c>
      <c r="AG147" s="85">
        <f t="shared" si="67"/>
        <v>0.50847457627118642</v>
      </c>
    </row>
    <row r="148" spans="1:33" x14ac:dyDescent="0.25">
      <c r="A148" s="13">
        <f>WORKDAY(A149,1,JoursFeries!$B$3:$CH$15)</f>
        <v>42662</v>
      </c>
      <c r="B148" s="19" t="s">
        <v>120</v>
      </c>
      <c r="C148" s="19">
        <v>10</v>
      </c>
      <c r="E148" s="19">
        <v>1899</v>
      </c>
      <c r="F148" s="24">
        <f t="shared" si="68"/>
        <v>1511.6534835123725</v>
      </c>
      <c r="G148" s="16">
        <f t="shared" si="55"/>
        <v>387.34651648762747</v>
      </c>
      <c r="H148" s="15">
        <f t="shared" si="73"/>
        <v>189.9</v>
      </c>
      <c r="I148" s="15"/>
      <c r="J148" s="22">
        <v>233</v>
      </c>
      <c r="K148" s="21">
        <f t="shared" si="69"/>
        <v>23.3</v>
      </c>
      <c r="L148" s="23">
        <f t="shared" si="70"/>
        <v>0.12269615587151132</v>
      </c>
      <c r="M148" s="22">
        <v>148</v>
      </c>
      <c r="N148" s="21">
        <f t="shared" si="71"/>
        <v>14.8</v>
      </c>
      <c r="O148" s="23">
        <f t="shared" si="72"/>
        <v>7.7935755660874143E-2</v>
      </c>
      <c r="P148" s="22">
        <v>280</v>
      </c>
      <c r="Q148" s="21">
        <f t="shared" si="56"/>
        <v>28</v>
      </c>
      <c r="R148" s="23">
        <f t="shared" si="57"/>
        <v>0.14744602422327541</v>
      </c>
      <c r="S148" s="22"/>
      <c r="T148" s="21" t="str">
        <f t="shared" si="58"/>
        <v/>
      </c>
      <c r="U148" s="23" t="str">
        <f t="shared" si="59"/>
        <v/>
      </c>
      <c r="V148" s="22"/>
      <c r="W148" s="21" t="str">
        <f t="shared" si="60"/>
        <v/>
      </c>
      <c r="X148" s="23" t="str">
        <f t="shared" si="61"/>
        <v/>
      </c>
      <c r="Y148" s="22"/>
      <c r="Z148" s="21" t="str">
        <f t="shared" si="62"/>
        <v/>
      </c>
      <c r="AA148" s="23" t="str">
        <f t="shared" si="63"/>
        <v/>
      </c>
      <c r="AB148" s="22">
        <v>323</v>
      </c>
      <c r="AC148" s="21">
        <f t="shared" si="64"/>
        <v>32.299999999999997</v>
      </c>
      <c r="AD148" s="23">
        <f t="shared" si="65"/>
        <v>0.17008952080042128</v>
      </c>
      <c r="AE148" s="22">
        <v>915</v>
      </c>
      <c r="AF148" s="21">
        <f t="shared" si="66"/>
        <v>91.5</v>
      </c>
      <c r="AG148" s="85">
        <f t="shared" si="67"/>
        <v>0.48183254344391785</v>
      </c>
    </row>
    <row r="149" spans="1:33" x14ac:dyDescent="0.25">
      <c r="A149" s="13">
        <f>WORKDAY(A150,1,JoursFeries!$B$3:$CH$15)</f>
        <v>42661</v>
      </c>
      <c r="B149" s="19" t="s">
        <v>120</v>
      </c>
      <c r="C149" s="19">
        <v>10</v>
      </c>
      <c r="E149" s="19">
        <v>1821</v>
      </c>
      <c r="F149" s="24">
        <f t="shared" si="68"/>
        <v>1511.6534835123725</v>
      </c>
      <c r="G149" s="16">
        <f t="shared" si="55"/>
        <v>309.34651648762747</v>
      </c>
      <c r="H149" s="15">
        <f t="shared" si="73"/>
        <v>182.1</v>
      </c>
      <c r="I149" s="15"/>
      <c r="J149" s="22">
        <v>306</v>
      </c>
      <c r="K149" s="21">
        <f t="shared" si="69"/>
        <v>30.6</v>
      </c>
      <c r="L149" s="23">
        <f t="shared" si="70"/>
        <v>0.16803953871499178</v>
      </c>
      <c r="M149" s="22">
        <v>135</v>
      </c>
      <c r="N149" s="21">
        <f t="shared" si="71"/>
        <v>13.5</v>
      </c>
      <c r="O149" s="23">
        <f t="shared" si="72"/>
        <v>7.4135090609555185E-2</v>
      </c>
      <c r="P149" s="22">
        <v>200</v>
      </c>
      <c r="Q149" s="21">
        <f t="shared" si="56"/>
        <v>20</v>
      </c>
      <c r="R149" s="23">
        <f t="shared" si="57"/>
        <v>0.10982976386600769</v>
      </c>
      <c r="S149" s="22"/>
      <c r="T149" s="21" t="str">
        <f t="shared" si="58"/>
        <v/>
      </c>
      <c r="U149" s="23" t="str">
        <f t="shared" si="59"/>
        <v/>
      </c>
      <c r="V149" s="22"/>
      <c r="W149" s="21" t="str">
        <f t="shared" si="60"/>
        <v/>
      </c>
      <c r="X149" s="23" t="str">
        <f t="shared" si="61"/>
        <v/>
      </c>
      <c r="Y149" s="22"/>
      <c r="Z149" s="21" t="str">
        <f t="shared" si="62"/>
        <v/>
      </c>
      <c r="AA149" s="23" t="str">
        <f t="shared" si="63"/>
        <v/>
      </c>
      <c r="AB149" s="22">
        <v>420</v>
      </c>
      <c r="AC149" s="21">
        <f t="shared" si="64"/>
        <v>42</v>
      </c>
      <c r="AD149" s="23">
        <f t="shared" si="65"/>
        <v>0.23064250411861614</v>
      </c>
      <c r="AE149" s="22">
        <v>760</v>
      </c>
      <c r="AF149" s="21">
        <f t="shared" si="66"/>
        <v>76</v>
      </c>
      <c r="AG149" s="85">
        <f t="shared" si="67"/>
        <v>0.4173531026908292</v>
      </c>
    </row>
    <row r="150" spans="1:33" x14ac:dyDescent="0.25">
      <c r="A150" s="13">
        <f>WORKDAY(A151,1,JoursFeries!$B$3:$CH$15)</f>
        <v>42660</v>
      </c>
      <c r="B150" s="19" t="s">
        <v>120</v>
      </c>
      <c r="C150" s="19">
        <v>10</v>
      </c>
      <c r="E150" s="19">
        <v>1730</v>
      </c>
      <c r="F150" s="24">
        <f t="shared" si="68"/>
        <v>1511.6534835123725</v>
      </c>
      <c r="G150" s="16">
        <f t="shared" si="55"/>
        <v>218.34651648762747</v>
      </c>
      <c r="H150" s="15">
        <f t="shared" si="73"/>
        <v>173</v>
      </c>
      <c r="I150" s="15"/>
      <c r="J150" s="22">
        <v>500</v>
      </c>
      <c r="K150" s="21">
        <f t="shared" si="69"/>
        <v>50</v>
      </c>
      <c r="L150" s="23">
        <f t="shared" si="70"/>
        <v>0.28901734104046245</v>
      </c>
      <c r="M150" s="22">
        <v>120</v>
      </c>
      <c r="N150" s="21">
        <f t="shared" si="71"/>
        <v>12</v>
      </c>
      <c r="O150" s="23">
        <f t="shared" si="72"/>
        <v>6.9364161849710976E-2</v>
      </c>
      <c r="P150" s="22">
        <v>200</v>
      </c>
      <c r="Q150" s="21">
        <f t="shared" si="56"/>
        <v>20</v>
      </c>
      <c r="R150" s="23">
        <f t="shared" si="57"/>
        <v>0.11560693641618497</v>
      </c>
      <c r="S150" s="22"/>
      <c r="T150" s="21" t="str">
        <f t="shared" si="58"/>
        <v/>
      </c>
      <c r="U150" s="23" t="str">
        <f t="shared" si="59"/>
        <v/>
      </c>
      <c r="V150" s="22"/>
      <c r="W150" s="21" t="str">
        <f t="shared" si="60"/>
        <v/>
      </c>
      <c r="X150" s="23" t="str">
        <f t="shared" si="61"/>
        <v/>
      </c>
      <c r="Y150" s="22"/>
      <c r="Z150" s="21" t="str">
        <f t="shared" si="62"/>
        <v/>
      </c>
      <c r="AA150" s="23" t="str">
        <f t="shared" si="63"/>
        <v/>
      </c>
      <c r="AB150" s="22">
        <v>210</v>
      </c>
      <c r="AC150" s="21">
        <f t="shared" si="64"/>
        <v>21</v>
      </c>
      <c r="AD150" s="23">
        <f t="shared" si="65"/>
        <v>0.12138728323699421</v>
      </c>
      <c r="AE150" s="22">
        <v>700</v>
      </c>
      <c r="AF150" s="21">
        <f t="shared" si="66"/>
        <v>70</v>
      </c>
      <c r="AG150" s="85">
        <f t="shared" si="67"/>
        <v>0.40462427745664742</v>
      </c>
    </row>
    <row r="151" spans="1:33" x14ac:dyDescent="0.25">
      <c r="A151" s="13">
        <f>WORKDAY(A152,1,JoursFeries!$B$3:$CH$15)</f>
        <v>42657</v>
      </c>
      <c r="F151" s="24" t="str">
        <f t="shared" si="68"/>
        <v/>
      </c>
      <c r="G151" s="16" t="str">
        <f t="shared" si="55"/>
        <v/>
      </c>
      <c r="H151" s="15" t="str">
        <f t="shared" si="73"/>
        <v xml:space="preserve"> </v>
      </c>
      <c r="I151" s="15"/>
      <c r="J151" s="22"/>
      <c r="K151" s="21" t="str">
        <f t="shared" si="69"/>
        <v/>
      </c>
      <c r="L151" s="23" t="str">
        <f t="shared" si="70"/>
        <v/>
      </c>
      <c r="M151" s="22"/>
      <c r="N151" s="21" t="str">
        <f t="shared" si="71"/>
        <v/>
      </c>
      <c r="O151" s="23" t="str">
        <f t="shared" si="72"/>
        <v/>
      </c>
      <c r="P151" s="22"/>
      <c r="Q151" s="21" t="str">
        <f t="shared" si="56"/>
        <v/>
      </c>
      <c r="R151" s="23" t="str">
        <f t="shared" si="57"/>
        <v/>
      </c>
      <c r="S151" s="22"/>
      <c r="T151" s="21" t="str">
        <f t="shared" si="58"/>
        <v/>
      </c>
      <c r="U151" s="23" t="str">
        <f t="shared" si="59"/>
        <v/>
      </c>
      <c r="V151" s="22"/>
      <c r="W151" s="21" t="str">
        <f t="shared" si="60"/>
        <v/>
      </c>
      <c r="X151" s="23" t="str">
        <f t="shared" si="61"/>
        <v/>
      </c>
      <c r="Y151" s="22"/>
      <c r="Z151" s="21" t="str">
        <f t="shared" si="62"/>
        <v/>
      </c>
      <c r="AA151" s="23" t="str">
        <f t="shared" si="63"/>
        <v/>
      </c>
      <c r="AB151" s="22"/>
      <c r="AC151" s="21" t="str">
        <f t="shared" si="64"/>
        <v/>
      </c>
      <c r="AD151" s="23" t="str">
        <f t="shared" si="65"/>
        <v/>
      </c>
      <c r="AE151" s="22"/>
      <c r="AF151" s="21" t="str">
        <f t="shared" si="66"/>
        <v/>
      </c>
      <c r="AG151" s="85" t="str">
        <f t="shared" si="67"/>
        <v/>
      </c>
    </row>
    <row r="152" spans="1:33" x14ac:dyDescent="0.25">
      <c r="A152" s="13">
        <f>WORKDAY(A153,1,JoursFeries!$B$3:$CH$15)</f>
        <v>42656</v>
      </c>
      <c r="F152" s="24" t="str">
        <f t="shared" si="68"/>
        <v/>
      </c>
      <c r="G152" s="16" t="str">
        <f t="shared" si="55"/>
        <v/>
      </c>
      <c r="H152" s="15" t="str">
        <f t="shared" si="73"/>
        <v xml:space="preserve"> </v>
      </c>
      <c r="I152" s="15"/>
      <c r="J152" s="22"/>
      <c r="K152" s="21" t="str">
        <f t="shared" si="69"/>
        <v/>
      </c>
      <c r="L152" s="23" t="str">
        <f t="shared" si="70"/>
        <v/>
      </c>
      <c r="M152" s="22"/>
      <c r="N152" s="21" t="str">
        <f t="shared" si="71"/>
        <v/>
      </c>
      <c r="O152" s="23" t="str">
        <f t="shared" si="72"/>
        <v/>
      </c>
      <c r="P152" s="22"/>
      <c r="Q152" s="21" t="str">
        <f t="shared" si="56"/>
        <v/>
      </c>
      <c r="R152" s="23" t="str">
        <f t="shared" si="57"/>
        <v/>
      </c>
      <c r="S152" s="22"/>
      <c r="T152" s="21" t="str">
        <f t="shared" si="58"/>
        <v/>
      </c>
      <c r="U152" s="23" t="str">
        <f t="shared" si="59"/>
        <v/>
      </c>
      <c r="V152" s="22"/>
      <c r="W152" s="21" t="str">
        <f t="shared" si="60"/>
        <v/>
      </c>
      <c r="X152" s="23" t="str">
        <f t="shared" si="61"/>
        <v/>
      </c>
      <c r="Y152" s="22"/>
      <c r="Z152" s="21" t="str">
        <f t="shared" si="62"/>
        <v/>
      </c>
      <c r="AA152" s="23" t="str">
        <f t="shared" si="63"/>
        <v/>
      </c>
      <c r="AB152" s="22"/>
      <c r="AC152" s="21" t="str">
        <f t="shared" si="64"/>
        <v/>
      </c>
      <c r="AD152" s="23" t="str">
        <f t="shared" si="65"/>
        <v/>
      </c>
      <c r="AE152" s="22"/>
      <c r="AF152" s="21" t="str">
        <f t="shared" si="66"/>
        <v/>
      </c>
      <c r="AG152" s="85" t="str">
        <f t="shared" si="67"/>
        <v/>
      </c>
    </row>
    <row r="153" spans="1:33" x14ac:dyDescent="0.25">
      <c r="A153" s="13">
        <f>WORKDAY(A154,1,JoursFeries!$B$3:$CH$15)</f>
        <v>42655</v>
      </c>
      <c r="B153" s="19" t="s">
        <v>120</v>
      </c>
      <c r="C153" s="19">
        <v>10</v>
      </c>
      <c r="E153" s="19">
        <f>1867.96-0.96</f>
        <v>1867</v>
      </c>
      <c r="F153" s="24">
        <f t="shared" si="68"/>
        <v>1511.6534835123725</v>
      </c>
      <c r="G153" s="16">
        <f t="shared" si="55"/>
        <v>355.34651648762747</v>
      </c>
      <c r="H153" s="15">
        <f t="shared" si="73"/>
        <v>186.7</v>
      </c>
      <c r="I153" s="15"/>
      <c r="J153" s="22">
        <v>500</v>
      </c>
      <c r="K153" s="21">
        <f t="shared" si="69"/>
        <v>50</v>
      </c>
      <c r="L153" s="23">
        <f t="shared" si="70"/>
        <v>0.26780931976432781</v>
      </c>
      <c r="M153" s="22">
        <v>137</v>
      </c>
      <c r="N153" s="21">
        <f t="shared" si="71"/>
        <v>13.7</v>
      </c>
      <c r="O153" s="23">
        <f t="shared" si="72"/>
        <v>7.3379753615425813E-2</v>
      </c>
      <c r="P153" s="22">
        <v>230</v>
      </c>
      <c r="Q153" s="21">
        <f t="shared" si="56"/>
        <v>23</v>
      </c>
      <c r="R153" s="23">
        <f t="shared" si="57"/>
        <v>0.12319228709159079</v>
      </c>
      <c r="S153" s="22"/>
      <c r="T153" s="21" t="str">
        <f t="shared" si="58"/>
        <v/>
      </c>
      <c r="U153" s="23" t="str">
        <f t="shared" si="59"/>
        <v/>
      </c>
      <c r="V153" s="22"/>
      <c r="W153" s="21" t="str">
        <f t="shared" si="60"/>
        <v/>
      </c>
      <c r="X153" s="23" t="str">
        <f t="shared" si="61"/>
        <v/>
      </c>
      <c r="Y153" s="22"/>
      <c r="Z153" s="21" t="str">
        <f t="shared" si="62"/>
        <v/>
      </c>
      <c r="AA153" s="23" t="str">
        <f t="shared" si="63"/>
        <v/>
      </c>
      <c r="AB153" s="22">
        <v>200</v>
      </c>
      <c r="AC153" s="21">
        <f t="shared" si="64"/>
        <v>20</v>
      </c>
      <c r="AD153" s="23">
        <f t="shared" si="65"/>
        <v>0.10712372790573112</v>
      </c>
      <c r="AE153" s="22">
        <v>800</v>
      </c>
      <c r="AF153" s="21">
        <f t="shared" si="66"/>
        <v>80</v>
      </c>
      <c r="AG153" s="85">
        <f t="shared" si="67"/>
        <v>0.42849491162292447</v>
      </c>
    </row>
    <row r="154" spans="1:33" x14ac:dyDescent="0.25">
      <c r="A154" s="13">
        <f>WORKDAY(A155,1,JoursFeries!$B$3:$CH$15)</f>
        <v>42654</v>
      </c>
      <c r="B154" s="19" t="s">
        <v>120</v>
      </c>
      <c r="C154" s="19">
        <v>10</v>
      </c>
      <c r="E154" s="19">
        <v>1354</v>
      </c>
      <c r="F154" s="24">
        <f t="shared" si="68"/>
        <v>1511.6534835123725</v>
      </c>
      <c r="G154" s="16">
        <f t="shared" si="55"/>
        <v>-157.65348351237253</v>
      </c>
      <c r="H154" s="15">
        <f t="shared" si="73"/>
        <v>135.4</v>
      </c>
      <c r="I154" s="15"/>
      <c r="J154" s="22">
        <v>406</v>
      </c>
      <c r="K154" s="21">
        <f t="shared" si="69"/>
        <v>40.6</v>
      </c>
      <c r="L154" s="23">
        <f t="shared" si="70"/>
        <v>0.29985228951255538</v>
      </c>
      <c r="M154" s="22">
        <v>93</v>
      </c>
      <c r="N154" s="21">
        <f t="shared" si="71"/>
        <v>9.3000000000000007</v>
      </c>
      <c r="O154" s="23">
        <f t="shared" si="72"/>
        <v>6.8685376661742986E-2</v>
      </c>
      <c r="P154" s="22">
        <v>105</v>
      </c>
      <c r="Q154" s="21">
        <f t="shared" si="56"/>
        <v>10.5</v>
      </c>
      <c r="R154" s="23">
        <f t="shared" si="57"/>
        <v>7.7548005908419496E-2</v>
      </c>
      <c r="S154" s="22"/>
      <c r="T154" s="21" t="str">
        <f t="shared" si="58"/>
        <v/>
      </c>
      <c r="U154" s="23" t="str">
        <f t="shared" si="59"/>
        <v/>
      </c>
      <c r="V154" s="22"/>
      <c r="W154" s="21" t="str">
        <f t="shared" si="60"/>
        <v/>
      </c>
      <c r="X154" s="23" t="str">
        <f t="shared" si="61"/>
        <v/>
      </c>
      <c r="Y154" s="22"/>
      <c r="Z154" s="21" t="str">
        <f t="shared" si="62"/>
        <v/>
      </c>
      <c r="AA154" s="23" t="str">
        <f t="shared" si="63"/>
        <v/>
      </c>
      <c r="AB154" s="22">
        <v>150</v>
      </c>
      <c r="AC154" s="21">
        <f t="shared" si="64"/>
        <v>15</v>
      </c>
      <c r="AD154" s="23">
        <f t="shared" si="65"/>
        <v>0.11078286558345643</v>
      </c>
      <c r="AE154" s="22">
        <v>600</v>
      </c>
      <c r="AF154" s="21">
        <f t="shared" si="66"/>
        <v>60</v>
      </c>
      <c r="AG154" s="85">
        <f t="shared" si="67"/>
        <v>0.44313146233382572</v>
      </c>
    </row>
    <row r="155" spans="1:33" x14ac:dyDescent="0.25">
      <c r="A155" s="13">
        <f>WORKDAY(A156,1,JoursFeries!$B$3:$CH$15)</f>
        <v>42653</v>
      </c>
      <c r="F155" s="24" t="str">
        <f t="shared" si="68"/>
        <v/>
      </c>
      <c r="G155" s="16" t="str">
        <f t="shared" si="55"/>
        <v/>
      </c>
      <c r="H155" s="15" t="str">
        <f t="shared" si="73"/>
        <v xml:space="preserve"> </v>
      </c>
      <c r="I155" s="15"/>
      <c r="J155" s="22"/>
      <c r="K155" s="21" t="str">
        <f t="shared" si="69"/>
        <v/>
      </c>
      <c r="L155" s="23" t="str">
        <f t="shared" si="70"/>
        <v/>
      </c>
      <c r="M155" s="22"/>
      <c r="N155" s="21" t="str">
        <f t="shared" si="71"/>
        <v/>
      </c>
      <c r="O155" s="23" t="str">
        <f t="shared" si="72"/>
        <v/>
      </c>
      <c r="P155" s="22"/>
      <c r="Q155" s="21" t="str">
        <f t="shared" si="56"/>
        <v/>
      </c>
      <c r="R155" s="23" t="str">
        <f t="shared" si="57"/>
        <v/>
      </c>
      <c r="S155" s="22"/>
      <c r="T155" s="21" t="str">
        <f t="shared" si="58"/>
        <v/>
      </c>
      <c r="U155" s="23" t="str">
        <f t="shared" si="59"/>
        <v/>
      </c>
      <c r="V155" s="22"/>
      <c r="W155" s="21" t="str">
        <f t="shared" si="60"/>
        <v/>
      </c>
      <c r="X155" s="23" t="str">
        <f t="shared" si="61"/>
        <v/>
      </c>
      <c r="Y155" s="22"/>
      <c r="Z155" s="21" t="str">
        <f t="shared" si="62"/>
        <v/>
      </c>
      <c r="AA155" s="23" t="str">
        <f t="shared" si="63"/>
        <v/>
      </c>
      <c r="AB155" s="22"/>
      <c r="AC155" s="21" t="str">
        <f t="shared" si="64"/>
        <v/>
      </c>
      <c r="AD155" s="23" t="str">
        <f t="shared" si="65"/>
        <v/>
      </c>
      <c r="AE155" s="22"/>
      <c r="AF155" s="21" t="str">
        <f t="shared" si="66"/>
        <v/>
      </c>
      <c r="AG155" s="85" t="str">
        <f t="shared" si="67"/>
        <v/>
      </c>
    </row>
    <row r="156" spans="1:33" x14ac:dyDescent="0.25">
      <c r="A156" s="13">
        <f>WORKDAY(A157,1,JoursFeries!$B$3:$CH$15)</f>
        <v>42650</v>
      </c>
      <c r="B156" s="19" t="s">
        <v>116</v>
      </c>
      <c r="C156" s="19">
        <v>10</v>
      </c>
      <c r="E156" s="19">
        <f>1166-45</f>
        <v>1121</v>
      </c>
      <c r="F156" s="24">
        <f t="shared" si="68"/>
        <v>1242.5231633177657</v>
      </c>
      <c r="G156" s="16">
        <f t="shared" si="55"/>
        <v>-121.52316331776569</v>
      </c>
      <c r="H156" s="15">
        <f t="shared" si="73"/>
        <v>112.1</v>
      </c>
      <c r="I156" s="15"/>
      <c r="J156" s="22">
        <v>239</v>
      </c>
      <c r="K156" s="21">
        <f t="shared" si="69"/>
        <v>23.9</v>
      </c>
      <c r="L156" s="23">
        <f t="shared" si="70"/>
        <v>0.21320249776984834</v>
      </c>
      <c r="M156" s="22">
        <v>162</v>
      </c>
      <c r="N156" s="21">
        <f t="shared" si="71"/>
        <v>16.2</v>
      </c>
      <c r="O156" s="23">
        <f t="shared" si="72"/>
        <v>0.14451382694023193</v>
      </c>
      <c r="P156" s="22">
        <v>260</v>
      </c>
      <c r="Q156" s="21">
        <f t="shared" si="56"/>
        <v>26</v>
      </c>
      <c r="R156" s="23">
        <f t="shared" si="57"/>
        <v>0.23193577163247101</v>
      </c>
      <c r="S156" s="22">
        <v>360</v>
      </c>
      <c r="T156" s="21">
        <f t="shared" si="58"/>
        <v>36</v>
      </c>
      <c r="U156" s="23">
        <f t="shared" si="59"/>
        <v>0.32114183764495985</v>
      </c>
      <c r="V156" s="22"/>
      <c r="W156" s="21" t="str">
        <f t="shared" si="60"/>
        <v/>
      </c>
      <c r="X156" s="23" t="str">
        <f t="shared" si="61"/>
        <v/>
      </c>
      <c r="Y156" s="22"/>
      <c r="Z156" s="21" t="str">
        <f t="shared" si="62"/>
        <v/>
      </c>
      <c r="AA156" s="23" t="str">
        <f t="shared" si="63"/>
        <v/>
      </c>
      <c r="AB156" s="22">
        <v>100</v>
      </c>
      <c r="AC156" s="21">
        <f t="shared" si="64"/>
        <v>10</v>
      </c>
      <c r="AD156" s="23">
        <f t="shared" si="65"/>
        <v>8.9206066012488844E-2</v>
      </c>
      <c r="AE156" s="22"/>
      <c r="AF156" s="21" t="str">
        <f t="shared" si="66"/>
        <v/>
      </c>
      <c r="AG156" s="85" t="str">
        <f t="shared" si="67"/>
        <v/>
      </c>
    </row>
    <row r="157" spans="1:33" x14ac:dyDescent="0.25">
      <c r="A157" s="13">
        <f>WORKDAY(A158,1,JoursFeries!$B$3:$CH$15)</f>
        <v>42649</v>
      </c>
      <c r="F157" s="24" t="str">
        <f t="shared" si="68"/>
        <v/>
      </c>
      <c r="G157" s="16" t="str">
        <f t="shared" si="55"/>
        <v/>
      </c>
      <c r="H157" s="15" t="str">
        <f t="shared" si="73"/>
        <v xml:space="preserve"> </v>
      </c>
      <c r="I157" s="15"/>
      <c r="J157" s="22"/>
      <c r="K157" s="21" t="str">
        <f t="shared" si="69"/>
        <v/>
      </c>
      <c r="L157" s="23" t="str">
        <f t="shared" si="70"/>
        <v/>
      </c>
      <c r="M157" s="22"/>
      <c r="N157" s="21" t="str">
        <f t="shared" si="71"/>
        <v/>
      </c>
      <c r="O157" s="23" t="str">
        <f t="shared" si="72"/>
        <v/>
      </c>
      <c r="P157" s="22"/>
      <c r="Q157" s="21" t="str">
        <f t="shared" si="56"/>
        <v/>
      </c>
      <c r="R157" s="23" t="str">
        <f t="shared" si="57"/>
        <v/>
      </c>
      <c r="S157" s="22"/>
      <c r="T157" s="21" t="str">
        <f t="shared" si="58"/>
        <v/>
      </c>
      <c r="U157" s="23" t="str">
        <f t="shared" si="59"/>
        <v/>
      </c>
      <c r="V157" s="22"/>
      <c r="W157" s="21" t="str">
        <f t="shared" si="60"/>
        <v/>
      </c>
      <c r="X157" s="23" t="str">
        <f t="shared" si="61"/>
        <v/>
      </c>
      <c r="Y157" s="22"/>
      <c r="Z157" s="21" t="str">
        <f t="shared" si="62"/>
        <v/>
      </c>
      <c r="AA157" s="23" t="str">
        <f t="shared" si="63"/>
        <v/>
      </c>
      <c r="AB157" s="22"/>
      <c r="AC157" s="21" t="str">
        <f t="shared" si="64"/>
        <v/>
      </c>
      <c r="AD157" s="23" t="str">
        <f t="shared" si="65"/>
        <v/>
      </c>
      <c r="AE157" s="22"/>
      <c r="AF157" s="21" t="str">
        <f t="shared" si="66"/>
        <v/>
      </c>
      <c r="AG157" s="85" t="str">
        <f t="shared" si="67"/>
        <v/>
      </c>
    </row>
    <row r="158" spans="1:33" x14ac:dyDescent="0.25">
      <c r="A158" s="13">
        <f>WORKDAY(A159,1,JoursFeries!$B$3:$CH$15)</f>
        <v>42648</v>
      </c>
      <c r="F158" s="24" t="str">
        <f t="shared" si="68"/>
        <v/>
      </c>
      <c r="G158" s="16" t="str">
        <f t="shared" si="55"/>
        <v/>
      </c>
      <c r="H158" s="15" t="str">
        <f t="shared" si="73"/>
        <v xml:space="preserve"> </v>
      </c>
      <c r="I158" s="15"/>
      <c r="J158" s="22"/>
      <c r="K158" s="21" t="str">
        <f t="shared" si="69"/>
        <v/>
      </c>
      <c r="L158" s="23" t="str">
        <f t="shared" si="70"/>
        <v/>
      </c>
      <c r="M158" s="22"/>
      <c r="N158" s="21" t="str">
        <f t="shared" si="71"/>
        <v/>
      </c>
      <c r="O158" s="23" t="str">
        <f t="shared" si="72"/>
        <v/>
      </c>
      <c r="P158" s="22"/>
      <c r="Q158" s="21" t="str">
        <f t="shared" si="56"/>
        <v/>
      </c>
      <c r="R158" s="23" t="str">
        <f t="shared" si="57"/>
        <v/>
      </c>
      <c r="S158" s="22"/>
      <c r="T158" s="21" t="str">
        <f t="shared" si="58"/>
        <v/>
      </c>
      <c r="U158" s="23" t="str">
        <f t="shared" si="59"/>
        <v/>
      </c>
      <c r="V158" s="22"/>
      <c r="W158" s="21" t="str">
        <f t="shared" si="60"/>
        <v/>
      </c>
      <c r="X158" s="23" t="str">
        <f t="shared" si="61"/>
        <v/>
      </c>
      <c r="Y158" s="22"/>
      <c r="Z158" s="21" t="str">
        <f t="shared" si="62"/>
        <v/>
      </c>
      <c r="AA158" s="23" t="str">
        <f t="shared" si="63"/>
        <v/>
      </c>
      <c r="AB158" s="22"/>
      <c r="AC158" s="21" t="str">
        <f t="shared" si="64"/>
        <v/>
      </c>
      <c r="AD158" s="23" t="str">
        <f t="shared" si="65"/>
        <v/>
      </c>
      <c r="AE158" s="22"/>
      <c r="AF158" s="21" t="str">
        <f t="shared" si="66"/>
        <v/>
      </c>
      <c r="AG158" s="85" t="str">
        <f t="shared" si="67"/>
        <v/>
      </c>
    </row>
    <row r="159" spans="1:33" x14ac:dyDescent="0.25">
      <c r="A159" s="13">
        <f>WORKDAY(A160,1,JoursFeries!$B$3:$CH$15)</f>
        <v>42647</v>
      </c>
      <c r="F159" s="24" t="str">
        <f t="shared" si="68"/>
        <v/>
      </c>
      <c r="G159" s="16" t="str">
        <f t="shared" si="55"/>
        <v/>
      </c>
      <c r="H159" s="15" t="str">
        <f t="shared" si="73"/>
        <v xml:space="preserve"> </v>
      </c>
      <c r="I159" s="15"/>
      <c r="J159" s="22"/>
      <c r="K159" s="21" t="str">
        <f t="shared" si="69"/>
        <v/>
      </c>
      <c r="L159" s="23" t="str">
        <f t="shared" si="70"/>
        <v/>
      </c>
      <c r="M159" s="22"/>
      <c r="N159" s="21" t="str">
        <f t="shared" si="71"/>
        <v/>
      </c>
      <c r="O159" s="23" t="str">
        <f t="shared" si="72"/>
        <v/>
      </c>
      <c r="P159" s="22"/>
      <c r="Q159" s="21" t="str">
        <f t="shared" si="56"/>
        <v/>
      </c>
      <c r="R159" s="23" t="str">
        <f t="shared" si="57"/>
        <v/>
      </c>
      <c r="S159" s="22"/>
      <c r="T159" s="21" t="str">
        <f t="shared" si="58"/>
        <v/>
      </c>
      <c r="U159" s="23" t="str">
        <f t="shared" si="59"/>
        <v/>
      </c>
      <c r="V159" s="22"/>
      <c r="W159" s="21" t="str">
        <f t="shared" si="60"/>
        <v/>
      </c>
      <c r="X159" s="23" t="str">
        <f t="shared" si="61"/>
        <v/>
      </c>
      <c r="Y159" s="22"/>
      <c r="Z159" s="21" t="str">
        <f t="shared" si="62"/>
        <v/>
      </c>
      <c r="AA159" s="23" t="str">
        <f t="shared" si="63"/>
        <v/>
      </c>
      <c r="AB159" s="22"/>
      <c r="AC159" s="21" t="str">
        <f t="shared" si="64"/>
        <v/>
      </c>
      <c r="AD159" s="23" t="str">
        <f t="shared" si="65"/>
        <v/>
      </c>
      <c r="AE159" s="22"/>
      <c r="AF159" s="21" t="str">
        <f t="shared" si="66"/>
        <v/>
      </c>
      <c r="AG159" s="85" t="str">
        <f t="shared" si="67"/>
        <v/>
      </c>
    </row>
    <row r="160" spans="1:33" x14ac:dyDescent="0.25">
      <c r="A160" s="13">
        <f>WORKDAY(A161,1,JoursFeries!$B$3:$CH$15)</f>
        <v>42646</v>
      </c>
      <c r="F160" s="24" t="str">
        <f t="shared" si="68"/>
        <v/>
      </c>
      <c r="G160" s="16" t="str">
        <f t="shared" si="55"/>
        <v/>
      </c>
      <c r="H160" s="15" t="str">
        <f t="shared" si="73"/>
        <v xml:space="preserve"> </v>
      </c>
      <c r="I160" s="15"/>
      <c r="J160" s="22"/>
      <c r="K160" s="21" t="str">
        <f t="shared" si="69"/>
        <v/>
      </c>
      <c r="L160" s="23" t="str">
        <f t="shared" si="70"/>
        <v/>
      </c>
      <c r="M160" s="22"/>
      <c r="N160" s="21" t="str">
        <f t="shared" si="71"/>
        <v/>
      </c>
      <c r="O160" s="23" t="str">
        <f t="shared" si="72"/>
        <v/>
      </c>
      <c r="P160" s="22"/>
      <c r="Q160" s="21" t="str">
        <f t="shared" si="56"/>
        <v/>
      </c>
      <c r="R160" s="23" t="str">
        <f t="shared" si="57"/>
        <v/>
      </c>
      <c r="S160" s="22"/>
      <c r="T160" s="21" t="str">
        <f t="shared" si="58"/>
        <v/>
      </c>
      <c r="U160" s="23" t="str">
        <f t="shared" si="59"/>
        <v/>
      </c>
      <c r="V160" s="22"/>
      <c r="W160" s="21" t="str">
        <f t="shared" si="60"/>
        <v/>
      </c>
      <c r="X160" s="23" t="str">
        <f t="shared" si="61"/>
        <v/>
      </c>
      <c r="Y160" s="22"/>
      <c r="Z160" s="21" t="str">
        <f t="shared" si="62"/>
        <v/>
      </c>
      <c r="AA160" s="23" t="str">
        <f t="shared" si="63"/>
        <v/>
      </c>
      <c r="AB160" s="22"/>
      <c r="AC160" s="21" t="str">
        <f t="shared" si="64"/>
        <v/>
      </c>
      <c r="AD160" s="23" t="str">
        <f t="shared" si="65"/>
        <v/>
      </c>
      <c r="AE160" s="22"/>
      <c r="AF160" s="21" t="str">
        <f t="shared" si="66"/>
        <v/>
      </c>
      <c r="AG160" s="85" t="str">
        <f t="shared" si="67"/>
        <v/>
      </c>
    </row>
    <row r="161" spans="1:33" x14ac:dyDescent="0.25">
      <c r="A161" s="13">
        <f>WORKDAY(A162,1,JoursFeries!$B$3:$CH$15)</f>
        <v>42643</v>
      </c>
      <c r="F161" s="24" t="str">
        <f t="shared" si="68"/>
        <v/>
      </c>
      <c r="G161" s="16" t="str">
        <f t="shared" si="55"/>
        <v/>
      </c>
      <c r="H161" s="15" t="str">
        <f t="shared" si="73"/>
        <v xml:space="preserve"> </v>
      </c>
      <c r="I161" s="15"/>
      <c r="J161" s="22"/>
      <c r="K161" s="21" t="str">
        <f t="shared" si="69"/>
        <v/>
      </c>
      <c r="L161" s="23" t="str">
        <f t="shared" si="70"/>
        <v/>
      </c>
      <c r="M161" s="22"/>
      <c r="N161" s="21" t="str">
        <f t="shared" si="71"/>
        <v/>
      </c>
      <c r="O161" s="23" t="str">
        <f t="shared" si="72"/>
        <v/>
      </c>
      <c r="P161" s="22"/>
      <c r="Q161" s="21" t="str">
        <f t="shared" si="56"/>
        <v/>
      </c>
      <c r="R161" s="23" t="str">
        <f t="shared" si="57"/>
        <v/>
      </c>
      <c r="S161" s="22"/>
      <c r="T161" s="21" t="str">
        <f t="shared" si="58"/>
        <v/>
      </c>
      <c r="U161" s="23" t="str">
        <f t="shared" si="59"/>
        <v/>
      </c>
      <c r="V161" s="22"/>
      <c r="W161" s="21" t="str">
        <f t="shared" si="60"/>
        <v/>
      </c>
      <c r="X161" s="23" t="str">
        <f t="shared" si="61"/>
        <v/>
      </c>
      <c r="Y161" s="22"/>
      <c r="Z161" s="21" t="str">
        <f t="shared" si="62"/>
        <v/>
      </c>
      <c r="AA161" s="23" t="str">
        <f t="shared" si="63"/>
        <v/>
      </c>
      <c r="AB161" s="22"/>
      <c r="AC161" s="21" t="str">
        <f t="shared" si="64"/>
        <v/>
      </c>
      <c r="AD161" s="23" t="str">
        <f t="shared" si="65"/>
        <v/>
      </c>
      <c r="AE161" s="22"/>
      <c r="AF161" s="21" t="str">
        <f t="shared" si="66"/>
        <v/>
      </c>
      <c r="AG161" s="85" t="str">
        <f t="shared" si="67"/>
        <v/>
      </c>
    </row>
    <row r="162" spans="1:33" x14ac:dyDescent="0.25">
      <c r="A162" s="13">
        <f>WORKDAY(A163,1,JoursFeries!$B$3:$CH$15)</f>
        <v>42642</v>
      </c>
      <c r="F162" s="24" t="str">
        <f t="shared" si="68"/>
        <v/>
      </c>
      <c r="G162" s="16" t="str">
        <f t="shared" si="55"/>
        <v/>
      </c>
      <c r="H162" s="15" t="str">
        <f t="shared" si="73"/>
        <v xml:space="preserve"> </v>
      </c>
      <c r="I162" s="15"/>
      <c r="J162" s="22"/>
      <c r="K162" s="21" t="str">
        <f t="shared" si="69"/>
        <v/>
      </c>
      <c r="L162" s="23" t="str">
        <f t="shared" si="70"/>
        <v/>
      </c>
      <c r="M162" s="22"/>
      <c r="N162" s="21" t="str">
        <f t="shared" si="71"/>
        <v/>
      </c>
      <c r="O162" s="23" t="str">
        <f t="shared" si="72"/>
        <v/>
      </c>
      <c r="P162" s="22"/>
      <c r="Q162" s="21" t="str">
        <f t="shared" si="56"/>
        <v/>
      </c>
      <c r="R162" s="23" t="str">
        <f t="shared" si="57"/>
        <v/>
      </c>
      <c r="S162" s="22"/>
      <c r="T162" s="21" t="str">
        <f t="shared" si="58"/>
        <v/>
      </c>
      <c r="U162" s="23" t="str">
        <f t="shared" si="59"/>
        <v/>
      </c>
      <c r="V162" s="22"/>
      <c r="W162" s="21" t="str">
        <f t="shared" si="60"/>
        <v/>
      </c>
      <c r="X162" s="23" t="str">
        <f t="shared" si="61"/>
        <v/>
      </c>
      <c r="Y162" s="22"/>
      <c r="Z162" s="21" t="str">
        <f t="shared" si="62"/>
        <v/>
      </c>
      <c r="AA162" s="23" t="str">
        <f t="shared" si="63"/>
        <v/>
      </c>
      <c r="AB162" s="22"/>
      <c r="AC162" s="21" t="str">
        <f t="shared" si="64"/>
        <v/>
      </c>
      <c r="AD162" s="23" t="str">
        <f t="shared" si="65"/>
        <v/>
      </c>
      <c r="AE162" s="22"/>
      <c r="AF162" s="21" t="str">
        <f t="shared" si="66"/>
        <v/>
      </c>
      <c r="AG162" s="85" t="str">
        <f t="shared" si="67"/>
        <v/>
      </c>
    </row>
    <row r="163" spans="1:33" x14ac:dyDescent="0.25">
      <c r="A163" s="13">
        <f>WORKDAY(A164,1,JoursFeries!$B$3:$CH$15)</f>
        <v>42641</v>
      </c>
      <c r="B163" s="19" t="s">
        <v>116</v>
      </c>
      <c r="C163" s="19">
        <v>10</v>
      </c>
      <c r="E163" s="19">
        <f>-96.14+1254.14</f>
        <v>1158</v>
      </c>
      <c r="F163" s="24">
        <f t="shared" si="68"/>
        <v>1242.5231633177657</v>
      </c>
      <c r="G163" s="16">
        <f t="shared" si="55"/>
        <v>-84.523163317765693</v>
      </c>
      <c r="H163" s="15">
        <f t="shared" si="73"/>
        <v>115.8</v>
      </c>
      <c r="I163" s="15"/>
      <c r="J163" s="22">
        <v>250</v>
      </c>
      <c r="K163" s="21">
        <f t="shared" si="69"/>
        <v>25</v>
      </c>
      <c r="L163" s="23">
        <f t="shared" si="70"/>
        <v>0.21588946459412781</v>
      </c>
      <c r="M163" s="22">
        <v>119</v>
      </c>
      <c r="N163" s="21">
        <f t="shared" si="71"/>
        <v>11.9</v>
      </c>
      <c r="O163" s="23">
        <f t="shared" si="72"/>
        <v>0.10276338514680483</v>
      </c>
      <c r="P163" s="22">
        <v>233</v>
      </c>
      <c r="Q163" s="21">
        <f t="shared" si="56"/>
        <v>23.3</v>
      </c>
      <c r="R163" s="23">
        <f t="shared" si="57"/>
        <v>0.20120898100172713</v>
      </c>
      <c r="S163" s="22">
        <v>216</v>
      </c>
      <c r="T163" s="21">
        <f t="shared" si="58"/>
        <v>21.6</v>
      </c>
      <c r="U163" s="23">
        <f t="shared" si="59"/>
        <v>0.18652849740932642</v>
      </c>
      <c r="V163" s="22"/>
      <c r="W163" s="21" t="str">
        <f t="shared" si="60"/>
        <v/>
      </c>
      <c r="X163" s="23" t="str">
        <f t="shared" si="61"/>
        <v/>
      </c>
      <c r="Y163" s="22"/>
      <c r="Z163" s="21" t="str">
        <f t="shared" si="62"/>
        <v/>
      </c>
      <c r="AA163" s="23" t="str">
        <f t="shared" si="63"/>
        <v/>
      </c>
      <c r="AB163" s="22">
        <v>340</v>
      </c>
      <c r="AC163" s="21">
        <f t="shared" si="64"/>
        <v>34</v>
      </c>
      <c r="AD163" s="23">
        <f t="shared" si="65"/>
        <v>0.29360967184801384</v>
      </c>
      <c r="AE163" s="22"/>
      <c r="AF163" s="21" t="str">
        <f t="shared" si="66"/>
        <v/>
      </c>
      <c r="AG163" s="85" t="str">
        <f t="shared" si="67"/>
        <v/>
      </c>
    </row>
    <row r="164" spans="1:33" x14ac:dyDescent="0.25">
      <c r="A164" s="13">
        <f>WORKDAY(A165,1,JoursFeries!$B$3:$CH$15)</f>
        <v>42640</v>
      </c>
      <c r="B164" s="19" t="s">
        <v>116</v>
      </c>
      <c r="C164" s="19">
        <v>10</v>
      </c>
      <c r="E164" s="19">
        <v>1080</v>
      </c>
      <c r="F164" s="24">
        <f t="shared" si="68"/>
        <v>1242.5231633177657</v>
      </c>
      <c r="G164" s="16">
        <f t="shared" si="55"/>
        <v>-162.52316331776569</v>
      </c>
      <c r="H164" s="15">
        <f t="shared" si="73"/>
        <v>108</v>
      </c>
      <c r="I164" s="15"/>
      <c r="J164" s="22">
        <v>225</v>
      </c>
      <c r="K164" s="21">
        <f t="shared" si="69"/>
        <v>22.5</v>
      </c>
      <c r="L164" s="23">
        <f t="shared" si="70"/>
        <v>0.20833333333333334</v>
      </c>
      <c r="M164" s="22">
        <v>135</v>
      </c>
      <c r="N164" s="21">
        <f t="shared" si="71"/>
        <v>13.5</v>
      </c>
      <c r="O164" s="23">
        <f t="shared" si="72"/>
        <v>0.125</v>
      </c>
      <c r="P164" s="22">
        <v>70</v>
      </c>
      <c r="Q164" s="21">
        <f t="shared" si="56"/>
        <v>7</v>
      </c>
      <c r="R164" s="23">
        <f t="shared" si="57"/>
        <v>6.4814814814814811E-2</v>
      </c>
      <c r="S164" s="22">
        <v>225</v>
      </c>
      <c r="T164" s="21">
        <f t="shared" si="58"/>
        <v>22.5</v>
      </c>
      <c r="U164" s="23">
        <f t="shared" si="59"/>
        <v>0.20833333333333334</v>
      </c>
      <c r="V164" s="22"/>
      <c r="W164" s="21" t="str">
        <f t="shared" si="60"/>
        <v/>
      </c>
      <c r="X164" s="23" t="str">
        <f t="shared" si="61"/>
        <v/>
      </c>
      <c r="Y164" s="22"/>
      <c r="Z164" s="21" t="str">
        <f t="shared" si="62"/>
        <v/>
      </c>
      <c r="AA164" s="23" t="str">
        <f t="shared" si="63"/>
        <v/>
      </c>
      <c r="AB164" s="22">
        <v>425</v>
      </c>
      <c r="AC164" s="21">
        <f t="shared" si="64"/>
        <v>42.5</v>
      </c>
      <c r="AD164" s="23">
        <f t="shared" si="65"/>
        <v>0.39351851851851855</v>
      </c>
      <c r="AE164" s="22"/>
      <c r="AF164" s="21" t="str">
        <f t="shared" si="66"/>
        <v/>
      </c>
      <c r="AG164" s="85" t="str">
        <f t="shared" si="67"/>
        <v/>
      </c>
    </row>
    <row r="165" spans="1:33" x14ac:dyDescent="0.25">
      <c r="A165" s="13">
        <f>WORKDAY(A166,1,JoursFeries!$B$3:$CH$15)</f>
        <v>42639</v>
      </c>
      <c r="B165" s="19" t="s">
        <v>116</v>
      </c>
      <c r="C165" s="19">
        <v>10</v>
      </c>
      <c r="E165" s="19">
        <f>-107.16+1337.16</f>
        <v>1230</v>
      </c>
      <c r="F165" s="24">
        <f t="shared" si="68"/>
        <v>1242.5231633177657</v>
      </c>
      <c r="G165" s="16">
        <f t="shared" si="55"/>
        <v>-12.523163317765693</v>
      </c>
      <c r="H165" s="15">
        <f t="shared" si="73"/>
        <v>123</v>
      </c>
      <c r="I165" s="15"/>
      <c r="J165" s="22">
        <v>285</v>
      </c>
      <c r="K165" s="21">
        <f t="shared" si="69"/>
        <v>28.5</v>
      </c>
      <c r="L165" s="23">
        <f t="shared" si="70"/>
        <v>0.23170731707317074</v>
      </c>
      <c r="M165" s="22">
        <v>180</v>
      </c>
      <c r="N165" s="21">
        <f t="shared" si="71"/>
        <v>18</v>
      </c>
      <c r="O165" s="23">
        <f t="shared" si="72"/>
        <v>0.14634146341463414</v>
      </c>
      <c r="P165" s="22">
        <v>150</v>
      </c>
      <c r="Q165" s="21">
        <f t="shared" si="56"/>
        <v>15</v>
      </c>
      <c r="R165" s="23">
        <f t="shared" si="57"/>
        <v>0.12195121951219512</v>
      </c>
      <c r="S165" s="22">
        <v>225</v>
      </c>
      <c r="T165" s="21">
        <f t="shared" si="58"/>
        <v>22.5</v>
      </c>
      <c r="U165" s="23">
        <f t="shared" si="59"/>
        <v>0.18292682926829268</v>
      </c>
      <c r="V165" s="22"/>
      <c r="W165" s="21" t="str">
        <f t="shared" si="60"/>
        <v/>
      </c>
      <c r="X165" s="23" t="str">
        <f t="shared" si="61"/>
        <v/>
      </c>
      <c r="Y165" s="22"/>
      <c r="Z165" s="21" t="str">
        <f t="shared" si="62"/>
        <v/>
      </c>
      <c r="AA165" s="23" t="str">
        <f t="shared" si="63"/>
        <v/>
      </c>
      <c r="AB165" s="22">
        <v>390</v>
      </c>
      <c r="AC165" s="21">
        <f t="shared" si="64"/>
        <v>39</v>
      </c>
      <c r="AD165" s="23">
        <f t="shared" si="65"/>
        <v>0.31707317073170732</v>
      </c>
      <c r="AE165" s="22"/>
      <c r="AF165" s="21" t="str">
        <f t="shared" si="66"/>
        <v/>
      </c>
      <c r="AG165" s="85" t="str">
        <f t="shared" si="67"/>
        <v/>
      </c>
    </row>
    <row r="166" spans="1:33" x14ac:dyDescent="0.25">
      <c r="A166" s="13">
        <f>WORKDAY(A167,1,JoursFeries!$B$3:$CH$15)</f>
        <v>42636</v>
      </c>
      <c r="B166" s="19" t="s">
        <v>116</v>
      </c>
      <c r="C166" s="19">
        <v>8</v>
      </c>
      <c r="E166" s="19">
        <f>-13+1242-200</f>
        <v>1029</v>
      </c>
      <c r="F166" s="24">
        <f t="shared" si="68"/>
        <v>994.01853065421255</v>
      </c>
      <c r="G166" s="16">
        <f t="shared" si="55"/>
        <v>34.981469345787445</v>
      </c>
      <c r="H166" s="15">
        <f t="shared" si="73"/>
        <v>128.625</v>
      </c>
      <c r="I166" s="15"/>
      <c r="J166" s="22">
        <v>130</v>
      </c>
      <c r="K166" s="21">
        <f t="shared" si="69"/>
        <v>16.25</v>
      </c>
      <c r="L166" s="23">
        <f t="shared" si="70"/>
        <v>0.12633624878522837</v>
      </c>
      <c r="M166" s="22">
        <v>142</v>
      </c>
      <c r="N166" s="21">
        <f t="shared" si="71"/>
        <v>17.75</v>
      </c>
      <c r="O166" s="23">
        <f t="shared" si="72"/>
        <v>0.1379980563654033</v>
      </c>
      <c r="P166" s="22">
        <v>160</v>
      </c>
      <c r="Q166" s="21">
        <f t="shared" si="56"/>
        <v>20</v>
      </c>
      <c r="R166" s="23">
        <f t="shared" si="57"/>
        <v>0.1554907677356657</v>
      </c>
      <c r="S166" s="22">
        <v>255</v>
      </c>
      <c r="T166" s="21">
        <f t="shared" si="58"/>
        <v>31.875</v>
      </c>
      <c r="U166" s="23">
        <f t="shared" si="59"/>
        <v>0.24781341107871721</v>
      </c>
      <c r="V166" s="22"/>
      <c r="W166" s="21" t="str">
        <f t="shared" si="60"/>
        <v/>
      </c>
      <c r="X166" s="23" t="str">
        <f t="shared" si="61"/>
        <v/>
      </c>
      <c r="Y166" s="22"/>
      <c r="Z166" s="21" t="str">
        <f t="shared" si="62"/>
        <v/>
      </c>
      <c r="AA166" s="23" t="str">
        <f t="shared" si="63"/>
        <v/>
      </c>
      <c r="AB166" s="22">
        <v>342</v>
      </c>
      <c r="AC166" s="21">
        <f t="shared" si="64"/>
        <v>42.75</v>
      </c>
      <c r="AD166" s="23">
        <f t="shared" si="65"/>
        <v>0.33236151603498543</v>
      </c>
      <c r="AE166" s="22"/>
      <c r="AF166" s="21" t="str">
        <f t="shared" si="66"/>
        <v/>
      </c>
      <c r="AG166" s="85" t="str">
        <f t="shared" si="67"/>
        <v/>
      </c>
    </row>
    <row r="167" spans="1:33" x14ac:dyDescent="0.25">
      <c r="A167" s="13">
        <f>WORKDAY(A168,1,JoursFeries!$B$3:$CH$15)</f>
        <v>42635</v>
      </c>
      <c r="F167" s="24" t="str">
        <f t="shared" si="68"/>
        <v/>
      </c>
      <c r="G167" s="16" t="str">
        <f t="shared" si="55"/>
        <v/>
      </c>
      <c r="H167" s="15" t="str">
        <f t="shared" si="73"/>
        <v xml:space="preserve"> </v>
      </c>
      <c r="I167" s="15"/>
      <c r="J167" s="22"/>
      <c r="K167" s="21" t="str">
        <f t="shared" si="69"/>
        <v/>
      </c>
      <c r="L167" s="23" t="str">
        <f t="shared" si="70"/>
        <v/>
      </c>
      <c r="M167" s="22"/>
      <c r="N167" s="21" t="str">
        <f t="shared" si="71"/>
        <v/>
      </c>
      <c r="O167" s="23" t="str">
        <f t="shared" si="72"/>
        <v/>
      </c>
      <c r="P167" s="22"/>
      <c r="Q167" s="21" t="str">
        <f t="shared" si="56"/>
        <v/>
      </c>
      <c r="R167" s="23" t="str">
        <f t="shared" si="57"/>
        <v/>
      </c>
      <c r="S167" s="22"/>
      <c r="T167" s="21" t="str">
        <f t="shared" si="58"/>
        <v/>
      </c>
      <c r="U167" s="23" t="str">
        <f t="shared" si="59"/>
        <v/>
      </c>
      <c r="V167" s="22"/>
      <c r="W167" s="21" t="str">
        <f t="shared" si="60"/>
        <v/>
      </c>
      <c r="X167" s="23" t="str">
        <f t="shared" si="61"/>
        <v/>
      </c>
      <c r="Y167" s="22"/>
      <c r="Z167" s="21" t="str">
        <f t="shared" si="62"/>
        <v/>
      </c>
      <c r="AA167" s="23" t="str">
        <f t="shared" si="63"/>
        <v/>
      </c>
      <c r="AB167" s="22"/>
      <c r="AC167" s="21" t="str">
        <f t="shared" si="64"/>
        <v/>
      </c>
      <c r="AD167" s="23" t="str">
        <f t="shared" si="65"/>
        <v/>
      </c>
      <c r="AE167" s="22"/>
      <c r="AF167" s="21" t="str">
        <f t="shared" si="66"/>
        <v/>
      </c>
      <c r="AG167" s="85" t="str">
        <f t="shared" si="67"/>
        <v/>
      </c>
    </row>
    <row r="168" spans="1:33" x14ac:dyDescent="0.25">
      <c r="A168" s="13">
        <f>WORKDAY(A169,1,JoursFeries!$B$3:$CH$15)</f>
        <v>42634</v>
      </c>
      <c r="B168" s="19" t="s">
        <v>116</v>
      </c>
      <c r="C168" s="19">
        <v>10</v>
      </c>
      <c r="E168" s="19">
        <f>-300+1590</f>
        <v>1290</v>
      </c>
      <c r="F168" s="24">
        <f t="shared" si="68"/>
        <v>1242.5231633177657</v>
      </c>
      <c r="G168" s="16">
        <f t="shared" si="55"/>
        <v>47.476836682234307</v>
      </c>
      <c r="H168" s="15">
        <f t="shared" si="73"/>
        <v>129</v>
      </c>
      <c r="I168" s="15"/>
      <c r="J168" s="22">
        <v>300</v>
      </c>
      <c r="K168" s="21">
        <f t="shared" si="69"/>
        <v>30</v>
      </c>
      <c r="L168" s="23">
        <f t="shared" si="70"/>
        <v>0.23255813953488372</v>
      </c>
      <c r="M168" s="22">
        <v>140</v>
      </c>
      <c r="N168" s="21">
        <f t="shared" si="71"/>
        <v>14</v>
      </c>
      <c r="O168" s="23">
        <f t="shared" si="72"/>
        <v>0.10852713178294573</v>
      </c>
      <c r="P168" s="22">
        <v>240</v>
      </c>
      <c r="Q168" s="21">
        <f t="shared" si="56"/>
        <v>24</v>
      </c>
      <c r="R168" s="23">
        <f t="shared" si="57"/>
        <v>0.18604651162790697</v>
      </c>
      <c r="S168" s="22">
        <v>240</v>
      </c>
      <c r="T168" s="21">
        <f t="shared" si="58"/>
        <v>24</v>
      </c>
      <c r="U168" s="23">
        <f t="shared" si="59"/>
        <v>0.18604651162790697</v>
      </c>
      <c r="V168" s="22"/>
      <c r="W168" s="21" t="str">
        <f t="shared" si="60"/>
        <v/>
      </c>
      <c r="X168" s="23" t="str">
        <f t="shared" si="61"/>
        <v/>
      </c>
      <c r="Y168" s="22"/>
      <c r="Z168" s="21" t="str">
        <f t="shared" si="62"/>
        <v/>
      </c>
      <c r="AA168" s="23" t="str">
        <f t="shared" si="63"/>
        <v/>
      </c>
      <c r="AB168" s="22">
        <v>370</v>
      </c>
      <c r="AC168" s="21">
        <f t="shared" si="64"/>
        <v>37</v>
      </c>
      <c r="AD168" s="23">
        <f t="shared" si="65"/>
        <v>0.2868217054263566</v>
      </c>
      <c r="AE168" s="22"/>
      <c r="AF168" s="21" t="str">
        <f t="shared" si="66"/>
        <v/>
      </c>
      <c r="AG168" s="85" t="str">
        <f t="shared" si="67"/>
        <v/>
      </c>
    </row>
    <row r="169" spans="1:33" x14ac:dyDescent="0.25">
      <c r="A169" s="13">
        <f>WORKDAY(A170,1,JoursFeries!$B$3:$CH$15)</f>
        <v>42633</v>
      </c>
      <c r="B169" s="19" t="s">
        <v>116</v>
      </c>
      <c r="C169" s="19">
        <v>8</v>
      </c>
      <c r="E169" s="19">
        <f>-53.68+1291.68</f>
        <v>1238</v>
      </c>
      <c r="F169" s="24">
        <f t="shared" si="68"/>
        <v>994.01853065421255</v>
      </c>
      <c r="G169" s="16">
        <f t="shared" si="55"/>
        <v>243.98146934578745</v>
      </c>
      <c r="H169" s="15">
        <f t="shared" si="73"/>
        <v>154.75</v>
      </c>
      <c r="I169" s="15"/>
      <c r="J169" s="22">
        <v>255</v>
      </c>
      <c r="K169" s="21">
        <f t="shared" si="69"/>
        <v>31.875</v>
      </c>
      <c r="L169" s="23">
        <f t="shared" si="70"/>
        <v>0.20597738287560582</v>
      </c>
      <c r="M169" s="22">
        <v>143</v>
      </c>
      <c r="N169" s="21">
        <f t="shared" si="71"/>
        <v>17.875</v>
      </c>
      <c r="O169" s="23">
        <f t="shared" si="72"/>
        <v>0.11550888529886914</v>
      </c>
      <c r="P169" s="22">
        <v>190</v>
      </c>
      <c r="Q169" s="21">
        <f t="shared" si="56"/>
        <v>23.75</v>
      </c>
      <c r="R169" s="23">
        <f t="shared" si="57"/>
        <v>0.15347334410339256</v>
      </c>
      <c r="S169" s="22">
        <v>225</v>
      </c>
      <c r="T169" s="21">
        <f t="shared" si="58"/>
        <v>28.125</v>
      </c>
      <c r="U169" s="23">
        <f t="shared" si="59"/>
        <v>0.18174474959612277</v>
      </c>
      <c r="V169" s="22"/>
      <c r="W169" s="21" t="str">
        <f t="shared" si="60"/>
        <v/>
      </c>
      <c r="X169" s="23" t="str">
        <f t="shared" si="61"/>
        <v/>
      </c>
      <c r="Y169" s="22"/>
      <c r="Z169" s="21" t="str">
        <f t="shared" si="62"/>
        <v/>
      </c>
      <c r="AA169" s="23" t="str">
        <f t="shared" si="63"/>
        <v/>
      </c>
      <c r="AB169" s="22">
        <v>425</v>
      </c>
      <c r="AC169" s="21">
        <f t="shared" si="64"/>
        <v>53.125</v>
      </c>
      <c r="AD169" s="23">
        <f t="shared" si="65"/>
        <v>0.34329563812600972</v>
      </c>
      <c r="AE169" s="22"/>
      <c r="AF169" s="21" t="str">
        <f t="shared" si="66"/>
        <v/>
      </c>
      <c r="AG169" s="85" t="str">
        <f t="shared" si="67"/>
        <v/>
      </c>
    </row>
    <row r="170" spans="1:33" x14ac:dyDescent="0.25">
      <c r="A170" s="13">
        <f>WORKDAY(A171,1,JoursFeries!$B$3:$CH$15)</f>
        <v>42632</v>
      </c>
      <c r="B170" s="19" t="s">
        <v>116</v>
      </c>
      <c r="C170" s="19">
        <v>10</v>
      </c>
      <c r="E170" s="19">
        <f>-204+1479</f>
        <v>1275</v>
      </c>
      <c r="F170" s="24">
        <f t="shared" si="68"/>
        <v>1242.5231633177657</v>
      </c>
      <c r="G170" s="16">
        <f t="shared" si="55"/>
        <v>32.476836682234307</v>
      </c>
      <c r="H170" s="15">
        <f t="shared" si="73"/>
        <v>127.5</v>
      </c>
      <c r="I170" s="15"/>
      <c r="J170" s="22">
        <v>309</v>
      </c>
      <c r="K170" s="21">
        <f t="shared" si="69"/>
        <v>30.9</v>
      </c>
      <c r="L170" s="23">
        <f t="shared" si="70"/>
        <v>0.24235294117647058</v>
      </c>
      <c r="M170" s="22">
        <v>178</v>
      </c>
      <c r="N170" s="21">
        <f t="shared" si="71"/>
        <v>17.8</v>
      </c>
      <c r="O170" s="23">
        <f t="shared" si="72"/>
        <v>0.13960784313725491</v>
      </c>
      <c r="P170" s="22">
        <v>80</v>
      </c>
      <c r="Q170" s="21">
        <f t="shared" si="56"/>
        <v>8</v>
      </c>
      <c r="R170" s="23">
        <f t="shared" si="57"/>
        <v>6.2745098039215685E-2</v>
      </c>
      <c r="S170" s="22">
        <v>300</v>
      </c>
      <c r="T170" s="21">
        <f t="shared" si="58"/>
        <v>30</v>
      </c>
      <c r="U170" s="23">
        <f t="shared" si="59"/>
        <v>0.23529411764705882</v>
      </c>
      <c r="V170" s="22"/>
      <c r="W170" s="21" t="str">
        <f t="shared" si="60"/>
        <v/>
      </c>
      <c r="X170" s="23" t="str">
        <f t="shared" si="61"/>
        <v/>
      </c>
      <c r="Y170" s="22"/>
      <c r="Z170" s="21" t="str">
        <f t="shared" si="62"/>
        <v/>
      </c>
      <c r="AA170" s="23" t="str">
        <f t="shared" si="63"/>
        <v/>
      </c>
      <c r="AB170" s="22">
        <v>408</v>
      </c>
      <c r="AC170" s="21">
        <f t="shared" si="64"/>
        <v>40.799999999999997</v>
      </c>
      <c r="AD170" s="23">
        <f t="shared" si="65"/>
        <v>0.32</v>
      </c>
      <c r="AE170" s="22"/>
      <c r="AF170" s="21" t="str">
        <f t="shared" si="66"/>
        <v/>
      </c>
      <c r="AG170" s="85" t="str">
        <f t="shared" si="67"/>
        <v/>
      </c>
    </row>
    <row r="171" spans="1:33" x14ac:dyDescent="0.25">
      <c r="A171" s="13">
        <f>WORKDAY(A172,1,JoursFeries!$B$3:$CH$15)</f>
        <v>42629</v>
      </c>
      <c r="B171" s="19" t="s">
        <v>116</v>
      </c>
      <c r="C171" s="19">
        <v>10</v>
      </c>
      <c r="E171" s="19">
        <f>-208.68+1468.68</f>
        <v>1260</v>
      </c>
      <c r="F171" s="24">
        <f t="shared" si="68"/>
        <v>1242.5231633177657</v>
      </c>
      <c r="G171" s="16">
        <f t="shared" si="55"/>
        <v>17.476836682234307</v>
      </c>
      <c r="H171" s="15">
        <f t="shared" si="73"/>
        <v>126</v>
      </c>
      <c r="I171" s="15"/>
      <c r="J171" s="22">
        <v>285</v>
      </c>
      <c r="K171" s="21">
        <f t="shared" si="69"/>
        <v>28.5</v>
      </c>
      <c r="L171" s="23">
        <f t="shared" si="70"/>
        <v>0.22619047619047619</v>
      </c>
      <c r="M171" s="22">
        <v>123</v>
      </c>
      <c r="N171" s="21">
        <f t="shared" si="71"/>
        <v>12.3</v>
      </c>
      <c r="O171" s="23">
        <f t="shared" si="72"/>
        <v>9.7619047619047619E-2</v>
      </c>
      <c r="P171" s="22">
        <v>100</v>
      </c>
      <c r="Q171" s="21">
        <f t="shared" si="56"/>
        <v>10</v>
      </c>
      <c r="R171" s="23">
        <f t="shared" si="57"/>
        <v>7.9365079365079361E-2</v>
      </c>
      <c r="S171" s="22">
        <v>225</v>
      </c>
      <c r="T171" s="21">
        <f t="shared" si="58"/>
        <v>22.5</v>
      </c>
      <c r="U171" s="23">
        <f t="shared" si="59"/>
        <v>0.17857142857142858</v>
      </c>
      <c r="V171" s="22"/>
      <c r="W171" s="21" t="str">
        <f t="shared" si="60"/>
        <v/>
      </c>
      <c r="X171" s="23" t="str">
        <f t="shared" si="61"/>
        <v/>
      </c>
      <c r="Y171" s="22"/>
      <c r="Z171" s="21" t="str">
        <f t="shared" si="62"/>
        <v/>
      </c>
      <c r="AA171" s="23" t="str">
        <f t="shared" si="63"/>
        <v/>
      </c>
      <c r="AB171" s="22">
        <v>527</v>
      </c>
      <c r="AC171" s="21">
        <f t="shared" si="64"/>
        <v>52.7</v>
      </c>
      <c r="AD171" s="23">
        <f t="shared" si="65"/>
        <v>0.41825396825396827</v>
      </c>
      <c r="AE171" s="22"/>
      <c r="AF171" s="21" t="str">
        <f t="shared" si="66"/>
        <v/>
      </c>
      <c r="AG171" s="85" t="str">
        <f t="shared" si="67"/>
        <v/>
      </c>
    </row>
    <row r="172" spans="1:33" x14ac:dyDescent="0.25">
      <c r="A172" s="13">
        <f>WORKDAY(A173,1,JoursFeries!$B$3:$CH$15)</f>
        <v>42628</v>
      </c>
      <c r="F172" s="24" t="str">
        <f t="shared" si="68"/>
        <v/>
      </c>
      <c r="G172" s="16" t="str">
        <f t="shared" si="55"/>
        <v/>
      </c>
      <c r="H172" s="15" t="str">
        <f t="shared" si="73"/>
        <v xml:space="preserve"> </v>
      </c>
      <c r="I172" s="15"/>
      <c r="J172" s="22"/>
      <c r="K172" s="21" t="str">
        <f t="shared" si="69"/>
        <v/>
      </c>
      <c r="L172" s="23" t="str">
        <f t="shared" si="70"/>
        <v/>
      </c>
      <c r="M172" s="22"/>
      <c r="N172" s="21" t="str">
        <f t="shared" si="71"/>
        <v/>
      </c>
      <c r="O172" s="23" t="str">
        <f t="shared" si="72"/>
        <v/>
      </c>
      <c r="P172" s="22"/>
      <c r="Q172" s="21" t="str">
        <f t="shared" si="56"/>
        <v/>
      </c>
      <c r="R172" s="23" t="str">
        <f t="shared" si="57"/>
        <v/>
      </c>
      <c r="S172" s="22"/>
      <c r="T172" s="21" t="str">
        <f t="shared" si="58"/>
        <v/>
      </c>
      <c r="U172" s="23" t="str">
        <f t="shared" si="59"/>
        <v/>
      </c>
      <c r="V172" s="22"/>
      <c r="W172" s="21" t="str">
        <f t="shared" si="60"/>
        <v/>
      </c>
      <c r="X172" s="23" t="str">
        <f t="shared" si="61"/>
        <v/>
      </c>
      <c r="Y172" s="22"/>
      <c r="Z172" s="21" t="str">
        <f t="shared" si="62"/>
        <v/>
      </c>
      <c r="AA172" s="23" t="str">
        <f t="shared" si="63"/>
        <v/>
      </c>
      <c r="AB172" s="22"/>
      <c r="AC172" s="21" t="str">
        <f t="shared" si="64"/>
        <v/>
      </c>
      <c r="AD172" s="23" t="str">
        <f t="shared" si="65"/>
        <v/>
      </c>
      <c r="AE172" s="22"/>
      <c r="AF172" s="21" t="str">
        <f t="shared" si="66"/>
        <v/>
      </c>
      <c r="AG172" s="85" t="str">
        <f t="shared" si="67"/>
        <v/>
      </c>
    </row>
    <row r="173" spans="1:33" x14ac:dyDescent="0.25">
      <c r="A173" s="13">
        <f>WORKDAY(A174,1,JoursFeries!$B$3:$CH$15)</f>
        <v>42627</v>
      </c>
      <c r="B173" s="19" t="s">
        <v>116</v>
      </c>
      <c r="C173" s="19">
        <v>10</v>
      </c>
      <c r="E173" s="19">
        <f>-198.5+1393.5</f>
        <v>1195</v>
      </c>
      <c r="F173" s="24">
        <f t="shared" si="68"/>
        <v>1242.5231633177657</v>
      </c>
      <c r="G173" s="16">
        <f t="shared" si="55"/>
        <v>-47.523163317765693</v>
      </c>
      <c r="H173" s="15">
        <f t="shared" si="73"/>
        <v>119.5</v>
      </c>
      <c r="I173" s="15"/>
      <c r="J173" s="22">
        <v>285</v>
      </c>
      <c r="K173" s="21">
        <f t="shared" si="69"/>
        <v>28.5</v>
      </c>
      <c r="L173" s="23">
        <f t="shared" si="70"/>
        <v>0.2384937238493724</v>
      </c>
      <c r="M173" s="22">
        <v>180</v>
      </c>
      <c r="N173" s="21">
        <f t="shared" si="71"/>
        <v>18</v>
      </c>
      <c r="O173" s="23">
        <f t="shared" si="72"/>
        <v>0.15062761506276151</v>
      </c>
      <c r="P173" s="22">
        <v>40</v>
      </c>
      <c r="Q173" s="21">
        <f t="shared" ref="Q173:Q204" si="74">IF(ISBLANK(P173),"",P173/($C173-IF(ISBLANK($D173),0,$D173)))</f>
        <v>4</v>
      </c>
      <c r="R173" s="23">
        <f t="shared" si="57"/>
        <v>3.3472803347280332E-2</v>
      </c>
      <c r="S173" s="22">
        <v>210</v>
      </c>
      <c r="T173" s="21">
        <f t="shared" ref="T173:T204" si="75">IF(ISBLANK(S173),"",S173/($C173-IF(ISBLANK($D173),0,$D173)))</f>
        <v>21</v>
      </c>
      <c r="U173" s="23">
        <f t="shared" si="59"/>
        <v>0.17573221757322174</v>
      </c>
      <c r="V173" s="22"/>
      <c r="W173" s="21" t="str">
        <f t="shared" ref="W173:W204" si="76">IF(ISBLANK(V173),"",V173/($C173-IF(ISBLANK($D173),0,$D173)))</f>
        <v/>
      </c>
      <c r="X173" s="23" t="str">
        <f t="shared" si="61"/>
        <v/>
      </c>
      <c r="Y173" s="22"/>
      <c r="Z173" s="21" t="str">
        <f t="shared" ref="Z173:Z204" si="77">IF(ISBLANK(Y173),"",Y173/($C173-IF(ISBLANK($D173),0,$D173)))</f>
        <v/>
      </c>
      <c r="AA173" s="23" t="str">
        <f t="shared" si="63"/>
        <v/>
      </c>
      <c r="AB173" s="22">
        <v>480</v>
      </c>
      <c r="AC173" s="21">
        <f t="shared" ref="AC173:AC204" si="78">IF(ISBLANK(AB173),"",AB173/($C173-IF(ISBLANK($D173),0,$D173)))</f>
        <v>48</v>
      </c>
      <c r="AD173" s="23">
        <f t="shared" si="65"/>
        <v>0.40167364016736401</v>
      </c>
      <c r="AE173" s="22"/>
      <c r="AF173" s="21" t="str">
        <f t="shared" ref="AF173:AF204" si="79">IF(ISBLANK(AE173),"",AE173/($C173-IF(ISBLANK($D173),0,$D173)))</f>
        <v/>
      </c>
      <c r="AG173" s="85" t="str">
        <f t="shared" si="67"/>
        <v/>
      </c>
    </row>
    <row r="174" spans="1:33" x14ac:dyDescent="0.25">
      <c r="A174" s="13">
        <f>WORKDAY(A175,1,JoursFeries!$B$3:$CH$15)</f>
        <v>42626</v>
      </c>
      <c r="B174" s="19" t="s">
        <v>116</v>
      </c>
      <c r="C174" s="19">
        <v>7</v>
      </c>
      <c r="E174" s="19">
        <f>-53.9-99.16+1023.06</f>
        <v>870</v>
      </c>
      <c r="F174" s="24">
        <f t="shared" si="68"/>
        <v>869.76621432243599</v>
      </c>
      <c r="G174" s="16">
        <f t="shared" si="55"/>
        <v>0.2337856775640148</v>
      </c>
      <c r="H174" s="15">
        <f t="shared" si="73"/>
        <v>124.28571428571429</v>
      </c>
      <c r="I174" s="15"/>
      <c r="J174" s="22">
        <v>105</v>
      </c>
      <c r="K174" s="21">
        <f t="shared" ref="K174:K205" si="80">IF(ISBLANK(J174),"",J174/(C174-IF(ISBLANK(D174),0,D174)))</f>
        <v>15</v>
      </c>
      <c r="L174" s="23">
        <f t="shared" si="70"/>
        <v>0.1206896551724138</v>
      </c>
      <c r="M174" s="22">
        <v>75</v>
      </c>
      <c r="N174" s="21">
        <f t="shared" si="71"/>
        <v>10.714285714285714</v>
      </c>
      <c r="O174" s="23">
        <f t="shared" si="72"/>
        <v>8.6206896551724144E-2</v>
      </c>
      <c r="P174" s="22">
        <v>255</v>
      </c>
      <c r="Q174" s="21">
        <f t="shared" si="74"/>
        <v>36.428571428571431</v>
      </c>
      <c r="R174" s="23">
        <f t="shared" si="57"/>
        <v>0.29310344827586204</v>
      </c>
      <c r="S174" s="22">
        <v>105</v>
      </c>
      <c r="T174" s="21">
        <f t="shared" si="75"/>
        <v>15</v>
      </c>
      <c r="U174" s="23">
        <f t="shared" si="59"/>
        <v>0.1206896551724138</v>
      </c>
      <c r="V174" s="22"/>
      <c r="W174" s="21" t="str">
        <f t="shared" si="76"/>
        <v/>
      </c>
      <c r="X174" s="23" t="str">
        <f t="shared" si="61"/>
        <v/>
      </c>
      <c r="Y174" s="22"/>
      <c r="Z174" s="21" t="str">
        <f t="shared" si="77"/>
        <v/>
      </c>
      <c r="AA174" s="23" t="str">
        <f t="shared" si="63"/>
        <v/>
      </c>
      <c r="AB174" s="22">
        <v>330</v>
      </c>
      <c r="AC174" s="21">
        <f t="shared" si="78"/>
        <v>47.142857142857146</v>
      </c>
      <c r="AD174" s="23">
        <f t="shared" si="65"/>
        <v>0.37931034482758619</v>
      </c>
      <c r="AE174" s="22"/>
      <c r="AF174" s="21" t="str">
        <f t="shared" si="79"/>
        <v/>
      </c>
      <c r="AG174" s="85" t="str">
        <f t="shared" si="67"/>
        <v/>
      </c>
    </row>
    <row r="175" spans="1:33" x14ac:dyDescent="0.25">
      <c r="A175" s="13">
        <f>WORKDAY(A176,1,JoursFeries!$B$3:$CH$15)</f>
        <v>42625</v>
      </c>
      <c r="F175" s="24" t="str">
        <f t="shared" si="68"/>
        <v/>
      </c>
      <c r="G175" s="16" t="str">
        <f t="shared" si="55"/>
        <v/>
      </c>
      <c r="H175" s="15" t="str">
        <f t="shared" si="73"/>
        <v xml:space="preserve"> </v>
      </c>
      <c r="I175" s="15"/>
      <c r="J175" s="22"/>
      <c r="K175" s="21" t="str">
        <f t="shared" si="80"/>
        <v/>
      </c>
      <c r="L175" s="23" t="str">
        <f t="shared" si="70"/>
        <v/>
      </c>
      <c r="M175" s="22"/>
      <c r="N175" s="21" t="str">
        <f t="shared" si="71"/>
        <v/>
      </c>
      <c r="O175" s="23" t="str">
        <f t="shared" si="72"/>
        <v/>
      </c>
      <c r="P175" s="22"/>
      <c r="Q175" s="21" t="str">
        <f t="shared" si="74"/>
        <v/>
      </c>
      <c r="R175" s="23" t="str">
        <f t="shared" si="57"/>
        <v/>
      </c>
      <c r="S175" s="22"/>
      <c r="T175" s="21" t="str">
        <f t="shared" si="75"/>
        <v/>
      </c>
      <c r="U175" s="23" t="str">
        <f t="shared" si="59"/>
        <v/>
      </c>
      <c r="V175" s="22"/>
      <c r="W175" s="21" t="str">
        <f t="shared" si="76"/>
        <v/>
      </c>
      <c r="X175" s="23" t="str">
        <f t="shared" si="61"/>
        <v/>
      </c>
      <c r="Y175" s="22"/>
      <c r="Z175" s="21" t="str">
        <f t="shared" si="77"/>
        <v/>
      </c>
      <c r="AA175" s="23" t="str">
        <f t="shared" si="63"/>
        <v/>
      </c>
      <c r="AB175" s="22"/>
      <c r="AC175" s="21" t="str">
        <f t="shared" si="78"/>
        <v/>
      </c>
      <c r="AD175" s="23" t="str">
        <f t="shared" si="65"/>
        <v/>
      </c>
      <c r="AE175" s="22"/>
      <c r="AF175" s="21" t="str">
        <f t="shared" si="79"/>
        <v/>
      </c>
      <c r="AG175" s="85" t="str">
        <f t="shared" si="67"/>
        <v/>
      </c>
    </row>
    <row r="176" spans="1:33" x14ac:dyDescent="0.25">
      <c r="A176" s="13">
        <f>WORKDAY(A177,1,JoursFeries!$B$3:$CH$15)</f>
        <v>42622</v>
      </c>
      <c r="F176" s="24" t="str">
        <f t="shared" si="68"/>
        <v/>
      </c>
      <c r="G176" s="16" t="str">
        <f t="shared" si="55"/>
        <v/>
      </c>
      <c r="H176" s="15" t="str">
        <f t="shared" si="73"/>
        <v xml:space="preserve"> </v>
      </c>
      <c r="I176" s="15"/>
      <c r="J176" s="22"/>
      <c r="K176" s="21" t="str">
        <f t="shared" si="80"/>
        <v/>
      </c>
      <c r="L176" s="23" t="str">
        <f t="shared" si="70"/>
        <v/>
      </c>
      <c r="M176" s="22"/>
      <c r="N176" s="21" t="str">
        <f t="shared" si="71"/>
        <v/>
      </c>
      <c r="O176" s="23" t="str">
        <f t="shared" si="72"/>
        <v/>
      </c>
      <c r="P176" s="22"/>
      <c r="Q176" s="21" t="str">
        <f t="shared" si="74"/>
        <v/>
      </c>
      <c r="R176" s="23" t="str">
        <f t="shared" si="57"/>
        <v/>
      </c>
      <c r="S176" s="22"/>
      <c r="T176" s="21" t="str">
        <f t="shared" si="75"/>
        <v/>
      </c>
      <c r="U176" s="23" t="str">
        <f t="shared" si="59"/>
        <v/>
      </c>
      <c r="V176" s="22"/>
      <c r="W176" s="21" t="str">
        <f t="shared" si="76"/>
        <v/>
      </c>
      <c r="X176" s="23" t="str">
        <f t="shared" si="61"/>
        <v/>
      </c>
      <c r="Y176" s="22"/>
      <c r="Z176" s="21" t="str">
        <f t="shared" si="77"/>
        <v/>
      </c>
      <c r="AA176" s="23" t="str">
        <f t="shared" si="63"/>
        <v/>
      </c>
      <c r="AB176" s="22"/>
      <c r="AC176" s="21" t="str">
        <f t="shared" si="78"/>
        <v/>
      </c>
      <c r="AD176" s="23" t="str">
        <f t="shared" si="65"/>
        <v/>
      </c>
      <c r="AE176" s="22"/>
      <c r="AF176" s="21" t="str">
        <f t="shared" si="79"/>
        <v/>
      </c>
      <c r="AG176" s="85" t="str">
        <f t="shared" si="67"/>
        <v/>
      </c>
    </row>
    <row r="177" spans="1:33" x14ac:dyDescent="0.25">
      <c r="A177" s="13">
        <f>WORKDAY(A178,1,JoursFeries!$B$3:$CH$15)</f>
        <v>42621</v>
      </c>
      <c r="F177" s="24" t="str">
        <f t="shared" si="68"/>
        <v/>
      </c>
      <c r="G177" s="16" t="str">
        <f t="shared" si="55"/>
        <v/>
      </c>
      <c r="H177" s="15" t="str">
        <f t="shared" si="73"/>
        <v xml:space="preserve"> </v>
      </c>
      <c r="I177" s="15"/>
      <c r="J177" s="22"/>
      <c r="K177" s="21" t="str">
        <f t="shared" si="80"/>
        <v/>
      </c>
      <c r="L177" s="23" t="str">
        <f t="shared" si="70"/>
        <v/>
      </c>
      <c r="M177" s="22"/>
      <c r="N177" s="21" t="str">
        <f t="shared" si="71"/>
        <v/>
      </c>
      <c r="O177" s="23" t="str">
        <f t="shared" si="72"/>
        <v/>
      </c>
      <c r="P177" s="22"/>
      <c r="Q177" s="21" t="str">
        <f t="shared" si="74"/>
        <v/>
      </c>
      <c r="R177" s="23" t="str">
        <f t="shared" si="57"/>
        <v/>
      </c>
      <c r="S177" s="22"/>
      <c r="T177" s="21" t="str">
        <f t="shared" si="75"/>
        <v/>
      </c>
      <c r="U177" s="23" t="str">
        <f t="shared" si="59"/>
        <v/>
      </c>
      <c r="V177" s="22"/>
      <c r="W177" s="21" t="str">
        <f t="shared" si="76"/>
        <v/>
      </c>
      <c r="X177" s="23" t="str">
        <f t="shared" si="61"/>
        <v/>
      </c>
      <c r="Y177" s="22"/>
      <c r="Z177" s="21" t="str">
        <f t="shared" si="77"/>
        <v/>
      </c>
      <c r="AA177" s="23" t="str">
        <f t="shared" si="63"/>
        <v/>
      </c>
      <c r="AB177" s="22"/>
      <c r="AC177" s="21" t="str">
        <f t="shared" si="78"/>
        <v/>
      </c>
      <c r="AD177" s="23" t="str">
        <f t="shared" si="65"/>
        <v/>
      </c>
      <c r="AE177" s="22"/>
      <c r="AF177" s="21" t="str">
        <f t="shared" si="79"/>
        <v/>
      </c>
      <c r="AG177" s="85" t="str">
        <f t="shared" si="67"/>
        <v/>
      </c>
    </row>
    <row r="178" spans="1:33" x14ac:dyDescent="0.25">
      <c r="A178" s="13">
        <f>WORKDAY(A179,1,JoursFeries!$B$3:$CH$15)</f>
        <v>42620</v>
      </c>
      <c r="F178" s="24" t="str">
        <f t="shared" si="68"/>
        <v/>
      </c>
      <c r="G178" s="16" t="str">
        <f t="shared" si="55"/>
        <v/>
      </c>
      <c r="H178" s="15" t="str">
        <f t="shared" si="73"/>
        <v xml:space="preserve"> </v>
      </c>
      <c r="I178" s="15"/>
      <c r="J178" s="22"/>
      <c r="K178" s="21" t="str">
        <f t="shared" si="80"/>
        <v/>
      </c>
      <c r="L178" s="23" t="str">
        <f t="shared" si="70"/>
        <v/>
      </c>
      <c r="M178" s="22"/>
      <c r="N178" s="21" t="str">
        <f t="shared" si="71"/>
        <v/>
      </c>
      <c r="O178" s="23" t="str">
        <f t="shared" si="72"/>
        <v/>
      </c>
      <c r="P178" s="22"/>
      <c r="Q178" s="21" t="str">
        <f t="shared" si="74"/>
        <v/>
      </c>
      <c r="R178" s="23" t="str">
        <f t="shared" si="57"/>
        <v/>
      </c>
      <c r="S178" s="22"/>
      <c r="T178" s="21" t="str">
        <f t="shared" si="75"/>
        <v/>
      </c>
      <c r="U178" s="23" t="str">
        <f t="shared" si="59"/>
        <v/>
      </c>
      <c r="V178" s="22"/>
      <c r="W178" s="21" t="str">
        <f t="shared" si="76"/>
        <v/>
      </c>
      <c r="X178" s="23" t="str">
        <f t="shared" si="61"/>
        <v/>
      </c>
      <c r="Y178" s="22"/>
      <c r="Z178" s="21" t="str">
        <f t="shared" si="77"/>
        <v/>
      </c>
      <c r="AA178" s="23" t="str">
        <f t="shared" si="63"/>
        <v/>
      </c>
      <c r="AB178" s="22"/>
      <c r="AC178" s="21" t="str">
        <f t="shared" si="78"/>
        <v/>
      </c>
      <c r="AD178" s="23" t="str">
        <f t="shared" si="65"/>
        <v/>
      </c>
      <c r="AE178" s="22"/>
      <c r="AF178" s="21" t="str">
        <f t="shared" si="79"/>
        <v/>
      </c>
      <c r="AG178" s="85" t="str">
        <f t="shared" si="67"/>
        <v/>
      </c>
    </row>
    <row r="179" spans="1:33" x14ac:dyDescent="0.25">
      <c r="A179" s="13">
        <f>WORKDAY(A180,1,JoursFeries!$B$3:$CH$15)</f>
        <v>42619</v>
      </c>
      <c r="B179" s="19" t="s">
        <v>120</v>
      </c>
      <c r="C179" s="19">
        <v>11</v>
      </c>
      <c r="E179" s="19">
        <f>-90.9+2125.9</f>
        <v>2035</v>
      </c>
      <c r="F179" s="24">
        <f t="shared" si="68"/>
        <v>1662.8188318636096</v>
      </c>
      <c r="G179" s="16">
        <f>IF(ISBLANK(E179),"",E179-F179)</f>
        <v>372.1811681363904</v>
      </c>
      <c r="H179" s="15">
        <f>IF(ISBLANK(C179)," ",IF(ISBLANK(E179)," ",E179/(C179-IF(ISBLANK(D179),0,D179))))</f>
        <v>185</v>
      </c>
      <c r="I179" s="15"/>
      <c r="J179" s="22">
        <v>240</v>
      </c>
      <c r="K179" s="21">
        <f t="shared" si="80"/>
        <v>21.818181818181817</v>
      </c>
      <c r="L179" s="23">
        <f t="shared" si="70"/>
        <v>0.11793611793611794</v>
      </c>
      <c r="M179" s="22">
        <v>135</v>
      </c>
      <c r="N179" s="21">
        <f>IF(ISBLANK(M179),"",M179/($C179-IF(ISBLANK($D179),0,$D179)))</f>
        <v>12.272727272727273</v>
      </c>
      <c r="O179" s="23">
        <f>IF(ISBLANK(M179),"",IF(ISBLANK($E179),"",M179/$E179))</f>
        <v>6.6339066339066333E-2</v>
      </c>
      <c r="P179" s="22">
        <v>180</v>
      </c>
      <c r="Q179" s="21">
        <f t="shared" si="74"/>
        <v>16.363636363636363</v>
      </c>
      <c r="R179" s="23">
        <f t="shared" si="57"/>
        <v>8.8452088452088448E-2</v>
      </c>
      <c r="S179" s="22"/>
      <c r="T179" s="21" t="str">
        <f t="shared" si="75"/>
        <v/>
      </c>
      <c r="U179" s="23" t="str">
        <f t="shared" si="59"/>
        <v/>
      </c>
      <c r="V179" s="22"/>
      <c r="W179" s="21" t="str">
        <f t="shared" si="76"/>
        <v/>
      </c>
      <c r="X179" s="23" t="str">
        <f t="shared" si="61"/>
        <v/>
      </c>
      <c r="Y179" s="22"/>
      <c r="Z179" s="21" t="str">
        <f t="shared" si="77"/>
        <v/>
      </c>
      <c r="AA179" s="23" t="str">
        <f t="shared" si="63"/>
        <v/>
      </c>
      <c r="AB179" s="22">
        <v>540</v>
      </c>
      <c r="AC179" s="21">
        <f t="shared" si="78"/>
        <v>49.090909090909093</v>
      </c>
      <c r="AD179" s="23">
        <f t="shared" si="65"/>
        <v>0.26535626535626533</v>
      </c>
      <c r="AE179" s="22">
        <v>940</v>
      </c>
      <c r="AF179" s="21">
        <f t="shared" si="79"/>
        <v>85.454545454545453</v>
      </c>
      <c r="AG179" s="85">
        <f t="shared" si="67"/>
        <v>0.46191646191646191</v>
      </c>
    </row>
    <row r="180" spans="1:33" x14ac:dyDescent="0.25">
      <c r="A180" s="13">
        <f>WORKDAY(A181,1,JoursFeries!$B$3:$CH$15)</f>
        <v>42618</v>
      </c>
      <c r="B180" s="19" t="s">
        <v>120</v>
      </c>
      <c r="C180" s="19">
        <v>8</v>
      </c>
      <c r="E180" s="19">
        <f>-23.8+1203.8</f>
        <v>1180</v>
      </c>
      <c r="F180" s="24">
        <f t="shared" si="68"/>
        <v>1209.3227868098979</v>
      </c>
      <c r="G180" s="16">
        <f>IF(ISBLANK(E180),"",E180-F180)</f>
        <v>-29.322786809897934</v>
      </c>
      <c r="H180" s="15">
        <f>IF(ISBLANK(C180)," ",IF(ISBLANK(E180)," ",E180/(C180-IF(ISBLANK(D180),0,D180))))</f>
        <v>147.5</v>
      </c>
      <c r="I180" s="15"/>
      <c r="J180" s="22">
        <v>135</v>
      </c>
      <c r="K180" s="21">
        <f t="shared" si="80"/>
        <v>16.875</v>
      </c>
      <c r="L180" s="23">
        <f t="shared" si="70"/>
        <v>0.11440677966101695</v>
      </c>
      <c r="M180" s="22">
        <v>60</v>
      </c>
      <c r="N180" s="21">
        <f>IF(ISBLANK(M180),"",M180/($C180-IF(ISBLANK($D180),0,$D180)))</f>
        <v>7.5</v>
      </c>
      <c r="O180" s="23">
        <f>IF(ISBLANK(M180),"",IF(ISBLANK($E180),"",M180/$E180))</f>
        <v>5.0847457627118647E-2</v>
      </c>
      <c r="P180" s="22">
        <v>80</v>
      </c>
      <c r="Q180" s="21">
        <f t="shared" si="74"/>
        <v>10</v>
      </c>
      <c r="R180" s="23">
        <f t="shared" si="57"/>
        <v>6.7796610169491525E-2</v>
      </c>
      <c r="S180" s="22"/>
      <c r="T180" s="21" t="str">
        <f t="shared" si="75"/>
        <v/>
      </c>
      <c r="U180" s="23" t="str">
        <f t="shared" si="59"/>
        <v/>
      </c>
      <c r="V180" s="22"/>
      <c r="W180" s="21" t="str">
        <f t="shared" si="76"/>
        <v/>
      </c>
      <c r="X180" s="23" t="str">
        <f t="shared" si="61"/>
        <v/>
      </c>
      <c r="Y180" s="22"/>
      <c r="Z180" s="21" t="str">
        <f t="shared" si="77"/>
        <v/>
      </c>
      <c r="AA180" s="23" t="str">
        <f t="shared" si="63"/>
        <v/>
      </c>
      <c r="AB180" s="22">
        <v>285</v>
      </c>
      <c r="AC180" s="21">
        <f t="shared" si="78"/>
        <v>35.625</v>
      </c>
      <c r="AD180" s="23">
        <f t="shared" si="65"/>
        <v>0.24152542372881355</v>
      </c>
      <c r="AE180" s="22">
        <v>620</v>
      </c>
      <c r="AF180" s="21">
        <f t="shared" si="79"/>
        <v>77.5</v>
      </c>
      <c r="AG180" s="85">
        <f t="shared" si="67"/>
        <v>0.52542372881355937</v>
      </c>
    </row>
    <row r="181" spans="1:33" x14ac:dyDescent="0.25">
      <c r="A181" s="18">
        <f>WORKDAY(A182,1,JoursFeries!$B$3:$CH$15)</f>
        <v>42615</v>
      </c>
      <c r="F181" s="24" t="str">
        <f t="shared" si="68"/>
        <v/>
      </c>
      <c r="G181" s="16" t="str">
        <f>IF(ISBLANK(E181),"",E181-F181)</f>
        <v/>
      </c>
      <c r="H181" s="15" t="str">
        <f>IF(ISBLANK(C181)," ",IF(ISBLANK(E181)," ",E181/(C181-IF(ISBLANK(D181),0,D181))))</f>
        <v xml:space="preserve"> </v>
      </c>
      <c r="I181" s="15"/>
      <c r="J181" s="22"/>
      <c r="K181" s="21" t="str">
        <f t="shared" si="80"/>
        <v/>
      </c>
      <c r="L181" s="23" t="str">
        <f t="shared" si="70"/>
        <v/>
      </c>
      <c r="M181" s="22"/>
      <c r="N181" s="21" t="str">
        <f>IF(ISBLANK(M181),"",M181/($C181-IF(ISBLANK($D181),0,$D181)))</f>
        <v/>
      </c>
      <c r="O181" s="23" t="str">
        <f>IF(ISBLANK(M181),"",IF(ISBLANK($E181),"",M181/$E181))</f>
        <v/>
      </c>
      <c r="P181" s="22"/>
      <c r="Q181" s="21" t="str">
        <f t="shared" si="74"/>
        <v/>
      </c>
      <c r="R181" s="23" t="str">
        <f t="shared" si="57"/>
        <v/>
      </c>
      <c r="S181" s="22"/>
      <c r="T181" s="21" t="str">
        <f t="shared" si="75"/>
        <v/>
      </c>
      <c r="U181" s="23" t="str">
        <f t="shared" si="59"/>
        <v/>
      </c>
      <c r="V181" s="22"/>
      <c r="W181" s="21" t="str">
        <f t="shared" si="76"/>
        <v/>
      </c>
      <c r="X181" s="23" t="str">
        <f t="shared" si="61"/>
        <v/>
      </c>
      <c r="Y181" s="22"/>
      <c r="Z181" s="21" t="str">
        <f t="shared" si="77"/>
        <v/>
      </c>
      <c r="AA181" s="23" t="str">
        <f t="shared" si="63"/>
        <v/>
      </c>
      <c r="AB181" s="22"/>
      <c r="AC181" s="21" t="str">
        <f t="shared" si="78"/>
        <v/>
      </c>
      <c r="AD181" s="23" t="str">
        <f t="shared" si="65"/>
        <v/>
      </c>
      <c r="AE181" s="22"/>
      <c r="AF181" s="21" t="str">
        <f t="shared" si="79"/>
        <v/>
      </c>
      <c r="AG181" s="85" t="str">
        <f t="shared" si="67"/>
        <v/>
      </c>
    </row>
    <row r="182" spans="1:33" x14ac:dyDescent="0.25">
      <c r="A182" s="13">
        <f>WORKDAY(A183,1,JoursFeries!$B$3:$CH$15)</f>
        <v>42614</v>
      </c>
      <c r="B182" s="19" t="s">
        <v>120</v>
      </c>
      <c r="C182" s="19">
        <v>9</v>
      </c>
      <c r="E182" s="19">
        <f>-3.34+1063.34</f>
        <v>1060</v>
      </c>
      <c r="F182" s="24">
        <f t="shared" si="68"/>
        <v>1360.4881351611352</v>
      </c>
      <c r="G182" s="16">
        <f t="shared" si="55"/>
        <v>-300.48813516113523</v>
      </c>
      <c r="H182" s="15">
        <f t="shared" si="73"/>
        <v>117.77777777777777</v>
      </c>
      <c r="I182" s="15"/>
      <c r="J182" s="22">
        <v>140</v>
      </c>
      <c r="K182" s="21">
        <f t="shared" si="80"/>
        <v>15.555555555555555</v>
      </c>
      <c r="L182" s="23">
        <f t="shared" si="70"/>
        <v>0.13207547169811321</v>
      </c>
      <c r="M182" s="22">
        <v>80</v>
      </c>
      <c r="N182" s="21">
        <f t="shared" si="71"/>
        <v>8.8888888888888893</v>
      </c>
      <c r="O182" s="23">
        <f t="shared" si="72"/>
        <v>7.5471698113207544E-2</v>
      </c>
      <c r="P182" s="22">
        <v>140</v>
      </c>
      <c r="Q182" s="21">
        <f t="shared" si="74"/>
        <v>15.555555555555555</v>
      </c>
      <c r="R182" s="23">
        <f t="shared" si="57"/>
        <v>0.13207547169811321</v>
      </c>
      <c r="S182" s="22"/>
      <c r="T182" s="21" t="str">
        <f t="shared" si="75"/>
        <v/>
      </c>
      <c r="U182" s="23" t="str">
        <f t="shared" si="59"/>
        <v/>
      </c>
      <c r="V182" s="22"/>
      <c r="W182" s="21" t="str">
        <f t="shared" si="76"/>
        <v/>
      </c>
      <c r="X182" s="23" t="str">
        <f t="shared" si="61"/>
        <v/>
      </c>
      <c r="Y182" s="22"/>
      <c r="Z182" s="21" t="str">
        <f t="shared" si="77"/>
        <v/>
      </c>
      <c r="AA182" s="23" t="str">
        <f t="shared" si="63"/>
        <v/>
      </c>
      <c r="AB182" s="22">
        <v>400</v>
      </c>
      <c r="AC182" s="21">
        <f t="shared" si="78"/>
        <v>44.444444444444443</v>
      </c>
      <c r="AD182" s="23">
        <f t="shared" si="65"/>
        <v>0.37735849056603776</v>
      </c>
      <c r="AE182" s="22">
        <v>300</v>
      </c>
      <c r="AF182" s="21">
        <f t="shared" si="79"/>
        <v>33.333333333333336</v>
      </c>
      <c r="AG182" s="85">
        <f t="shared" si="67"/>
        <v>0.28301886792452829</v>
      </c>
    </row>
    <row r="183" spans="1:33" x14ac:dyDescent="0.25">
      <c r="A183" s="13">
        <f>WORKDAY(A184,1,JoursFeries!$B$3:$CH$15)</f>
        <v>42613</v>
      </c>
      <c r="B183" s="19" t="s">
        <v>120</v>
      </c>
      <c r="C183" s="19">
        <v>9</v>
      </c>
      <c r="E183" s="19">
        <f>-0.7+1335.7</f>
        <v>1335</v>
      </c>
      <c r="F183" s="24">
        <f t="shared" si="68"/>
        <v>1360.4881351611352</v>
      </c>
      <c r="G183" s="16">
        <f t="shared" si="55"/>
        <v>-25.488135161135233</v>
      </c>
      <c r="H183" s="15">
        <f t="shared" si="73"/>
        <v>148.33333333333334</v>
      </c>
      <c r="I183" s="15"/>
      <c r="J183" s="22">
        <v>210</v>
      </c>
      <c r="K183" s="21">
        <f t="shared" si="80"/>
        <v>23.333333333333332</v>
      </c>
      <c r="L183" s="23">
        <f t="shared" si="70"/>
        <v>0.15730337078651685</v>
      </c>
      <c r="M183" s="22">
        <v>105</v>
      </c>
      <c r="N183" s="21">
        <f t="shared" si="71"/>
        <v>11.666666666666666</v>
      </c>
      <c r="O183" s="23">
        <f t="shared" si="72"/>
        <v>7.8651685393258425E-2</v>
      </c>
      <c r="P183" s="22">
        <v>180</v>
      </c>
      <c r="Q183" s="21">
        <f t="shared" si="74"/>
        <v>20</v>
      </c>
      <c r="R183" s="23">
        <f t="shared" si="57"/>
        <v>0.1348314606741573</v>
      </c>
      <c r="S183" s="22"/>
      <c r="T183" s="21" t="str">
        <f t="shared" si="75"/>
        <v/>
      </c>
      <c r="U183" s="23" t="str">
        <f t="shared" si="59"/>
        <v/>
      </c>
      <c r="V183" s="22"/>
      <c r="W183" s="21" t="str">
        <f t="shared" si="76"/>
        <v/>
      </c>
      <c r="X183" s="23" t="str">
        <f t="shared" si="61"/>
        <v/>
      </c>
      <c r="Y183" s="22"/>
      <c r="Z183" s="21" t="str">
        <f t="shared" si="77"/>
        <v/>
      </c>
      <c r="AA183" s="23" t="str">
        <f t="shared" si="63"/>
        <v/>
      </c>
      <c r="AB183" s="22">
        <v>300</v>
      </c>
      <c r="AC183" s="21">
        <f t="shared" si="78"/>
        <v>33.333333333333336</v>
      </c>
      <c r="AD183" s="23">
        <f t="shared" si="65"/>
        <v>0.2247191011235955</v>
      </c>
      <c r="AE183" s="22">
        <v>540</v>
      </c>
      <c r="AF183" s="21">
        <f t="shared" si="79"/>
        <v>60</v>
      </c>
      <c r="AG183" s="85">
        <f t="shared" si="67"/>
        <v>0.4044943820224719</v>
      </c>
    </row>
    <row r="184" spans="1:33" x14ac:dyDescent="0.25">
      <c r="A184" s="13">
        <f>WORKDAY(A185,1,JoursFeries!$B$3:$CH$15)</f>
        <v>42612</v>
      </c>
      <c r="B184" s="19" t="s">
        <v>120</v>
      </c>
      <c r="C184" s="19">
        <v>9</v>
      </c>
      <c r="E184" s="19">
        <f>-12.78+1037.78</f>
        <v>1025</v>
      </c>
      <c r="F184" s="24">
        <f t="shared" si="68"/>
        <v>1360.4881351611352</v>
      </c>
      <c r="G184" s="16">
        <f t="shared" si="55"/>
        <v>-335.48813516113523</v>
      </c>
      <c r="H184" s="15">
        <f t="shared" si="73"/>
        <v>113.88888888888889</v>
      </c>
      <c r="I184" s="15"/>
      <c r="J184" s="22">
        <v>120</v>
      </c>
      <c r="K184" s="21">
        <f t="shared" si="80"/>
        <v>13.333333333333334</v>
      </c>
      <c r="L184" s="23">
        <f t="shared" si="70"/>
        <v>0.11707317073170732</v>
      </c>
      <c r="M184" s="22">
        <v>60</v>
      </c>
      <c r="N184" s="21">
        <f t="shared" si="71"/>
        <v>6.666666666666667</v>
      </c>
      <c r="O184" s="23">
        <f t="shared" si="72"/>
        <v>5.8536585365853662E-2</v>
      </c>
      <c r="P184" s="22">
        <v>75</v>
      </c>
      <c r="Q184" s="21">
        <f t="shared" si="74"/>
        <v>8.3333333333333339</v>
      </c>
      <c r="R184" s="23">
        <f t="shared" si="57"/>
        <v>7.3170731707317069E-2</v>
      </c>
      <c r="S184" s="22"/>
      <c r="T184" s="21" t="str">
        <f t="shared" si="75"/>
        <v/>
      </c>
      <c r="U184" s="23" t="str">
        <f t="shared" si="59"/>
        <v/>
      </c>
      <c r="V184" s="22"/>
      <c r="W184" s="21" t="str">
        <f t="shared" si="76"/>
        <v/>
      </c>
      <c r="X184" s="23" t="str">
        <f t="shared" si="61"/>
        <v/>
      </c>
      <c r="Y184" s="22"/>
      <c r="Z184" s="21" t="str">
        <f t="shared" si="77"/>
        <v/>
      </c>
      <c r="AA184" s="23" t="str">
        <f t="shared" si="63"/>
        <v/>
      </c>
      <c r="AB184" s="22">
        <v>345</v>
      </c>
      <c r="AC184" s="21">
        <f t="shared" si="78"/>
        <v>38.333333333333336</v>
      </c>
      <c r="AD184" s="23">
        <f t="shared" si="65"/>
        <v>0.33658536585365856</v>
      </c>
      <c r="AE184" s="22">
        <v>425</v>
      </c>
      <c r="AF184" s="21">
        <f t="shared" si="79"/>
        <v>47.222222222222221</v>
      </c>
      <c r="AG184" s="85">
        <f t="shared" si="67"/>
        <v>0.41463414634146339</v>
      </c>
    </row>
    <row r="185" spans="1:33" x14ac:dyDescent="0.25">
      <c r="A185" s="13">
        <f>WORKDAY(A186,1,JoursFeries!$B$3:$CH$15)</f>
        <v>42611</v>
      </c>
      <c r="B185" s="19" t="s">
        <v>120</v>
      </c>
      <c r="C185" s="19">
        <v>9</v>
      </c>
      <c r="E185" s="19">
        <v>1387</v>
      </c>
      <c r="F185" s="24">
        <f t="shared" si="68"/>
        <v>1360.4881351611352</v>
      </c>
      <c r="G185" s="16">
        <f t="shared" si="55"/>
        <v>26.511864838864767</v>
      </c>
      <c r="H185" s="15">
        <f t="shared" si="73"/>
        <v>154.11111111111111</v>
      </c>
      <c r="I185" s="15"/>
      <c r="J185" s="22">
        <v>181</v>
      </c>
      <c r="K185" s="21">
        <f t="shared" si="80"/>
        <v>20.111111111111111</v>
      </c>
      <c r="L185" s="23">
        <f t="shared" si="70"/>
        <v>0.13049747656813265</v>
      </c>
      <c r="M185" s="22">
        <v>55</v>
      </c>
      <c r="N185" s="21">
        <f t="shared" si="71"/>
        <v>6.1111111111111107</v>
      </c>
      <c r="O185" s="23">
        <f t="shared" si="72"/>
        <v>3.9653929343907712E-2</v>
      </c>
      <c r="P185" s="22">
        <v>160</v>
      </c>
      <c r="Q185" s="21">
        <f t="shared" si="74"/>
        <v>17.777777777777779</v>
      </c>
      <c r="R185" s="23">
        <f t="shared" si="57"/>
        <v>0.11535688536409516</v>
      </c>
      <c r="S185" s="22"/>
      <c r="T185" s="21" t="str">
        <f t="shared" si="75"/>
        <v/>
      </c>
      <c r="U185" s="23" t="str">
        <f t="shared" si="59"/>
        <v/>
      </c>
      <c r="V185" s="22"/>
      <c r="W185" s="21" t="str">
        <f t="shared" si="76"/>
        <v/>
      </c>
      <c r="X185" s="23" t="str">
        <f t="shared" si="61"/>
        <v/>
      </c>
      <c r="Y185" s="22"/>
      <c r="Z185" s="21" t="str">
        <f t="shared" si="77"/>
        <v/>
      </c>
      <c r="AA185" s="23" t="str">
        <f t="shared" si="63"/>
        <v/>
      </c>
      <c r="AB185" s="22">
        <v>360</v>
      </c>
      <c r="AC185" s="21">
        <f t="shared" si="78"/>
        <v>40</v>
      </c>
      <c r="AD185" s="23">
        <f t="shared" si="65"/>
        <v>0.25955299206921412</v>
      </c>
      <c r="AE185" s="22">
        <v>630</v>
      </c>
      <c r="AF185" s="21">
        <f t="shared" si="79"/>
        <v>70</v>
      </c>
      <c r="AG185" s="85">
        <f t="shared" si="67"/>
        <v>0.4542177361211247</v>
      </c>
    </row>
    <row r="186" spans="1:33" x14ac:dyDescent="0.25">
      <c r="A186" s="13">
        <f>WORKDAY(A187,1,JoursFeries!$B$3:$CH$15)</f>
        <v>42608</v>
      </c>
      <c r="F186" s="24" t="str">
        <f t="shared" si="68"/>
        <v/>
      </c>
      <c r="G186" s="16" t="str">
        <f t="shared" si="55"/>
        <v/>
      </c>
      <c r="H186" s="15" t="str">
        <f t="shared" si="73"/>
        <v xml:space="preserve"> </v>
      </c>
      <c r="I186" s="15"/>
      <c r="J186" s="22"/>
      <c r="K186" s="21" t="str">
        <f t="shared" si="80"/>
        <v/>
      </c>
      <c r="L186" s="23" t="str">
        <f t="shared" si="70"/>
        <v/>
      </c>
      <c r="M186" s="22"/>
      <c r="N186" s="21" t="str">
        <f t="shared" si="71"/>
        <v/>
      </c>
      <c r="O186" s="23" t="str">
        <f t="shared" si="72"/>
        <v/>
      </c>
      <c r="P186" s="22"/>
      <c r="Q186" s="21" t="str">
        <f t="shared" si="74"/>
        <v/>
      </c>
      <c r="R186" s="23" t="str">
        <f t="shared" si="57"/>
        <v/>
      </c>
      <c r="S186" s="22"/>
      <c r="T186" s="21" t="str">
        <f t="shared" si="75"/>
        <v/>
      </c>
      <c r="U186" s="23" t="str">
        <f t="shared" si="59"/>
        <v/>
      </c>
      <c r="V186" s="22"/>
      <c r="W186" s="21" t="str">
        <f t="shared" si="76"/>
        <v/>
      </c>
      <c r="X186" s="23" t="str">
        <f t="shared" si="61"/>
        <v/>
      </c>
      <c r="Y186" s="22"/>
      <c r="Z186" s="21" t="str">
        <f t="shared" si="77"/>
        <v/>
      </c>
      <c r="AA186" s="23" t="str">
        <f t="shared" si="63"/>
        <v/>
      </c>
      <c r="AB186" s="22"/>
      <c r="AC186" s="21" t="str">
        <f t="shared" si="78"/>
        <v/>
      </c>
      <c r="AD186" s="23" t="str">
        <f t="shared" si="65"/>
        <v/>
      </c>
      <c r="AE186" s="22"/>
      <c r="AF186" s="21" t="str">
        <f t="shared" si="79"/>
        <v/>
      </c>
      <c r="AG186" s="85" t="str">
        <f t="shared" si="67"/>
        <v/>
      </c>
    </row>
    <row r="187" spans="1:33" x14ac:dyDescent="0.25">
      <c r="A187" s="13">
        <f>WORKDAY(A188,1,JoursFeries!$B$3:$CH$15)</f>
        <v>42607</v>
      </c>
      <c r="B187" s="19" t="s">
        <v>116</v>
      </c>
      <c r="C187" s="19">
        <v>11</v>
      </c>
      <c r="E187" s="19">
        <f>-45+1286</f>
        <v>1241</v>
      </c>
      <c r="F187" s="24">
        <f t="shared" si="68"/>
        <v>1366.7754796495424</v>
      </c>
      <c r="G187" s="16">
        <f t="shared" si="55"/>
        <v>-125.77547964954238</v>
      </c>
      <c r="H187" s="15">
        <f t="shared" si="73"/>
        <v>112.81818181818181</v>
      </c>
      <c r="I187" s="15"/>
      <c r="J187" s="22">
        <v>300</v>
      </c>
      <c r="K187" s="21">
        <f t="shared" si="80"/>
        <v>27.272727272727273</v>
      </c>
      <c r="L187" s="23">
        <f t="shared" si="70"/>
        <v>0.24174053182917002</v>
      </c>
      <c r="M187" s="22">
        <v>171</v>
      </c>
      <c r="N187" s="21">
        <f>IF(ISBLANK(M191),"",M191/($C187-IF(ISBLANK($D187),0,$D187)))</f>
        <v>12.181818181818182</v>
      </c>
      <c r="O187" s="23">
        <f>IF(ISBLANK(M191),"",IF(ISBLANK($E187),"",M191/$E187))</f>
        <v>0.10797743755036261</v>
      </c>
      <c r="P187" s="22">
        <v>225</v>
      </c>
      <c r="Q187" s="21">
        <f t="shared" si="74"/>
        <v>20.454545454545453</v>
      </c>
      <c r="R187" s="23">
        <f t="shared" si="57"/>
        <v>0.18130539887187752</v>
      </c>
      <c r="S187" s="22">
        <v>110</v>
      </c>
      <c r="T187" s="21">
        <f t="shared" si="75"/>
        <v>10</v>
      </c>
      <c r="U187" s="23">
        <f t="shared" si="59"/>
        <v>8.8638195004029002E-2</v>
      </c>
      <c r="V187" s="22"/>
      <c r="W187" s="21" t="str">
        <f t="shared" si="76"/>
        <v/>
      </c>
      <c r="X187" s="23" t="str">
        <f t="shared" si="61"/>
        <v/>
      </c>
      <c r="Y187" s="22"/>
      <c r="Z187" s="21" t="str">
        <f t="shared" si="77"/>
        <v/>
      </c>
      <c r="AA187" s="23" t="str">
        <f t="shared" si="63"/>
        <v/>
      </c>
      <c r="AB187" s="22">
        <v>435</v>
      </c>
      <c r="AC187" s="21">
        <f t="shared" si="78"/>
        <v>39.545454545454547</v>
      </c>
      <c r="AD187" s="23">
        <f t="shared" si="65"/>
        <v>0.35052377115229655</v>
      </c>
      <c r="AE187" s="22"/>
      <c r="AF187" s="21" t="str">
        <f t="shared" si="79"/>
        <v/>
      </c>
      <c r="AG187" s="85" t="str">
        <f t="shared" si="67"/>
        <v/>
      </c>
    </row>
    <row r="188" spans="1:33" x14ac:dyDescent="0.25">
      <c r="A188" s="13">
        <f>WORKDAY(A189,1,JoursFeries!$B$3:$CH$15)</f>
        <v>42606</v>
      </c>
      <c r="B188" s="19" t="s">
        <v>116</v>
      </c>
      <c r="C188" s="19">
        <v>11</v>
      </c>
      <c r="E188" s="19">
        <f>-116.56+1497.56</f>
        <v>1381</v>
      </c>
      <c r="F188" s="24">
        <f t="shared" si="68"/>
        <v>1366.7754796495424</v>
      </c>
      <c r="G188" s="16">
        <f t="shared" si="55"/>
        <v>14.224520350457624</v>
      </c>
      <c r="H188" s="15">
        <f t="shared" si="73"/>
        <v>125.54545454545455</v>
      </c>
      <c r="I188" s="15"/>
      <c r="J188" s="22">
        <v>390</v>
      </c>
      <c r="K188" s="21">
        <f t="shared" si="80"/>
        <v>35.454545454545453</v>
      </c>
      <c r="L188" s="23">
        <f t="shared" si="70"/>
        <v>0.28240405503258509</v>
      </c>
      <c r="M188" s="22">
        <v>171</v>
      </c>
      <c r="N188" s="21">
        <f>IF(ISBLANK(M192),"",M192/($C188-IF(ISBLANK($D188),0,$D188)))</f>
        <v>13.545454545454545</v>
      </c>
      <c r="O188" s="23">
        <f>IF(ISBLANK(M192),"",IF(ISBLANK($E188),"",M192/$E188))</f>
        <v>0.10789283128167994</v>
      </c>
      <c r="P188" s="22">
        <v>145</v>
      </c>
      <c r="Q188" s="21">
        <f t="shared" si="74"/>
        <v>13.181818181818182</v>
      </c>
      <c r="R188" s="23">
        <f t="shared" si="57"/>
        <v>0.10499637943519188</v>
      </c>
      <c r="S188" s="22">
        <v>225</v>
      </c>
      <c r="T188" s="21">
        <f t="shared" si="75"/>
        <v>20.454545454545453</v>
      </c>
      <c r="U188" s="23">
        <f t="shared" si="59"/>
        <v>0.16292541636495295</v>
      </c>
      <c r="V188" s="22"/>
      <c r="W188" s="21" t="str">
        <f t="shared" si="76"/>
        <v/>
      </c>
      <c r="X188" s="23" t="str">
        <f t="shared" si="61"/>
        <v/>
      </c>
      <c r="Y188" s="22"/>
      <c r="Z188" s="21" t="str">
        <f t="shared" si="77"/>
        <v/>
      </c>
      <c r="AA188" s="23" t="str">
        <f t="shared" si="63"/>
        <v/>
      </c>
      <c r="AB188" s="22">
        <v>450</v>
      </c>
      <c r="AC188" s="21">
        <f t="shared" si="78"/>
        <v>40.909090909090907</v>
      </c>
      <c r="AD188" s="23">
        <f t="shared" si="65"/>
        <v>0.32585083272990589</v>
      </c>
      <c r="AE188" s="22"/>
      <c r="AF188" s="21" t="str">
        <f t="shared" si="79"/>
        <v/>
      </c>
      <c r="AG188" s="85" t="str">
        <f t="shared" si="67"/>
        <v/>
      </c>
    </row>
    <row r="189" spans="1:33" x14ac:dyDescent="0.25">
      <c r="A189" s="13">
        <f>WORKDAY(A190,1,JoursFeries!$B$3:$CH$15)</f>
        <v>42605</v>
      </c>
      <c r="B189" s="19" t="s">
        <v>116</v>
      </c>
      <c r="C189" s="19">
        <v>11</v>
      </c>
      <c r="E189" s="19">
        <v>1504</v>
      </c>
      <c r="F189" s="24">
        <f t="shared" si="68"/>
        <v>1366.7754796495424</v>
      </c>
      <c r="G189" s="16">
        <f t="shared" si="55"/>
        <v>137.22452035045762</v>
      </c>
      <c r="H189" s="15">
        <f t="shared" si="73"/>
        <v>136.72727272727272</v>
      </c>
      <c r="I189" s="15"/>
      <c r="J189" s="22">
        <v>350</v>
      </c>
      <c r="K189" s="21">
        <f t="shared" si="80"/>
        <v>31.818181818181817</v>
      </c>
      <c r="L189" s="23">
        <f t="shared" si="70"/>
        <v>0.2327127659574468</v>
      </c>
      <c r="M189" s="22">
        <v>210</v>
      </c>
      <c r="N189" s="21">
        <f>IF(ISBLANK(M193),"",M193/($C189-IF(ISBLANK($D189),0,$D189)))</f>
        <v>10</v>
      </c>
      <c r="O189" s="23">
        <f>IF(ISBLANK(M193),"",IF(ISBLANK($E189),"",M193/$E189))</f>
        <v>7.3138297872340427E-2</v>
      </c>
      <c r="P189" s="22">
        <v>290</v>
      </c>
      <c r="Q189" s="21">
        <f t="shared" si="74"/>
        <v>26.363636363636363</v>
      </c>
      <c r="R189" s="23">
        <f t="shared" si="57"/>
        <v>0.19281914893617022</v>
      </c>
      <c r="S189" s="22">
        <v>270</v>
      </c>
      <c r="T189" s="21">
        <f t="shared" si="75"/>
        <v>24.545454545454547</v>
      </c>
      <c r="U189" s="23">
        <f t="shared" si="59"/>
        <v>0.17952127659574468</v>
      </c>
      <c r="V189" s="22"/>
      <c r="W189" s="21" t="str">
        <f t="shared" si="76"/>
        <v/>
      </c>
      <c r="X189" s="23" t="str">
        <f t="shared" si="61"/>
        <v/>
      </c>
      <c r="Y189" s="22"/>
      <c r="Z189" s="21" t="str">
        <f t="shared" si="77"/>
        <v/>
      </c>
      <c r="AA189" s="23" t="str">
        <f t="shared" si="63"/>
        <v/>
      </c>
      <c r="AB189" s="22">
        <v>384</v>
      </c>
      <c r="AC189" s="21">
        <f t="shared" si="78"/>
        <v>34.909090909090907</v>
      </c>
      <c r="AD189" s="23">
        <f t="shared" si="65"/>
        <v>0.25531914893617019</v>
      </c>
      <c r="AE189" s="22"/>
      <c r="AF189" s="21" t="str">
        <f t="shared" si="79"/>
        <v/>
      </c>
      <c r="AG189" s="85" t="str">
        <f t="shared" si="67"/>
        <v/>
      </c>
    </row>
    <row r="190" spans="1:33" x14ac:dyDescent="0.25">
      <c r="A190" s="13">
        <f>WORKDAY(A191,1,JoursFeries!$B$3:$CH$15)</f>
        <v>42604</v>
      </c>
      <c r="F190" s="24" t="str">
        <f t="shared" si="68"/>
        <v/>
      </c>
      <c r="G190" s="16" t="str">
        <f t="shared" si="55"/>
        <v/>
      </c>
      <c r="H190" s="15" t="str">
        <f t="shared" si="73"/>
        <v xml:space="preserve"> </v>
      </c>
      <c r="I190" s="15"/>
      <c r="J190" s="22"/>
      <c r="K190" s="21" t="str">
        <f t="shared" si="80"/>
        <v/>
      </c>
      <c r="L190" s="23" t="str">
        <f t="shared" si="70"/>
        <v/>
      </c>
      <c r="M190" s="22"/>
      <c r="N190" s="21"/>
      <c r="O190" s="23" t="str">
        <f>IF(ISBLANK(M194),"",IF(ISBLANK($E190),"",M194/$E190))</f>
        <v/>
      </c>
      <c r="P190" s="22"/>
      <c r="Q190" s="21" t="str">
        <f t="shared" si="74"/>
        <v/>
      </c>
      <c r="R190" s="23" t="str">
        <f t="shared" si="57"/>
        <v/>
      </c>
      <c r="S190" s="22"/>
      <c r="T190" s="21" t="str">
        <f t="shared" si="75"/>
        <v/>
      </c>
      <c r="U190" s="23" t="str">
        <f t="shared" si="59"/>
        <v/>
      </c>
      <c r="V190" s="22"/>
      <c r="W190" s="21" t="str">
        <f t="shared" si="76"/>
        <v/>
      </c>
      <c r="X190" s="23" t="str">
        <f t="shared" si="61"/>
        <v/>
      </c>
      <c r="Y190" s="22"/>
      <c r="Z190" s="21" t="str">
        <f t="shared" si="77"/>
        <v/>
      </c>
      <c r="AA190" s="23" t="str">
        <f t="shared" si="63"/>
        <v/>
      </c>
      <c r="AB190" s="22"/>
      <c r="AC190" s="21" t="str">
        <f t="shared" si="78"/>
        <v/>
      </c>
      <c r="AD190" s="23" t="str">
        <f t="shared" si="65"/>
        <v/>
      </c>
      <c r="AE190" s="22"/>
      <c r="AF190" s="21" t="str">
        <f t="shared" si="79"/>
        <v/>
      </c>
      <c r="AG190" s="85" t="str">
        <f t="shared" si="67"/>
        <v/>
      </c>
    </row>
    <row r="191" spans="1:33" x14ac:dyDescent="0.25">
      <c r="A191" s="13">
        <f>WORKDAY(A192,1,JoursFeries!$B$3:$CH$15)</f>
        <v>42601</v>
      </c>
      <c r="B191" s="19" t="s">
        <v>116</v>
      </c>
      <c r="C191" s="19">
        <v>5</v>
      </c>
      <c r="E191" s="19">
        <v>858</v>
      </c>
      <c r="F191" s="24">
        <f t="shared" si="68"/>
        <v>621.26158165888285</v>
      </c>
      <c r="G191" s="16">
        <f t="shared" si="55"/>
        <v>236.73841834111715</v>
      </c>
      <c r="H191" s="15">
        <f t="shared" si="73"/>
        <v>171.6</v>
      </c>
      <c r="I191" s="15"/>
      <c r="J191" s="22">
        <v>106</v>
      </c>
      <c r="K191" s="21">
        <f t="shared" si="80"/>
        <v>21.2</v>
      </c>
      <c r="L191" s="23">
        <f t="shared" si="70"/>
        <v>0.12354312354312354</v>
      </c>
      <c r="M191" s="22">
        <v>134</v>
      </c>
      <c r="N191" s="21">
        <f>IF(ISBLANK(M191),"",M191/($C191-IF(ISBLANK($D191),0,$D191)))</f>
        <v>26.8</v>
      </c>
      <c r="O191" s="23">
        <f>IF(ISBLANK(M191),"",IF(ISBLANK($E191),"",M191/$E191))</f>
        <v>0.15617715617715619</v>
      </c>
      <c r="P191" s="22">
        <v>223</v>
      </c>
      <c r="Q191" s="21">
        <f t="shared" si="74"/>
        <v>44.6</v>
      </c>
      <c r="R191" s="23">
        <f t="shared" si="57"/>
        <v>0.25990675990675993</v>
      </c>
      <c r="S191" s="22">
        <v>75</v>
      </c>
      <c r="T191" s="21">
        <f t="shared" si="75"/>
        <v>15</v>
      </c>
      <c r="U191" s="23">
        <f t="shared" si="59"/>
        <v>8.7412587412587409E-2</v>
      </c>
      <c r="V191" s="22"/>
      <c r="W191" s="21" t="str">
        <f t="shared" si="76"/>
        <v/>
      </c>
      <c r="X191" s="23" t="str">
        <f t="shared" si="61"/>
        <v/>
      </c>
      <c r="Y191" s="22"/>
      <c r="Z191" s="21" t="str">
        <f t="shared" si="77"/>
        <v/>
      </c>
      <c r="AA191" s="23" t="str">
        <f t="shared" si="63"/>
        <v/>
      </c>
      <c r="AB191" s="22">
        <v>320</v>
      </c>
      <c r="AC191" s="21">
        <f t="shared" si="78"/>
        <v>64</v>
      </c>
      <c r="AD191" s="23">
        <f t="shared" si="65"/>
        <v>0.37296037296037299</v>
      </c>
      <c r="AE191" s="22"/>
      <c r="AF191" s="21" t="str">
        <f t="shared" si="79"/>
        <v/>
      </c>
      <c r="AG191" s="85" t="str">
        <f t="shared" si="67"/>
        <v/>
      </c>
    </row>
    <row r="192" spans="1:33" x14ac:dyDescent="0.25">
      <c r="A192" s="13">
        <f>WORKDAY(A193,1,JoursFeries!$B$3:$CH$15)</f>
        <v>42600</v>
      </c>
      <c r="B192" s="19" t="s">
        <v>116</v>
      </c>
      <c r="C192" s="19">
        <v>9</v>
      </c>
      <c r="E192" s="19">
        <f>-3.72+1240.72</f>
        <v>1237</v>
      </c>
      <c r="F192" s="24">
        <f t="shared" si="68"/>
        <v>1118.270846985989</v>
      </c>
      <c r="G192" s="16">
        <f t="shared" si="55"/>
        <v>118.72915301401099</v>
      </c>
      <c r="H192" s="15">
        <f t="shared" si="73"/>
        <v>137.44444444444446</v>
      </c>
      <c r="I192" s="15"/>
      <c r="J192" s="22">
        <v>305</v>
      </c>
      <c r="K192" s="21">
        <f t="shared" si="80"/>
        <v>33.888888888888886</v>
      </c>
      <c r="L192" s="23">
        <f t="shared" si="70"/>
        <v>0.24656426839126919</v>
      </c>
      <c r="M192" s="22">
        <v>149</v>
      </c>
      <c r="N192" s="21">
        <f>IF(ISBLANK(M192),"",M192/($C192-IF(ISBLANK($D192),0,$D192)))</f>
        <v>16.555555555555557</v>
      </c>
      <c r="O192" s="23">
        <f t="shared" ref="O192:O194" si="81">IF(ISBLANK(M192),"",IF(ISBLANK($E192),"",M192/$E192))</f>
        <v>0.12045270816491511</v>
      </c>
      <c r="P192" s="22">
        <v>253</v>
      </c>
      <c r="Q192" s="21">
        <f t="shared" si="74"/>
        <v>28.111111111111111</v>
      </c>
      <c r="R192" s="23">
        <f t="shared" si="57"/>
        <v>0.20452708164915118</v>
      </c>
      <c r="S192" s="22">
        <v>140</v>
      </c>
      <c r="T192" s="21">
        <f t="shared" si="75"/>
        <v>15.555555555555555</v>
      </c>
      <c r="U192" s="23">
        <f t="shared" si="59"/>
        <v>0.11317704122877931</v>
      </c>
      <c r="V192" s="22"/>
      <c r="W192" s="21" t="str">
        <f t="shared" si="76"/>
        <v/>
      </c>
      <c r="X192" s="23" t="str">
        <f t="shared" si="61"/>
        <v/>
      </c>
      <c r="Y192" s="22"/>
      <c r="Z192" s="21" t="str">
        <f t="shared" si="77"/>
        <v/>
      </c>
      <c r="AA192" s="23" t="str">
        <f t="shared" si="63"/>
        <v/>
      </c>
      <c r="AB192" s="22">
        <v>390</v>
      </c>
      <c r="AC192" s="21">
        <f t="shared" si="78"/>
        <v>43.333333333333336</v>
      </c>
      <c r="AD192" s="23">
        <f t="shared" si="65"/>
        <v>0.3152789005658852</v>
      </c>
      <c r="AE192" s="22"/>
      <c r="AF192" s="21" t="str">
        <f t="shared" si="79"/>
        <v/>
      </c>
      <c r="AG192" s="85" t="str">
        <f t="shared" si="67"/>
        <v/>
      </c>
    </row>
    <row r="193" spans="1:33" x14ac:dyDescent="0.25">
      <c r="A193" s="13">
        <f>WORKDAY(A194,1,JoursFeries!$B$3:$CH$15)</f>
        <v>42599</v>
      </c>
      <c r="B193" s="19" t="s">
        <v>116</v>
      </c>
      <c r="C193" s="19">
        <v>9</v>
      </c>
      <c r="E193" s="19">
        <v>1309</v>
      </c>
      <c r="F193" s="24">
        <f t="shared" si="68"/>
        <v>1118.270846985989</v>
      </c>
      <c r="G193" s="16">
        <f t="shared" si="55"/>
        <v>190.72915301401099</v>
      </c>
      <c r="H193" s="15">
        <f t="shared" si="73"/>
        <v>145.44444444444446</v>
      </c>
      <c r="I193" s="15"/>
      <c r="J193" s="22">
        <v>330</v>
      </c>
      <c r="K193" s="21">
        <f t="shared" si="80"/>
        <v>36.666666666666664</v>
      </c>
      <c r="L193" s="23">
        <f t="shared" si="70"/>
        <v>0.25210084033613445</v>
      </c>
      <c r="M193" s="22">
        <v>110</v>
      </c>
      <c r="N193" s="21">
        <f>IF(ISBLANK(M193),"",M193/($C193-IF(ISBLANK($D193),0,$D193)))</f>
        <v>12.222222222222221</v>
      </c>
      <c r="O193" s="23">
        <f t="shared" si="81"/>
        <v>8.4033613445378158E-2</v>
      </c>
      <c r="P193" s="22">
        <v>149</v>
      </c>
      <c r="Q193" s="21">
        <f t="shared" si="74"/>
        <v>16.555555555555557</v>
      </c>
      <c r="R193" s="23">
        <f t="shared" si="57"/>
        <v>0.11382734912146678</v>
      </c>
      <c r="S193" s="22">
        <v>220</v>
      </c>
      <c r="T193" s="21">
        <f t="shared" si="75"/>
        <v>24.444444444444443</v>
      </c>
      <c r="U193" s="23">
        <f t="shared" si="59"/>
        <v>0.16806722689075632</v>
      </c>
      <c r="V193" s="22"/>
      <c r="W193" s="21" t="str">
        <f t="shared" si="76"/>
        <v/>
      </c>
      <c r="X193" s="23" t="str">
        <f t="shared" si="61"/>
        <v/>
      </c>
      <c r="Y193" s="22"/>
      <c r="Z193" s="21" t="str">
        <f t="shared" si="77"/>
        <v/>
      </c>
      <c r="AA193" s="23" t="str">
        <f t="shared" si="63"/>
        <v/>
      </c>
      <c r="AB193" s="22">
        <v>500</v>
      </c>
      <c r="AC193" s="21">
        <f t="shared" si="78"/>
        <v>55.555555555555557</v>
      </c>
      <c r="AD193" s="23">
        <f t="shared" si="65"/>
        <v>0.3819709702062643</v>
      </c>
      <c r="AE193" s="22"/>
      <c r="AF193" s="21" t="str">
        <f t="shared" si="79"/>
        <v/>
      </c>
      <c r="AG193" s="85" t="str">
        <f t="shared" si="67"/>
        <v/>
      </c>
    </row>
    <row r="194" spans="1:33" x14ac:dyDescent="0.25">
      <c r="A194" s="13">
        <f>WORKDAY(A195,1,JoursFeries!$B$3:$CH$15)</f>
        <v>42598</v>
      </c>
      <c r="B194" s="19" t="s">
        <v>116</v>
      </c>
      <c r="C194" s="19">
        <v>9</v>
      </c>
      <c r="E194" s="19">
        <v>1110</v>
      </c>
      <c r="F194" s="24">
        <f t="shared" si="68"/>
        <v>1118.270846985989</v>
      </c>
      <c r="G194" s="16">
        <f t="shared" si="55"/>
        <v>-8.2708469859890101</v>
      </c>
      <c r="H194" s="15">
        <f t="shared" si="73"/>
        <v>123.33333333333333</v>
      </c>
      <c r="I194" s="15"/>
      <c r="J194" s="22">
        <v>240</v>
      </c>
      <c r="K194" s="21">
        <f t="shared" si="80"/>
        <v>26.666666666666668</v>
      </c>
      <c r="L194" s="23">
        <f t="shared" si="70"/>
        <v>0.21621621621621623</v>
      </c>
      <c r="M194" s="22">
        <v>80</v>
      </c>
      <c r="N194" s="21">
        <f t="shared" ref="N194" si="82">IF(ISBLANK(M194),"",M194/($C194-IF(ISBLANK($D194),0,$D194)))</f>
        <v>8.8888888888888893</v>
      </c>
      <c r="O194" s="23">
        <f t="shared" si="81"/>
        <v>7.2072072072072071E-2</v>
      </c>
      <c r="P194" s="22">
        <v>160</v>
      </c>
      <c r="Q194" s="21">
        <f t="shared" si="74"/>
        <v>17.777777777777779</v>
      </c>
      <c r="R194" s="23">
        <f t="shared" si="57"/>
        <v>0.14414414414414414</v>
      </c>
      <c r="S194" s="22">
        <v>180</v>
      </c>
      <c r="T194" s="21">
        <f t="shared" si="75"/>
        <v>20</v>
      </c>
      <c r="U194" s="23">
        <f t="shared" si="59"/>
        <v>0.16216216216216217</v>
      </c>
      <c r="V194" s="22"/>
      <c r="W194" s="21" t="str">
        <f t="shared" si="76"/>
        <v/>
      </c>
      <c r="X194" s="23" t="str">
        <f t="shared" si="61"/>
        <v/>
      </c>
      <c r="Y194" s="22"/>
      <c r="Z194" s="21" t="str">
        <f t="shared" si="77"/>
        <v/>
      </c>
      <c r="AA194" s="23" t="str">
        <f t="shared" si="63"/>
        <v/>
      </c>
      <c r="AB194" s="22">
        <v>450</v>
      </c>
      <c r="AC194" s="21">
        <f t="shared" si="78"/>
        <v>50</v>
      </c>
      <c r="AD194" s="23">
        <f t="shared" si="65"/>
        <v>0.40540540540540543</v>
      </c>
      <c r="AE194" s="22"/>
      <c r="AF194" s="21" t="str">
        <f t="shared" si="79"/>
        <v/>
      </c>
      <c r="AG194" s="85" t="str">
        <f t="shared" si="67"/>
        <v/>
      </c>
    </row>
    <row r="195" spans="1:33" x14ac:dyDescent="0.25">
      <c r="A195" s="13">
        <f>WORKDAY(A196,1,JoursFeries!$B$3:$CH$15)</f>
        <v>42594</v>
      </c>
      <c r="F195" s="24" t="str">
        <f t="shared" si="68"/>
        <v/>
      </c>
      <c r="G195" s="16" t="str">
        <f t="shared" si="55"/>
        <v/>
      </c>
      <c r="H195" s="15" t="str">
        <f t="shared" si="73"/>
        <v xml:space="preserve"> </v>
      </c>
      <c r="I195" s="15"/>
      <c r="J195" s="22"/>
      <c r="K195" s="21" t="str">
        <f t="shared" si="80"/>
        <v/>
      </c>
      <c r="L195" s="23" t="str">
        <f t="shared" si="70"/>
        <v/>
      </c>
      <c r="M195" s="22"/>
      <c r="N195" s="21" t="str">
        <f t="shared" si="71"/>
        <v/>
      </c>
      <c r="O195" s="23" t="str">
        <f t="shared" si="72"/>
        <v/>
      </c>
      <c r="P195" s="22"/>
      <c r="Q195" s="21" t="str">
        <f t="shared" si="74"/>
        <v/>
      </c>
      <c r="R195" s="23" t="str">
        <f t="shared" si="57"/>
        <v/>
      </c>
      <c r="S195" s="22"/>
      <c r="T195" s="21" t="str">
        <f t="shared" si="75"/>
        <v/>
      </c>
      <c r="U195" s="23" t="str">
        <f t="shared" si="59"/>
        <v/>
      </c>
      <c r="V195" s="22"/>
      <c r="W195" s="21" t="str">
        <f t="shared" si="76"/>
        <v/>
      </c>
      <c r="X195" s="23" t="str">
        <f t="shared" si="61"/>
        <v/>
      </c>
      <c r="Y195" s="22"/>
      <c r="Z195" s="21" t="str">
        <f t="shared" si="77"/>
        <v/>
      </c>
      <c r="AA195" s="23" t="str">
        <f t="shared" si="63"/>
        <v/>
      </c>
      <c r="AB195" s="22"/>
      <c r="AC195" s="21" t="str">
        <f t="shared" si="78"/>
        <v/>
      </c>
      <c r="AD195" s="23" t="str">
        <f t="shared" si="65"/>
        <v/>
      </c>
      <c r="AE195" s="22"/>
      <c r="AF195" s="21" t="str">
        <f t="shared" si="79"/>
        <v/>
      </c>
      <c r="AG195" s="85" t="str">
        <f t="shared" si="67"/>
        <v/>
      </c>
    </row>
    <row r="196" spans="1:33" x14ac:dyDescent="0.25">
      <c r="A196" s="13">
        <f>WORKDAY(A197,1,JoursFeries!$B$3:$CH$15)</f>
        <v>42593</v>
      </c>
      <c r="B196" s="19" t="s">
        <v>116</v>
      </c>
      <c r="C196" s="19">
        <v>11</v>
      </c>
      <c r="E196" s="19">
        <v>1815</v>
      </c>
      <c r="F196" s="24">
        <f t="shared" si="68"/>
        <v>1366.7754796495424</v>
      </c>
      <c r="G196" s="16">
        <f t="shared" si="55"/>
        <v>448.22452035045762</v>
      </c>
      <c r="H196" s="15">
        <f t="shared" si="73"/>
        <v>165</v>
      </c>
      <c r="I196" s="15"/>
      <c r="J196" s="22">
        <v>302</v>
      </c>
      <c r="K196" s="21">
        <f t="shared" si="80"/>
        <v>27.454545454545453</v>
      </c>
      <c r="L196" s="23">
        <f t="shared" si="70"/>
        <v>0.16639118457300275</v>
      </c>
      <c r="M196" s="22">
        <v>206</v>
      </c>
      <c r="N196" s="21">
        <f t="shared" si="71"/>
        <v>18.727272727272727</v>
      </c>
      <c r="O196" s="23">
        <f t="shared" si="72"/>
        <v>0.11349862258953168</v>
      </c>
      <c r="P196" s="22">
        <v>357</v>
      </c>
      <c r="Q196" s="21">
        <f t="shared" si="74"/>
        <v>32.454545454545453</v>
      </c>
      <c r="R196" s="23">
        <f t="shared" si="57"/>
        <v>0.19669421487603306</v>
      </c>
      <c r="S196" s="22">
        <v>300</v>
      </c>
      <c r="T196" s="21">
        <f t="shared" si="75"/>
        <v>27.272727272727273</v>
      </c>
      <c r="U196" s="23">
        <f t="shared" si="59"/>
        <v>0.16528925619834711</v>
      </c>
      <c r="V196" s="22"/>
      <c r="W196" s="21" t="str">
        <f t="shared" si="76"/>
        <v/>
      </c>
      <c r="X196" s="23" t="str">
        <f t="shared" si="61"/>
        <v/>
      </c>
      <c r="Y196" s="22"/>
      <c r="Z196" s="21" t="str">
        <f t="shared" si="77"/>
        <v/>
      </c>
      <c r="AA196" s="23" t="str">
        <f t="shared" si="63"/>
        <v/>
      </c>
      <c r="AB196" s="22">
        <v>650</v>
      </c>
      <c r="AC196" s="21">
        <f t="shared" si="78"/>
        <v>59.090909090909093</v>
      </c>
      <c r="AD196" s="23">
        <f t="shared" si="65"/>
        <v>0.35812672176308541</v>
      </c>
      <c r="AE196" s="22"/>
      <c r="AF196" s="21" t="str">
        <f t="shared" si="79"/>
        <v/>
      </c>
      <c r="AG196" s="85" t="str">
        <f t="shared" si="67"/>
        <v/>
      </c>
    </row>
    <row r="197" spans="1:33" x14ac:dyDescent="0.25">
      <c r="A197" s="13">
        <f>WORKDAY(A198,1,JoursFeries!$B$3:$CH$15)</f>
        <v>42592</v>
      </c>
      <c r="B197" s="19" t="s">
        <v>116</v>
      </c>
      <c r="C197" s="19">
        <v>11</v>
      </c>
      <c r="E197" s="19">
        <v>1567</v>
      </c>
      <c r="F197" s="24">
        <f t="shared" si="68"/>
        <v>1366.7754796495424</v>
      </c>
      <c r="G197" s="16">
        <f t="shared" si="55"/>
        <v>200.22452035045762</v>
      </c>
      <c r="H197" s="15">
        <f t="shared" si="73"/>
        <v>142.45454545454547</v>
      </c>
      <c r="I197" s="15"/>
      <c r="J197" s="22">
        <v>289</v>
      </c>
      <c r="K197" s="21">
        <f t="shared" si="80"/>
        <v>26.272727272727273</v>
      </c>
      <c r="L197" s="23">
        <f t="shared" si="70"/>
        <v>0.18442884492661135</v>
      </c>
      <c r="M197" s="22">
        <v>215</v>
      </c>
      <c r="N197" s="21">
        <f t="shared" si="71"/>
        <v>19.545454545454547</v>
      </c>
      <c r="O197" s="23">
        <f t="shared" si="72"/>
        <v>0.1372048500319081</v>
      </c>
      <c r="P197" s="22">
        <v>293</v>
      </c>
      <c r="Q197" s="21">
        <f t="shared" si="74"/>
        <v>26.636363636363637</v>
      </c>
      <c r="R197" s="23">
        <f t="shared" si="57"/>
        <v>0.18698149329929803</v>
      </c>
      <c r="S197" s="22">
        <v>220</v>
      </c>
      <c r="T197" s="21">
        <f t="shared" si="75"/>
        <v>20</v>
      </c>
      <c r="U197" s="23">
        <f t="shared" si="59"/>
        <v>0.14039566049776644</v>
      </c>
      <c r="V197" s="22"/>
      <c r="W197" s="21" t="str">
        <f t="shared" si="76"/>
        <v/>
      </c>
      <c r="X197" s="23" t="str">
        <f t="shared" si="61"/>
        <v/>
      </c>
      <c r="Y197" s="22"/>
      <c r="Z197" s="21" t="str">
        <f t="shared" si="77"/>
        <v/>
      </c>
      <c r="AA197" s="23" t="str">
        <f t="shared" si="63"/>
        <v/>
      </c>
      <c r="AB197" s="22">
        <v>550</v>
      </c>
      <c r="AC197" s="21">
        <f t="shared" si="78"/>
        <v>50</v>
      </c>
      <c r="AD197" s="23">
        <f t="shared" si="65"/>
        <v>0.3509891512444161</v>
      </c>
      <c r="AE197" s="22"/>
      <c r="AF197" s="21" t="str">
        <f t="shared" si="79"/>
        <v/>
      </c>
      <c r="AG197" s="85" t="str">
        <f t="shared" si="67"/>
        <v/>
      </c>
    </row>
    <row r="198" spans="1:33" x14ac:dyDescent="0.25">
      <c r="A198" s="13">
        <f>WORKDAY(A199,1,JoursFeries!$B$3:$CH$15)</f>
        <v>42591</v>
      </c>
      <c r="B198" s="19" t="s">
        <v>116</v>
      </c>
      <c r="C198" s="19">
        <v>11</v>
      </c>
      <c r="E198" s="19">
        <v>1442</v>
      </c>
      <c r="F198" s="24">
        <f t="shared" si="68"/>
        <v>1366.7754796495424</v>
      </c>
      <c r="G198" s="16">
        <f t="shared" si="55"/>
        <v>75.224520350457624</v>
      </c>
      <c r="H198" s="15">
        <f t="shared" si="73"/>
        <v>131.09090909090909</v>
      </c>
      <c r="I198" s="15"/>
      <c r="J198" s="22">
        <v>339</v>
      </c>
      <c r="K198" s="21">
        <f t="shared" si="80"/>
        <v>30.818181818181817</v>
      </c>
      <c r="L198" s="23">
        <f t="shared" si="70"/>
        <v>0.23509015256588073</v>
      </c>
      <c r="M198" s="22">
        <v>122</v>
      </c>
      <c r="N198" s="21">
        <f t="shared" si="71"/>
        <v>11.090909090909092</v>
      </c>
      <c r="O198" s="23">
        <f t="shared" si="72"/>
        <v>8.4604715672676842E-2</v>
      </c>
      <c r="P198" s="22">
        <v>301</v>
      </c>
      <c r="Q198" s="21">
        <f t="shared" si="74"/>
        <v>27.363636363636363</v>
      </c>
      <c r="R198" s="23">
        <f t="shared" si="57"/>
        <v>0.20873786407766989</v>
      </c>
      <c r="S198" s="22">
        <v>205</v>
      </c>
      <c r="T198" s="21">
        <f t="shared" si="75"/>
        <v>18.636363636363637</v>
      </c>
      <c r="U198" s="23">
        <f t="shared" si="59"/>
        <v>0.1421636615811373</v>
      </c>
      <c r="V198" s="22"/>
      <c r="W198" s="21" t="str">
        <f t="shared" si="76"/>
        <v/>
      </c>
      <c r="X198" s="23" t="str">
        <f t="shared" si="61"/>
        <v/>
      </c>
      <c r="Y198" s="22"/>
      <c r="Z198" s="21" t="str">
        <f t="shared" si="77"/>
        <v/>
      </c>
      <c r="AA198" s="23" t="str">
        <f t="shared" si="63"/>
        <v/>
      </c>
      <c r="AB198" s="22">
        <v>475</v>
      </c>
      <c r="AC198" s="21">
        <f t="shared" si="78"/>
        <v>43.18181818181818</v>
      </c>
      <c r="AD198" s="23">
        <f t="shared" si="65"/>
        <v>0.32940360610263525</v>
      </c>
      <c r="AE198" s="22"/>
      <c r="AF198" s="21" t="str">
        <f t="shared" si="79"/>
        <v/>
      </c>
      <c r="AG198" s="85" t="str">
        <f t="shared" si="67"/>
        <v/>
      </c>
    </row>
    <row r="199" spans="1:33" x14ac:dyDescent="0.25">
      <c r="A199" s="13">
        <f>WORKDAY(A200,1,JoursFeries!$B$3:$CH$15)</f>
        <v>42590</v>
      </c>
      <c r="B199" s="19" t="s">
        <v>116</v>
      </c>
      <c r="C199" s="19">
        <v>11</v>
      </c>
      <c r="E199" s="19">
        <f>-4.54+1400.9-31.36</f>
        <v>1365.0000000000002</v>
      </c>
      <c r="F199" s="24">
        <f t="shared" si="68"/>
        <v>1366.7754796495424</v>
      </c>
      <c r="G199" s="16">
        <f t="shared" si="55"/>
        <v>-1.7754796495421488</v>
      </c>
      <c r="H199" s="15">
        <f t="shared" si="73"/>
        <v>124.09090909090911</v>
      </c>
      <c r="I199" s="15"/>
      <c r="J199" s="22">
        <v>330</v>
      </c>
      <c r="K199" s="21">
        <f t="shared" si="80"/>
        <v>30</v>
      </c>
      <c r="L199" s="23">
        <f t="shared" si="70"/>
        <v>0.2417582417582417</v>
      </c>
      <c r="M199" s="22">
        <v>150</v>
      </c>
      <c r="N199" s="21">
        <f t="shared" si="71"/>
        <v>13.636363636363637</v>
      </c>
      <c r="O199" s="23">
        <f t="shared" si="72"/>
        <v>0.10989010989010987</v>
      </c>
      <c r="P199" s="22">
        <v>345</v>
      </c>
      <c r="Q199" s="21">
        <f t="shared" si="74"/>
        <v>31.363636363636363</v>
      </c>
      <c r="R199" s="23">
        <f t="shared" si="57"/>
        <v>0.25274725274725268</v>
      </c>
      <c r="S199" s="22">
        <v>240</v>
      </c>
      <c r="T199" s="21">
        <f t="shared" si="75"/>
        <v>21.818181818181817</v>
      </c>
      <c r="U199" s="23">
        <f t="shared" si="59"/>
        <v>0.17582417582417578</v>
      </c>
      <c r="V199" s="22"/>
      <c r="W199" s="21" t="str">
        <f t="shared" si="76"/>
        <v/>
      </c>
      <c r="X199" s="23" t="str">
        <f t="shared" si="61"/>
        <v/>
      </c>
      <c r="Y199" s="22"/>
      <c r="Z199" s="21" t="str">
        <f t="shared" si="77"/>
        <v/>
      </c>
      <c r="AA199" s="23" t="str">
        <f t="shared" si="63"/>
        <v/>
      </c>
      <c r="AB199" s="22">
        <v>300</v>
      </c>
      <c r="AC199" s="21">
        <f t="shared" si="78"/>
        <v>27.272727272727273</v>
      </c>
      <c r="AD199" s="23">
        <f t="shared" si="65"/>
        <v>0.21978021978021975</v>
      </c>
      <c r="AE199" s="22"/>
      <c r="AF199" s="21" t="str">
        <f t="shared" si="79"/>
        <v/>
      </c>
      <c r="AG199" s="85" t="str">
        <f t="shared" si="67"/>
        <v/>
      </c>
    </row>
    <row r="200" spans="1:33" x14ac:dyDescent="0.25">
      <c r="A200" s="13">
        <f>WORKDAY(A201,1,JoursFeries!$B$3:$CH$15)</f>
        <v>42587</v>
      </c>
      <c r="F200" s="24" t="str">
        <f t="shared" si="68"/>
        <v/>
      </c>
      <c r="G200" s="16" t="str">
        <f t="shared" si="55"/>
        <v/>
      </c>
      <c r="H200" s="15" t="str">
        <f t="shared" si="73"/>
        <v xml:space="preserve"> </v>
      </c>
      <c r="I200" s="15"/>
      <c r="J200" s="22"/>
      <c r="K200" s="21" t="str">
        <f t="shared" si="80"/>
        <v/>
      </c>
      <c r="L200" s="23" t="str">
        <f t="shared" si="70"/>
        <v/>
      </c>
      <c r="M200" s="22"/>
      <c r="N200" s="21" t="str">
        <f t="shared" si="71"/>
        <v/>
      </c>
      <c r="O200" s="23" t="str">
        <f t="shared" si="72"/>
        <v/>
      </c>
      <c r="P200" s="22"/>
      <c r="Q200" s="21" t="str">
        <f t="shared" si="74"/>
        <v/>
      </c>
      <c r="R200" s="23" t="str">
        <f t="shared" si="57"/>
        <v/>
      </c>
      <c r="S200" s="22"/>
      <c r="T200" s="21" t="str">
        <f t="shared" si="75"/>
        <v/>
      </c>
      <c r="U200" s="23" t="str">
        <f t="shared" si="59"/>
        <v/>
      </c>
      <c r="V200" s="22"/>
      <c r="W200" s="21" t="str">
        <f t="shared" si="76"/>
        <v/>
      </c>
      <c r="X200" s="23" t="str">
        <f t="shared" si="61"/>
        <v/>
      </c>
      <c r="Y200" s="22"/>
      <c r="Z200" s="21" t="str">
        <f t="shared" si="77"/>
        <v/>
      </c>
      <c r="AA200" s="23" t="str">
        <f t="shared" si="63"/>
        <v/>
      </c>
      <c r="AB200" s="22"/>
      <c r="AC200" s="21" t="str">
        <f t="shared" si="78"/>
        <v/>
      </c>
      <c r="AD200" s="23" t="str">
        <f t="shared" si="65"/>
        <v/>
      </c>
      <c r="AE200" s="22"/>
      <c r="AF200" s="21" t="str">
        <f t="shared" si="79"/>
        <v/>
      </c>
      <c r="AG200" s="85" t="str">
        <f t="shared" si="67"/>
        <v/>
      </c>
    </row>
    <row r="201" spans="1:33" x14ac:dyDescent="0.25">
      <c r="A201" s="13">
        <f>WORKDAY(A202,1,JoursFeries!$B$3:$CH$15)</f>
        <v>42586</v>
      </c>
      <c r="B201" s="19" t="s">
        <v>116</v>
      </c>
      <c r="C201" s="19">
        <v>9</v>
      </c>
      <c r="E201" s="19">
        <f>-1.18+947.64-59.46</f>
        <v>887</v>
      </c>
      <c r="F201" s="24">
        <f t="shared" si="68"/>
        <v>1118.270846985989</v>
      </c>
      <c r="G201" s="16">
        <f t="shared" si="55"/>
        <v>-231.27084698598901</v>
      </c>
      <c r="H201" s="15">
        <f t="shared" si="73"/>
        <v>98.555555555555557</v>
      </c>
      <c r="I201" s="15"/>
      <c r="J201" s="22">
        <v>291</v>
      </c>
      <c r="K201" s="21">
        <f t="shared" si="80"/>
        <v>32.333333333333336</v>
      </c>
      <c r="L201" s="23">
        <f t="shared" si="70"/>
        <v>0.32807215332581735</v>
      </c>
      <c r="M201" s="22">
        <v>115</v>
      </c>
      <c r="N201" s="21">
        <f t="shared" si="71"/>
        <v>12.777777777777779</v>
      </c>
      <c r="O201" s="23">
        <f t="shared" si="72"/>
        <v>0.12965050732807215</v>
      </c>
      <c r="P201" s="22">
        <v>176</v>
      </c>
      <c r="Q201" s="21">
        <f t="shared" si="74"/>
        <v>19.555555555555557</v>
      </c>
      <c r="R201" s="23">
        <f t="shared" si="57"/>
        <v>0.1984216459977452</v>
      </c>
      <c r="S201" s="22">
        <v>105</v>
      </c>
      <c r="T201" s="21">
        <f t="shared" si="75"/>
        <v>11.666666666666666</v>
      </c>
      <c r="U201" s="23">
        <f t="shared" si="59"/>
        <v>0.11837655016910936</v>
      </c>
      <c r="V201" s="22"/>
      <c r="W201" s="21" t="str">
        <f t="shared" si="76"/>
        <v/>
      </c>
      <c r="X201" s="23" t="str">
        <f t="shared" si="61"/>
        <v/>
      </c>
      <c r="Y201" s="22"/>
      <c r="Z201" s="21" t="str">
        <f t="shared" si="77"/>
        <v/>
      </c>
      <c r="AA201" s="23" t="str">
        <f t="shared" si="63"/>
        <v/>
      </c>
      <c r="AB201" s="22">
        <v>200</v>
      </c>
      <c r="AC201" s="21">
        <f t="shared" si="78"/>
        <v>22.222222222222221</v>
      </c>
      <c r="AD201" s="23">
        <f t="shared" si="65"/>
        <v>0.22547914317925591</v>
      </c>
      <c r="AE201" s="22"/>
      <c r="AF201" s="21" t="str">
        <f t="shared" si="79"/>
        <v/>
      </c>
      <c r="AG201" s="85" t="str">
        <f t="shared" si="67"/>
        <v/>
      </c>
    </row>
    <row r="202" spans="1:33" x14ac:dyDescent="0.25">
      <c r="A202" s="13">
        <f>WORKDAY(A203,1,JoursFeries!$B$3:$CH$15)</f>
        <v>42585</v>
      </c>
      <c r="B202" s="19" t="s">
        <v>116</v>
      </c>
      <c r="C202" s="19">
        <v>9</v>
      </c>
      <c r="E202" s="19">
        <f>-88.54+1380.54-20</f>
        <v>1272</v>
      </c>
      <c r="F202" s="24">
        <f t="shared" si="68"/>
        <v>1118.270846985989</v>
      </c>
      <c r="G202" s="16">
        <f t="shared" si="55"/>
        <v>153.72915301401099</v>
      </c>
      <c r="H202" s="15">
        <f t="shared" si="73"/>
        <v>141.33333333333334</v>
      </c>
      <c r="I202" s="15"/>
      <c r="J202" s="22">
        <v>340</v>
      </c>
      <c r="K202" s="21">
        <f t="shared" si="80"/>
        <v>37.777777777777779</v>
      </c>
      <c r="L202" s="23">
        <f t="shared" si="70"/>
        <v>0.26729559748427673</v>
      </c>
      <c r="M202" s="22">
        <v>175</v>
      </c>
      <c r="N202" s="21">
        <f t="shared" si="71"/>
        <v>19.444444444444443</v>
      </c>
      <c r="O202" s="23">
        <f t="shared" si="72"/>
        <v>0.13757861635220126</v>
      </c>
      <c r="P202" s="22">
        <v>337</v>
      </c>
      <c r="Q202" s="21">
        <f t="shared" si="74"/>
        <v>37.444444444444443</v>
      </c>
      <c r="R202" s="23">
        <f t="shared" si="57"/>
        <v>0.26493710691823902</v>
      </c>
      <c r="S202" s="22">
        <v>90</v>
      </c>
      <c r="T202" s="21">
        <f t="shared" si="75"/>
        <v>10</v>
      </c>
      <c r="U202" s="23">
        <f t="shared" si="59"/>
        <v>7.0754716981132074E-2</v>
      </c>
      <c r="V202" s="22"/>
      <c r="W202" s="21" t="str">
        <f t="shared" si="76"/>
        <v/>
      </c>
      <c r="X202" s="23" t="str">
        <f t="shared" si="61"/>
        <v/>
      </c>
      <c r="Y202" s="22"/>
      <c r="Z202" s="21" t="str">
        <f t="shared" si="77"/>
        <v/>
      </c>
      <c r="AA202" s="23" t="str">
        <f t="shared" si="63"/>
        <v/>
      </c>
      <c r="AB202" s="22">
        <v>330</v>
      </c>
      <c r="AC202" s="21">
        <f t="shared" si="78"/>
        <v>36.666666666666664</v>
      </c>
      <c r="AD202" s="23">
        <f t="shared" si="65"/>
        <v>0.25943396226415094</v>
      </c>
      <c r="AE202" s="22"/>
      <c r="AF202" s="21" t="str">
        <f t="shared" si="79"/>
        <v/>
      </c>
      <c r="AG202" s="85" t="str">
        <f t="shared" si="67"/>
        <v/>
      </c>
    </row>
    <row r="203" spans="1:33" x14ac:dyDescent="0.25">
      <c r="A203" s="13">
        <f>WORKDAY(A204,1,JoursFeries!$B$3:$CH$15)</f>
        <v>42584</v>
      </c>
      <c r="B203" s="19" t="s">
        <v>116</v>
      </c>
      <c r="C203" s="19">
        <v>9</v>
      </c>
      <c r="E203" s="19">
        <f>-120+1375</f>
        <v>1255</v>
      </c>
      <c r="F203" s="24">
        <f t="shared" si="68"/>
        <v>1118.270846985989</v>
      </c>
      <c r="G203" s="16">
        <f t="shared" si="55"/>
        <v>136.72915301401099</v>
      </c>
      <c r="H203" s="15">
        <f t="shared" si="73"/>
        <v>139.44444444444446</v>
      </c>
      <c r="I203" s="15"/>
      <c r="J203" s="22">
        <v>300</v>
      </c>
      <c r="K203" s="21">
        <f t="shared" si="80"/>
        <v>33.333333333333336</v>
      </c>
      <c r="L203" s="23">
        <f t="shared" si="70"/>
        <v>0.23904382470119523</v>
      </c>
      <c r="M203" s="22">
        <v>112</v>
      </c>
      <c r="N203" s="21">
        <f t="shared" si="71"/>
        <v>12.444444444444445</v>
      </c>
      <c r="O203" s="23">
        <f t="shared" si="72"/>
        <v>8.9243027888446222E-2</v>
      </c>
      <c r="P203" s="22">
        <v>253</v>
      </c>
      <c r="Q203" s="21">
        <f t="shared" si="74"/>
        <v>28.111111111111111</v>
      </c>
      <c r="R203" s="23">
        <f t="shared" si="57"/>
        <v>0.20159362549800797</v>
      </c>
      <c r="S203" s="22">
        <v>140</v>
      </c>
      <c r="T203" s="21">
        <f t="shared" si="75"/>
        <v>15.555555555555555</v>
      </c>
      <c r="U203" s="23">
        <f t="shared" si="59"/>
        <v>0.11155378486055777</v>
      </c>
      <c r="V203" s="22"/>
      <c r="W203" s="21" t="str">
        <f t="shared" si="76"/>
        <v/>
      </c>
      <c r="X203" s="23" t="str">
        <f t="shared" si="61"/>
        <v/>
      </c>
      <c r="Y203" s="22"/>
      <c r="Z203" s="21" t="str">
        <f t="shared" si="77"/>
        <v/>
      </c>
      <c r="AA203" s="23" t="str">
        <f t="shared" si="63"/>
        <v/>
      </c>
      <c r="AB203" s="22">
        <v>450</v>
      </c>
      <c r="AC203" s="21">
        <f t="shared" si="78"/>
        <v>50</v>
      </c>
      <c r="AD203" s="23">
        <f t="shared" si="65"/>
        <v>0.35856573705179284</v>
      </c>
      <c r="AE203" s="22"/>
      <c r="AF203" s="21" t="str">
        <f t="shared" si="79"/>
        <v/>
      </c>
      <c r="AG203" s="85" t="str">
        <f t="shared" si="67"/>
        <v/>
      </c>
    </row>
    <row r="204" spans="1:33" x14ac:dyDescent="0.25">
      <c r="A204" s="13">
        <f>WORKDAY(A205,1,JoursFeries!$B$3:$CH$15)</f>
        <v>42583</v>
      </c>
      <c r="B204" s="19" t="s">
        <v>118</v>
      </c>
      <c r="C204" s="19">
        <v>9</v>
      </c>
      <c r="E204" s="19">
        <f>-0.62+1416.62</f>
        <v>1416</v>
      </c>
      <c r="F204" s="24">
        <f t="shared" si="68"/>
        <v>1334.4306545454544</v>
      </c>
      <c r="G204" s="16">
        <f t="shared" si="55"/>
        <v>81.569345454545555</v>
      </c>
      <c r="H204" s="15">
        <f t="shared" si="73"/>
        <v>157.33333333333334</v>
      </c>
      <c r="I204" s="15"/>
      <c r="J204" s="22">
        <v>400</v>
      </c>
      <c r="K204" s="21">
        <f t="shared" si="80"/>
        <v>44.444444444444443</v>
      </c>
      <c r="L204" s="23">
        <f t="shared" si="70"/>
        <v>0.2824858757062147</v>
      </c>
      <c r="M204" s="22">
        <v>115</v>
      </c>
      <c r="N204" s="21">
        <f t="shared" si="71"/>
        <v>12.777777777777779</v>
      </c>
      <c r="O204" s="23">
        <f t="shared" si="72"/>
        <v>8.1214689265536724E-2</v>
      </c>
      <c r="P204" s="22">
        <v>121</v>
      </c>
      <c r="Q204" s="21">
        <f t="shared" si="74"/>
        <v>13.444444444444445</v>
      </c>
      <c r="R204" s="23">
        <f t="shared" si="57"/>
        <v>8.5451977401129947E-2</v>
      </c>
      <c r="S204" s="22"/>
      <c r="T204" s="21" t="str">
        <f t="shared" si="75"/>
        <v/>
      </c>
      <c r="U204" s="23" t="str">
        <f t="shared" si="59"/>
        <v/>
      </c>
      <c r="V204" s="22">
        <v>420</v>
      </c>
      <c r="W204" s="21">
        <f t="shared" si="76"/>
        <v>46.666666666666664</v>
      </c>
      <c r="X204" s="23">
        <f t="shared" si="61"/>
        <v>0.29661016949152541</v>
      </c>
      <c r="Y204" s="22"/>
      <c r="Z204" s="21" t="str">
        <f t="shared" si="77"/>
        <v/>
      </c>
      <c r="AA204" s="23" t="str">
        <f t="shared" si="63"/>
        <v/>
      </c>
      <c r="AB204" s="22">
        <v>360</v>
      </c>
      <c r="AC204" s="21">
        <f t="shared" si="78"/>
        <v>40</v>
      </c>
      <c r="AD204" s="23">
        <f t="shared" si="65"/>
        <v>0.25423728813559321</v>
      </c>
      <c r="AE204" s="22"/>
      <c r="AF204" s="21" t="str">
        <f t="shared" si="79"/>
        <v/>
      </c>
      <c r="AG204" s="85" t="str">
        <f t="shared" si="67"/>
        <v/>
      </c>
    </row>
    <row r="205" spans="1:33" x14ac:dyDescent="0.25">
      <c r="A205" s="18">
        <f>WORKDAY(A206,1,JoursFeries!$B$3:$CH$15)</f>
        <v>42580</v>
      </c>
      <c r="B205" s="19" t="s">
        <v>118</v>
      </c>
      <c r="C205" s="19">
        <v>7</v>
      </c>
      <c r="E205" s="19">
        <f>J205+M205+P205+V205+AB205</f>
        <v>2915.08</v>
      </c>
      <c r="F205" s="24">
        <f t="shared" si="68"/>
        <v>1037.8905090909091</v>
      </c>
      <c r="G205" s="16">
        <f t="shared" ref="G205:G268" si="83">IF(ISBLANK(E205),"",E205-F205)</f>
        <v>1877.1894909090909</v>
      </c>
      <c r="H205" s="15">
        <f t="shared" si="73"/>
        <v>416.44</v>
      </c>
      <c r="I205" s="15"/>
      <c r="J205" s="22">
        <v>200</v>
      </c>
      <c r="K205" s="21">
        <f t="shared" si="80"/>
        <v>28.571428571428573</v>
      </c>
      <c r="L205" s="23">
        <f t="shared" si="70"/>
        <v>6.8608751732370979E-2</v>
      </c>
      <c r="M205" s="22">
        <v>20</v>
      </c>
      <c r="N205" s="21">
        <f t="shared" si="71"/>
        <v>2.8571428571428572</v>
      </c>
      <c r="O205" s="23">
        <f t="shared" si="72"/>
        <v>6.8608751732370981E-3</v>
      </c>
      <c r="P205" s="22">
        <v>115.08</v>
      </c>
      <c r="Q205" s="21">
        <f t="shared" ref="Q205:Q207" si="84">IF(ISBLANK(P205),"",P205/($C205-IF(ISBLANK($D205),0,$D205)))</f>
        <v>16.440000000000001</v>
      </c>
      <c r="R205" s="23">
        <f t="shared" ref="R205:R268" si="85">IF(ISBLANK(P205),"",IF(ISBLANK($E205),"",P205/$E205))</f>
        <v>3.9477475746806261E-2</v>
      </c>
      <c r="S205" s="22"/>
      <c r="T205" s="21" t="str">
        <f t="shared" ref="T205:T207" si="86">IF(ISBLANK(S205),"",S205/($C205-IF(ISBLANK($D205),0,$D205)))</f>
        <v/>
      </c>
      <c r="U205" s="23" t="str">
        <f t="shared" ref="U205:U268" si="87">IF(ISBLANK(S205),"",IF(ISBLANK($E205),"",S205/$E205))</f>
        <v/>
      </c>
      <c r="V205" s="22">
        <v>680</v>
      </c>
      <c r="W205" s="21">
        <f t="shared" ref="W205:W207" si="88">IF(ISBLANK(V205),"",V205/($C205-IF(ISBLANK($D205),0,$D205)))</f>
        <v>97.142857142857139</v>
      </c>
      <c r="X205" s="23">
        <f t="shared" ref="X205:X268" si="89">IF(ISBLANK(V205),"",IF(ISBLANK($E205),"",V205/$E205))</f>
        <v>0.23326975589006135</v>
      </c>
      <c r="Y205" s="22"/>
      <c r="Z205" s="21" t="str">
        <f t="shared" ref="Z205:Z207" si="90">IF(ISBLANK(Y205),"",Y205/($C205-IF(ISBLANK($D205),0,$D205)))</f>
        <v/>
      </c>
      <c r="AA205" s="23" t="str">
        <f t="shared" ref="AA205:AA268" si="91">IF(ISBLANK(Y205),"",IF(ISBLANK($E205),"",Y205/$E205))</f>
        <v/>
      </c>
      <c r="AB205" s="22">
        <v>1900</v>
      </c>
      <c r="AC205" s="21">
        <f t="shared" ref="AC205:AC207" si="92">IF(ISBLANK(AB205),"",AB205/($C205-IF(ISBLANK($D205),0,$D205)))</f>
        <v>271.42857142857144</v>
      </c>
      <c r="AD205" s="23">
        <f t="shared" ref="AD205:AD268" si="93">IF(ISBLANK(AB205),"",IF(ISBLANK($E205),"",AB205/$E205))</f>
        <v>0.65178314145752436</v>
      </c>
      <c r="AE205" s="22"/>
      <c r="AF205" s="21" t="str">
        <f t="shared" ref="AF205:AF207" si="94">IF(ISBLANK(AE205),"",AE205/($C205-IF(ISBLANK($D205),0,$D205)))</f>
        <v/>
      </c>
      <c r="AG205" s="85" t="str">
        <f t="shared" ref="AG205:AG268" si="95">IF(ISBLANK(AE205),"",IF(ISBLANK($E205),"",AE205/$E205))</f>
        <v/>
      </c>
    </row>
    <row r="206" spans="1:33" x14ac:dyDescent="0.25">
      <c r="A206" s="18">
        <f>WORKDAY(A207,1,JoursFeries!$B$3:$CH$15)</f>
        <v>42579</v>
      </c>
      <c r="B206" s="19" t="s">
        <v>118</v>
      </c>
      <c r="C206" s="19">
        <v>6</v>
      </c>
      <c r="E206" s="19">
        <f>1879.86-320</f>
        <v>1559.86</v>
      </c>
      <c r="F206" s="24">
        <f t="shared" ref="F206:F269" si="96">IF(ISBLANK(B206),"",
IF(B206=$C$4,(IF(ISBLANK(C206),10,C206)-IF(ISBLANK(D206),0,D206))*$F$4,
IF(B206=$C$5,(IF(ISBLANK(C206),10,C206)-IF(ISBLANK(D206),0,D206))*$F$5,
IF(B206=$C$6,(IF(ISBLANK(C206),10,C206)-IF(ISBLANK(D206),0,D206))*$F$6,
IF(B206=$C$7,(IF(ISBLANK(C206),10,C206)-IF(ISBLANK(D206),0,D206))*$F$7,IF(B206=$C$8,(IF(ISBLANK(C206),10,C206)-IF(ISBLANK(D206),0,D206))*$F$8,
(IF(ISBLANK(C206),10,C206)-IF(ISBLANK(D206),0,D206))*$F$9))))))</f>
        <v>889.62043636363637</v>
      </c>
      <c r="G206" s="16">
        <f t="shared" si="83"/>
        <v>670.23956363636353</v>
      </c>
      <c r="H206" s="15">
        <f t="shared" si="73"/>
        <v>259.97666666666663</v>
      </c>
      <c r="I206" s="15"/>
      <c r="J206" s="22">
        <v>220</v>
      </c>
      <c r="K206" s="21">
        <f t="shared" ref="K206:K207" si="97">IF(ISBLANK(J206),"",J206/(C206-IF(ISBLANK(D206),0,D206)))</f>
        <v>36.666666666666664</v>
      </c>
      <c r="L206" s="23">
        <f t="shared" ref="L206:L269" si="98">IF(ISBLANK(J206),"",IF(ISBLANK(E206),"",J206/E206))</f>
        <v>0.14103829830882259</v>
      </c>
      <c r="M206" s="22">
        <v>140</v>
      </c>
      <c r="N206" s="21">
        <f t="shared" ref="N206:N269" si="99">IF(ISBLANK(M206),"",M206/($C206-IF(ISBLANK($D206),0,$D206)))</f>
        <v>23.333333333333332</v>
      </c>
      <c r="O206" s="23">
        <f t="shared" ref="O206:O269" si="100">IF(ISBLANK(M206),"",IF(ISBLANK($E206),"",M206/$E206))</f>
        <v>8.9751644378341655E-2</v>
      </c>
      <c r="P206" s="22">
        <v>134.86000000000001</v>
      </c>
      <c r="Q206" s="21">
        <f t="shared" si="84"/>
        <v>22.47666666666667</v>
      </c>
      <c r="R206" s="23">
        <f t="shared" si="85"/>
        <v>8.6456476863308263E-2</v>
      </c>
      <c r="S206" s="22"/>
      <c r="T206" s="21" t="str">
        <f t="shared" si="86"/>
        <v/>
      </c>
      <c r="U206" s="23" t="str">
        <f t="shared" si="87"/>
        <v/>
      </c>
      <c r="V206" s="22">
        <v>640</v>
      </c>
      <c r="W206" s="21">
        <f t="shared" si="88"/>
        <v>106.66666666666667</v>
      </c>
      <c r="X206" s="23">
        <f t="shared" si="89"/>
        <v>0.41029323144384755</v>
      </c>
      <c r="Y206" s="22"/>
      <c r="Z206" s="21" t="str">
        <f t="shared" si="90"/>
        <v/>
      </c>
      <c r="AA206" s="23" t="str">
        <f t="shared" si="91"/>
        <v/>
      </c>
      <c r="AB206" s="22">
        <v>425</v>
      </c>
      <c r="AC206" s="21">
        <f t="shared" si="92"/>
        <v>70.833333333333329</v>
      </c>
      <c r="AD206" s="23">
        <f t="shared" si="93"/>
        <v>0.27246034900568</v>
      </c>
      <c r="AE206" s="22"/>
      <c r="AF206" s="21" t="str">
        <f t="shared" si="94"/>
        <v/>
      </c>
      <c r="AG206" s="85" t="str">
        <f t="shared" si="95"/>
        <v/>
      </c>
    </row>
    <row r="207" spans="1:33" x14ac:dyDescent="0.25">
      <c r="A207" s="18">
        <f>WORKDAY(A208,1,JoursFeries!$B$3:$CH$15)</f>
        <v>42578</v>
      </c>
      <c r="B207" s="19" t="s">
        <v>118</v>
      </c>
      <c r="C207" s="19">
        <v>6</v>
      </c>
      <c r="E207" s="19">
        <f>-470+1390.4</f>
        <v>920.40000000000009</v>
      </c>
      <c r="F207" s="24">
        <f t="shared" si="96"/>
        <v>889.62043636363637</v>
      </c>
      <c r="G207" s="16">
        <f t="shared" si="83"/>
        <v>30.779563636363719</v>
      </c>
      <c r="H207" s="15">
        <f t="shared" si="73"/>
        <v>153.4</v>
      </c>
      <c r="I207" s="15"/>
      <c r="J207" s="22">
        <v>180</v>
      </c>
      <c r="K207" s="21">
        <f t="shared" si="97"/>
        <v>30</v>
      </c>
      <c r="L207" s="23">
        <f t="shared" si="98"/>
        <v>0.19556714471968709</v>
      </c>
      <c r="M207" s="22"/>
      <c r="N207" s="21" t="str">
        <f t="shared" si="99"/>
        <v/>
      </c>
      <c r="O207" s="23" t="str">
        <f t="shared" si="100"/>
        <v/>
      </c>
      <c r="P207" s="22">
        <v>55.4</v>
      </c>
      <c r="Q207" s="21">
        <f t="shared" si="84"/>
        <v>9.2333333333333325</v>
      </c>
      <c r="R207" s="23">
        <f t="shared" si="85"/>
        <v>6.0191221208170352E-2</v>
      </c>
      <c r="S207" s="22"/>
      <c r="T207" s="21" t="str">
        <f t="shared" si="86"/>
        <v/>
      </c>
      <c r="U207" s="23" t="str">
        <f t="shared" si="87"/>
        <v/>
      </c>
      <c r="V207" s="22">
        <v>460</v>
      </c>
      <c r="W207" s="21">
        <f t="shared" si="88"/>
        <v>76.666666666666671</v>
      </c>
      <c r="X207" s="23">
        <f t="shared" si="89"/>
        <v>0.49978270317253365</v>
      </c>
      <c r="Y207" s="22"/>
      <c r="Z207" s="21" t="str">
        <f t="shared" si="90"/>
        <v/>
      </c>
      <c r="AA207" s="23" t="str">
        <f t="shared" si="91"/>
        <v/>
      </c>
      <c r="AB207" s="22">
        <v>225</v>
      </c>
      <c r="AC207" s="21">
        <f t="shared" si="92"/>
        <v>37.5</v>
      </c>
      <c r="AD207" s="23">
        <f t="shared" si="93"/>
        <v>0.24445893089960885</v>
      </c>
      <c r="AE207" s="22"/>
      <c r="AF207" s="21" t="str">
        <f t="shared" si="94"/>
        <v/>
      </c>
      <c r="AG207" s="85" t="str">
        <f t="shared" si="95"/>
        <v/>
      </c>
    </row>
    <row r="208" spans="1:33" x14ac:dyDescent="0.25">
      <c r="A208" s="13">
        <f>WORKDAY(A209,1,JoursFeries!$B$3:$CH$15)</f>
        <v>42577</v>
      </c>
      <c r="D208" s="86"/>
      <c r="F208" s="24" t="str">
        <f t="shared" si="96"/>
        <v/>
      </c>
      <c r="G208" s="16" t="str">
        <f t="shared" si="83"/>
        <v/>
      </c>
      <c r="H208" s="15" t="str">
        <f>IF(ISBLANK(C208)," ",IF(ISBLANK(E208)," ",E208/(C208-IF(ISBLANK(#REF!),0,#REF!))))</f>
        <v xml:space="preserve"> </v>
      </c>
      <c r="I208" s="15"/>
      <c r="J208" s="22"/>
      <c r="K208" s="21" t="str">
        <f>IF(ISBLANK(J208),"",J208/(C208-IF(ISBLANK(#REF!),0,#REF!)))</f>
        <v/>
      </c>
      <c r="L208" s="23" t="str">
        <f t="shared" si="98"/>
        <v/>
      </c>
      <c r="M208" s="22"/>
      <c r="N208" s="21" t="str">
        <f>IF(ISBLANK(M208),"",M208/($C208-IF(ISBLANK(#REF!),0,#REF!)))</f>
        <v/>
      </c>
      <c r="O208" s="23" t="str">
        <f t="shared" si="100"/>
        <v/>
      </c>
      <c r="P208" s="22"/>
      <c r="Q208" s="21" t="str">
        <f>IF(ISBLANK(P208),"",P208/($C208-IF(ISBLANK(#REF!),0,#REF!)))</f>
        <v/>
      </c>
      <c r="R208" s="23" t="str">
        <f t="shared" si="85"/>
        <v/>
      </c>
      <c r="S208" s="22"/>
      <c r="T208" s="21" t="str">
        <f>IF(ISBLANK(S208),"",S208/($C208-IF(ISBLANK(#REF!),0,#REF!)))</f>
        <v/>
      </c>
      <c r="U208" s="23" t="str">
        <f t="shared" si="87"/>
        <v/>
      </c>
      <c r="V208" s="22"/>
      <c r="W208" s="21" t="str">
        <f>IF(ISBLANK(V208),"",V208/($C208-IF(ISBLANK(#REF!),0,#REF!)))</f>
        <v/>
      </c>
      <c r="X208" s="23" t="str">
        <f t="shared" si="89"/>
        <v/>
      </c>
      <c r="Y208" s="22"/>
      <c r="Z208" s="21" t="str">
        <f>IF(ISBLANK(Y208),"",Y208/($C208-IF(ISBLANK(#REF!),0,#REF!)))</f>
        <v/>
      </c>
      <c r="AA208" s="23" t="str">
        <f t="shared" si="91"/>
        <v/>
      </c>
      <c r="AB208" s="22"/>
      <c r="AC208" s="21" t="str">
        <f>IF(ISBLANK(AB208),"",AB208/($C208-IF(ISBLANK(#REF!),0,#REF!)))</f>
        <v/>
      </c>
      <c r="AD208" s="23" t="str">
        <f t="shared" si="93"/>
        <v/>
      </c>
      <c r="AE208" s="22"/>
      <c r="AF208" s="21" t="str">
        <f>IF(ISBLANK(AE208),"",AE208/($C208-IF(ISBLANK(#REF!),0,#REF!)))</f>
        <v/>
      </c>
      <c r="AG208" s="85" t="str">
        <f t="shared" si="95"/>
        <v/>
      </c>
    </row>
    <row r="209" spans="1:33" x14ac:dyDescent="0.25">
      <c r="A209" s="13">
        <f>WORKDAY(A210,1,JoursFeries!$B$3:$CH$15)</f>
        <v>42576</v>
      </c>
      <c r="D209" s="86"/>
      <c r="F209" s="24" t="str">
        <f t="shared" si="96"/>
        <v/>
      </c>
      <c r="G209" s="16" t="str">
        <f t="shared" si="83"/>
        <v/>
      </c>
      <c r="H209" s="15" t="str">
        <f>IF(ISBLANK(C209)," ",IF(ISBLANK(E209)," ",E209/(C209-IF(ISBLANK(#REF!),0,#REF!))))</f>
        <v xml:space="preserve"> </v>
      </c>
      <c r="I209" s="15"/>
      <c r="J209" s="22"/>
      <c r="K209" s="21" t="str">
        <f>IF(ISBLANK(J209),"",J209/(C209-IF(ISBLANK(#REF!),0,#REF!)))</f>
        <v/>
      </c>
      <c r="L209" s="23" t="str">
        <f t="shared" si="98"/>
        <v/>
      </c>
      <c r="M209" s="22"/>
      <c r="N209" s="21" t="str">
        <f>IF(ISBLANK(M209),"",M209/($C209-IF(ISBLANK(#REF!),0,#REF!)))</f>
        <v/>
      </c>
      <c r="O209" s="23" t="str">
        <f t="shared" si="100"/>
        <v/>
      </c>
      <c r="P209" s="22"/>
      <c r="Q209" s="21" t="str">
        <f>IF(ISBLANK(P209),"",P209/($C209-IF(ISBLANK(#REF!),0,#REF!)))</f>
        <v/>
      </c>
      <c r="R209" s="23" t="str">
        <f t="shared" si="85"/>
        <v/>
      </c>
      <c r="S209" s="22"/>
      <c r="T209" s="21" t="str">
        <f>IF(ISBLANK(S209),"",S209/($C209-IF(ISBLANK(#REF!),0,#REF!)))</f>
        <v/>
      </c>
      <c r="U209" s="23" t="str">
        <f t="shared" si="87"/>
        <v/>
      </c>
      <c r="V209" s="22"/>
      <c r="W209" s="21" t="str">
        <f>IF(ISBLANK(V209),"",V209/($C209-IF(ISBLANK(#REF!),0,#REF!)))</f>
        <v/>
      </c>
      <c r="X209" s="23" t="str">
        <f t="shared" si="89"/>
        <v/>
      </c>
      <c r="Y209" s="22"/>
      <c r="Z209" s="21" t="str">
        <f>IF(ISBLANK(Y209),"",Y209/($C209-IF(ISBLANK(#REF!),0,#REF!)))</f>
        <v/>
      </c>
      <c r="AA209" s="23" t="str">
        <f t="shared" si="91"/>
        <v/>
      </c>
      <c r="AB209" s="22"/>
      <c r="AC209" s="21" t="str">
        <f>IF(ISBLANK(AB209),"",AB209/($C209-IF(ISBLANK(#REF!),0,#REF!)))</f>
        <v/>
      </c>
      <c r="AD209" s="23" t="str">
        <f t="shared" si="93"/>
        <v/>
      </c>
      <c r="AE209" s="22"/>
      <c r="AF209" s="21" t="str">
        <f>IF(ISBLANK(AE209),"",AE209/($C209-IF(ISBLANK(#REF!),0,#REF!)))</f>
        <v/>
      </c>
      <c r="AG209" s="85" t="str">
        <f t="shared" si="95"/>
        <v/>
      </c>
    </row>
    <row r="210" spans="1:33" x14ac:dyDescent="0.25">
      <c r="A210" s="13">
        <f>WORKDAY(A211,1,JoursFeries!$B$3:$CH$15)</f>
        <v>42573</v>
      </c>
      <c r="D210" s="86"/>
      <c r="F210" s="24" t="str">
        <f t="shared" si="96"/>
        <v/>
      </c>
      <c r="G210" s="16" t="str">
        <f t="shared" si="83"/>
        <v/>
      </c>
      <c r="H210" s="15" t="str">
        <f>IF(ISBLANK(C210)," ",IF(ISBLANK(E210)," ",E210/(C210-IF(ISBLANK(#REF!),0,#REF!))))</f>
        <v xml:space="preserve"> </v>
      </c>
      <c r="I210" s="15"/>
      <c r="J210" s="22"/>
      <c r="K210" s="21" t="str">
        <f>IF(ISBLANK(J210),"",J210/(C210-IF(ISBLANK(#REF!),0,#REF!)))</f>
        <v/>
      </c>
      <c r="L210" s="23" t="str">
        <f t="shared" si="98"/>
        <v/>
      </c>
      <c r="M210" s="22"/>
      <c r="N210" s="21" t="str">
        <f>IF(ISBLANK(M210),"",M210/($C210-IF(ISBLANK(#REF!),0,#REF!)))</f>
        <v/>
      </c>
      <c r="O210" s="23" t="str">
        <f t="shared" si="100"/>
        <v/>
      </c>
      <c r="P210" s="22"/>
      <c r="Q210" s="21" t="str">
        <f>IF(ISBLANK(P210),"",P210/($C210-IF(ISBLANK(#REF!),0,#REF!)))</f>
        <v/>
      </c>
      <c r="R210" s="23" t="str">
        <f t="shared" si="85"/>
        <v/>
      </c>
      <c r="S210" s="22"/>
      <c r="T210" s="21" t="str">
        <f>IF(ISBLANK(S210),"",S210/($C210-IF(ISBLANK(#REF!),0,#REF!)))</f>
        <v/>
      </c>
      <c r="U210" s="23" t="str">
        <f t="shared" si="87"/>
        <v/>
      </c>
      <c r="V210" s="22"/>
      <c r="W210" s="21" t="str">
        <f>IF(ISBLANK(V210),"",V210/($C210-IF(ISBLANK(#REF!),0,#REF!)))</f>
        <v/>
      </c>
      <c r="X210" s="23" t="str">
        <f t="shared" si="89"/>
        <v/>
      </c>
      <c r="Y210" s="22"/>
      <c r="Z210" s="21" t="str">
        <f>IF(ISBLANK(Y210),"",Y210/($C210-IF(ISBLANK(#REF!),0,#REF!)))</f>
        <v/>
      </c>
      <c r="AA210" s="23" t="str">
        <f t="shared" si="91"/>
        <v/>
      </c>
      <c r="AB210" s="22"/>
      <c r="AC210" s="21" t="str">
        <f>IF(ISBLANK(AB210),"",AB210/($C210-IF(ISBLANK(#REF!),0,#REF!)))</f>
        <v/>
      </c>
      <c r="AD210" s="23" t="str">
        <f t="shared" si="93"/>
        <v/>
      </c>
      <c r="AE210" s="22"/>
      <c r="AF210" s="21" t="str">
        <f>IF(ISBLANK(AE210),"",AE210/($C210-IF(ISBLANK(#REF!),0,#REF!)))</f>
        <v/>
      </c>
      <c r="AG210" s="85" t="str">
        <f t="shared" si="95"/>
        <v/>
      </c>
    </row>
    <row r="211" spans="1:33" x14ac:dyDescent="0.25">
      <c r="A211" s="18">
        <f>WORKDAY(A212,1,JoursFeries!$B$3:$CH$15)</f>
        <v>42572</v>
      </c>
      <c r="B211" s="19" t="s">
        <v>118</v>
      </c>
      <c r="C211" s="19">
        <v>6</v>
      </c>
      <c r="E211" s="19">
        <f>-72.6+728</f>
        <v>655.4</v>
      </c>
      <c r="F211" s="24">
        <f t="shared" si="96"/>
        <v>889.62043636363637</v>
      </c>
      <c r="G211" s="16">
        <f t="shared" si="83"/>
        <v>-234.2204363636364</v>
      </c>
      <c r="H211" s="15">
        <f t="shared" ref="H211:H274" si="101">IF(ISBLANK(C211)," ",IF(ISBLANK(E211)," ",E211/(C211-IF(ISBLANK(D211),0,D211))))</f>
        <v>109.23333333333333</v>
      </c>
      <c r="I211" s="15"/>
      <c r="J211" s="22">
        <v>126.8</v>
      </c>
      <c r="K211" s="21">
        <f t="shared" ref="K211:K242" si="102">IF(ISBLANK(J211),"",J211/(C211-IF(ISBLANK(D211),0,D211)))</f>
        <v>21.133333333333333</v>
      </c>
      <c r="L211" s="23">
        <f t="shared" si="98"/>
        <v>0.19346963686298443</v>
      </c>
      <c r="M211" s="22">
        <v>81.5</v>
      </c>
      <c r="N211" s="21">
        <f t="shared" si="99"/>
        <v>13.583333333333334</v>
      </c>
      <c r="O211" s="23">
        <f t="shared" si="100"/>
        <v>0.12435154104363748</v>
      </c>
      <c r="P211" s="22">
        <v>107.1</v>
      </c>
      <c r="Q211" s="21">
        <f t="shared" ref="Q211:Q242" si="103">IF(ISBLANK(P211),"",P211/($C211-IF(ISBLANK($D211),0,$D211)))</f>
        <v>17.849999999999998</v>
      </c>
      <c r="R211" s="23">
        <f t="shared" si="85"/>
        <v>0.16341165700335672</v>
      </c>
      <c r="S211" s="22"/>
      <c r="T211" s="21" t="str">
        <f t="shared" ref="T211:T242" si="104">IF(ISBLANK(S211),"",S211/($C211-IF(ISBLANK($D211),0,$D211)))</f>
        <v/>
      </c>
      <c r="U211" s="23" t="str">
        <f t="shared" si="87"/>
        <v/>
      </c>
      <c r="V211" s="22">
        <v>165</v>
      </c>
      <c r="W211" s="21">
        <f t="shared" ref="W211:W242" si="105">IF(ISBLANK(V211),"",V211/($C211-IF(ISBLANK($D211),0,$D211)))</f>
        <v>27.5</v>
      </c>
      <c r="X211" s="23">
        <f t="shared" si="89"/>
        <v>0.25175465364662802</v>
      </c>
      <c r="Y211" s="22"/>
      <c r="Z211" s="21" t="str">
        <f t="shared" ref="Z211:Z242" si="106">IF(ISBLANK(Y211),"",Y211/($C211-IF(ISBLANK($D211),0,$D211)))</f>
        <v/>
      </c>
      <c r="AA211" s="23" t="str">
        <f t="shared" si="91"/>
        <v/>
      </c>
      <c r="AB211" s="22">
        <v>175</v>
      </c>
      <c r="AC211" s="21">
        <f t="shared" ref="AC211:AC242" si="107">IF(ISBLANK(AB211),"",AB211/($C211-IF(ISBLANK($D211),0,$D211)))</f>
        <v>29.166666666666668</v>
      </c>
      <c r="AD211" s="23">
        <f t="shared" si="93"/>
        <v>0.26701251144339333</v>
      </c>
      <c r="AE211" s="22"/>
      <c r="AF211" s="21" t="str">
        <f t="shared" ref="AF211:AF242" si="108">IF(ISBLANK(AE211),"",AE211/($C211-IF(ISBLANK($D211),0,$D211)))</f>
        <v/>
      </c>
      <c r="AG211" s="85" t="str">
        <f t="shared" si="95"/>
        <v/>
      </c>
    </row>
    <row r="212" spans="1:33" x14ac:dyDescent="0.25">
      <c r="A212" s="18">
        <f>WORKDAY(A213,1,JoursFeries!$B$3:$CH$15)</f>
        <v>42571</v>
      </c>
      <c r="B212" s="19" t="s">
        <v>118</v>
      </c>
      <c r="C212" s="19">
        <v>8</v>
      </c>
      <c r="E212" s="19">
        <f>-1.38+1146.24</f>
        <v>1144.8599999999999</v>
      </c>
      <c r="F212" s="24">
        <f t="shared" si="96"/>
        <v>1186.1605818181818</v>
      </c>
      <c r="G212" s="16">
        <f t="shared" si="83"/>
        <v>-41.300581818181854</v>
      </c>
      <c r="H212" s="15">
        <f t="shared" si="101"/>
        <v>143.10749999999999</v>
      </c>
      <c r="I212" s="15"/>
      <c r="J212" s="22">
        <v>224.36</v>
      </c>
      <c r="K212" s="21">
        <f t="shared" si="102"/>
        <v>28.045000000000002</v>
      </c>
      <c r="L212" s="23">
        <f t="shared" si="98"/>
        <v>0.19597155984137801</v>
      </c>
      <c r="M212" s="22">
        <v>117.98</v>
      </c>
      <c r="N212" s="21">
        <f t="shared" si="99"/>
        <v>14.7475</v>
      </c>
      <c r="O212" s="23">
        <f t="shared" si="100"/>
        <v>0.1030519015425467</v>
      </c>
      <c r="P212" s="22">
        <v>147.52000000000001</v>
      </c>
      <c r="Q212" s="21">
        <f t="shared" si="103"/>
        <v>18.440000000000001</v>
      </c>
      <c r="R212" s="23">
        <f t="shared" si="85"/>
        <v>0.12885418304421503</v>
      </c>
      <c r="S212" s="22"/>
      <c r="T212" s="21" t="str">
        <f t="shared" si="104"/>
        <v/>
      </c>
      <c r="U212" s="23" t="str">
        <f t="shared" si="87"/>
        <v/>
      </c>
      <c r="V212" s="22">
        <v>330</v>
      </c>
      <c r="W212" s="21">
        <f t="shared" si="105"/>
        <v>41.25</v>
      </c>
      <c r="X212" s="23">
        <f t="shared" si="89"/>
        <v>0.28824485089879986</v>
      </c>
      <c r="Y212" s="22"/>
      <c r="Z212" s="21" t="str">
        <f t="shared" si="106"/>
        <v/>
      </c>
      <c r="AA212" s="23" t="str">
        <f t="shared" si="91"/>
        <v/>
      </c>
      <c r="AB212" s="22">
        <v>325</v>
      </c>
      <c r="AC212" s="21">
        <f t="shared" si="107"/>
        <v>40.625</v>
      </c>
      <c r="AD212" s="23">
        <f t="shared" si="93"/>
        <v>0.2838775046730605</v>
      </c>
      <c r="AE212" s="22"/>
      <c r="AF212" s="21" t="str">
        <f t="shared" si="108"/>
        <v/>
      </c>
      <c r="AG212" s="85" t="str">
        <f t="shared" si="95"/>
        <v/>
      </c>
    </row>
    <row r="213" spans="1:33" x14ac:dyDescent="0.25">
      <c r="A213" s="18">
        <f>WORKDAY(A214,1,JoursFeries!$B$3:$CH$15)</f>
        <v>42570</v>
      </c>
      <c r="B213" s="19" t="s">
        <v>118</v>
      </c>
      <c r="C213" s="19">
        <v>8</v>
      </c>
      <c r="E213" s="19">
        <f>2021.34-1168.06-24.1-25.48</f>
        <v>803.69999999999993</v>
      </c>
      <c r="F213" s="24">
        <f t="shared" si="96"/>
        <v>1186.1605818181818</v>
      </c>
      <c r="G213" s="16">
        <f t="shared" si="83"/>
        <v>-382.46058181818182</v>
      </c>
      <c r="H213" s="15">
        <f t="shared" si="101"/>
        <v>100.46249999999999</v>
      </c>
      <c r="I213" s="15"/>
      <c r="J213" s="22">
        <v>180</v>
      </c>
      <c r="K213" s="21">
        <f t="shared" si="102"/>
        <v>22.5</v>
      </c>
      <c r="L213" s="23">
        <f t="shared" si="98"/>
        <v>0.22396416573348266</v>
      </c>
      <c r="M213" s="22">
        <v>48.9</v>
      </c>
      <c r="N213" s="21">
        <f t="shared" si="99"/>
        <v>6.1124999999999998</v>
      </c>
      <c r="O213" s="23">
        <f t="shared" si="100"/>
        <v>6.0843598357596118E-2</v>
      </c>
      <c r="P213" s="22">
        <v>54.8</v>
      </c>
      <c r="Q213" s="21">
        <f t="shared" si="103"/>
        <v>6.85</v>
      </c>
      <c r="R213" s="23">
        <f t="shared" si="85"/>
        <v>6.8184646012193609E-2</v>
      </c>
      <c r="S213" s="22"/>
      <c r="T213" s="21" t="str">
        <f t="shared" si="104"/>
        <v/>
      </c>
      <c r="U213" s="23" t="str">
        <f t="shared" si="87"/>
        <v/>
      </c>
      <c r="V213" s="22">
        <v>320</v>
      </c>
      <c r="W213" s="21">
        <f t="shared" si="105"/>
        <v>40</v>
      </c>
      <c r="X213" s="23">
        <f t="shared" si="89"/>
        <v>0.39815851685952475</v>
      </c>
      <c r="Y213" s="22"/>
      <c r="Z213" s="21" t="str">
        <f t="shared" si="106"/>
        <v/>
      </c>
      <c r="AA213" s="23" t="str">
        <f t="shared" si="91"/>
        <v/>
      </c>
      <c r="AB213" s="22">
        <v>200</v>
      </c>
      <c r="AC213" s="21">
        <f t="shared" si="107"/>
        <v>25</v>
      </c>
      <c r="AD213" s="23">
        <f t="shared" si="93"/>
        <v>0.24884907303720297</v>
      </c>
      <c r="AE213" s="22"/>
      <c r="AF213" s="21" t="str">
        <f t="shared" si="108"/>
        <v/>
      </c>
      <c r="AG213" s="85" t="str">
        <f t="shared" si="95"/>
        <v/>
      </c>
    </row>
    <row r="214" spans="1:33" x14ac:dyDescent="0.25">
      <c r="A214" s="13">
        <f>WORKDAY(A215,1,JoursFeries!$B$3:$CH$15)</f>
        <v>42569</v>
      </c>
      <c r="F214" s="24" t="str">
        <f t="shared" si="96"/>
        <v/>
      </c>
      <c r="G214" s="16" t="str">
        <f t="shared" si="83"/>
        <v/>
      </c>
      <c r="H214" s="15" t="str">
        <f t="shared" si="101"/>
        <v xml:space="preserve"> </v>
      </c>
      <c r="I214" s="15"/>
      <c r="J214" s="22"/>
      <c r="K214" s="21" t="str">
        <f t="shared" si="102"/>
        <v/>
      </c>
      <c r="L214" s="23" t="str">
        <f t="shared" si="98"/>
        <v/>
      </c>
      <c r="M214" s="22"/>
      <c r="N214" s="21" t="str">
        <f t="shared" si="99"/>
        <v/>
      </c>
      <c r="O214" s="23" t="str">
        <f t="shared" si="100"/>
        <v/>
      </c>
      <c r="P214" s="22"/>
      <c r="Q214" s="21" t="str">
        <f t="shared" si="103"/>
        <v/>
      </c>
      <c r="R214" s="23" t="str">
        <f t="shared" si="85"/>
        <v/>
      </c>
      <c r="S214" s="22"/>
      <c r="T214" s="21" t="str">
        <f t="shared" si="104"/>
        <v/>
      </c>
      <c r="U214" s="23" t="str">
        <f t="shared" si="87"/>
        <v/>
      </c>
      <c r="V214" s="22"/>
      <c r="W214" s="21" t="str">
        <f t="shared" si="105"/>
        <v/>
      </c>
      <c r="X214" s="23" t="str">
        <f t="shared" si="89"/>
        <v/>
      </c>
      <c r="Y214" s="22"/>
      <c r="Z214" s="21" t="str">
        <f t="shared" si="106"/>
        <v/>
      </c>
      <c r="AA214" s="23" t="str">
        <f t="shared" si="91"/>
        <v/>
      </c>
      <c r="AB214" s="22"/>
      <c r="AC214" s="21" t="str">
        <f t="shared" si="107"/>
        <v/>
      </c>
      <c r="AD214" s="23" t="str">
        <f t="shared" si="93"/>
        <v/>
      </c>
      <c r="AE214" s="22"/>
      <c r="AF214" s="21" t="str">
        <f t="shared" si="108"/>
        <v/>
      </c>
      <c r="AG214" s="85" t="str">
        <f t="shared" si="95"/>
        <v/>
      </c>
    </row>
    <row r="215" spans="1:33" x14ac:dyDescent="0.25">
      <c r="A215" s="13">
        <f>WORKDAY(A216,1,JoursFeries!$B$3:$CH$15)</f>
        <v>42566</v>
      </c>
      <c r="F215" s="24" t="str">
        <f t="shared" si="96"/>
        <v/>
      </c>
      <c r="G215" s="16" t="str">
        <f t="shared" si="83"/>
        <v/>
      </c>
      <c r="H215" s="15" t="str">
        <f t="shared" si="101"/>
        <v xml:space="preserve"> </v>
      </c>
      <c r="I215" s="15"/>
      <c r="J215" s="22"/>
      <c r="K215" s="21" t="str">
        <f t="shared" si="102"/>
        <v/>
      </c>
      <c r="L215" s="23" t="str">
        <f t="shared" si="98"/>
        <v/>
      </c>
      <c r="M215" s="22"/>
      <c r="N215" s="21" t="str">
        <f t="shared" si="99"/>
        <v/>
      </c>
      <c r="O215" s="23" t="str">
        <f t="shared" si="100"/>
        <v/>
      </c>
      <c r="P215" s="22"/>
      <c r="Q215" s="21" t="str">
        <f t="shared" si="103"/>
        <v/>
      </c>
      <c r="R215" s="23" t="str">
        <f t="shared" si="85"/>
        <v/>
      </c>
      <c r="S215" s="22"/>
      <c r="T215" s="21" t="str">
        <f t="shared" si="104"/>
        <v/>
      </c>
      <c r="U215" s="23" t="str">
        <f t="shared" si="87"/>
        <v/>
      </c>
      <c r="V215" s="22"/>
      <c r="W215" s="21" t="str">
        <f t="shared" si="105"/>
        <v/>
      </c>
      <c r="X215" s="23" t="str">
        <f t="shared" si="89"/>
        <v/>
      </c>
      <c r="Y215" s="22"/>
      <c r="Z215" s="21" t="str">
        <f t="shared" si="106"/>
        <v/>
      </c>
      <c r="AA215" s="23" t="str">
        <f t="shared" si="91"/>
        <v/>
      </c>
      <c r="AB215" s="22"/>
      <c r="AC215" s="21" t="str">
        <f t="shared" si="107"/>
        <v/>
      </c>
      <c r="AD215" s="23" t="str">
        <f t="shared" si="93"/>
        <v/>
      </c>
      <c r="AE215" s="22"/>
      <c r="AF215" s="21" t="str">
        <f t="shared" si="108"/>
        <v/>
      </c>
      <c r="AG215" s="85" t="str">
        <f t="shared" si="95"/>
        <v/>
      </c>
    </row>
    <row r="216" spans="1:33" x14ac:dyDescent="0.25">
      <c r="A216" s="13">
        <f>WORKDAY(A217,1,JoursFeries!$B$3:$CH$15)</f>
        <v>42564</v>
      </c>
      <c r="F216" s="24" t="str">
        <f t="shared" si="96"/>
        <v/>
      </c>
      <c r="G216" s="16" t="str">
        <f t="shared" si="83"/>
        <v/>
      </c>
      <c r="H216" s="15" t="str">
        <f t="shared" si="101"/>
        <v xml:space="preserve"> </v>
      </c>
      <c r="I216" s="15"/>
      <c r="J216" s="22"/>
      <c r="K216" s="21" t="str">
        <f t="shared" si="102"/>
        <v/>
      </c>
      <c r="L216" s="23" t="str">
        <f t="shared" si="98"/>
        <v/>
      </c>
      <c r="M216" s="22"/>
      <c r="N216" s="21" t="str">
        <f t="shared" si="99"/>
        <v/>
      </c>
      <c r="O216" s="23" t="str">
        <f t="shared" si="100"/>
        <v/>
      </c>
      <c r="P216" s="22"/>
      <c r="Q216" s="21" t="str">
        <f t="shared" si="103"/>
        <v/>
      </c>
      <c r="R216" s="23" t="str">
        <f t="shared" si="85"/>
        <v/>
      </c>
      <c r="S216" s="22"/>
      <c r="T216" s="21" t="str">
        <f t="shared" si="104"/>
        <v/>
      </c>
      <c r="U216" s="23" t="str">
        <f t="shared" si="87"/>
        <v/>
      </c>
      <c r="V216" s="22"/>
      <c r="W216" s="21" t="str">
        <f t="shared" si="105"/>
        <v/>
      </c>
      <c r="X216" s="23" t="str">
        <f t="shared" si="89"/>
        <v/>
      </c>
      <c r="Y216" s="22"/>
      <c r="Z216" s="21" t="str">
        <f t="shared" si="106"/>
        <v/>
      </c>
      <c r="AA216" s="23" t="str">
        <f t="shared" si="91"/>
        <v/>
      </c>
      <c r="AB216" s="22"/>
      <c r="AC216" s="21" t="str">
        <f t="shared" si="107"/>
        <v/>
      </c>
      <c r="AD216" s="23" t="str">
        <f t="shared" si="93"/>
        <v/>
      </c>
      <c r="AE216" s="22"/>
      <c r="AF216" s="21" t="str">
        <f t="shared" si="108"/>
        <v/>
      </c>
      <c r="AG216" s="85" t="str">
        <f t="shared" si="95"/>
        <v/>
      </c>
    </row>
    <row r="217" spans="1:33" x14ac:dyDescent="0.25">
      <c r="A217" s="13">
        <f>WORKDAY(A218,1,JoursFeries!$B$3:$CH$15)</f>
        <v>42563</v>
      </c>
      <c r="B217" s="19" t="s">
        <v>116</v>
      </c>
      <c r="C217" s="19">
        <v>7</v>
      </c>
      <c r="E217" s="19">
        <v>1126.6400000000001</v>
      </c>
      <c r="F217" s="24">
        <f t="shared" si="96"/>
        <v>869.76621432243599</v>
      </c>
      <c r="G217" s="16">
        <f t="shared" si="83"/>
        <v>256.87378567756411</v>
      </c>
      <c r="H217" s="15">
        <f t="shared" si="101"/>
        <v>160.94857142857146</v>
      </c>
      <c r="I217" s="15"/>
      <c r="J217" s="22">
        <v>280</v>
      </c>
      <c r="K217" s="21">
        <f t="shared" si="102"/>
        <v>40</v>
      </c>
      <c r="L217" s="23">
        <f t="shared" si="98"/>
        <v>0.24852659234538094</v>
      </c>
      <c r="M217" s="22">
        <v>140</v>
      </c>
      <c r="N217" s="21">
        <f t="shared" si="99"/>
        <v>20</v>
      </c>
      <c r="O217" s="23">
        <f t="shared" si="100"/>
        <v>0.12426329617269047</v>
      </c>
      <c r="P217" s="22">
        <v>116.64</v>
      </c>
      <c r="Q217" s="21">
        <f t="shared" si="103"/>
        <v>16.662857142857142</v>
      </c>
      <c r="R217" s="23">
        <f t="shared" si="85"/>
        <v>0.10352907761130441</v>
      </c>
      <c r="S217" s="22">
        <v>240</v>
      </c>
      <c r="T217" s="21">
        <f t="shared" si="104"/>
        <v>34.285714285714285</v>
      </c>
      <c r="U217" s="23">
        <f t="shared" si="87"/>
        <v>0.21302279343889793</v>
      </c>
      <c r="V217" s="22"/>
      <c r="W217" s="21" t="str">
        <f t="shared" si="105"/>
        <v/>
      </c>
      <c r="X217" s="23" t="str">
        <f t="shared" si="89"/>
        <v/>
      </c>
      <c r="Y217" s="22"/>
      <c r="Z217" s="21" t="str">
        <f t="shared" si="106"/>
        <v/>
      </c>
      <c r="AA217" s="23" t="str">
        <f t="shared" si="91"/>
        <v/>
      </c>
      <c r="AB217" s="22">
        <v>350</v>
      </c>
      <c r="AC217" s="21">
        <f t="shared" si="107"/>
        <v>50</v>
      </c>
      <c r="AD217" s="23">
        <f t="shared" si="93"/>
        <v>0.31065824043172618</v>
      </c>
      <c r="AE217" s="22"/>
      <c r="AF217" s="21" t="str">
        <f t="shared" si="108"/>
        <v/>
      </c>
      <c r="AG217" s="85" t="str">
        <f t="shared" si="95"/>
        <v/>
      </c>
    </row>
    <row r="218" spans="1:33" x14ac:dyDescent="0.25">
      <c r="A218" s="13">
        <f>WORKDAY(A219,1,JoursFeries!$B$3:$CH$15)</f>
        <v>42562</v>
      </c>
      <c r="B218" s="19" t="s">
        <v>116</v>
      </c>
      <c r="C218" s="19">
        <v>5.5</v>
      </c>
      <c r="E218" s="19">
        <f>714.52-29.4</f>
        <v>685.12</v>
      </c>
      <c r="F218" s="24">
        <f t="shared" si="96"/>
        <v>683.38773982477119</v>
      </c>
      <c r="G218" s="16">
        <f t="shared" si="83"/>
        <v>1.7322601752288165</v>
      </c>
      <c r="H218" s="15">
        <f t="shared" si="101"/>
        <v>124.56727272727272</v>
      </c>
      <c r="I218" s="15"/>
      <c r="J218" s="22">
        <v>120</v>
      </c>
      <c r="K218" s="21">
        <f t="shared" si="102"/>
        <v>21.818181818181817</v>
      </c>
      <c r="L218" s="23">
        <f t="shared" si="98"/>
        <v>0.17515179822512844</v>
      </c>
      <c r="M218" s="22">
        <v>120</v>
      </c>
      <c r="N218" s="21">
        <f t="shared" si="99"/>
        <v>21.818181818181817</v>
      </c>
      <c r="O218" s="23">
        <f t="shared" si="100"/>
        <v>0.17515179822512844</v>
      </c>
      <c r="P218" s="22">
        <v>106.12</v>
      </c>
      <c r="Q218" s="21">
        <f t="shared" si="103"/>
        <v>19.294545454545457</v>
      </c>
      <c r="R218" s="23">
        <f t="shared" si="85"/>
        <v>0.15489257356375527</v>
      </c>
      <c r="S218" s="22">
        <v>135</v>
      </c>
      <c r="T218" s="21">
        <f t="shared" si="104"/>
        <v>24.545454545454547</v>
      </c>
      <c r="U218" s="23">
        <f t="shared" si="87"/>
        <v>0.1970457730032695</v>
      </c>
      <c r="V218" s="22"/>
      <c r="W218" s="21" t="str">
        <f t="shared" si="105"/>
        <v/>
      </c>
      <c r="X218" s="23" t="str">
        <f t="shared" si="89"/>
        <v/>
      </c>
      <c r="Y218" s="22"/>
      <c r="Z218" s="21" t="str">
        <f t="shared" si="106"/>
        <v/>
      </c>
      <c r="AA218" s="23" t="str">
        <f t="shared" si="91"/>
        <v/>
      </c>
      <c r="AB218" s="22">
        <v>204</v>
      </c>
      <c r="AC218" s="21">
        <f t="shared" si="107"/>
        <v>37.090909090909093</v>
      </c>
      <c r="AD218" s="23">
        <f t="shared" si="93"/>
        <v>0.29775805698271834</v>
      </c>
      <c r="AE218" s="22"/>
      <c r="AF218" s="21" t="str">
        <f t="shared" si="108"/>
        <v/>
      </c>
      <c r="AG218" s="85" t="str">
        <f t="shared" si="95"/>
        <v/>
      </c>
    </row>
    <row r="219" spans="1:33" x14ac:dyDescent="0.25">
      <c r="A219" s="13">
        <f>WORKDAY(A220,1,JoursFeries!$B$3:$CH$15)</f>
        <v>42559</v>
      </c>
      <c r="F219" s="24" t="str">
        <f t="shared" si="96"/>
        <v/>
      </c>
      <c r="G219" s="16" t="str">
        <f t="shared" si="83"/>
        <v/>
      </c>
      <c r="H219" s="15" t="str">
        <f t="shared" si="101"/>
        <v xml:space="preserve"> </v>
      </c>
      <c r="I219" s="15"/>
      <c r="J219" s="22"/>
      <c r="K219" s="21" t="str">
        <f t="shared" si="102"/>
        <v/>
      </c>
      <c r="L219" s="23" t="str">
        <f t="shared" si="98"/>
        <v/>
      </c>
      <c r="M219" s="22"/>
      <c r="N219" s="21" t="str">
        <f t="shared" si="99"/>
        <v/>
      </c>
      <c r="O219" s="23" t="str">
        <f t="shared" si="100"/>
        <v/>
      </c>
      <c r="P219" s="22"/>
      <c r="Q219" s="21" t="str">
        <f t="shared" si="103"/>
        <v/>
      </c>
      <c r="R219" s="23" t="str">
        <f t="shared" si="85"/>
        <v/>
      </c>
      <c r="S219" s="22"/>
      <c r="T219" s="21" t="str">
        <f t="shared" si="104"/>
        <v/>
      </c>
      <c r="U219" s="23" t="str">
        <f t="shared" si="87"/>
        <v/>
      </c>
      <c r="V219" s="22"/>
      <c r="W219" s="21" t="str">
        <f t="shared" si="105"/>
        <v/>
      </c>
      <c r="X219" s="23" t="str">
        <f t="shared" si="89"/>
        <v/>
      </c>
      <c r="Y219" s="22"/>
      <c r="Z219" s="21" t="str">
        <f t="shared" si="106"/>
        <v/>
      </c>
      <c r="AA219" s="23" t="str">
        <f t="shared" si="91"/>
        <v/>
      </c>
      <c r="AB219" s="22"/>
      <c r="AC219" s="21" t="str">
        <f t="shared" si="107"/>
        <v/>
      </c>
      <c r="AD219" s="23" t="str">
        <f t="shared" si="93"/>
        <v/>
      </c>
      <c r="AE219" s="22"/>
      <c r="AF219" s="21" t="str">
        <f t="shared" si="108"/>
        <v/>
      </c>
      <c r="AG219" s="85" t="str">
        <f t="shared" si="95"/>
        <v/>
      </c>
    </row>
    <row r="220" spans="1:33" x14ac:dyDescent="0.25">
      <c r="A220" s="18">
        <f>WORKDAY(A221,1,JoursFeries!$B$3:$CH$15)</f>
        <v>42558</v>
      </c>
      <c r="B220" s="19" t="s">
        <v>116</v>
      </c>
      <c r="C220" s="19">
        <v>11</v>
      </c>
      <c r="E220" s="19">
        <f>-47.52-852.62-0.74+2676.68-500-47.8-20</f>
        <v>1207.9999999999998</v>
      </c>
      <c r="F220" s="24">
        <f t="shared" si="96"/>
        <v>1366.7754796495424</v>
      </c>
      <c r="G220" s="16">
        <f t="shared" si="83"/>
        <v>-158.7754796495426</v>
      </c>
      <c r="H220" s="15">
        <f t="shared" si="101"/>
        <v>109.8181818181818</v>
      </c>
      <c r="I220" s="15"/>
      <c r="J220" s="22">
        <v>270</v>
      </c>
      <c r="K220" s="21">
        <f t="shared" si="102"/>
        <v>24.545454545454547</v>
      </c>
      <c r="L220" s="23">
        <f t="shared" si="98"/>
        <v>0.22350993377483447</v>
      </c>
      <c r="M220" s="22">
        <v>130</v>
      </c>
      <c r="N220" s="21">
        <f t="shared" si="99"/>
        <v>11.818181818181818</v>
      </c>
      <c r="O220" s="23">
        <f t="shared" si="100"/>
        <v>0.10761589403973512</v>
      </c>
      <c r="P220" s="22">
        <v>313</v>
      </c>
      <c r="Q220" s="21">
        <f t="shared" si="103"/>
        <v>28.454545454545453</v>
      </c>
      <c r="R220" s="23">
        <f t="shared" si="85"/>
        <v>0.25910596026490074</v>
      </c>
      <c r="S220" s="22">
        <v>120</v>
      </c>
      <c r="T220" s="21">
        <f t="shared" si="104"/>
        <v>10.909090909090908</v>
      </c>
      <c r="U220" s="23">
        <f t="shared" si="87"/>
        <v>9.9337748344370883E-2</v>
      </c>
      <c r="V220" s="22"/>
      <c r="W220" s="21" t="str">
        <f t="shared" si="105"/>
        <v/>
      </c>
      <c r="X220" s="23" t="str">
        <f t="shared" si="89"/>
        <v/>
      </c>
      <c r="Y220" s="22"/>
      <c r="Z220" s="21" t="str">
        <f t="shared" si="106"/>
        <v/>
      </c>
      <c r="AA220" s="23" t="str">
        <f t="shared" si="91"/>
        <v/>
      </c>
      <c r="AB220" s="22">
        <v>375</v>
      </c>
      <c r="AC220" s="21">
        <f t="shared" si="107"/>
        <v>34.090909090909093</v>
      </c>
      <c r="AD220" s="23">
        <f t="shared" si="93"/>
        <v>0.310430463576159</v>
      </c>
      <c r="AE220" s="22"/>
      <c r="AF220" s="21" t="str">
        <f t="shared" si="108"/>
        <v/>
      </c>
      <c r="AG220" s="85" t="str">
        <f t="shared" si="95"/>
        <v/>
      </c>
    </row>
    <row r="221" spans="1:33" x14ac:dyDescent="0.25">
      <c r="A221" s="13">
        <f>WORKDAY(A222,1,JoursFeries!$B$3:$CH$15)</f>
        <v>42557</v>
      </c>
      <c r="B221" s="19" t="s">
        <v>116</v>
      </c>
      <c r="C221" s="19">
        <v>14</v>
      </c>
      <c r="E221" s="19">
        <f>-41.18-691.82+2610.62-254.9-8.9</f>
        <v>1613.8199999999997</v>
      </c>
      <c r="F221" s="24">
        <f t="shared" si="96"/>
        <v>1739.532428644872</v>
      </c>
      <c r="G221" s="16">
        <f t="shared" si="83"/>
        <v>-125.71242864487226</v>
      </c>
      <c r="H221" s="15">
        <f t="shared" si="101"/>
        <v>115.27285714285712</v>
      </c>
      <c r="I221" s="15"/>
      <c r="J221" s="22">
        <v>400</v>
      </c>
      <c r="K221" s="21">
        <f t="shared" si="102"/>
        <v>28.571428571428573</v>
      </c>
      <c r="L221" s="23">
        <f t="shared" si="98"/>
        <v>0.24785911687796661</v>
      </c>
      <c r="M221" s="22">
        <v>180</v>
      </c>
      <c r="N221" s="21">
        <f t="shared" si="99"/>
        <v>12.857142857142858</v>
      </c>
      <c r="O221" s="23">
        <f t="shared" si="100"/>
        <v>0.11153660259508498</v>
      </c>
      <c r="P221" s="22">
        <v>218.82</v>
      </c>
      <c r="Q221" s="21">
        <f t="shared" si="103"/>
        <v>15.629999999999999</v>
      </c>
      <c r="R221" s="23">
        <f t="shared" si="85"/>
        <v>0.13559132988809164</v>
      </c>
      <c r="S221" s="22">
        <v>240</v>
      </c>
      <c r="T221" s="21">
        <f t="shared" si="104"/>
        <v>17.142857142857142</v>
      </c>
      <c r="U221" s="23">
        <f t="shared" si="87"/>
        <v>0.14871547012677996</v>
      </c>
      <c r="V221" s="22"/>
      <c r="W221" s="21" t="str">
        <f t="shared" si="105"/>
        <v/>
      </c>
      <c r="X221" s="23" t="str">
        <f t="shared" si="89"/>
        <v/>
      </c>
      <c r="Y221" s="22"/>
      <c r="Z221" s="21" t="str">
        <f t="shared" si="106"/>
        <v/>
      </c>
      <c r="AA221" s="23" t="str">
        <f t="shared" si="91"/>
        <v/>
      </c>
      <c r="AB221" s="22">
        <v>575</v>
      </c>
      <c r="AC221" s="21">
        <f t="shared" si="107"/>
        <v>41.071428571428569</v>
      </c>
      <c r="AD221" s="23">
        <f t="shared" si="93"/>
        <v>0.35629748051207699</v>
      </c>
      <c r="AE221" s="22"/>
      <c r="AF221" s="21" t="str">
        <f t="shared" si="108"/>
        <v/>
      </c>
      <c r="AG221" s="85" t="str">
        <f t="shared" si="95"/>
        <v/>
      </c>
    </row>
    <row r="222" spans="1:33" x14ac:dyDescent="0.25">
      <c r="A222" s="13">
        <f>WORKDAY(A223,1,JoursFeries!$B$3:$CH$15)</f>
        <v>42556</v>
      </c>
      <c r="B222" s="19" t="s">
        <v>116</v>
      </c>
      <c r="C222" s="19">
        <v>13</v>
      </c>
      <c r="E222" s="19">
        <f>-120+2020.76</f>
        <v>1900.76</v>
      </c>
      <c r="F222" s="24">
        <f t="shared" si="96"/>
        <v>1615.2801123130953</v>
      </c>
      <c r="G222" s="16">
        <f t="shared" si="83"/>
        <v>285.4798876869047</v>
      </c>
      <c r="H222" s="15">
        <f t="shared" si="101"/>
        <v>146.21230769230769</v>
      </c>
      <c r="I222" s="15"/>
      <c r="J222" s="22">
        <v>460</v>
      </c>
      <c r="K222" s="21">
        <f t="shared" si="102"/>
        <v>35.384615384615387</v>
      </c>
      <c r="L222" s="23">
        <f t="shared" si="98"/>
        <v>0.24200845977398514</v>
      </c>
      <c r="M222" s="22">
        <v>180</v>
      </c>
      <c r="N222" s="21">
        <f t="shared" si="99"/>
        <v>13.846153846153847</v>
      </c>
      <c r="O222" s="23">
        <f t="shared" si="100"/>
        <v>9.4698962520255059E-2</v>
      </c>
      <c r="P222" s="22">
        <v>385.76</v>
      </c>
      <c r="Q222" s="21">
        <f t="shared" si="103"/>
        <v>29.673846153846153</v>
      </c>
      <c r="R222" s="23">
        <f t="shared" si="85"/>
        <v>0.20295039878785329</v>
      </c>
      <c r="S222" s="22">
        <v>300</v>
      </c>
      <c r="T222" s="21">
        <f t="shared" si="104"/>
        <v>23.076923076923077</v>
      </c>
      <c r="U222" s="23">
        <f t="shared" si="87"/>
        <v>0.15783160420042511</v>
      </c>
      <c r="V222" s="22"/>
      <c r="W222" s="21" t="str">
        <f t="shared" si="105"/>
        <v/>
      </c>
      <c r="X222" s="23" t="str">
        <f t="shared" si="89"/>
        <v/>
      </c>
      <c r="Y222" s="22"/>
      <c r="Z222" s="21" t="str">
        <f t="shared" si="106"/>
        <v/>
      </c>
      <c r="AA222" s="23" t="str">
        <f t="shared" si="91"/>
        <v/>
      </c>
      <c r="AB222" s="22">
        <v>575</v>
      </c>
      <c r="AC222" s="21">
        <f t="shared" si="107"/>
        <v>44.230769230769234</v>
      </c>
      <c r="AD222" s="23">
        <f t="shared" si="93"/>
        <v>0.30251057471748144</v>
      </c>
      <c r="AE222" s="22"/>
      <c r="AF222" s="21" t="str">
        <f t="shared" si="108"/>
        <v/>
      </c>
      <c r="AG222" s="85" t="str">
        <f t="shared" si="95"/>
        <v/>
      </c>
    </row>
    <row r="223" spans="1:33" x14ac:dyDescent="0.25">
      <c r="A223" s="18">
        <f>WORKDAY(A224,1,JoursFeries!$B$3:$CH$15)</f>
        <v>42555</v>
      </c>
      <c r="B223" s="19" t="s">
        <v>116</v>
      </c>
      <c r="C223" s="19">
        <v>5</v>
      </c>
      <c r="E223" s="19">
        <f>-67.1-802.1-35.86+1570.06-140</f>
        <v>524.99999999999989</v>
      </c>
      <c r="F223" s="24">
        <f t="shared" si="96"/>
        <v>621.26158165888285</v>
      </c>
      <c r="G223" s="16">
        <f t="shared" si="83"/>
        <v>-96.26158165888296</v>
      </c>
      <c r="H223" s="15">
        <f t="shared" si="101"/>
        <v>104.99999999999997</v>
      </c>
      <c r="I223" s="15"/>
      <c r="J223" s="22">
        <v>100</v>
      </c>
      <c r="K223" s="21">
        <f t="shared" si="102"/>
        <v>20</v>
      </c>
      <c r="L223" s="23">
        <f t="shared" si="98"/>
        <v>0.19047619047619052</v>
      </c>
      <c r="M223" s="22">
        <v>60</v>
      </c>
      <c r="N223" s="21">
        <f t="shared" si="99"/>
        <v>12</v>
      </c>
      <c r="O223" s="23">
        <f t="shared" si="100"/>
        <v>0.11428571428571431</v>
      </c>
      <c r="P223" s="22">
        <v>100</v>
      </c>
      <c r="Q223" s="21">
        <f t="shared" si="103"/>
        <v>20</v>
      </c>
      <c r="R223" s="23">
        <f t="shared" si="85"/>
        <v>0.19047619047619052</v>
      </c>
      <c r="S223" s="22">
        <v>40</v>
      </c>
      <c r="T223" s="21">
        <f t="shared" si="104"/>
        <v>8</v>
      </c>
      <c r="U223" s="23">
        <f t="shared" si="87"/>
        <v>7.6190476190476211E-2</v>
      </c>
      <c r="V223" s="22"/>
      <c r="W223" s="21" t="str">
        <f t="shared" si="105"/>
        <v/>
      </c>
      <c r="X223" s="23" t="str">
        <f t="shared" si="89"/>
        <v/>
      </c>
      <c r="Y223" s="22"/>
      <c r="Z223" s="21" t="str">
        <f t="shared" si="106"/>
        <v/>
      </c>
      <c r="AA223" s="23" t="str">
        <f t="shared" si="91"/>
        <v/>
      </c>
      <c r="AB223" s="22">
        <v>225</v>
      </c>
      <c r="AC223" s="21">
        <f t="shared" si="107"/>
        <v>45</v>
      </c>
      <c r="AD223" s="23">
        <f t="shared" si="93"/>
        <v>0.42857142857142866</v>
      </c>
      <c r="AE223" s="22"/>
      <c r="AF223" s="21" t="str">
        <f t="shared" si="108"/>
        <v/>
      </c>
      <c r="AG223" s="85" t="str">
        <f t="shared" si="95"/>
        <v/>
      </c>
    </row>
    <row r="224" spans="1:33" x14ac:dyDescent="0.25">
      <c r="A224" s="13">
        <f>WORKDAY(A225,1,JoursFeries!$B$3:$CH$15)</f>
        <v>42552</v>
      </c>
      <c r="F224" s="24" t="str">
        <f t="shared" si="96"/>
        <v/>
      </c>
      <c r="G224" s="16" t="str">
        <f t="shared" si="83"/>
        <v/>
      </c>
      <c r="H224" s="15" t="str">
        <f t="shared" si="101"/>
        <v xml:space="preserve"> </v>
      </c>
      <c r="I224" s="15"/>
      <c r="J224" s="22"/>
      <c r="K224" s="21" t="str">
        <f t="shared" si="102"/>
        <v/>
      </c>
      <c r="L224" s="23" t="str">
        <f t="shared" si="98"/>
        <v/>
      </c>
      <c r="M224" s="22"/>
      <c r="N224" s="21" t="str">
        <f t="shared" si="99"/>
        <v/>
      </c>
      <c r="O224" s="23" t="str">
        <f t="shared" si="100"/>
        <v/>
      </c>
      <c r="P224" s="22"/>
      <c r="Q224" s="21" t="str">
        <f t="shared" si="103"/>
        <v/>
      </c>
      <c r="R224" s="23" t="str">
        <f t="shared" si="85"/>
        <v/>
      </c>
      <c r="S224" s="22"/>
      <c r="T224" s="21" t="str">
        <f t="shared" si="104"/>
        <v/>
      </c>
      <c r="U224" s="23" t="str">
        <f t="shared" si="87"/>
        <v/>
      </c>
      <c r="V224" s="22"/>
      <c r="W224" s="21" t="str">
        <f t="shared" si="105"/>
        <v/>
      </c>
      <c r="X224" s="23" t="str">
        <f t="shared" si="89"/>
        <v/>
      </c>
      <c r="Y224" s="22"/>
      <c r="Z224" s="21" t="str">
        <f t="shared" si="106"/>
        <v/>
      </c>
      <c r="AA224" s="23" t="str">
        <f t="shared" si="91"/>
        <v/>
      </c>
      <c r="AB224" s="22"/>
      <c r="AC224" s="21" t="str">
        <f t="shared" si="107"/>
        <v/>
      </c>
      <c r="AD224" s="23" t="str">
        <f t="shared" si="93"/>
        <v/>
      </c>
      <c r="AE224" s="22"/>
      <c r="AF224" s="21" t="str">
        <f t="shared" si="108"/>
        <v/>
      </c>
      <c r="AG224" s="85" t="str">
        <f t="shared" si="95"/>
        <v/>
      </c>
    </row>
    <row r="225" spans="1:33" x14ac:dyDescent="0.25">
      <c r="A225" s="13">
        <f>WORKDAY(A226,1,JoursFeries!$B$3:$CH$15)</f>
        <v>42551</v>
      </c>
      <c r="F225" s="24" t="str">
        <f t="shared" si="96"/>
        <v/>
      </c>
      <c r="G225" s="16" t="str">
        <f t="shared" si="83"/>
        <v/>
      </c>
      <c r="H225" s="15" t="str">
        <f t="shared" si="101"/>
        <v xml:space="preserve"> </v>
      </c>
      <c r="I225" s="15"/>
      <c r="J225" s="22"/>
      <c r="K225" s="21" t="str">
        <f t="shared" si="102"/>
        <v/>
      </c>
      <c r="L225" s="23" t="str">
        <f t="shared" si="98"/>
        <v/>
      </c>
      <c r="M225" s="22"/>
      <c r="N225" s="21" t="str">
        <f t="shared" si="99"/>
        <v/>
      </c>
      <c r="O225" s="23" t="str">
        <f t="shared" si="100"/>
        <v/>
      </c>
      <c r="P225" s="22"/>
      <c r="Q225" s="21" t="str">
        <f t="shared" si="103"/>
        <v/>
      </c>
      <c r="R225" s="23" t="str">
        <f t="shared" si="85"/>
        <v/>
      </c>
      <c r="S225" s="22"/>
      <c r="T225" s="21" t="str">
        <f t="shared" si="104"/>
        <v/>
      </c>
      <c r="U225" s="23" t="str">
        <f t="shared" si="87"/>
        <v/>
      </c>
      <c r="V225" s="22"/>
      <c r="W225" s="21" t="str">
        <f t="shared" si="105"/>
        <v/>
      </c>
      <c r="X225" s="23" t="str">
        <f t="shared" si="89"/>
        <v/>
      </c>
      <c r="Y225" s="22"/>
      <c r="Z225" s="21" t="str">
        <f t="shared" si="106"/>
        <v/>
      </c>
      <c r="AA225" s="23" t="str">
        <f t="shared" si="91"/>
        <v/>
      </c>
      <c r="AB225" s="22"/>
      <c r="AC225" s="21" t="str">
        <f t="shared" si="107"/>
        <v/>
      </c>
      <c r="AD225" s="23" t="str">
        <f t="shared" si="93"/>
        <v/>
      </c>
      <c r="AE225" s="22"/>
      <c r="AF225" s="21" t="str">
        <f t="shared" si="108"/>
        <v/>
      </c>
      <c r="AG225" s="85" t="str">
        <f t="shared" si="95"/>
        <v/>
      </c>
    </row>
    <row r="226" spans="1:33" x14ac:dyDescent="0.25">
      <c r="A226" s="13">
        <f>WORKDAY(A227,1,JoursFeries!$B$3:$CH$15)</f>
        <v>42550</v>
      </c>
      <c r="B226" s="19" t="s">
        <v>119</v>
      </c>
      <c r="C226" s="19">
        <v>7</v>
      </c>
      <c r="E226" s="19">
        <v>1054</v>
      </c>
      <c r="F226" s="24">
        <f t="shared" si="96"/>
        <v>1054</v>
      </c>
      <c r="G226" s="16">
        <f t="shared" si="83"/>
        <v>0</v>
      </c>
      <c r="H226" s="15">
        <f t="shared" si="101"/>
        <v>150.57142857142858</v>
      </c>
      <c r="I226" s="15"/>
      <c r="J226" s="22">
        <v>249</v>
      </c>
      <c r="K226" s="21">
        <f t="shared" si="102"/>
        <v>35.571428571428569</v>
      </c>
      <c r="L226" s="23">
        <f t="shared" si="98"/>
        <v>0.23624288425047438</v>
      </c>
      <c r="M226" s="22">
        <v>126</v>
      </c>
      <c r="N226" s="21">
        <f t="shared" si="99"/>
        <v>18</v>
      </c>
      <c r="O226" s="23">
        <f t="shared" si="100"/>
        <v>0.11954459203036052</v>
      </c>
      <c r="P226" s="22">
        <v>229</v>
      </c>
      <c r="Q226" s="21">
        <f t="shared" si="103"/>
        <v>32.714285714285715</v>
      </c>
      <c r="R226" s="23">
        <f t="shared" si="85"/>
        <v>0.21726755218216318</v>
      </c>
      <c r="S226" s="22"/>
      <c r="T226" s="21" t="str">
        <f t="shared" si="104"/>
        <v/>
      </c>
      <c r="U226" s="23" t="str">
        <f t="shared" si="87"/>
        <v/>
      </c>
      <c r="V226" s="22"/>
      <c r="W226" s="21" t="str">
        <f t="shared" si="105"/>
        <v/>
      </c>
      <c r="X226" s="23" t="str">
        <f t="shared" si="89"/>
        <v/>
      </c>
      <c r="Y226" s="22">
        <v>150</v>
      </c>
      <c r="Z226" s="21">
        <f t="shared" si="106"/>
        <v>21.428571428571427</v>
      </c>
      <c r="AA226" s="23">
        <f t="shared" si="91"/>
        <v>0.14231499051233396</v>
      </c>
      <c r="AB226" s="22"/>
      <c r="AC226" s="21" t="str">
        <f t="shared" si="107"/>
        <v/>
      </c>
      <c r="AD226" s="23" t="str">
        <f t="shared" si="93"/>
        <v/>
      </c>
      <c r="AE226" s="22">
        <v>300</v>
      </c>
      <c r="AF226" s="21">
        <f t="shared" si="108"/>
        <v>42.857142857142854</v>
      </c>
      <c r="AG226" s="85">
        <f t="shared" si="95"/>
        <v>0.28462998102466791</v>
      </c>
    </row>
    <row r="227" spans="1:33" x14ac:dyDescent="0.25">
      <c r="A227" s="13">
        <f>WORKDAY(A228,1,JoursFeries!$B$3:$CH$15)</f>
        <v>42549</v>
      </c>
      <c r="F227" s="24" t="str">
        <f t="shared" si="96"/>
        <v/>
      </c>
      <c r="G227" s="16" t="str">
        <f t="shared" si="83"/>
        <v/>
      </c>
      <c r="H227" s="15" t="str">
        <f t="shared" si="101"/>
        <v xml:space="preserve"> </v>
      </c>
      <c r="I227" s="15"/>
      <c r="J227" s="22"/>
      <c r="K227" s="21" t="str">
        <f t="shared" si="102"/>
        <v/>
      </c>
      <c r="L227" s="23" t="str">
        <f t="shared" si="98"/>
        <v/>
      </c>
      <c r="M227" s="22"/>
      <c r="N227" s="21" t="str">
        <f t="shared" si="99"/>
        <v/>
      </c>
      <c r="O227" s="23" t="str">
        <f t="shared" si="100"/>
        <v/>
      </c>
      <c r="P227" s="22"/>
      <c r="Q227" s="21" t="str">
        <f t="shared" si="103"/>
        <v/>
      </c>
      <c r="R227" s="23" t="str">
        <f t="shared" si="85"/>
        <v/>
      </c>
      <c r="S227" s="22"/>
      <c r="T227" s="21" t="str">
        <f t="shared" si="104"/>
        <v/>
      </c>
      <c r="U227" s="23" t="str">
        <f t="shared" si="87"/>
        <v/>
      </c>
      <c r="V227" s="22"/>
      <c r="W227" s="21" t="str">
        <f t="shared" si="105"/>
        <v/>
      </c>
      <c r="X227" s="23" t="str">
        <f t="shared" si="89"/>
        <v/>
      </c>
      <c r="Y227" s="22"/>
      <c r="Z227" s="21" t="str">
        <f t="shared" si="106"/>
        <v/>
      </c>
      <c r="AA227" s="23" t="str">
        <f t="shared" si="91"/>
        <v/>
      </c>
      <c r="AB227" s="22"/>
      <c r="AC227" s="21" t="str">
        <f t="shared" si="107"/>
        <v/>
      </c>
      <c r="AD227" s="23" t="str">
        <f t="shared" si="93"/>
        <v/>
      </c>
      <c r="AE227" s="22"/>
      <c r="AF227" s="21" t="str">
        <f t="shared" si="108"/>
        <v/>
      </c>
      <c r="AG227" s="85" t="str">
        <f t="shared" si="95"/>
        <v/>
      </c>
    </row>
    <row r="228" spans="1:33" x14ac:dyDescent="0.25">
      <c r="A228" s="13">
        <f>WORKDAY(A229,1,JoursFeries!$B$3:$CH$15)</f>
        <v>42548</v>
      </c>
      <c r="F228" s="24" t="str">
        <f t="shared" si="96"/>
        <v/>
      </c>
      <c r="G228" s="16" t="str">
        <f t="shared" si="83"/>
        <v/>
      </c>
      <c r="H228" s="15" t="str">
        <f t="shared" si="101"/>
        <v xml:space="preserve"> </v>
      </c>
      <c r="I228" s="15"/>
      <c r="J228" s="22"/>
      <c r="K228" s="21" t="str">
        <f t="shared" si="102"/>
        <v/>
      </c>
      <c r="L228" s="23" t="str">
        <f t="shared" si="98"/>
        <v/>
      </c>
      <c r="M228" s="22"/>
      <c r="N228" s="21" t="str">
        <f t="shared" si="99"/>
        <v/>
      </c>
      <c r="O228" s="23" t="str">
        <f t="shared" si="100"/>
        <v/>
      </c>
      <c r="P228" s="22"/>
      <c r="Q228" s="21" t="str">
        <f t="shared" si="103"/>
        <v/>
      </c>
      <c r="R228" s="23" t="str">
        <f t="shared" si="85"/>
        <v/>
      </c>
      <c r="S228" s="22"/>
      <c r="T228" s="21" t="str">
        <f t="shared" si="104"/>
        <v/>
      </c>
      <c r="U228" s="23" t="str">
        <f t="shared" si="87"/>
        <v/>
      </c>
      <c r="V228" s="22"/>
      <c r="W228" s="21" t="str">
        <f t="shared" si="105"/>
        <v/>
      </c>
      <c r="X228" s="23" t="str">
        <f t="shared" si="89"/>
        <v/>
      </c>
      <c r="Y228" s="22"/>
      <c r="Z228" s="21" t="str">
        <f t="shared" si="106"/>
        <v/>
      </c>
      <c r="AA228" s="23" t="str">
        <f t="shared" si="91"/>
        <v/>
      </c>
      <c r="AB228" s="22"/>
      <c r="AC228" s="21" t="str">
        <f t="shared" si="107"/>
        <v/>
      </c>
      <c r="AD228" s="23" t="str">
        <f t="shared" si="93"/>
        <v/>
      </c>
      <c r="AE228" s="22"/>
      <c r="AF228" s="21" t="str">
        <f t="shared" si="108"/>
        <v/>
      </c>
      <c r="AG228" s="85" t="str">
        <f t="shared" si="95"/>
        <v/>
      </c>
    </row>
    <row r="229" spans="1:33" x14ac:dyDescent="0.25">
      <c r="A229" s="13">
        <f>WORKDAY(A230,1,JoursFeries!$B$3:$CH$15)</f>
        <v>42545</v>
      </c>
      <c r="B229" s="19" t="s">
        <v>115</v>
      </c>
      <c r="C229" s="19">
        <v>13</v>
      </c>
      <c r="E229" s="19">
        <f>-60+1177</f>
        <v>1117</v>
      </c>
      <c r="F229" s="24">
        <f t="shared" si="96"/>
        <v>1503.4202007762351</v>
      </c>
      <c r="G229" s="16">
        <f t="shared" si="83"/>
        <v>-386.42020077623511</v>
      </c>
      <c r="H229" s="15">
        <f t="shared" si="101"/>
        <v>85.92307692307692</v>
      </c>
      <c r="I229" s="15"/>
      <c r="J229" s="22">
        <v>308</v>
      </c>
      <c r="K229" s="21">
        <f t="shared" si="102"/>
        <v>23.692307692307693</v>
      </c>
      <c r="L229" s="23">
        <f t="shared" si="98"/>
        <v>0.27573858549686658</v>
      </c>
      <c r="M229" s="22">
        <v>218</v>
      </c>
      <c r="N229" s="21">
        <f t="shared" si="99"/>
        <v>16.76923076923077</v>
      </c>
      <c r="O229" s="23">
        <f t="shared" si="100"/>
        <v>0.19516562220232767</v>
      </c>
      <c r="P229" s="22">
        <v>211</v>
      </c>
      <c r="Q229" s="21">
        <f t="shared" si="103"/>
        <v>16.23076923076923</v>
      </c>
      <c r="R229" s="23">
        <f t="shared" si="85"/>
        <v>0.18889883616830797</v>
      </c>
      <c r="S229" s="22">
        <v>180</v>
      </c>
      <c r="T229" s="21">
        <f t="shared" si="104"/>
        <v>13.846153846153847</v>
      </c>
      <c r="U229" s="23">
        <f t="shared" si="87"/>
        <v>0.16114592658907789</v>
      </c>
      <c r="V229" s="22"/>
      <c r="W229" s="21" t="str">
        <f t="shared" si="105"/>
        <v/>
      </c>
      <c r="X229" s="23" t="str">
        <f t="shared" si="89"/>
        <v/>
      </c>
      <c r="Y229" s="22">
        <v>200</v>
      </c>
      <c r="Z229" s="21">
        <f t="shared" si="106"/>
        <v>15.384615384615385</v>
      </c>
      <c r="AA229" s="23">
        <f t="shared" si="91"/>
        <v>0.17905102954341987</v>
      </c>
      <c r="AB229" s="22"/>
      <c r="AC229" s="21" t="str">
        <f t="shared" si="107"/>
        <v/>
      </c>
      <c r="AD229" s="23" t="str">
        <f t="shared" si="93"/>
        <v/>
      </c>
      <c r="AE229" s="22"/>
      <c r="AF229" s="21" t="str">
        <f t="shared" si="108"/>
        <v/>
      </c>
      <c r="AG229" s="85" t="str">
        <f t="shared" si="95"/>
        <v/>
      </c>
    </row>
    <row r="230" spans="1:33" x14ac:dyDescent="0.25">
      <c r="A230" s="13">
        <f>WORKDAY(A231,1,JoursFeries!$B$3:$CH$15)</f>
        <v>42544</v>
      </c>
      <c r="B230" s="19" t="s">
        <v>115</v>
      </c>
      <c r="C230" s="19">
        <v>13</v>
      </c>
      <c r="E230" s="19">
        <f>-40+1119</f>
        <v>1079</v>
      </c>
      <c r="F230" s="24">
        <f t="shared" si="96"/>
        <v>1503.4202007762351</v>
      </c>
      <c r="G230" s="16">
        <f t="shared" si="83"/>
        <v>-424.42020077623511</v>
      </c>
      <c r="H230" s="15">
        <f t="shared" si="101"/>
        <v>83</v>
      </c>
      <c r="I230" s="15"/>
      <c r="J230" s="22">
        <v>360</v>
      </c>
      <c r="K230" s="21">
        <f t="shared" si="102"/>
        <v>27.692307692307693</v>
      </c>
      <c r="L230" s="23">
        <f t="shared" si="98"/>
        <v>0.33364226135310471</v>
      </c>
      <c r="M230" s="22">
        <v>149</v>
      </c>
      <c r="N230" s="21">
        <f t="shared" si="99"/>
        <v>11.461538461538462</v>
      </c>
      <c r="O230" s="23">
        <f t="shared" si="100"/>
        <v>0.13809082483781279</v>
      </c>
      <c r="P230" s="22">
        <v>150</v>
      </c>
      <c r="Q230" s="21">
        <f t="shared" si="103"/>
        <v>11.538461538461538</v>
      </c>
      <c r="R230" s="23">
        <f t="shared" si="85"/>
        <v>0.13901760889712697</v>
      </c>
      <c r="S230" s="22">
        <v>220</v>
      </c>
      <c r="T230" s="21">
        <f t="shared" si="104"/>
        <v>16.923076923076923</v>
      </c>
      <c r="U230" s="23">
        <f t="shared" si="87"/>
        <v>0.20389249304911955</v>
      </c>
      <c r="V230" s="22"/>
      <c r="W230" s="21" t="str">
        <f t="shared" si="105"/>
        <v/>
      </c>
      <c r="X230" s="23" t="str">
        <f t="shared" si="89"/>
        <v/>
      </c>
      <c r="Y230" s="22">
        <v>200</v>
      </c>
      <c r="Z230" s="21">
        <f t="shared" si="106"/>
        <v>15.384615384615385</v>
      </c>
      <c r="AA230" s="23">
        <f t="shared" si="91"/>
        <v>0.18535681186283595</v>
      </c>
      <c r="AB230" s="22"/>
      <c r="AC230" s="21" t="str">
        <f t="shared" si="107"/>
        <v/>
      </c>
      <c r="AD230" s="23" t="str">
        <f t="shared" si="93"/>
        <v/>
      </c>
      <c r="AE230" s="22"/>
      <c r="AF230" s="21" t="str">
        <f t="shared" si="108"/>
        <v/>
      </c>
      <c r="AG230" s="85" t="str">
        <f t="shared" si="95"/>
        <v/>
      </c>
    </row>
    <row r="231" spans="1:33" x14ac:dyDescent="0.25">
      <c r="A231" s="13">
        <f>WORKDAY(A232,1,JoursFeries!$B$3:$CH$15)</f>
        <v>42543</v>
      </c>
      <c r="B231" s="19" t="s">
        <v>115</v>
      </c>
      <c r="C231" s="19">
        <v>13</v>
      </c>
      <c r="E231" s="19">
        <f>-46.08+1381.08-80</f>
        <v>1255</v>
      </c>
      <c r="F231" s="24">
        <f t="shared" si="96"/>
        <v>1503.4202007762351</v>
      </c>
      <c r="G231" s="16">
        <f t="shared" si="83"/>
        <v>-248.42020077623511</v>
      </c>
      <c r="H231" s="15">
        <f t="shared" si="101"/>
        <v>96.538461538461533</v>
      </c>
      <c r="I231" s="15"/>
      <c r="J231" s="22">
        <v>350</v>
      </c>
      <c r="K231" s="21">
        <f t="shared" si="102"/>
        <v>26.923076923076923</v>
      </c>
      <c r="L231" s="23">
        <f t="shared" si="98"/>
        <v>0.2788844621513944</v>
      </c>
      <c r="M231" s="22">
        <v>209</v>
      </c>
      <c r="N231" s="21">
        <f t="shared" si="99"/>
        <v>16.076923076923077</v>
      </c>
      <c r="O231" s="23">
        <f t="shared" si="100"/>
        <v>0.16653386454183267</v>
      </c>
      <c r="P231" s="22">
        <v>186</v>
      </c>
      <c r="Q231" s="21">
        <f t="shared" si="103"/>
        <v>14.307692307692308</v>
      </c>
      <c r="R231" s="23">
        <f t="shared" si="85"/>
        <v>0.14820717131474104</v>
      </c>
      <c r="S231" s="22">
        <v>260</v>
      </c>
      <c r="T231" s="21">
        <f t="shared" si="104"/>
        <v>20</v>
      </c>
      <c r="U231" s="23">
        <f t="shared" si="87"/>
        <v>0.20717131474103587</v>
      </c>
      <c r="V231" s="22"/>
      <c r="W231" s="21" t="str">
        <f t="shared" si="105"/>
        <v/>
      </c>
      <c r="X231" s="23" t="str">
        <f t="shared" si="89"/>
        <v/>
      </c>
      <c r="Y231" s="22">
        <v>250</v>
      </c>
      <c r="Z231" s="21">
        <f t="shared" si="106"/>
        <v>19.23076923076923</v>
      </c>
      <c r="AA231" s="23">
        <f t="shared" si="91"/>
        <v>0.19920318725099601</v>
      </c>
      <c r="AB231" s="22"/>
      <c r="AC231" s="21" t="str">
        <f t="shared" si="107"/>
        <v/>
      </c>
      <c r="AD231" s="23" t="str">
        <f t="shared" si="93"/>
        <v/>
      </c>
      <c r="AE231" s="22"/>
      <c r="AF231" s="21" t="str">
        <f t="shared" si="108"/>
        <v/>
      </c>
      <c r="AG231" s="85" t="str">
        <f t="shared" si="95"/>
        <v/>
      </c>
    </row>
    <row r="232" spans="1:33" x14ac:dyDescent="0.25">
      <c r="A232" s="13">
        <f>WORKDAY(A233,1,JoursFeries!$B$3:$CH$15)</f>
        <v>42542</v>
      </c>
      <c r="B232" s="19" t="s">
        <v>115</v>
      </c>
      <c r="C232" s="19">
        <v>10</v>
      </c>
      <c r="E232" s="19">
        <f>-53.28+1053.28-60</f>
        <v>940</v>
      </c>
      <c r="F232" s="24">
        <f t="shared" si="96"/>
        <v>1156.4770775201807</v>
      </c>
      <c r="G232" s="16">
        <f t="shared" si="83"/>
        <v>-216.47707752018073</v>
      </c>
      <c r="H232" s="15">
        <f t="shared" si="101"/>
        <v>94</v>
      </c>
      <c r="I232" s="15"/>
      <c r="J232" s="22">
        <v>260</v>
      </c>
      <c r="K232" s="21">
        <f t="shared" si="102"/>
        <v>26</v>
      </c>
      <c r="L232" s="23">
        <f t="shared" si="98"/>
        <v>0.27659574468085107</v>
      </c>
      <c r="M232" s="22">
        <v>130</v>
      </c>
      <c r="N232" s="21">
        <f t="shared" si="99"/>
        <v>13</v>
      </c>
      <c r="O232" s="23">
        <f t="shared" si="100"/>
        <v>0.13829787234042554</v>
      </c>
      <c r="P232" s="22">
        <v>130</v>
      </c>
      <c r="Q232" s="21">
        <f t="shared" si="103"/>
        <v>13</v>
      </c>
      <c r="R232" s="23">
        <f t="shared" si="85"/>
        <v>0.13829787234042554</v>
      </c>
      <c r="S232" s="22">
        <v>240</v>
      </c>
      <c r="T232" s="21">
        <f t="shared" si="104"/>
        <v>24</v>
      </c>
      <c r="U232" s="23">
        <f t="shared" si="87"/>
        <v>0.25531914893617019</v>
      </c>
      <c r="V232" s="22"/>
      <c r="W232" s="21" t="str">
        <f t="shared" si="105"/>
        <v/>
      </c>
      <c r="X232" s="23" t="str">
        <f t="shared" si="89"/>
        <v/>
      </c>
      <c r="Y232" s="22">
        <v>180</v>
      </c>
      <c r="Z232" s="21">
        <f t="shared" si="106"/>
        <v>18</v>
      </c>
      <c r="AA232" s="23">
        <f t="shared" si="91"/>
        <v>0.19148936170212766</v>
      </c>
      <c r="AB232" s="22"/>
      <c r="AC232" s="21" t="str">
        <f t="shared" si="107"/>
        <v/>
      </c>
      <c r="AD232" s="23" t="str">
        <f t="shared" si="93"/>
        <v/>
      </c>
      <c r="AE232" s="22"/>
      <c r="AF232" s="21" t="str">
        <f t="shared" si="108"/>
        <v/>
      </c>
      <c r="AG232" s="85" t="str">
        <f t="shared" si="95"/>
        <v/>
      </c>
    </row>
    <row r="233" spans="1:33" x14ac:dyDescent="0.25">
      <c r="A233" s="13">
        <f>WORKDAY(A234,1,JoursFeries!$B$3:$CH$15)</f>
        <v>42541</v>
      </c>
      <c r="F233" s="24" t="str">
        <f t="shared" si="96"/>
        <v/>
      </c>
      <c r="G233" s="16" t="str">
        <f t="shared" si="83"/>
        <v/>
      </c>
      <c r="H233" s="15" t="str">
        <f t="shared" si="101"/>
        <v xml:space="preserve"> </v>
      </c>
      <c r="I233" s="15"/>
      <c r="J233" s="22"/>
      <c r="K233" s="21" t="str">
        <f t="shared" si="102"/>
        <v/>
      </c>
      <c r="L233" s="23" t="str">
        <f t="shared" si="98"/>
        <v/>
      </c>
      <c r="M233" s="22"/>
      <c r="N233" s="21" t="str">
        <f t="shared" si="99"/>
        <v/>
      </c>
      <c r="O233" s="23" t="str">
        <f t="shared" si="100"/>
        <v/>
      </c>
      <c r="P233" s="22"/>
      <c r="Q233" s="21" t="str">
        <f t="shared" si="103"/>
        <v/>
      </c>
      <c r="R233" s="23" t="str">
        <f t="shared" si="85"/>
        <v/>
      </c>
      <c r="S233" s="22"/>
      <c r="T233" s="21" t="str">
        <f t="shared" si="104"/>
        <v/>
      </c>
      <c r="U233" s="23" t="str">
        <f t="shared" si="87"/>
        <v/>
      </c>
      <c r="V233" s="22"/>
      <c r="W233" s="21" t="str">
        <f t="shared" si="105"/>
        <v/>
      </c>
      <c r="X233" s="23" t="str">
        <f t="shared" si="89"/>
        <v/>
      </c>
      <c r="Y233" s="22"/>
      <c r="Z233" s="21" t="str">
        <f t="shared" si="106"/>
        <v/>
      </c>
      <c r="AA233" s="23" t="str">
        <f t="shared" si="91"/>
        <v/>
      </c>
      <c r="AB233" s="22"/>
      <c r="AC233" s="21" t="str">
        <f t="shared" si="107"/>
        <v/>
      </c>
      <c r="AD233" s="23" t="str">
        <f t="shared" si="93"/>
        <v/>
      </c>
      <c r="AE233" s="22"/>
      <c r="AF233" s="21" t="str">
        <f t="shared" si="108"/>
        <v/>
      </c>
      <c r="AG233" s="85" t="str">
        <f t="shared" si="95"/>
        <v/>
      </c>
    </row>
    <row r="234" spans="1:33" x14ac:dyDescent="0.25">
      <c r="A234" s="13">
        <f>WORKDAY(A235,1,JoursFeries!$B$3:$CH$15)</f>
        <v>42538</v>
      </c>
      <c r="B234" s="19" t="s">
        <v>115</v>
      </c>
      <c r="C234" s="19">
        <v>10</v>
      </c>
      <c r="E234" s="19">
        <f>-57.34+1158.34-60</f>
        <v>1041</v>
      </c>
      <c r="F234" s="24">
        <f t="shared" si="96"/>
        <v>1156.4770775201807</v>
      </c>
      <c r="G234" s="16">
        <f t="shared" si="83"/>
        <v>-115.47707752018073</v>
      </c>
      <c r="H234" s="15">
        <f t="shared" si="101"/>
        <v>104.1</v>
      </c>
      <c r="I234" s="15"/>
      <c r="J234" s="22">
        <v>282</v>
      </c>
      <c r="K234" s="21">
        <f t="shared" si="102"/>
        <v>28.2</v>
      </c>
      <c r="L234" s="23">
        <f t="shared" si="98"/>
        <v>0.27089337175792505</v>
      </c>
      <c r="M234" s="22">
        <v>179</v>
      </c>
      <c r="N234" s="21">
        <f t="shared" si="99"/>
        <v>17.899999999999999</v>
      </c>
      <c r="O234" s="23">
        <f t="shared" si="100"/>
        <v>0.17195004803073968</v>
      </c>
      <c r="P234" s="22">
        <v>200</v>
      </c>
      <c r="Q234" s="21">
        <f t="shared" si="103"/>
        <v>20</v>
      </c>
      <c r="R234" s="23">
        <f t="shared" si="85"/>
        <v>0.19212295869356388</v>
      </c>
      <c r="S234" s="22">
        <v>200</v>
      </c>
      <c r="T234" s="21">
        <f t="shared" si="104"/>
        <v>20</v>
      </c>
      <c r="U234" s="23">
        <f t="shared" si="87"/>
        <v>0.19212295869356388</v>
      </c>
      <c r="V234" s="22"/>
      <c r="W234" s="21" t="str">
        <f t="shared" si="105"/>
        <v/>
      </c>
      <c r="X234" s="23" t="str">
        <f t="shared" si="89"/>
        <v/>
      </c>
      <c r="Y234" s="22">
        <v>180</v>
      </c>
      <c r="Z234" s="21">
        <f t="shared" si="106"/>
        <v>18</v>
      </c>
      <c r="AA234" s="23">
        <f t="shared" si="91"/>
        <v>0.1729106628242075</v>
      </c>
      <c r="AB234" s="22"/>
      <c r="AC234" s="21" t="str">
        <f t="shared" si="107"/>
        <v/>
      </c>
      <c r="AD234" s="23" t="str">
        <f t="shared" si="93"/>
        <v/>
      </c>
      <c r="AE234" s="22"/>
      <c r="AF234" s="21" t="str">
        <f t="shared" si="108"/>
        <v/>
      </c>
      <c r="AG234" s="85" t="str">
        <f t="shared" si="95"/>
        <v/>
      </c>
    </row>
    <row r="235" spans="1:33" x14ac:dyDescent="0.25">
      <c r="A235" s="13">
        <f>WORKDAY(A236,1,JoursFeries!$B$3:$CH$15)</f>
        <v>42537</v>
      </c>
      <c r="B235" s="19" t="s">
        <v>115</v>
      </c>
      <c r="C235" s="19">
        <v>13</v>
      </c>
      <c r="E235" s="19">
        <f>-80+1435</f>
        <v>1355</v>
      </c>
      <c r="F235" s="24">
        <f t="shared" si="96"/>
        <v>1503.4202007762351</v>
      </c>
      <c r="G235" s="16">
        <f t="shared" si="83"/>
        <v>-148.42020077623511</v>
      </c>
      <c r="H235" s="15">
        <f t="shared" si="101"/>
        <v>104.23076923076923</v>
      </c>
      <c r="I235" s="15"/>
      <c r="J235" s="22">
        <v>350</v>
      </c>
      <c r="K235" s="21">
        <f t="shared" si="102"/>
        <v>26.923076923076923</v>
      </c>
      <c r="L235" s="23">
        <f t="shared" si="98"/>
        <v>0.25830258302583026</v>
      </c>
      <c r="M235" s="22">
        <v>190</v>
      </c>
      <c r="N235" s="21">
        <f t="shared" si="99"/>
        <v>14.615384615384615</v>
      </c>
      <c r="O235" s="23">
        <f t="shared" si="100"/>
        <v>0.14022140221402213</v>
      </c>
      <c r="P235" s="22">
        <v>275</v>
      </c>
      <c r="Q235" s="21">
        <f t="shared" si="103"/>
        <v>21.153846153846153</v>
      </c>
      <c r="R235" s="23">
        <f t="shared" si="85"/>
        <v>0.2029520295202952</v>
      </c>
      <c r="S235" s="22">
        <v>300</v>
      </c>
      <c r="T235" s="21">
        <f t="shared" si="104"/>
        <v>23.076923076923077</v>
      </c>
      <c r="U235" s="23">
        <f t="shared" si="87"/>
        <v>0.22140221402214022</v>
      </c>
      <c r="V235" s="22"/>
      <c r="W235" s="21" t="str">
        <f t="shared" si="105"/>
        <v/>
      </c>
      <c r="X235" s="23" t="str">
        <f t="shared" si="89"/>
        <v/>
      </c>
      <c r="Y235" s="22">
        <v>240</v>
      </c>
      <c r="Z235" s="21">
        <f t="shared" si="106"/>
        <v>18.46153846153846</v>
      </c>
      <c r="AA235" s="23">
        <f t="shared" si="91"/>
        <v>0.17712177121771217</v>
      </c>
      <c r="AB235" s="22"/>
      <c r="AC235" s="21" t="str">
        <f t="shared" si="107"/>
        <v/>
      </c>
      <c r="AD235" s="23" t="str">
        <f t="shared" si="93"/>
        <v/>
      </c>
      <c r="AE235" s="22"/>
      <c r="AF235" s="21" t="str">
        <f t="shared" si="108"/>
        <v/>
      </c>
      <c r="AG235" s="85" t="str">
        <f t="shared" si="95"/>
        <v/>
      </c>
    </row>
    <row r="236" spans="1:33" x14ac:dyDescent="0.25">
      <c r="A236" s="13">
        <f>WORKDAY(A237,1,JoursFeries!$B$3:$CH$15)</f>
        <v>42536</v>
      </c>
      <c r="B236" s="19" t="s">
        <v>115</v>
      </c>
      <c r="C236" s="19">
        <v>13</v>
      </c>
      <c r="E236" s="19">
        <f>-87.34-150.34+1847.68</f>
        <v>1610</v>
      </c>
      <c r="F236" s="24">
        <f t="shared" si="96"/>
        <v>1503.4202007762351</v>
      </c>
      <c r="G236" s="16">
        <f t="shared" si="83"/>
        <v>106.57979922376489</v>
      </c>
      <c r="H236" s="15">
        <f t="shared" si="101"/>
        <v>123.84615384615384</v>
      </c>
      <c r="I236" s="15"/>
      <c r="J236" s="22">
        <v>400</v>
      </c>
      <c r="K236" s="21">
        <f t="shared" si="102"/>
        <v>30.76923076923077</v>
      </c>
      <c r="L236" s="23">
        <f t="shared" si="98"/>
        <v>0.2484472049689441</v>
      </c>
      <c r="M236" s="22">
        <v>230</v>
      </c>
      <c r="N236" s="21">
        <f t="shared" si="99"/>
        <v>17.692307692307693</v>
      </c>
      <c r="O236" s="23">
        <f t="shared" si="100"/>
        <v>0.14285714285714285</v>
      </c>
      <c r="P236" s="22">
        <v>380</v>
      </c>
      <c r="Q236" s="21">
        <f t="shared" si="103"/>
        <v>29.23076923076923</v>
      </c>
      <c r="R236" s="23">
        <f t="shared" si="85"/>
        <v>0.2360248447204969</v>
      </c>
      <c r="S236" s="22">
        <v>350</v>
      </c>
      <c r="T236" s="21">
        <f t="shared" si="104"/>
        <v>26.923076923076923</v>
      </c>
      <c r="U236" s="23">
        <f t="shared" si="87"/>
        <v>0.21739130434782608</v>
      </c>
      <c r="V236" s="22"/>
      <c r="W236" s="21" t="str">
        <f t="shared" si="105"/>
        <v/>
      </c>
      <c r="X236" s="23" t="str">
        <f t="shared" si="89"/>
        <v/>
      </c>
      <c r="Y236" s="22">
        <v>250</v>
      </c>
      <c r="Z236" s="21">
        <f t="shared" si="106"/>
        <v>19.23076923076923</v>
      </c>
      <c r="AA236" s="23">
        <f t="shared" si="91"/>
        <v>0.15527950310559005</v>
      </c>
      <c r="AB236" s="22"/>
      <c r="AC236" s="21" t="str">
        <f t="shared" si="107"/>
        <v/>
      </c>
      <c r="AD236" s="23" t="str">
        <f t="shared" si="93"/>
        <v/>
      </c>
      <c r="AE236" s="22"/>
      <c r="AF236" s="21" t="str">
        <f t="shared" si="108"/>
        <v/>
      </c>
      <c r="AG236" s="85" t="str">
        <f t="shared" si="95"/>
        <v/>
      </c>
    </row>
    <row r="237" spans="1:33" x14ac:dyDescent="0.25">
      <c r="A237" s="13">
        <f>WORKDAY(A238,1,JoursFeries!$B$3:$CH$15)</f>
        <v>42535</v>
      </c>
      <c r="B237" s="19" t="s">
        <v>115</v>
      </c>
      <c r="C237" s="19">
        <v>13</v>
      </c>
      <c r="E237" s="19">
        <f>-36.4-202.3+1594.7</f>
        <v>1356</v>
      </c>
      <c r="F237" s="24">
        <f t="shared" si="96"/>
        <v>1503.4202007762351</v>
      </c>
      <c r="G237" s="16">
        <f t="shared" si="83"/>
        <v>-147.42020077623511</v>
      </c>
      <c r="H237" s="15">
        <f t="shared" si="101"/>
        <v>104.30769230769231</v>
      </c>
      <c r="I237" s="15"/>
      <c r="J237" s="22">
        <v>400</v>
      </c>
      <c r="K237" s="21">
        <f t="shared" si="102"/>
        <v>30.76923076923077</v>
      </c>
      <c r="L237" s="23">
        <f t="shared" si="98"/>
        <v>0.29498525073746312</v>
      </c>
      <c r="M237" s="22">
        <v>171</v>
      </c>
      <c r="N237" s="21">
        <f t="shared" si="99"/>
        <v>13.153846153846153</v>
      </c>
      <c r="O237" s="23">
        <f t="shared" si="100"/>
        <v>0.12610619469026549</v>
      </c>
      <c r="P237" s="22">
        <v>305</v>
      </c>
      <c r="Q237" s="21">
        <f t="shared" si="103"/>
        <v>23.46153846153846</v>
      </c>
      <c r="R237" s="23">
        <f t="shared" si="85"/>
        <v>0.22492625368731564</v>
      </c>
      <c r="S237" s="22">
        <v>240</v>
      </c>
      <c r="T237" s="21">
        <f t="shared" si="104"/>
        <v>18.46153846153846</v>
      </c>
      <c r="U237" s="23">
        <f t="shared" si="87"/>
        <v>0.17699115044247787</v>
      </c>
      <c r="V237" s="22"/>
      <c r="W237" s="21" t="str">
        <f t="shared" si="105"/>
        <v/>
      </c>
      <c r="X237" s="23" t="str">
        <f t="shared" si="89"/>
        <v/>
      </c>
      <c r="Y237" s="22">
        <v>240</v>
      </c>
      <c r="Z237" s="21">
        <f t="shared" si="106"/>
        <v>18.46153846153846</v>
      </c>
      <c r="AA237" s="23">
        <f t="shared" si="91"/>
        <v>0.17699115044247787</v>
      </c>
      <c r="AB237" s="22"/>
      <c r="AC237" s="21" t="str">
        <f t="shared" si="107"/>
        <v/>
      </c>
      <c r="AD237" s="23" t="str">
        <f t="shared" si="93"/>
        <v/>
      </c>
      <c r="AE237" s="22"/>
      <c r="AF237" s="21" t="str">
        <f t="shared" si="108"/>
        <v/>
      </c>
      <c r="AG237" s="85" t="str">
        <f t="shared" si="95"/>
        <v/>
      </c>
    </row>
    <row r="238" spans="1:33" x14ac:dyDescent="0.25">
      <c r="A238" s="13">
        <f>WORKDAY(A239,1,JoursFeries!$B$3:$CH$15)</f>
        <v>42534</v>
      </c>
      <c r="B238" s="19" t="s">
        <v>115</v>
      </c>
      <c r="C238" s="19">
        <v>13</v>
      </c>
      <c r="E238" s="19">
        <f>-25.14-151.34+2345.48-500-160</f>
        <v>1509</v>
      </c>
      <c r="F238" s="24">
        <f t="shared" si="96"/>
        <v>1503.4202007762351</v>
      </c>
      <c r="G238" s="16">
        <f t="shared" si="83"/>
        <v>5.5797992237648941</v>
      </c>
      <c r="H238" s="15">
        <f t="shared" si="101"/>
        <v>116.07692307692308</v>
      </c>
      <c r="I238" s="15"/>
      <c r="J238" s="22">
        <v>400</v>
      </c>
      <c r="K238" s="21">
        <f t="shared" si="102"/>
        <v>30.76923076923077</v>
      </c>
      <c r="L238" s="23">
        <f t="shared" si="98"/>
        <v>0.26507620941020543</v>
      </c>
      <c r="M238" s="22">
        <v>204</v>
      </c>
      <c r="N238" s="21">
        <f t="shared" si="99"/>
        <v>15.692307692307692</v>
      </c>
      <c r="O238" s="23">
        <f t="shared" si="100"/>
        <v>0.13518886679920478</v>
      </c>
      <c r="P238" s="22">
        <v>285</v>
      </c>
      <c r="Q238" s="21">
        <f t="shared" si="103"/>
        <v>21.923076923076923</v>
      </c>
      <c r="R238" s="23">
        <f t="shared" si="85"/>
        <v>0.18886679920477137</v>
      </c>
      <c r="S238" s="22">
        <v>360</v>
      </c>
      <c r="T238" s="21">
        <f t="shared" si="104"/>
        <v>27.692307692307693</v>
      </c>
      <c r="U238" s="23">
        <f t="shared" si="87"/>
        <v>0.23856858846918488</v>
      </c>
      <c r="V238" s="22"/>
      <c r="W238" s="21" t="str">
        <f t="shared" si="105"/>
        <v/>
      </c>
      <c r="X238" s="23" t="str">
        <f t="shared" si="89"/>
        <v/>
      </c>
      <c r="Y238" s="22">
        <v>260</v>
      </c>
      <c r="Z238" s="21">
        <f t="shared" si="106"/>
        <v>20</v>
      </c>
      <c r="AA238" s="23">
        <f t="shared" si="91"/>
        <v>0.17229953611663354</v>
      </c>
      <c r="AB238" s="22"/>
      <c r="AC238" s="21" t="str">
        <f t="shared" si="107"/>
        <v/>
      </c>
      <c r="AD238" s="23" t="str">
        <f t="shared" si="93"/>
        <v/>
      </c>
      <c r="AE238" s="22"/>
      <c r="AF238" s="21" t="str">
        <f t="shared" si="108"/>
        <v/>
      </c>
      <c r="AG238" s="85" t="str">
        <f t="shared" si="95"/>
        <v/>
      </c>
    </row>
    <row r="239" spans="1:33" x14ac:dyDescent="0.25">
      <c r="A239" s="13">
        <f>WORKDAY(A240,1,JoursFeries!$B$3:$CH$15)</f>
        <v>42531</v>
      </c>
      <c r="F239" s="24" t="str">
        <f t="shared" si="96"/>
        <v/>
      </c>
      <c r="G239" s="16" t="str">
        <f t="shared" si="83"/>
        <v/>
      </c>
      <c r="H239" s="15" t="str">
        <f t="shared" si="101"/>
        <v xml:space="preserve"> </v>
      </c>
      <c r="I239" s="15"/>
      <c r="J239" s="22"/>
      <c r="K239" s="21" t="str">
        <f t="shared" si="102"/>
        <v/>
      </c>
      <c r="L239" s="23" t="str">
        <f t="shared" si="98"/>
        <v/>
      </c>
      <c r="M239" s="22"/>
      <c r="N239" s="21" t="str">
        <f t="shared" si="99"/>
        <v/>
      </c>
      <c r="O239" s="23" t="str">
        <f t="shared" si="100"/>
        <v/>
      </c>
      <c r="P239" s="22"/>
      <c r="Q239" s="21" t="str">
        <f t="shared" si="103"/>
        <v/>
      </c>
      <c r="R239" s="23" t="str">
        <f t="shared" si="85"/>
        <v/>
      </c>
      <c r="S239" s="22"/>
      <c r="T239" s="21" t="str">
        <f t="shared" si="104"/>
        <v/>
      </c>
      <c r="U239" s="23" t="str">
        <f t="shared" si="87"/>
        <v/>
      </c>
      <c r="V239" s="22"/>
      <c r="W239" s="21" t="str">
        <f t="shared" si="105"/>
        <v/>
      </c>
      <c r="X239" s="23" t="str">
        <f t="shared" si="89"/>
        <v/>
      </c>
      <c r="Y239" s="22"/>
      <c r="Z239" s="21" t="str">
        <f t="shared" si="106"/>
        <v/>
      </c>
      <c r="AA239" s="23" t="str">
        <f t="shared" si="91"/>
        <v/>
      </c>
      <c r="AB239" s="22"/>
      <c r="AC239" s="21" t="str">
        <f t="shared" si="107"/>
        <v/>
      </c>
      <c r="AD239" s="23" t="str">
        <f t="shared" si="93"/>
        <v/>
      </c>
      <c r="AE239" s="22"/>
      <c r="AF239" s="21" t="str">
        <f t="shared" si="108"/>
        <v/>
      </c>
      <c r="AG239" s="85" t="str">
        <f t="shared" si="95"/>
        <v/>
      </c>
    </row>
    <row r="240" spans="1:33" x14ac:dyDescent="0.25">
      <c r="A240" s="13">
        <f>WORKDAY(A241,1,JoursFeries!$B$3:$CH$15)</f>
        <v>42530</v>
      </c>
      <c r="B240" s="19" t="s">
        <v>115</v>
      </c>
      <c r="C240" s="19">
        <v>13</v>
      </c>
      <c r="E240" s="19">
        <f>-157.44-84.6+1522.04-60</f>
        <v>1220</v>
      </c>
      <c r="F240" s="24">
        <f t="shared" si="96"/>
        <v>1503.4202007762351</v>
      </c>
      <c r="G240" s="16">
        <f t="shared" si="83"/>
        <v>-283.42020077623511</v>
      </c>
      <c r="H240" s="15">
        <f t="shared" si="101"/>
        <v>93.84615384615384</v>
      </c>
      <c r="I240" s="15"/>
      <c r="J240" s="22">
        <v>300</v>
      </c>
      <c r="K240" s="21">
        <f t="shared" si="102"/>
        <v>23.076923076923077</v>
      </c>
      <c r="L240" s="23">
        <f t="shared" si="98"/>
        <v>0.24590163934426229</v>
      </c>
      <c r="M240" s="22">
        <v>255</v>
      </c>
      <c r="N240" s="21">
        <f t="shared" si="99"/>
        <v>19.615384615384617</v>
      </c>
      <c r="O240" s="23">
        <f t="shared" si="100"/>
        <v>0.20901639344262296</v>
      </c>
      <c r="P240" s="22">
        <v>305</v>
      </c>
      <c r="Q240" s="21">
        <f t="shared" si="103"/>
        <v>23.46153846153846</v>
      </c>
      <c r="R240" s="23">
        <f t="shared" si="85"/>
        <v>0.25</v>
      </c>
      <c r="S240" s="22">
        <v>160</v>
      </c>
      <c r="T240" s="21">
        <f t="shared" si="104"/>
        <v>12.307692307692308</v>
      </c>
      <c r="U240" s="23">
        <f t="shared" si="87"/>
        <v>0.13114754098360656</v>
      </c>
      <c r="V240" s="22"/>
      <c r="W240" s="21" t="str">
        <f t="shared" si="105"/>
        <v/>
      </c>
      <c r="X240" s="23" t="str">
        <f t="shared" si="89"/>
        <v/>
      </c>
      <c r="Y240" s="22">
        <v>200</v>
      </c>
      <c r="Z240" s="21">
        <f t="shared" si="106"/>
        <v>15.384615384615385</v>
      </c>
      <c r="AA240" s="23">
        <f t="shared" si="91"/>
        <v>0.16393442622950818</v>
      </c>
      <c r="AB240" s="22"/>
      <c r="AC240" s="21" t="str">
        <f t="shared" si="107"/>
        <v/>
      </c>
      <c r="AD240" s="23" t="str">
        <f t="shared" si="93"/>
        <v/>
      </c>
      <c r="AE240" s="22"/>
      <c r="AF240" s="21" t="str">
        <f t="shared" si="108"/>
        <v/>
      </c>
      <c r="AG240" s="85" t="str">
        <f t="shared" si="95"/>
        <v/>
      </c>
    </row>
    <row r="241" spans="1:33" x14ac:dyDescent="0.25">
      <c r="A241" s="13">
        <f>WORKDAY(A242,1,JoursFeries!$B$3:$CH$15)</f>
        <v>42529</v>
      </c>
      <c r="B241" s="19" t="s">
        <v>115</v>
      </c>
      <c r="C241" s="19">
        <v>11</v>
      </c>
      <c r="E241" s="19">
        <v>1120</v>
      </c>
      <c r="F241" s="24">
        <f t="shared" si="96"/>
        <v>1272.1247852721988</v>
      </c>
      <c r="G241" s="16">
        <f t="shared" si="83"/>
        <v>-152.12478527219878</v>
      </c>
      <c r="H241" s="15">
        <f t="shared" si="101"/>
        <v>101.81818181818181</v>
      </c>
      <c r="I241" s="15"/>
      <c r="J241" s="22">
        <v>300</v>
      </c>
      <c r="K241" s="21">
        <f t="shared" si="102"/>
        <v>27.272727272727273</v>
      </c>
      <c r="L241" s="23">
        <f t="shared" si="98"/>
        <v>0.26785714285714285</v>
      </c>
      <c r="M241" s="22">
        <v>150</v>
      </c>
      <c r="N241" s="21">
        <f t="shared" si="99"/>
        <v>13.636363636363637</v>
      </c>
      <c r="O241" s="23">
        <f t="shared" si="100"/>
        <v>0.13392857142857142</v>
      </c>
      <c r="P241" s="22">
        <v>290</v>
      </c>
      <c r="Q241" s="21">
        <f t="shared" si="103"/>
        <v>26.363636363636363</v>
      </c>
      <c r="R241" s="23">
        <f t="shared" si="85"/>
        <v>0.25892857142857145</v>
      </c>
      <c r="S241" s="22">
        <v>180</v>
      </c>
      <c r="T241" s="21">
        <f t="shared" si="104"/>
        <v>16.363636363636363</v>
      </c>
      <c r="U241" s="23">
        <f t="shared" si="87"/>
        <v>0.16071428571428573</v>
      </c>
      <c r="V241" s="22"/>
      <c r="W241" s="21" t="str">
        <f t="shared" si="105"/>
        <v/>
      </c>
      <c r="X241" s="23" t="str">
        <f t="shared" si="89"/>
        <v/>
      </c>
      <c r="Y241" s="22">
        <v>200</v>
      </c>
      <c r="Z241" s="21">
        <f t="shared" si="106"/>
        <v>18.181818181818183</v>
      </c>
      <c r="AA241" s="23">
        <f t="shared" si="91"/>
        <v>0.17857142857142858</v>
      </c>
      <c r="AB241" s="22"/>
      <c r="AC241" s="21" t="str">
        <f t="shared" si="107"/>
        <v/>
      </c>
      <c r="AD241" s="23" t="str">
        <f t="shared" si="93"/>
        <v/>
      </c>
      <c r="AE241" s="22"/>
      <c r="AF241" s="21" t="str">
        <f t="shared" si="108"/>
        <v/>
      </c>
      <c r="AG241" s="85" t="str">
        <f t="shared" si="95"/>
        <v/>
      </c>
    </row>
    <row r="242" spans="1:33" x14ac:dyDescent="0.25">
      <c r="A242" s="13">
        <f>WORKDAY(A243,1,JoursFeries!$B$3:$CH$15)</f>
        <v>42528</v>
      </c>
      <c r="B242" s="19" t="s">
        <v>116</v>
      </c>
      <c r="C242" s="19">
        <v>12</v>
      </c>
      <c r="E242" s="19">
        <v>1548</v>
      </c>
      <c r="F242" s="24">
        <f t="shared" si="96"/>
        <v>1491.0277959813188</v>
      </c>
      <c r="G242" s="16">
        <f t="shared" si="83"/>
        <v>56.972204018681168</v>
      </c>
      <c r="H242" s="15">
        <f t="shared" si="101"/>
        <v>129</v>
      </c>
      <c r="I242" s="15"/>
      <c r="J242" s="22">
        <v>300</v>
      </c>
      <c r="K242" s="21">
        <f t="shared" si="102"/>
        <v>25</v>
      </c>
      <c r="L242" s="23">
        <f t="shared" si="98"/>
        <v>0.19379844961240311</v>
      </c>
      <c r="M242" s="22">
        <v>165</v>
      </c>
      <c r="N242" s="21">
        <f t="shared" si="99"/>
        <v>13.75</v>
      </c>
      <c r="O242" s="23">
        <f t="shared" si="100"/>
        <v>0.1065891472868217</v>
      </c>
      <c r="P242" s="22">
        <v>383</v>
      </c>
      <c r="Q242" s="21">
        <f t="shared" si="103"/>
        <v>31.916666666666668</v>
      </c>
      <c r="R242" s="23">
        <f t="shared" si="85"/>
        <v>0.24741602067183463</v>
      </c>
      <c r="S242" s="22">
        <v>200</v>
      </c>
      <c r="T242" s="21">
        <f t="shared" si="104"/>
        <v>16.666666666666668</v>
      </c>
      <c r="U242" s="23">
        <f t="shared" si="87"/>
        <v>0.12919896640826872</v>
      </c>
      <c r="V242" s="22"/>
      <c r="W242" s="21" t="str">
        <f t="shared" si="105"/>
        <v/>
      </c>
      <c r="X242" s="23" t="str">
        <f t="shared" si="89"/>
        <v/>
      </c>
      <c r="Y242" s="22"/>
      <c r="Z242" s="21" t="str">
        <f t="shared" si="106"/>
        <v/>
      </c>
      <c r="AA242" s="23" t="str">
        <f t="shared" si="91"/>
        <v/>
      </c>
      <c r="AB242" s="22">
        <v>500</v>
      </c>
      <c r="AC242" s="21">
        <f t="shared" si="107"/>
        <v>41.666666666666664</v>
      </c>
      <c r="AD242" s="23">
        <f t="shared" si="93"/>
        <v>0.32299741602067183</v>
      </c>
      <c r="AE242" s="22"/>
      <c r="AF242" s="21" t="str">
        <f t="shared" si="108"/>
        <v/>
      </c>
      <c r="AG242" s="85" t="str">
        <f t="shared" si="95"/>
        <v/>
      </c>
    </row>
    <row r="243" spans="1:33" x14ac:dyDescent="0.25">
      <c r="A243" s="13">
        <f>WORKDAY(A244,1,JoursFeries!$B$3:$CH$15)</f>
        <v>42527</v>
      </c>
      <c r="B243" s="19" t="s">
        <v>116</v>
      </c>
      <c r="C243" s="19">
        <v>13</v>
      </c>
      <c r="E243" s="19">
        <f>-80+1619</f>
        <v>1539</v>
      </c>
      <c r="F243" s="24">
        <f t="shared" si="96"/>
        <v>1615.2801123130953</v>
      </c>
      <c r="G243" s="16">
        <f t="shared" si="83"/>
        <v>-76.280112313095287</v>
      </c>
      <c r="H243" s="15">
        <f t="shared" si="101"/>
        <v>118.38461538461539</v>
      </c>
      <c r="I243" s="15"/>
      <c r="J243" s="22">
        <v>400</v>
      </c>
      <c r="K243" s="21">
        <f t="shared" ref="K243:K274" si="109">IF(ISBLANK(J243),"",J243/(C243-IF(ISBLANK(D243),0,D243)))</f>
        <v>30.76923076923077</v>
      </c>
      <c r="L243" s="23">
        <f t="shared" si="98"/>
        <v>0.25990903183885639</v>
      </c>
      <c r="M243" s="22">
        <v>124</v>
      </c>
      <c r="N243" s="21">
        <f t="shared" si="99"/>
        <v>9.5384615384615383</v>
      </c>
      <c r="O243" s="23">
        <f t="shared" si="100"/>
        <v>8.057179987004548E-2</v>
      </c>
      <c r="P243" s="22">
        <v>255</v>
      </c>
      <c r="Q243" s="21">
        <f t="shared" ref="Q243:Q274" si="110">IF(ISBLANK(P243),"",P243/($C243-IF(ISBLANK($D243),0,$D243)))</f>
        <v>19.615384615384617</v>
      </c>
      <c r="R243" s="23">
        <f t="shared" si="85"/>
        <v>0.16569200779727095</v>
      </c>
      <c r="S243" s="22">
        <v>260</v>
      </c>
      <c r="T243" s="21">
        <f t="shared" ref="T243:T274" si="111">IF(ISBLANK(S243),"",S243/($C243-IF(ISBLANK($D243),0,$D243)))</f>
        <v>20</v>
      </c>
      <c r="U243" s="23">
        <f t="shared" si="87"/>
        <v>0.16894087069525665</v>
      </c>
      <c r="V243" s="22"/>
      <c r="W243" s="21" t="str">
        <f t="shared" ref="W243:W274" si="112">IF(ISBLANK(V243),"",V243/($C243-IF(ISBLANK($D243),0,$D243)))</f>
        <v/>
      </c>
      <c r="X243" s="23" t="str">
        <f t="shared" si="89"/>
        <v/>
      </c>
      <c r="Y243" s="22"/>
      <c r="Z243" s="21" t="str">
        <f t="shared" ref="Z243:Z274" si="113">IF(ISBLANK(Y243),"",Y243/($C243-IF(ISBLANK($D243),0,$D243)))</f>
        <v/>
      </c>
      <c r="AA243" s="23" t="str">
        <f t="shared" si="91"/>
        <v/>
      </c>
      <c r="AB243" s="22">
        <v>500</v>
      </c>
      <c r="AC243" s="21">
        <f t="shared" ref="AC243:AC274" si="114">IF(ISBLANK(AB243),"",AB243/($C243-IF(ISBLANK($D243),0,$D243)))</f>
        <v>38.46153846153846</v>
      </c>
      <c r="AD243" s="23">
        <f t="shared" si="93"/>
        <v>0.32488628979857048</v>
      </c>
      <c r="AE243" s="22"/>
      <c r="AF243" s="21" t="str">
        <f t="shared" ref="AF243:AF274" si="115">IF(ISBLANK(AE243),"",AE243/($C243-IF(ISBLANK($D243),0,$D243)))</f>
        <v/>
      </c>
      <c r="AG243" s="85" t="str">
        <f t="shared" si="95"/>
        <v/>
      </c>
    </row>
    <row r="244" spans="1:33" x14ac:dyDescent="0.25">
      <c r="A244" s="13">
        <f>WORKDAY(A245,1,JoursFeries!$B$3:$CH$15)</f>
        <v>42524</v>
      </c>
      <c r="F244" s="24" t="str">
        <f t="shared" si="96"/>
        <v/>
      </c>
      <c r="G244" s="16" t="str">
        <f t="shared" si="83"/>
        <v/>
      </c>
      <c r="H244" s="15" t="str">
        <f t="shared" si="101"/>
        <v xml:space="preserve"> </v>
      </c>
      <c r="I244" s="15"/>
      <c r="J244" s="22"/>
      <c r="K244" s="21" t="str">
        <f t="shared" si="109"/>
        <v/>
      </c>
      <c r="L244" s="23" t="str">
        <f t="shared" si="98"/>
        <v/>
      </c>
      <c r="M244" s="22"/>
      <c r="N244" s="21" t="str">
        <f t="shared" si="99"/>
        <v/>
      </c>
      <c r="O244" s="23" t="str">
        <f t="shared" si="100"/>
        <v/>
      </c>
      <c r="P244" s="22"/>
      <c r="Q244" s="21" t="str">
        <f t="shared" si="110"/>
        <v/>
      </c>
      <c r="R244" s="23" t="str">
        <f t="shared" si="85"/>
        <v/>
      </c>
      <c r="S244" s="22"/>
      <c r="T244" s="21" t="str">
        <f t="shared" si="111"/>
        <v/>
      </c>
      <c r="U244" s="23" t="str">
        <f t="shared" si="87"/>
        <v/>
      </c>
      <c r="V244" s="22"/>
      <c r="W244" s="21" t="str">
        <f t="shared" si="112"/>
        <v/>
      </c>
      <c r="X244" s="23" t="str">
        <f t="shared" si="89"/>
        <v/>
      </c>
      <c r="Y244" s="22"/>
      <c r="Z244" s="21" t="str">
        <f t="shared" si="113"/>
        <v/>
      </c>
      <c r="AA244" s="23" t="str">
        <f t="shared" si="91"/>
        <v/>
      </c>
      <c r="AB244" s="22"/>
      <c r="AC244" s="21" t="str">
        <f t="shared" si="114"/>
        <v/>
      </c>
      <c r="AD244" s="23" t="str">
        <f t="shared" si="93"/>
        <v/>
      </c>
      <c r="AE244" s="22"/>
      <c r="AF244" s="21" t="str">
        <f t="shared" si="115"/>
        <v/>
      </c>
      <c r="AG244" s="85" t="str">
        <f t="shared" si="95"/>
        <v/>
      </c>
    </row>
    <row r="245" spans="1:33" x14ac:dyDescent="0.25">
      <c r="A245" s="13">
        <f>WORKDAY(A246,1,JoursFeries!$B$3:$CH$15)</f>
        <v>42523</v>
      </c>
      <c r="B245" s="19" t="s">
        <v>116</v>
      </c>
      <c r="C245" s="19">
        <v>13</v>
      </c>
      <c r="E245" s="19">
        <f>-12.78-12.92-479.6+1866.3-100</f>
        <v>1261</v>
      </c>
      <c r="F245" s="24">
        <f t="shared" si="96"/>
        <v>1615.2801123130953</v>
      </c>
      <c r="G245" s="16">
        <f t="shared" si="83"/>
        <v>-354.28011231309529</v>
      </c>
      <c r="H245" s="15">
        <f t="shared" si="101"/>
        <v>97</v>
      </c>
      <c r="I245" s="15"/>
      <c r="J245" s="22">
        <v>300</v>
      </c>
      <c r="K245" s="21">
        <f t="shared" si="109"/>
        <v>23.076923076923077</v>
      </c>
      <c r="L245" s="23">
        <f t="shared" si="98"/>
        <v>0.23790642347343377</v>
      </c>
      <c r="M245" s="22">
        <v>250</v>
      </c>
      <c r="N245" s="21">
        <f t="shared" si="99"/>
        <v>19.23076923076923</v>
      </c>
      <c r="O245" s="23">
        <f t="shared" si="100"/>
        <v>0.19825535289452814</v>
      </c>
      <c r="P245" s="22">
        <v>241</v>
      </c>
      <c r="Q245" s="21">
        <f t="shared" si="110"/>
        <v>18.53846153846154</v>
      </c>
      <c r="R245" s="23">
        <f t="shared" si="85"/>
        <v>0.19111816019032513</v>
      </c>
      <c r="S245" s="22">
        <v>70</v>
      </c>
      <c r="T245" s="21">
        <f t="shared" si="111"/>
        <v>5.384615384615385</v>
      </c>
      <c r="U245" s="23">
        <f t="shared" si="87"/>
        <v>5.551149881046788E-2</v>
      </c>
      <c r="V245" s="22"/>
      <c r="W245" s="21" t="str">
        <f t="shared" si="112"/>
        <v/>
      </c>
      <c r="X245" s="23" t="str">
        <f t="shared" si="89"/>
        <v/>
      </c>
      <c r="Y245" s="22"/>
      <c r="Z245" s="21" t="str">
        <f t="shared" si="113"/>
        <v/>
      </c>
      <c r="AA245" s="23" t="str">
        <f t="shared" si="91"/>
        <v/>
      </c>
      <c r="AB245" s="22">
        <v>400</v>
      </c>
      <c r="AC245" s="21">
        <f t="shared" si="114"/>
        <v>30.76923076923077</v>
      </c>
      <c r="AD245" s="23">
        <f t="shared" si="93"/>
        <v>0.31720856463124503</v>
      </c>
      <c r="AE245" s="22"/>
      <c r="AF245" s="21" t="str">
        <f t="shared" si="115"/>
        <v/>
      </c>
      <c r="AG245" s="85" t="str">
        <f t="shared" si="95"/>
        <v/>
      </c>
    </row>
    <row r="246" spans="1:33" x14ac:dyDescent="0.25">
      <c r="A246" s="13">
        <f>WORKDAY(A247,1,JoursFeries!$B$3:$CH$15)</f>
        <v>42522</v>
      </c>
      <c r="B246" s="19" t="s">
        <v>116</v>
      </c>
      <c r="C246" s="19">
        <v>13</v>
      </c>
      <c r="E246" s="19">
        <v>1570</v>
      </c>
      <c r="F246" s="24">
        <f t="shared" si="96"/>
        <v>1615.2801123130953</v>
      </c>
      <c r="G246" s="16">
        <f t="shared" si="83"/>
        <v>-45.280112313095287</v>
      </c>
      <c r="H246" s="15">
        <f t="shared" si="101"/>
        <v>120.76923076923077</v>
      </c>
      <c r="I246" s="15"/>
      <c r="J246" s="22">
        <v>400</v>
      </c>
      <c r="K246" s="21">
        <f t="shared" si="109"/>
        <v>30.76923076923077</v>
      </c>
      <c r="L246" s="23">
        <f t="shared" si="98"/>
        <v>0.25477707006369427</v>
      </c>
      <c r="M246" s="22">
        <v>120</v>
      </c>
      <c r="N246" s="21">
        <f t="shared" si="99"/>
        <v>9.2307692307692299</v>
      </c>
      <c r="O246" s="23">
        <f t="shared" si="100"/>
        <v>7.6433121019108277E-2</v>
      </c>
      <c r="P246" s="22">
        <v>420</v>
      </c>
      <c r="Q246" s="21">
        <f t="shared" si="110"/>
        <v>32.307692307692307</v>
      </c>
      <c r="R246" s="23">
        <f t="shared" si="85"/>
        <v>0.26751592356687898</v>
      </c>
      <c r="S246" s="22">
        <v>150</v>
      </c>
      <c r="T246" s="21">
        <f t="shared" si="111"/>
        <v>11.538461538461538</v>
      </c>
      <c r="U246" s="23">
        <f t="shared" si="87"/>
        <v>9.5541401273885357E-2</v>
      </c>
      <c r="V246" s="22"/>
      <c r="W246" s="21" t="str">
        <f t="shared" si="112"/>
        <v/>
      </c>
      <c r="X246" s="23" t="str">
        <f t="shared" si="89"/>
        <v/>
      </c>
      <c r="Y246" s="22"/>
      <c r="Z246" s="21" t="str">
        <f t="shared" si="113"/>
        <v/>
      </c>
      <c r="AA246" s="23" t="str">
        <f t="shared" si="91"/>
        <v/>
      </c>
      <c r="AB246" s="22">
        <v>480</v>
      </c>
      <c r="AC246" s="21">
        <f t="shared" si="114"/>
        <v>36.92307692307692</v>
      </c>
      <c r="AD246" s="23">
        <f t="shared" si="93"/>
        <v>0.30573248407643311</v>
      </c>
      <c r="AE246" s="22"/>
      <c r="AF246" s="21" t="str">
        <f t="shared" si="115"/>
        <v/>
      </c>
      <c r="AG246" s="85" t="str">
        <f t="shared" si="95"/>
        <v/>
      </c>
    </row>
    <row r="247" spans="1:33" x14ac:dyDescent="0.25">
      <c r="A247" s="13">
        <f>WORKDAY(A248,1,JoursFeries!$B$3:$CH$15)</f>
        <v>42521</v>
      </c>
      <c r="F247" s="24" t="str">
        <f t="shared" si="96"/>
        <v/>
      </c>
      <c r="G247" s="16" t="str">
        <f t="shared" si="83"/>
        <v/>
      </c>
      <c r="H247" s="15" t="str">
        <f t="shared" si="101"/>
        <v xml:space="preserve"> </v>
      </c>
      <c r="I247" s="15"/>
      <c r="J247" s="22"/>
      <c r="K247" s="21" t="str">
        <f t="shared" si="109"/>
        <v/>
      </c>
      <c r="L247" s="23" t="str">
        <f t="shared" si="98"/>
        <v/>
      </c>
      <c r="M247" s="22"/>
      <c r="N247" s="21" t="str">
        <f t="shared" si="99"/>
        <v/>
      </c>
      <c r="O247" s="23" t="str">
        <f t="shared" si="100"/>
        <v/>
      </c>
      <c r="P247" s="22"/>
      <c r="Q247" s="21" t="str">
        <f t="shared" si="110"/>
        <v/>
      </c>
      <c r="R247" s="23" t="str">
        <f t="shared" si="85"/>
        <v/>
      </c>
      <c r="S247" s="22"/>
      <c r="T247" s="21" t="str">
        <f t="shared" si="111"/>
        <v/>
      </c>
      <c r="U247" s="23" t="str">
        <f t="shared" si="87"/>
        <v/>
      </c>
      <c r="V247" s="22"/>
      <c r="W247" s="21" t="str">
        <f t="shared" si="112"/>
        <v/>
      </c>
      <c r="X247" s="23" t="str">
        <f t="shared" si="89"/>
        <v/>
      </c>
      <c r="Y247" s="22"/>
      <c r="Z247" s="21" t="str">
        <f t="shared" si="113"/>
        <v/>
      </c>
      <c r="AA247" s="23" t="str">
        <f t="shared" si="91"/>
        <v/>
      </c>
      <c r="AB247" s="22"/>
      <c r="AC247" s="21" t="str">
        <f t="shared" si="114"/>
        <v/>
      </c>
      <c r="AD247" s="23" t="str">
        <f t="shared" si="93"/>
        <v/>
      </c>
      <c r="AE247" s="22"/>
      <c r="AF247" s="21" t="str">
        <f t="shared" si="115"/>
        <v/>
      </c>
      <c r="AG247" s="85" t="str">
        <f t="shared" si="95"/>
        <v/>
      </c>
    </row>
    <row r="248" spans="1:33" x14ac:dyDescent="0.25">
      <c r="A248" s="13">
        <f>WORKDAY(A249,1,JoursFeries!$B$3:$CH$15)</f>
        <v>42520</v>
      </c>
      <c r="B248" s="19" t="s">
        <v>116</v>
      </c>
      <c r="C248" s="19">
        <v>13</v>
      </c>
      <c r="E248" s="19">
        <v>1780</v>
      </c>
      <c r="F248" s="24">
        <f t="shared" si="96"/>
        <v>1615.2801123130953</v>
      </c>
      <c r="G248" s="16">
        <f t="shared" si="83"/>
        <v>164.71988768690471</v>
      </c>
      <c r="H248" s="15">
        <f t="shared" si="101"/>
        <v>136.92307692307693</v>
      </c>
      <c r="I248" s="15"/>
      <c r="J248" s="22">
        <v>520</v>
      </c>
      <c r="K248" s="21">
        <f t="shared" si="109"/>
        <v>40</v>
      </c>
      <c r="L248" s="23">
        <f t="shared" si="98"/>
        <v>0.29213483146067415</v>
      </c>
      <c r="M248" s="22">
        <v>220</v>
      </c>
      <c r="N248" s="21">
        <f t="shared" si="99"/>
        <v>16.923076923076923</v>
      </c>
      <c r="O248" s="23">
        <f t="shared" si="100"/>
        <v>0.12359550561797752</v>
      </c>
      <c r="P248" s="22">
        <v>320</v>
      </c>
      <c r="Q248" s="21">
        <f t="shared" si="110"/>
        <v>24.615384615384617</v>
      </c>
      <c r="R248" s="23">
        <f t="shared" si="85"/>
        <v>0.1797752808988764</v>
      </c>
      <c r="S248" s="22">
        <v>200</v>
      </c>
      <c r="T248" s="21">
        <f t="shared" si="111"/>
        <v>15.384615384615385</v>
      </c>
      <c r="U248" s="23">
        <f t="shared" si="87"/>
        <v>0.11235955056179775</v>
      </c>
      <c r="V248" s="22"/>
      <c r="W248" s="21" t="str">
        <f t="shared" si="112"/>
        <v/>
      </c>
      <c r="X248" s="23" t="str">
        <f t="shared" si="89"/>
        <v/>
      </c>
      <c r="Y248" s="22"/>
      <c r="Z248" s="21" t="str">
        <f t="shared" si="113"/>
        <v/>
      </c>
      <c r="AA248" s="23" t="str">
        <f t="shared" si="91"/>
        <v/>
      </c>
      <c r="AB248" s="22">
        <v>520</v>
      </c>
      <c r="AC248" s="21">
        <f t="shared" si="114"/>
        <v>40</v>
      </c>
      <c r="AD248" s="23">
        <f t="shared" si="93"/>
        <v>0.29213483146067415</v>
      </c>
      <c r="AE248" s="22"/>
      <c r="AF248" s="21" t="str">
        <f t="shared" si="115"/>
        <v/>
      </c>
      <c r="AG248" s="85" t="str">
        <f t="shared" si="95"/>
        <v/>
      </c>
    </row>
    <row r="249" spans="1:33" x14ac:dyDescent="0.25">
      <c r="A249" s="13">
        <f>WORKDAY(A250,1,JoursFeries!$B$3:$CH$15)</f>
        <v>42517</v>
      </c>
      <c r="F249" s="24" t="str">
        <f t="shared" si="96"/>
        <v/>
      </c>
      <c r="G249" s="16" t="str">
        <f t="shared" si="83"/>
        <v/>
      </c>
      <c r="H249" s="15" t="str">
        <f t="shared" si="101"/>
        <v xml:space="preserve"> </v>
      </c>
      <c r="I249" s="15"/>
      <c r="J249" s="22"/>
      <c r="K249" s="21" t="str">
        <f t="shared" si="109"/>
        <v/>
      </c>
      <c r="L249" s="23" t="str">
        <f t="shared" si="98"/>
        <v/>
      </c>
      <c r="M249" s="22"/>
      <c r="N249" s="21" t="str">
        <f t="shared" si="99"/>
        <v/>
      </c>
      <c r="O249" s="23" t="str">
        <f t="shared" si="100"/>
        <v/>
      </c>
      <c r="P249" s="22"/>
      <c r="Q249" s="21" t="str">
        <f t="shared" si="110"/>
        <v/>
      </c>
      <c r="R249" s="23" t="str">
        <f t="shared" si="85"/>
        <v/>
      </c>
      <c r="S249" s="22"/>
      <c r="T249" s="21" t="str">
        <f t="shared" si="111"/>
        <v/>
      </c>
      <c r="U249" s="23" t="str">
        <f t="shared" si="87"/>
        <v/>
      </c>
      <c r="V249" s="22"/>
      <c r="W249" s="21" t="str">
        <f t="shared" si="112"/>
        <v/>
      </c>
      <c r="X249" s="23" t="str">
        <f t="shared" si="89"/>
        <v/>
      </c>
      <c r="Y249" s="22"/>
      <c r="Z249" s="21" t="str">
        <f t="shared" si="113"/>
        <v/>
      </c>
      <c r="AA249" s="23" t="str">
        <f t="shared" si="91"/>
        <v/>
      </c>
      <c r="AB249" s="22"/>
      <c r="AC249" s="21" t="str">
        <f t="shared" si="114"/>
        <v/>
      </c>
      <c r="AD249" s="23" t="str">
        <f t="shared" si="93"/>
        <v/>
      </c>
      <c r="AE249" s="22"/>
      <c r="AF249" s="21" t="str">
        <f t="shared" si="115"/>
        <v/>
      </c>
      <c r="AG249" s="85" t="str">
        <f t="shared" si="95"/>
        <v/>
      </c>
    </row>
    <row r="250" spans="1:33" x14ac:dyDescent="0.25">
      <c r="A250" s="13">
        <f>WORKDAY(A251,1,JoursFeries!$B$3:$CH$15)</f>
        <v>42516</v>
      </c>
      <c r="B250" s="19" t="s">
        <v>116</v>
      </c>
      <c r="C250" s="19">
        <v>13</v>
      </c>
      <c r="E250" s="19">
        <v>1585</v>
      </c>
      <c r="F250" s="24">
        <f t="shared" si="96"/>
        <v>1615.2801123130953</v>
      </c>
      <c r="G250" s="16">
        <f t="shared" si="83"/>
        <v>-30.280112313095287</v>
      </c>
      <c r="H250" s="15">
        <f t="shared" si="101"/>
        <v>121.92307692307692</v>
      </c>
      <c r="I250" s="15"/>
      <c r="J250" s="22">
        <v>400</v>
      </c>
      <c r="K250" s="21">
        <f t="shared" si="109"/>
        <v>30.76923076923077</v>
      </c>
      <c r="L250" s="23">
        <f t="shared" si="98"/>
        <v>0.25236593059936907</v>
      </c>
      <c r="M250" s="22">
        <v>215</v>
      </c>
      <c r="N250" s="21">
        <f t="shared" si="99"/>
        <v>16.53846153846154</v>
      </c>
      <c r="O250" s="23">
        <f t="shared" si="100"/>
        <v>0.13564668769716087</v>
      </c>
      <c r="P250" s="22">
        <v>380</v>
      </c>
      <c r="Q250" s="21">
        <f t="shared" si="110"/>
        <v>29.23076923076923</v>
      </c>
      <c r="R250" s="23">
        <f t="shared" si="85"/>
        <v>0.23974763406940064</v>
      </c>
      <c r="S250" s="22">
        <v>150</v>
      </c>
      <c r="T250" s="21">
        <f t="shared" si="111"/>
        <v>11.538461538461538</v>
      </c>
      <c r="U250" s="23">
        <f t="shared" si="87"/>
        <v>9.4637223974763401E-2</v>
      </c>
      <c r="V250" s="22"/>
      <c r="W250" s="21" t="str">
        <f t="shared" si="112"/>
        <v/>
      </c>
      <c r="X250" s="23" t="str">
        <f t="shared" si="89"/>
        <v/>
      </c>
      <c r="Y250" s="22"/>
      <c r="Z250" s="21" t="str">
        <f t="shared" si="113"/>
        <v/>
      </c>
      <c r="AA250" s="23" t="str">
        <f t="shared" si="91"/>
        <v/>
      </c>
      <c r="AB250" s="22">
        <v>440</v>
      </c>
      <c r="AC250" s="21">
        <f t="shared" si="114"/>
        <v>33.846153846153847</v>
      </c>
      <c r="AD250" s="23">
        <f t="shared" si="93"/>
        <v>0.27760252365930599</v>
      </c>
      <c r="AE250" s="22"/>
      <c r="AF250" s="21" t="str">
        <f t="shared" si="115"/>
        <v/>
      </c>
      <c r="AG250" s="85" t="str">
        <f t="shared" si="95"/>
        <v/>
      </c>
    </row>
    <row r="251" spans="1:33" x14ac:dyDescent="0.25">
      <c r="A251" s="13">
        <f>WORKDAY(A252,1,JoursFeries!$B$3:$CH$15)</f>
        <v>42515</v>
      </c>
      <c r="B251" s="19" t="s">
        <v>116</v>
      </c>
      <c r="C251" s="19">
        <v>13</v>
      </c>
      <c r="E251" s="19">
        <f>-57.7+1492.7</f>
        <v>1435</v>
      </c>
      <c r="F251" s="24">
        <f t="shared" si="96"/>
        <v>1615.2801123130953</v>
      </c>
      <c r="G251" s="16">
        <f t="shared" si="83"/>
        <v>-180.28011231309529</v>
      </c>
      <c r="H251" s="15">
        <f t="shared" si="101"/>
        <v>110.38461538461539</v>
      </c>
      <c r="I251" s="15"/>
      <c r="J251" s="22">
        <v>400</v>
      </c>
      <c r="K251" s="21">
        <f t="shared" si="109"/>
        <v>30.76923076923077</v>
      </c>
      <c r="L251" s="23">
        <f t="shared" si="98"/>
        <v>0.27874564459930312</v>
      </c>
      <c r="M251" s="22">
        <v>255</v>
      </c>
      <c r="N251" s="21">
        <f t="shared" si="99"/>
        <v>19.615384615384617</v>
      </c>
      <c r="O251" s="23">
        <f t="shared" si="100"/>
        <v>0.17770034843205576</v>
      </c>
      <c r="P251" s="22">
        <v>300</v>
      </c>
      <c r="Q251" s="21">
        <f t="shared" si="110"/>
        <v>23.076923076923077</v>
      </c>
      <c r="R251" s="23">
        <f t="shared" si="85"/>
        <v>0.20905923344947736</v>
      </c>
      <c r="S251" s="22">
        <v>40</v>
      </c>
      <c r="T251" s="21">
        <f t="shared" si="111"/>
        <v>3.0769230769230771</v>
      </c>
      <c r="U251" s="23">
        <f t="shared" si="87"/>
        <v>2.7874564459930314E-2</v>
      </c>
      <c r="V251" s="22"/>
      <c r="W251" s="21" t="str">
        <f t="shared" si="112"/>
        <v/>
      </c>
      <c r="X251" s="23" t="str">
        <f t="shared" si="89"/>
        <v/>
      </c>
      <c r="Y251" s="22"/>
      <c r="Z251" s="21" t="str">
        <f t="shared" si="113"/>
        <v/>
      </c>
      <c r="AA251" s="23" t="str">
        <f t="shared" si="91"/>
        <v/>
      </c>
      <c r="AB251" s="22">
        <v>440</v>
      </c>
      <c r="AC251" s="21">
        <f t="shared" si="114"/>
        <v>33.846153846153847</v>
      </c>
      <c r="AD251" s="23">
        <f t="shared" si="93"/>
        <v>0.30662020905923343</v>
      </c>
      <c r="AE251" s="22"/>
      <c r="AF251" s="21" t="str">
        <f t="shared" si="115"/>
        <v/>
      </c>
      <c r="AG251" s="85" t="str">
        <f t="shared" si="95"/>
        <v/>
      </c>
    </row>
    <row r="252" spans="1:33" x14ac:dyDescent="0.25">
      <c r="A252" s="13">
        <f>WORKDAY(A253,1,JoursFeries!$B$3:$CH$15)</f>
        <v>42514</v>
      </c>
      <c r="B252" s="19" t="s">
        <v>116</v>
      </c>
      <c r="C252" s="19">
        <v>13</v>
      </c>
      <c r="E252" s="19">
        <f>-36.22+1673.22</f>
        <v>1637</v>
      </c>
      <c r="F252" s="24">
        <f t="shared" si="96"/>
        <v>1615.2801123130953</v>
      </c>
      <c r="G252" s="16">
        <f t="shared" si="83"/>
        <v>21.719887686904713</v>
      </c>
      <c r="H252" s="15">
        <f t="shared" si="101"/>
        <v>125.92307692307692</v>
      </c>
      <c r="I252" s="15"/>
      <c r="J252" s="22">
        <v>500</v>
      </c>
      <c r="K252" s="21">
        <f t="shared" si="109"/>
        <v>38.46153846153846</v>
      </c>
      <c r="L252" s="23">
        <f t="shared" si="98"/>
        <v>0.30543677458766033</v>
      </c>
      <c r="M252" s="22">
        <v>277</v>
      </c>
      <c r="N252" s="21">
        <f t="shared" si="99"/>
        <v>21.307692307692307</v>
      </c>
      <c r="O252" s="23">
        <f t="shared" si="100"/>
        <v>0.16921197312156383</v>
      </c>
      <c r="P252" s="22">
        <v>400</v>
      </c>
      <c r="Q252" s="21">
        <f t="shared" si="110"/>
        <v>30.76923076923077</v>
      </c>
      <c r="R252" s="23">
        <f t="shared" si="85"/>
        <v>0.24434941967012827</v>
      </c>
      <c r="S252" s="22">
        <v>60</v>
      </c>
      <c r="T252" s="21">
        <f t="shared" si="111"/>
        <v>4.615384615384615</v>
      </c>
      <c r="U252" s="23">
        <f t="shared" si="87"/>
        <v>3.6652412950519242E-2</v>
      </c>
      <c r="V252" s="22"/>
      <c r="W252" s="21" t="str">
        <f t="shared" si="112"/>
        <v/>
      </c>
      <c r="X252" s="23" t="str">
        <f t="shared" si="89"/>
        <v/>
      </c>
      <c r="Y252" s="22"/>
      <c r="Z252" s="21" t="str">
        <f t="shared" si="113"/>
        <v/>
      </c>
      <c r="AA252" s="23" t="str">
        <f t="shared" si="91"/>
        <v/>
      </c>
      <c r="AB252" s="22">
        <v>400</v>
      </c>
      <c r="AC252" s="21">
        <f t="shared" si="114"/>
        <v>30.76923076923077</v>
      </c>
      <c r="AD252" s="23">
        <f t="shared" si="93"/>
        <v>0.24434941967012827</v>
      </c>
      <c r="AE252" s="22"/>
      <c r="AF252" s="21" t="str">
        <f t="shared" si="115"/>
        <v/>
      </c>
      <c r="AG252" s="85" t="str">
        <f t="shared" si="95"/>
        <v/>
      </c>
    </row>
    <row r="253" spans="1:33" x14ac:dyDescent="0.25">
      <c r="A253" s="13">
        <f>WORKDAY(A254,1,JoursFeries!$B$3:$CH$15)</f>
        <v>42513</v>
      </c>
      <c r="F253" s="24" t="str">
        <f t="shared" si="96"/>
        <v/>
      </c>
      <c r="G253" s="16" t="str">
        <f t="shared" si="83"/>
        <v/>
      </c>
      <c r="H253" s="15" t="str">
        <f t="shared" si="101"/>
        <v xml:space="preserve"> </v>
      </c>
      <c r="I253" s="15"/>
      <c r="J253" s="22"/>
      <c r="K253" s="21" t="str">
        <f t="shared" si="109"/>
        <v/>
      </c>
      <c r="L253" s="23" t="str">
        <f t="shared" si="98"/>
        <v/>
      </c>
      <c r="M253" s="22"/>
      <c r="N253" s="21" t="str">
        <f t="shared" si="99"/>
        <v/>
      </c>
      <c r="O253" s="23" t="str">
        <f t="shared" si="100"/>
        <v/>
      </c>
      <c r="P253" s="22"/>
      <c r="Q253" s="21" t="str">
        <f t="shared" si="110"/>
        <v/>
      </c>
      <c r="R253" s="23" t="str">
        <f t="shared" si="85"/>
        <v/>
      </c>
      <c r="S253" s="22"/>
      <c r="T253" s="21" t="str">
        <f t="shared" si="111"/>
        <v/>
      </c>
      <c r="U253" s="23" t="str">
        <f t="shared" si="87"/>
        <v/>
      </c>
      <c r="V253" s="22"/>
      <c r="W253" s="21" t="str">
        <f t="shared" si="112"/>
        <v/>
      </c>
      <c r="X253" s="23" t="str">
        <f t="shared" si="89"/>
        <v/>
      </c>
      <c r="Y253" s="22"/>
      <c r="Z253" s="21" t="str">
        <f t="shared" si="113"/>
        <v/>
      </c>
      <c r="AA253" s="23" t="str">
        <f t="shared" si="91"/>
        <v/>
      </c>
      <c r="AB253" s="22"/>
      <c r="AC253" s="21" t="str">
        <f t="shared" si="114"/>
        <v/>
      </c>
      <c r="AD253" s="23" t="str">
        <f t="shared" si="93"/>
        <v/>
      </c>
      <c r="AE253" s="22"/>
      <c r="AF253" s="21" t="str">
        <f t="shared" si="115"/>
        <v/>
      </c>
      <c r="AG253" s="85" t="str">
        <f t="shared" si="95"/>
        <v/>
      </c>
    </row>
    <row r="254" spans="1:33" x14ac:dyDescent="0.25">
      <c r="A254" s="18">
        <f>WORKDAY(A255,1,JoursFeries!$B$3:$CH$15)</f>
        <v>42510</v>
      </c>
      <c r="F254" s="24" t="str">
        <f t="shared" si="96"/>
        <v/>
      </c>
      <c r="G254" s="16" t="str">
        <f t="shared" si="83"/>
        <v/>
      </c>
      <c r="H254" s="15" t="str">
        <f t="shared" si="101"/>
        <v xml:space="preserve"> </v>
      </c>
      <c r="I254" s="15"/>
      <c r="J254" s="22"/>
      <c r="K254" s="21" t="str">
        <f t="shared" si="109"/>
        <v/>
      </c>
      <c r="L254" s="23" t="str">
        <f t="shared" si="98"/>
        <v/>
      </c>
      <c r="M254" s="22"/>
      <c r="N254" s="21" t="str">
        <f t="shared" si="99"/>
        <v/>
      </c>
      <c r="O254" s="23" t="str">
        <f t="shared" si="100"/>
        <v/>
      </c>
      <c r="P254" s="22"/>
      <c r="Q254" s="21" t="str">
        <f t="shared" si="110"/>
        <v/>
      </c>
      <c r="R254" s="23" t="str">
        <f t="shared" si="85"/>
        <v/>
      </c>
      <c r="S254" s="22"/>
      <c r="T254" s="21" t="str">
        <f t="shared" si="111"/>
        <v/>
      </c>
      <c r="U254" s="23" t="str">
        <f t="shared" si="87"/>
        <v/>
      </c>
      <c r="V254" s="22"/>
      <c r="W254" s="21" t="str">
        <f t="shared" si="112"/>
        <v/>
      </c>
      <c r="X254" s="23" t="str">
        <f t="shared" si="89"/>
        <v/>
      </c>
      <c r="Y254" s="22"/>
      <c r="Z254" s="21" t="str">
        <f t="shared" si="113"/>
        <v/>
      </c>
      <c r="AA254" s="23" t="str">
        <f t="shared" si="91"/>
        <v/>
      </c>
      <c r="AB254" s="22"/>
      <c r="AC254" s="21" t="str">
        <f t="shared" si="114"/>
        <v/>
      </c>
      <c r="AD254" s="23" t="str">
        <f t="shared" si="93"/>
        <v/>
      </c>
      <c r="AE254" s="22"/>
      <c r="AF254" s="21" t="str">
        <f t="shared" si="115"/>
        <v/>
      </c>
      <c r="AG254" s="85" t="str">
        <f t="shared" si="95"/>
        <v/>
      </c>
    </row>
    <row r="255" spans="1:33" x14ac:dyDescent="0.25">
      <c r="A255" s="18">
        <f>WORKDAY(A256,1,JoursFeries!$B$3:$CH$15)</f>
        <v>42509</v>
      </c>
      <c r="F255" s="24" t="str">
        <f t="shared" si="96"/>
        <v/>
      </c>
      <c r="G255" s="16" t="str">
        <f t="shared" si="83"/>
        <v/>
      </c>
      <c r="H255" s="15" t="str">
        <f t="shared" si="101"/>
        <v xml:space="preserve"> </v>
      </c>
      <c r="I255" s="15"/>
      <c r="J255" s="22"/>
      <c r="K255" s="21" t="str">
        <f t="shared" si="109"/>
        <v/>
      </c>
      <c r="L255" s="23" t="str">
        <f t="shared" si="98"/>
        <v/>
      </c>
      <c r="M255" s="22"/>
      <c r="N255" s="21" t="str">
        <f t="shared" si="99"/>
        <v/>
      </c>
      <c r="O255" s="23" t="str">
        <f t="shared" si="100"/>
        <v/>
      </c>
      <c r="P255" s="22"/>
      <c r="Q255" s="21" t="str">
        <f t="shared" si="110"/>
        <v/>
      </c>
      <c r="R255" s="23" t="str">
        <f t="shared" si="85"/>
        <v/>
      </c>
      <c r="S255" s="22"/>
      <c r="T255" s="21" t="str">
        <f t="shared" si="111"/>
        <v/>
      </c>
      <c r="U255" s="23" t="str">
        <f t="shared" si="87"/>
        <v/>
      </c>
      <c r="V255" s="22"/>
      <c r="W255" s="21" t="str">
        <f t="shared" si="112"/>
        <v/>
      </c>
      <c r="X255" s="23" t="str">
        <f t="shared" si="89"/>
        <v/>
      </c>
      <c r="Y255" s="22"/>
      <c r="Z255" s="21" t="str">
        <f t="shared" si="113"/>
        <v/>
      </c>
      <c r="AA255" s="23" t="str">
        <f t="shared" si="91"/>
        <v/>
      </c>
      <c r="AB255" s="22"/>
      <c r="AC255" s="21" t="str">
        <f t="shared" si="114"/>
        <v/>
      </c>
      <c r="AD255" s="23" t="str">
        <f t="shared" si="93"/>
        <v/>
      </c>
      <c r="AE255" s="22"/>
      <c r="AF255" s="21" t="str">
        <f t="shared" si="115"/>
        <v/>
      </c>
      <c r="AG255" s="85" t="str">
        <f t="shared" si="95"/>
        <v/>
      </c>
    </row>
    <row r="256" spans="1:33" x14ac:dyDescent="0.25">
      <c r="A256" s="13">
        <f>WORKDAY(A257,1,JoursFeries!$B$3:$CH$15)</f>
        <v>42508</v>
      </c>
      <c r="B256" s="19" t="s">
        <v>120</v>
      </c>
      <c r="C256" s="19">
        <v>6</v>
      </c>
      <c r="E256" s="19">
        <f>-87.22-10.88+1310.1</f>
        <v>1212</v>
      </c>
      <c r="F256" s="24">
        <f t="shared" si="96"/>
        <v>906.99209010742345</v>
      </c>
      <c r="G256" s="16">
        <f t="shared" si="83"/>
        <v>305.00790989257655</v>
      </c>
      <c r="H256" s="15">
        <f t="shared" si="101"/>
        <v>202</v>
      </c>
      <c r="I256" s="15"/>
      <c r="J256" s="22">
        <v>207</v>
      </c>
      <c r="K256" s="21">
        <f t="shared" si="109"/>
        <v>34.5</v>
      </c>
      <c r="L256" s="23">
        <f t="shared" si="98"/>
        <v>0.1707920792079208</v>
      </c>
      <c r="M256" s="22">
        <v>178</v>
      </c>
      <c r="N256" s="21">
        <f t="shared" si="99"/>
        <v>29.666666666666668</v>
      </c>
      <c r="O256" s="23">
        <f t="shared" si="100"/>
        <v>0.14686468646864687</v>
      </c>
      <c r="P256" s="22">
        <v>147</v>
      </c>
      <c r="Q256" s="21">
        <f t="shared" si="110"/>
        <v>24.5</v>
      </c>
      <c r="R256" s="23">
        <f t="shared" si="85"/>
        <v>0.12128712871287128</v>
      </c>
      <c r="S256" s="22"/>
      <c r="T256" s="21" t="str">
        <f t="shared" si="111"/>
        <v/>
      </c>
      <c r="U256" s="23" t="str">
        <f t="shared" si="87"/>
        <v/>
      </c>
      <c r="V256" s="22"/>
      <c r="W256" s="21" t="str">
        <f t="shared" si="112"/>
        <v/>
      </c>
      <c r="X256" s="23" t="str">
        <f t="shared" si="89"/>
        <v/>
      </c>
      <c r="Y256" s="22"/>
      <c r="Z256" s="21" t="str">
        <f t="shared" si="113"/>
        <v/>
      </c>
      <c r="AA256" s="23" t="str">
        <f t="shared" si="91"/>
        <v/>
      </c>
      <c r="AB256" s="22">
        <v>300</v>
      </c>
      <c r="AC256" s="21">
        <f t="shared" si="114"/>
        <v>50</v>
      </c>
      <c r="AD256" s="23">
        <f t="shared" si="93"/>
        <v>0.24752475247524752</v>
      </c>
      <c r="AE256" s="22">
        <v>380</v>
      </c>
      <c r="AF256" s="21">
        <f t="shared" si="115"/>
        <v>63.333333333333336</v>
      </c>
      <c r="AG256" s="85">
        <f t="shared" si="95"/>
        <v>0.31353135313531355</v>
      </c>
    </row>
    <row r="257" spans="1:33" x14ac:dyDescent="0.25">
      <c r="A257" s="13">
        <f>WORKDAY(A258,1,JoursFeries!$B$3:$CH$15)</f>
        <v>42507</v>
      </c>
      <c r="B257" s="19" t="s">
        <v>120</v>
      </c>
      <c r="C257" s="19">
        <v>7</v>
      </c>
      <c r="E257" s="19">
        <v>985</v>
      </c>
      <c r="F257" s="24">
        <f t="shared" si="96"/>
        <v>1058.1574384586606</v>
      </c>
      <c r="G257" s="16">
        <f t="shared" si="83"/>
        <v>-73.157438458660636</v>
      </c>
      <c r="H257" s="15">
        <f t="shared" si="101"/>
        <v>140.71428571428572</v>
      </c>
      <c r="I257" s="15"/>
      <c r="J257" s="22">
        <v>220</v>
      </c>
      <c r="K257" s="21">
        <f t="shared" si="109"/>
        <v>31.428571428571427</v>
      </c>
      <c r="L257" s="23">
        <f t="shared" si="98"/>
        <v>0.2233502538071066</v>
      </c>
      <c r="M257" s="22">
        <v>90</v>
      </c>
      <c r="N257" s="21">
        <f t="shared" si="99"/>
        <v>12.857142857142858</v>
      </c>
      <c r="O257" s="23">
        <f t="shared" si="100"/>
        <v>9.1370558375634514E-2</v>
      </c>
      <c r="P257" s="22">
        <v>90</v>
      </c>
      <c r="Q257" s="21">
        <f t="shared" si="110"/>
        <v>12.857142857142858</v>
      </c>
      <c r="R257" s="23">
        <f t="shared" si="85"/>
        <v>9.1370558375634514E-2</v>
      </c>
      <c r="S257" s="22"/>
      <c r="T257" s="21" t="str">
        <f t="shared" si="111"/>
        <v/>
      </c>
      <c r="U257" s="23" t="str">
        <f t="shared" si="87"/>
        <v/>
      </c>
      <c r="V257" s="22"/>
      <c r="W257" s="21" t="str">
        <f t="shared" si="112"/>
        <v/>
      </c>
      <c r="X257" s="23" t="str">
        <f t="shared" si="89"/>
        <v/>
      </c>
      <c r="Y257" s="22"/>
      <c r="Z257" s="21" t="str">
        <f t="shared" si="113"/>
        <v/>
      </c>
      <c r="AA257" s="23" t="str">
        <f t="shared" si="91"/>
        <v/>
      </c>
      <c r="AB257" s="22">
        <v>225</v>
      </c>
      <c r="AC257" s="21">
        <f t="shared" si="114"/>
        <v>32.142857142857146</v>
      </c>
      <c r="AD257" s="23">
        <f t="shared" si="93"/>
        <v>0.22842639593908629</v>
      </c>
      <c r="AE257" s="22">
        <v>360</v>
      </c>
      <c r="AF257" s="21">
        <f t="shared" si="115"/>
        <v>51.428571428571431</v>
      </c>
      <c r="AG257" s="85">
        <f t="shared" si="95"/>
        <v>0.36548223350253806</v>
      </c>
    </row>
    <row r="258" spans="1:33" x14ac:dyDescent="0.25">
      <c r="A258" s="13">
        <f>WORKDAY(A259,1,JoursFeries!$B$3:$CH$15)</f>
        <v>42503</v>
      </c>
      <c r="F258" s="24" t="str">
        <f t="shared" si="96"/>
        <v/>
      </c>
      <c r="G258" s="16" t="str">
        <f t="shared" si="83"/>
        <v/>
      </c>
      <c r="H258" s="15" t="str">
        <f t="shared" si="101"/>
        <v xml:space="preserve"> </v>
      </c>
      <c r="I258" s="15"/>
      <c r="J258" s="22"/>
      <c r="K258" s="21" t="str">
        <f t="shared" si="109"/>
        <v/>
      </c>
      <c r="L258" s="23" t="str">
        <f t="shared" si="98"/>
        <v/>
      </c>
      <c r="M258" s="22"/>
      <c r="N258" s="21" t="str">
        <f t="shared" si="99"/>
        <v/>
      </c>
      <c r="O258" s="23" t="str">
        <f t="shared" si="100"/>
        <v/>
      </c>
      <c r="P258" s="22"/>
      <c r="Q258" s="21" t="str">
        <f t="shared" si="110"/>
        <v/>
      </c>
      <c r="R258" s="23" t="str">
        <f t="shared" si="85"/>
        <v/>
      </c>
      <c r="S258" s="22"/>
      <c r="T258" s="21" t="str">
        <f t="shared" si="111"/>
        <v/>
      </c>
      <c r="U258" s="23" t="str">
        <f t="shared" si="87"/>
        <v/>
      </c>
      <c r="V258" s="22"/>
      <c r="W258" s="21" t="str">
        <f t="shared" si="112"/>
        <v/>
      </c>
      <c r="X258" s="23" t="str">
        <f t="shared" si="89"/>
        <v/>
      </c>
      <c r="Y258" s="22"/>
      <c r="Z258" s="21" t="str">
        <f t="shared" si="113"/>
        <v/>
      </c>
      <c r="AA258" s="23" t="str">
        <f t="shared" si="91"/>
        <v/>
      </c>
      <c r="AB258" s="22"/>
      <c r="AC258" s="21" t="str">
        <f t="shared" si="114"/>
        <v/>
      </c>
      <c r="AD258" s="23" t="str">
        <f t="shared" si="93"/>
        <v/>
      </c>
      <c r="AE258" s="22"/>
      <c r="AF258" s="21" t="str">
        <f t="shared" si="115"/>
        <v/>
      </c>
      <c r="AG258" s="85" t="str">
        <f t="shared" si="95"/>
        <v/>
      </c>
    </row>
    <row r="259" spans="1:33" x14ac:dyDescent="0.25">
      <c r="A259" s="13">
        <f>WORKDAY(A260,1,JoursFeries!$B$3:$CH$15)</f>
        <v>42502</v>
      </c>
      <c r="B259" s="19" t="s">
        <v>120</v>
      </c>
      <c r="C259" s="19">
        <v>9</v>
      </c>
      <c r="E259" s="19">
        <f>-30.52+1475.52</f>
        <v>1445</v>
      </c>
      <c r="F259" s="24">
        <f t="shared" si="96"/>
        <v>1360.4881351611352</v>
      </c>
      <c r="G259" s="16">
        <f t="shared" si="83"/>
        <v>84.511864838864767</v>
      </c>
      <c r="H259" s="15">
        <f t="shared" si="101"/>
        <v>160.55555555555554</v>
      </c>
      <c r="I259" s="15"/>
      <c r="J259" s="22">
        <v>260</v>
      </c>
      <c r="K259" s="21">
        <f t="shared" si="109"/>
        <v>28.888888888888889</v>
      </c>
      <c r="L259" s="23">
        <f t="shared" si="98"/>
        <v>0.17993079584775087</v>
      </c>
      <c r="M259" s="22">
        <v>140</v>
      </c>
      <c r="N259" s="21">
        <f t="shared" si="99"/>
        <v>15.555555555555555</v>
      </c>
      <c r="O259" s="23">
        <f t="shared" si="100"/>
        <v>9.6885813148788927E-2</v>
      </c>
      <c r="P259" s="22">
        <v>165</v>
      </c>
      <c r="Q259" s="21">
        <f t="shared" si="110"/>
        <v>18.333333333333332</v>
      </c>
      <c r="R259" s="23">
        <f t="shared" si="85"/>
        <v>0.11418685121107267</v>
      </c>
      <c r="S259" s="22"/>
      <c r="T259" s="21" t="str">
        <f t="shared" si="111"/>
        <v/>
      </c>
      <c r="U259" s="23" t="str">
        <f t="shared" si="87"/>
        <v/>
      </c>
      <c r="V259" s="22"/>
      <c r="W259" s="21" t="str">
        <f t="shared" si="112"/>
        <v/>
      </c>
      <c r="X259" s="23" t="str">
        <f t="shared" si="89"/>
        <v/>
      </c>
      <c r="Y259" s="22"/>
      <c r="Z259" s="21" t="str">
        <f t="shared" si="113"/>
        <v/>
      </c>
      <c r="AA259" s="23" t="str">
        <f t="shared" si="91"/>
        <v/>
      </c>
      <c r="AB259" s="22">
        <v>280</v>
      </c>
      <c r="AC259" s="21">
        <f t="shared" si="114"/>
        <v>31.111111111111111</v>
      </c>
      <c r="AD259" s="23">
        <f t="shared" si="93"/>
        <v>0.19377162629757785</v>
      </c>
      <c r="AE259" s="22">
        <v>600</v>
      </c>
      <c r="AF259" s="21">
        <f t="shared" si="115"/>
        <v>66.666666666666671</v>
      </c>
      <c r="AG259" s="85">
        <f t="shared" si="95"/>
        <v>0.41522491349480967</v>
      </c>
    </row>
    <row r="260" spans="1:33" x14ac:dyDescent="0.25">
      <c r="A260" s="13">
        <f>WORKDAY(A261,1,JoursFeries!$B$3:$CH$15)</f>
        <v>42501</v>
      </c>
      <c r="B260" s="19" t="s">
        <v>120</v>
      </c>
      <c r="C260" s="19">
        <v>9</v>
      </c>
      <c r="E260" s="19">
        <v>1206</v>
      </c>
      <c r="F260" s="24">
        <f t="shared" si="96"/>
        <v>1360.4881351611352</v>
      </c>
      <c r="G260" s="16">
        <f t="shared" si="83"/>
        <v>-154.48813516113523</v>
      </c>
      <c r="H260" s="15">
        <f t="shared" si="101"/>
        <v>134</v>
      </c>
      <c r="I260" s="15"/>
      <c r="J260" s="22">
        <v>212</v>
      </c>
      <c r="K260" s="21">
        <f t="shared" si="109"/>
        <v>23.555555555555557</v>
      </c>
      <c r="L260" s="23">
        <f t="shared" si="98"/>
        <v>0.175787728026534</v>
      </c>
      <c r="M260" s="22">
        <v>73</v>
      </c>
      <c r="N260" s="21">
        <f t="shared" si="99"/>
        <v>8.1111111111111107</v>
      </c>
      <c r="O260" s="23">
        <f t="shared" si="100"/>
        <v>6.053067993366501E-2</v>
      </c>
      <c r="P260" s="22">
        <v>101</v>
      </c>
      <c r="Q260" s="21">
        <f t="shared" si="110"/>
        <v>11.222222222222221</v>
      </c>
      <c r="R260" s="23">
        <f t="shared" si="85"/>
        <v>8.3747927031509115E-2</v>
      </c>
      <c r="S260" s="22"/>
      <c r="T260" s="21" t="str">
        <f t="shared" si="111"/>
        <v/>
      </c>
      <c r="U260" s="23" t="str">
        <f t="shared" si="87"/>
        <v/>
      </c>
      <c r="V260" s="22"/>
      <c r="W260" s="21" t="str">
        <f t="shared" si="112"/>
        <v/>
      </c>
      <c r="X260" s="23" t="str">
        <f t="shared" si="89"/>
        <v/>
      </c>
      <c r="Y260" s="22"/>
      <c r="Z260" s="21" t="str">
        <f t="shared" si="113"/>
        <v/>
      </c>
      <c r="AA260" s="23" t="str">
        <f t="shared" si="91"/>
        <v/>
      </c>
      <c r="AB260" s="22">
        <v>260</v>
      </c>
      <c r="AC260" s="21">
        <f t="shared" si="114"/>
        <v>28.888888888888889</v>
      </c>
      <c r="AD260" s="23">
        <f t="shared" si="93"/>
        <v>0.21558872305140961</v>
      </c>
      <c r="AE260" s="22">
        <v>560</v>
      </c>
      <c r="AF260" s="21">
        <f t="shared" si="115"/>
        <v>62.222222222222221</v>
      </c>
      <c r="AG260" s="85">
        <f t="shared" si="95"/>
        <v>0.46434494195688225</v>
      </c>
    </row>
    <row r="261" spans="1:33" x14ac:dyDescent="0.25">
      <c r="A261" s="13">
        <f>WORKDAY(A262,1,JoursFeries!$B$3:$CH$15)</f>
        <v>42500</v>
      </c>
      <c r="B261" s="19" t="s">
        <v>120</v>
      </c>
      <c r="C261" s="19">
        <v>9</v>
      </c>
      <c r="E261" s="19">
        <f>-45.48-14.16+1348.64</f>
        <v>1289</v>
      </c>
      <c r="F261" s="24">
        <f t="shared" si="96"/>
        <v>1360.4881351611352</v>
      </c>
      <c r="G261" s="16">
        <f t="shared" si="83"/>
        <v>-71.488135161135233</v>
      </c>
      <c r="H261" s="15">
        <f t="shared" si="101"/>
        <v>143.22222222222223</v>
      </c>
      <c r="I261" s="15"/>
      <c r="J261" s="22">
        <v>200</v>
      </c>
      <c r="K261" s="21">
        <f t="shared" si="109"/>
        <v>22.222222222222221</v>
      </c>
      <c r="L261" s="23">
        <f t="shared" si="98"/>
        <v>0.1551590380139643</v>
      </c>
      <c r="M261" s="22">
        <v>96</v>
      </c>
      <c r="N261" s="21">
        <f t="shared" si="99"/>
        <v>10.666666666666666</v>
      </c>
      <c r="O261" s="23">
        <f t="shared" si="100"/>
        <v>7.447633824670287E-2</v>
      </c>
      <c r="P261" s="22">
        <v>193</v>
      </c>
      <c r="Q261" s="21">
        <f t="shared" si="110"/>
        <v>21.444444444444443</v>
      </c>
      <c r="R261" s="23">
        <f t="shared" si="85"/>
        <v>0.14972847168347556</v>
      </c>
      <c r="S261" s="22"/>
      <c r="T261" s="21" t="str">
        <f t="shared" si="111"/>
        <v/>
      </c>
      <c r="U261" s="23" t="str">
        <f t="shared" si="87"/>
        <v/>
      </c>
      <c r="V261" s="22"/>
      <c r="W261" s="21" t="str">
        <f t="shared" si="112"/>
        <v/>
      </c>
      <c r="X261" s="23" t="str">
        <f t="shared" si="89"/>
        <v/>
      </c>
      <c r="Y261" s="22"/>
      <c r="Z261" s="21" t="str">
        <f t="shared" si="113"/>
        <v/>
      </c>
      <c r="AA261" s="23" t="str">
        <f t="shared" si="91"/>
        <v/>
      </c>
      <c r="AB261" s="22">
        <v>300</v>
      </c>
      <c r="AC261" s="21">
        <f t="shared" si="114"/>
        <v>33.333333333333336</v>
      </c>
      <c r="AD261" s="23">
        <f t="shared" si="93"/>
        <v>0.23273855702094648</v>
      </c>
      <c r="AE261" s="22">
        <v>500</v>
      </c>
      <c r="AF261" s="21">
        <f t="shared" si="115"/>
        <v>55.555555555555557</v>
      </c>
      <c r="AG261" s="85">
        <f t="shared" si="95"/>
        <v>0.38789759503491078</v>
      </c>
    </row>
    <row r="262" spans="1:33" x14ac:dyDescent="0.25">
      <c r="A262" s="13">
        <f>WORKDAY(A263,1,JoursFeries!$B$3:$CH$15)</f>
        <v>42499</v>
      </c>
      <c r="B262" s="19" t="s">
        <v>120</v>
      </c>
      <c r="C262" s="19">
        <v>9</v>
      </c>
      <c r="E262" s="19">
        <v>960</v>
      </c>
      <c r="F262" s="24">
        <f t="shared" si="96"/>
        <v>1360.4881351611352</v>
      </c>
      <c r="G262" s="16">
        <f t="shared" si="83"/>
        <v>-400.48813516113523</v>
      </c>
      <c r="H262" s="15">
        <f t="shared" si="101"/>
        <v>106.66666666666667</v>
      </c>
      <c r="I262" s="15"/>
      <c r="J262" s="22">
        <v>180</v>
      </c>
      <c r="K262" s="21">
        <f t="shared" si="109"/>
        <v>20</v>
      </c>
      <c r="L262" s="23">
        <f t="shared" si="98"/>
        <v>0.1875</v>
      </c>
      <c r="M262" s="22">
        <v>120</v>
      </c>
      <c r="N262" s="21">
        <f t="shared" si="99"/>
        <v>13.333333333333334</v>
      </c>
      <c r="O262" s="23">
        <f t="shared" si="100"/>
        <v>0.125</v>
      </c>
      <c r="P262" s="22">
        <v>120</v>
      </c>
      <c r="Q262" s="21">
        <f t="shared" si="110"/>
        <v>13.333333333333334</v>
      </c>
      <c r="R262" s="23">
        <f t="shared" si="85"/>
        <v>0.125</v>
      </c>
      <c r="S262" s="22"/>
      <c r="T262" s="21" t="str">
        <f t="shared" si="111"/>
        <v/>
      </c>
      <c r="U262" s="23" t="str">
        <f t="shared" si="87"/>
        <v/>
      </c>
      <c r="V262" s="22"/>
      <c r="W262" s="21" t="str">
        <f t="shared" si="112"/>
        <v/>
      </c>
      <c r="X262" s="23" t="str">
        <f t="shared" si="89"/>
        <v/>
      </c>
      <c r="Y262" s="22"/>
      <c r="Z262" s="21" t="str">
        <f t="shared" si="113"/>
        <v/>
      </c>
      <c r="AA262" s="23" t="str">
        <f t="shared" si="91"/>
        <v/>
      </c>
      <c r="AB262" s="22">
        <v>220</v>
      </c>
      <c r="AC262" s="21">
        <f t="shared" si="114"/>
        <v>24.444444444444443</v>
      </c>
      <c r="AD262" s="23">
        <f t="shared" si="93"/>
        <v>0.22916666666666666</v>
      </c>
      <c r="AE262" s="22">
        <v>320</v>
      </c>
      <c r="AF262" s="21">
        <f t="shared" si="115"/>
        <v>35.555555555555557</v>
      </c>
      <c r="AG262" s="85">
        <f t="shared" si="95"/>
        <v>0.33333333333333331</v>
      </c>
    </row>
    <row r="263" spans="1:33" x14ac:dyDescent="0.25">
      <c r="A263" s="13">
        <f>WORKDAY(A264,1,JoursFeries!$B$3:$CH$15)</f>
        <v>42496</v>
      </c>
      <c r="F263" s="24" t="str">
        <f t="shared" si="96"/>
        <v/>
      </c>
      <c r="G263" s="16" t="str">
        <f t="shared" si="83"/>
        <v/>
      </c>
      <c r="H263" s="15" t="str">
        <f t="shared" si="101"/>
        <v xml:space="preserve"> </v>
      </c>
      <c r="I263" s="15"/>
      <c r="J263" s="22"/>
      <c r="K263" s="21" t="str">
        <f t="shared" si="109"/>
        <v/>
      </c>
      <c r="L263" s="23" t="str">
        <f t="shared" si="98"/>
        <v/>
      </c>
      <c r="M263" s="22"/>
      <c r="N263" s="21" t="str">
        <f t="shared" si="99"/>
        <v/>
      </c>
      <c r="O263" s="23" t="str">
        <f t="shared" si="100"/>
        <v/>
      </c>
      <c r="P263" s="22"/>
      <c r="Q263" s="21" t="str">
        <f t="shared" si="110"/>
        <v/>
      </c>
      <c r="R263" s="23" t="str">
        <f t="shared" si="85"/>
        <v/>
      </c>
      <c r="S263" s="22"/>
      <c r="T263" s="21" t="str">
        <f t="shared" si="111"/>
        <v/>
      </c>
      <c r="U263" s="23" t="str">
        <f t="shared" si="87"/>
        <v/>
      </c>
      <c r="V263" s="22"/>
      <c r="W263" s="21" t="str">
        <f t="shared" si="112"/>
        <v/>
      </c>
      <c r="X263" s="23" t="str">
        <f t="shared" si="89"/>
        <v/>
      </c>
      <c r="Y263" s="22"/>
      <c r="Z263" s="21" t="str">
        <f t="shared" si="113"/>
        <v/>
      </c>
      <c r="AA263" s="23" t="str">
        <f t="shared" si="91"/>
        <v/>
      </c>
      <c r="AB263" s="22"/>
      <c r="AC263" s="21" t="str">
        <f t="shared" si="114"/>
        <v/>
      </c>
      <c r="AD263" s="23" t="str">
        <f t="shared" si="93"/>
        <v/>
      </c>
      <c r="AE263" s="22"/>
      <c r="AF263" s="21" t="str">
        <f t="shared" si="115"/>
        <v/>
      </c>
      <c r="AG263" s="85" t="str">
        <f t="shared" si="95"/>
        <v/>
      </c>
    </row>
    <row r="264" spans="1:33" x14ac:dyDescent="0.25">
      <c r="A264" s="13">
        <f>WORKDAY(A265,1,JoursFeries!$B$3:$CH$15)</f>
        <v>42494</v>
      </c>
      <c r="B264" s="19" t="s">
        <v>120</v>
      </c>
      <c r="C264" s="19">
        <v>7</v>
      </c>
      <c r="E264" s="19">
        <v>1040</v>
      </c>
      <c r="F264" s="24">
        <f t="shared" si="96"/>
        <v>1058.1574384586606</v>
      </c>
      <c r="G264" s="16">
        <f t="shared" si="83"/>
        <v>-18.157438458660636</v>
      </c>
      <c r="H264" s="15">
        <f t="shared" si="101"/>
        <v>148.57142857142858</v>
      </c>
      <c r="I264" s="15"/>
      <c r="J264" s="22">
        <v>100</v>
      </c>
      <c r="K264" s="21">
        <f t="shared" si="109"/>
        <v>14.285714285714286</v>
      </c>
      <c r="L264" s="23">
        <f t="shared" si="98"/>
        <v>9.6153846153846159E-2</v>
      </c>
      <c r="M264" s="22">
        <v>60</v>
      </c>
      <c r="N264" s="21">
        <f t="shared" si="99"/>
        <v>8.5714285714285712</v>
      </c>
      <c r="O264" s="23">
        <f t="shared" si="100"/>
        <v>5.7692307692307696E-2</v>
      </c>
      <c r="P264" s="22">
        <v>60</v>
      </c>
      <c r="Q264" s="21">
        <f t="shared" si="110"/>
        <v>8.5714285714285712</v>
      </c>
      <c r="R264" s="23">
        <f t="shared" si="85"/>
        <v>5.7692307692307696E-2</v>
      </c>
      <c r="S264" s="22"/>
      <c r="T264" s="21" t="str">
        <f t="shared" si="111"/>
        <v/>
      </c>
      <c r="U264" s="23" t="str">
        <f t="shared" si="87"/>
        <v/>
      </c>
      <c r="V264" s="22"/>
      <c r="W264" s="21" t="str">
        <f t="shared" si="112"/>
        <v/>
      </c>
      <c r="X264" s="23" t="str">
        <f t="shared" si="89"/>
        <v/>
      </c>
      <c r="Y264" s="22"/>
      <c r="Z264" s="21" t="str">
        <f t="shared" si="113"/>
        <v/>
      </c>
      <c r="AA264" s="23" t="str">
        <f t="shared" si="91"/>
        <v/>
      </c>
      <c r="AB264" s="22">
        <v>240</v>
      </c>
      <c r="AC264" s="21">
        <f t="shared" si="114"/>
        <v>34.285714285714285</v>
      </c>
      <c r="AD264" s="23">
        <f t="shared" si="93"/>
        <v>0.23076923076923078</v>
      </c>
      <c r="AE264" s="22">
        <v>580</v>
      </c>
      <c r="AF264" s="21">
        <f t="shared" si="115"/>
        <v>82.857142857142861</v>
      </c>
      <c r="AG264" s="85">
        <f t="shared" si="95"/>
        <v>0.55769230769230771</v>
      </c>
    </row>
    <row r="265" spans="1:33" x14ac:dyDescent="0.25">
      <c r="A265" s="13">
        <f>WORKDAY(A266,1,JoursFeries!$B$3:$CH$15)</f>
        <v>42493</v>
      </c>
      <c r="B265" s="19" t="s">
        <v>120</v>
      </c>
      <c r="C265" s="19">
        <v>11</v>
      </c>
      <c r="E265" s="19">
        <f>-28.94+1868.94</f>
        <v>1840</v>
      </c>
      <c r="F265" s="24">
        <f t="shared" si="96"/>
        <v>1662.8188318636096</v>
      </c>
      <c r="G265" s="16">
        <f t="shared" si="83"/>
        <v>177.1811681363904</v>
      </c>
      <c r="H265" s="15">
        <f t="shared" si="101"/>
        <v>167.27272727272728</v>
      </c>
      <c r="I265" s="15"/>
      <c r="J265" s="22">
        <v>300</v>
      </c>
      <c r="K265" s="21">
        <f t="shared" si="109"/>
        <v>27.272727272727273</v>
      </c>
      <c r="L265" s="23">
        <f t="shared" si="98"/>
        <v>0.16304347826086957</v>
      </c>
      <c r="M265" s="22">
        <v>80</v>
      </c>
      <c r="N265" s="21">
        <f t="shared" si="99"/>
        <v>7.2727272727272725</v>
      </c>
      <c r="O265" s="23">
        <f t="shared" si="100"/>
        <v>4.3478260869565216E-2</v>
      </c>
      <c r="P265" s="22">
        <v>120</v>
      </c>
      <c r="Q265" s="21">
        <f t="shared" si="110"/>
        <v>10.909090909090908</v>
      </c>
      <c r="R265" s="23">
        <f t="shared" si="85"/>
        <v>6.5217391304347824E-2</v>
      </c>
      <c r="S265" s="22"/>
      <c r="T265" s="21" t="str">
        <f t="shared" si="111"/>
        <v/>
      </c>
      <c r="U265" s="23" t="str">
        <f t="shared" si="87"/>
        <v/>
      </c>
      <c r="V265" s="22"/>
      <c r="W265" s="21" t="str">
        <f t="shared" si="112"/>
        <v/>
      </c>
      <c r="X265" s="23" t="str">
        <f t="shared" si="89"/>
        <v/>
      </c>
      <c r="Y265" s="22"/>
      <c r="Z265" s="21" t="str">
        <f t="shared" si="113"/>
        <v/>
      </c>
      <c r="AA265" s="23" t="str">
        <f t="shared" si="91"/>
        <v/>
      </c>
      <c r="AB265" s="22">
        <v>380</v>
      </c>
      <c r="AC265" s="21">
        <f t="shared" si="114"/>
        <v>34.545454545454547</v>
      </c>
      <c r="AD265" s="23">
        <f t="shared" si="93"/>
        <v>0.20652173913043478</v>
      </c>
      <c r="AE265" s="22">
        <v>960</v>
      </c>
      <c r="AF265" s="21">
        <f t="shared" si="115"/>
        <v>87.272727272727266</v>
      </c>
      <c r="AG265" s="85">
        <f t="shared" si="95"/>
        <v>0.52173913043478259</v>
      </c>
    </row>
    <row r="266" spans="1:33" x14ac:dyDescent="0.25">
      <c r="A266" s="13">
        <f>WORKDAY(A267,1,JoursFeries!$B$3:$CH$15)</f>
        <v>42492</v>
      </c>
      <c r="B266" s="19" t="s">
        <v>120</v>
      </c>
      <c r="C266" s="19">
        <v>11</v>
      </c>
      <c r="E266" s="19">
        <f>-44.8+2206.8</f>
        <v>2162</v>
      </c>
      <c r="F266" s="24">
        <f t="shared" si="96"/>
        <v>1662.8188318636096</v>
      </c>
      <c r="G266" s="16">
        <f t="shared" si="83"/>
        <v>499.1811681363904</v>
      </c>
      <c r="H266" s="15">
        <f t="shared" si="101"/>
        <v>196.54545454545453</v>
      </c>
      <c r="I266" s="15"/>
      <c r="J266" s="22">
        <v>283</v>
      </c>
      <c r="K266" s="21">
        <f t="shared" si="109"/>
        <v>25.727272727272727</v>
      </c>
      <c r="L266" s="23">
        <f t="shared" si="98"/>
        <v>0.13089731729879742</v>
      </c>
      <c r="M266" s="22">
        <v>210</v>
      </c>
      <c r="N266" s="21">
        <f t="shared" si="99"/>
        <v>19.09090909090909</v>
      </c>
      <c r="O266" s="23">
        <f t="shared" si="100"/>
        <v>9.7132284921369105E-2</v>
      </c>
      <c r="P266" s="22">
        <v>189</v>
      </c>
      <c r="Q266" s="21">
        <f t="shared" si="110"/>
        <v>17.181818181818183</v>
      </c>
      <c r="R266" s="23">
        <f t="shared" si="85"/>
        <v>8.7419056429232186E-2</v>
      </c>
      <c r="S266" s="22"/>
      <c r="T266" s="21" t="str">
        <f t="shared" si="111"/>
        <v/>
      </c>
      <c r="U266" s="23" t="str">
        <f t="shared" si="87"/>
        <v/>
      </c>
      <c r="V266" s="22"/>
      <c r="W266" s="21" t="str">
        <f t="shared" si="112"/>
        <v/>
      </c>
      <c r="X266" s="23" t="str">
        <f t="shared" si="89"/>
        <v/>
      </c>
      <c r="Y266" s="22"/>
      <c r="Z266" s="21" t="str">
        <f t="shared" si="113"/>
        <v/>
      </c>
      <c r="AA266" s="23" t="str">
        <f t="shared" si="91"/>
        <v/>
      </c>
      <c r="AB266" s="22">
        <v>480</v>
      </c>
      <c r="AC266" s="21">
        <f t="shared" si="114"/>
        <v>43.636363636363633</v>
      </c>
      <c r="AD266" s="23">
        <f t="shared" si="93"/>
        <v>0.22201665124884365</v>
      </c>
      <c r="AE266" s="22">
        <v>1000</v>
      </c>
      <c r="AF266" s="21">
        <f t="shared" si="115"/>
        <v>90.909090909090907</v>
      </c>
      <c r="AG266" s="85">
        <f t="shared" si="95"/>
        <v>0.46253469010175763</v>
      </c>
    </row>
    <row r="267" spans="1:33" x14ac:dyDescent="0.25">
      <c r="A267" s="13">
        <f>WORKDAY(A268,1,JoursFeries!$B$3:$CH$15)</f>
        <v>42489</v>
      </c>
      <c r="B267" s="19" t="s">
        <v>120</v>
      </c>
      <c r="C267" s="19">
        <v>10</v>
      </c>
      <c r="E267" s="19">
        <v>1766.12</v>
      </c>
      <c r="F267" s="24">
        <f t="shared" si="96"/>
        <v>1511.6534835123725</v>
      </c>
      <c r="G267" s="16">
        <f t="shared" si="83"/>
        <v>254.46651648762736</v>
      </c>
      <c r="H267" s="15">
        <f t="shared" si="101"/>
        <v>176.61199999999999</v>
      </c>
      <c r="I267" s="15"/>
      <c r="J267" s="22">
        <v>360</v>
      </c>
      <c r="K267" s="21">
        <f t="shared" si="109"/>
        <v>36</v>
      </c>
      <c r="L267" s="23">
        <f t="shared" si="98"/>
        <v>0.20383665889067562</v>
      </c>
      <c r="M267" s="22">
        <v>149.66</v>
      </c>
      <c r="N267" s="21">
        <f t="shared" si="99"/>
        <v>14.965999999999999</v>
      </c>
      <c r="O267" s="23">
        <f t="shared" si="100"/>
        <v>8.4739428804384759E-2</v>
      </c>
      <c r="P267" s="22">
        <v>156.46</v>
      </c>
      <c r="Q267" s="21">
        <f t="shared" si="110"/>
        <v>15.646000000000001</v>
      </c>
      <c r="R267" s="23">
        <f t="shared" si="85"/>
        <v>8.8589676805653078E-2</v>
      </c>
      <c r="S267" s="22"/>
      <c r="T267" s="21" t="str">
        <f t="shared" si="111"/>
        <v/>
      </c>
      <c r="U267" s="23" t="str">
        <f t="shared" si="87"/>
        <v/>
      </c>
      <c r="V267" s="22"/>
      <c r="W267" s="21" t="str">
        <f t="shared" si="112"/>
        <v/>
      </c>
      <c r="X267" s="23" t="str">
        <f t="shared" si="89"/>
        <v/>
      </c>
      <c r="Y267" s="22"/>
      <c r="Z267" s="21" t="str">
        <f t="shared" si="113"/>
        <v/>
      </c>
      <c r="AA267" s="23" t="str">
        <f t="shared" si="91"/>
        <v/>
      </c>
      <c r="AB267" s="22">
        <v>400</v>
      </c>
      <c r="AC267" s="21">
        <f t="shared" si="114"/>
        <v>40</v>
      </c>
      <c r="AD267" s="23">
        <f t="shared" si="93"/>
        <v>0.22648517654519512</v>
      </c>
      <c r="AE267" s="22">
        <v>700</v>
      </c>
      <c r="AF267" s="21">
        <f t="shared" si="115"/>
        <v>70</v>
      </c>
      <c r="AG267" s="85">
        <f t="shared" si="95"/>
        <v>0.3963490589540915</v>
      </c>
    </row>
    <row r="268" spans="1:33" x14ac:dyDescent="0.25">
      <c r="A268" s="13">
        <f>WORKDAY(A269,1,JoursFeries!$B$3:$CH$15)</f>
        <v>42488</v>
      </c>
      <c r="B268" s="19" t="s">
        <v>120</v>
      </c>
      <c r="C268" s="19">
        <v>11</v>
      </c>
      <c r="E268" s="19">
        <f>-51.06-13.22-24.1+1899.38</f>
        <v>1811</v>
      </c>
      <c r="F268" s="24">
        <f t="shared" si="96"/>
        <v>1662.8188318636096</v>
      </c>
      <c r="G268" s="16">
        <f t="shared" si="83"/>
        <v>148.1811681363904</v>
      </c>
      <c r="H268" s="15">
        <f t="shared" si="101"/>
        <v>164.63636363636363</v>
      </c>
      <c r="I268" s="15"/>
      <c r="J268" s="22">
        <v>380</v>
      </c>
      <c r="K268" s="21">
        <f t="shared" si="109"/>
        <v>34.545454545454547</v>
      </c>
      <c r="L268" s="23">
        <f t="shared" si="98"/>
        <v>0.20982882385422419</v>
      </c>
      <c r="M268" s="22">
        <v>231</v>
      </c>
      <c r="N268" s="21">
        <f t="shared" si="99"/>
        <v>21</v>
      </c>
      <c r="O268" s="23">
        <f t="shared" si="100"/>
        <v>0.12755383765875208</v>
      </c>
      <c r="P268" s="22">
        <v>150</v>
      </c>
      <c r="Q268" s="21">
        <f t="shared" si="110"/>
        <v>13.636363636363637</v>
      </c>
      <c r="R268" s="23">
        <f t="shared" si="85"/>
        <v>8.2827167310877969E-2</v>
      </c>
      <c r="S268" s="22"/>
      <c r="T268" s="21" t="str">
        <f t="shared" si="111"/>
        <v/>
      </c>
      <c r="U268" s="23" t="str">
        <f t="shared" si="87"/>
        <v/>
      </c>
      <c r="V268" s="22"/>
      <c r="W268" s="21" t="str">
        <f t="shared" si="112"/>
        <v/>
      </c>
      <c r="X268" s="23" t="str">
        <f t="shared" si="89"/>
        <v/>
      </c>
      <c r="Y268" s="22"/>
      <c r="Z268" s="21" t="str">
        <f t="shared" si="113"/>
        <v/>
      </c>
      <c r="AA268" s="23" t="str">
        <f t="shared" si="91"/>
        <v/>
      </c>
      <c r="AB268" s="22">
        <v>400</v>
      </c>
      <c r="AC268" s="21">
        <f t="shared" si="114"/>
        <v>36.363636363636367</v>
      </c>
      <c r="AD268" s="23">
        <f t="shared" si="93"/>
        <v>0.22087244616234125</v>
      </c>
      <c r="AE268" s="22">
        <v>650</v>
      </c>
      <c r="AF268" s="21">
        <f t="shared" si="115"/>
        <v>59.090909090909093</v>
      </c>
      <c r="AG268" s="85">
        <f t="shared" si="95"/>
        <v>0.35891772501380453</v>
      </c>
    </row>
    <row r="269" spans="1:33" x14ac:dyDescent="0.25">
      <c r="A269" s="13">
        <f>WORKDAY(A270,1,JoursFeries!$B$3:$CH$15)</f>
        <v>42487</v>
      </c>
      <c r="B269" s="19" t="s">
        <v>120</v>
      </c>
      <c r="C269" s="19">
        <v>9</v>
      </c>
      <c r="E269" s="19">
        <f>-14.72-12.94+1669.66-400</f>
        <v>1242</v>
      </c>
      <c r="F269" s="24">
        <f t="shared" si="96"/>
        <v>1360.4881351611352</v>
      </c>
      <c r="G269" s="16">
        <f t="shared" ref="G269:G332" si="116">IF(ISBLANK(E269),"",E269-F269)</f>
        <v>-118.48813516113523</v>
      </c>
      <c r="H269" s="15">
        <f t="shared" si="101"/>
        <v>138</v>
      </c>
      <c r="I269" s="15"/>
      <c r="J269" s="22">
        <v>240</v>
      </c>
      <c r="K269" s="21">
        <f t="shared" si="109"/>
        <v>26.666666666666668</v>
      </c>
      <c r="L269" s="23">
        <f t="shared" si="98"/>
        <v>0.19323671497584541</v>
      </c>
      <c r="M269" s="22">
        <v>82</v>
      </c>
      <c r="N269" s="21">
        <f t="shared" si="99"/>
        <v>9.1111111111111107</v>
      </c>
      <c r="O269" s="23">
        <f t="shared" si="100"/>
        <v>6.602254428341385E-2</v>
      </c>
      <c r="P269" s="22">
        <v>80</v>
      </c>
      <c r="Q269" s="21">
        <f t="shared" si="110"/>
        <v>8.8888888888888893</v>
      </c>
      <c r="R269" s="23">
        <f t="shared" ref="R269:R332" si="117">IF(ISBLANK(P269),"",IF(ISBLANK($E269),"",P269/$E269))</f>
        <v>6.4412238325281798E-2</v>
      </c>
      <c r="S269" s="22"/>
      <c r="T269" s="21" t="str">
        <f t="shared" si="111"/>
        <v/>
      </c>
      <c r="U269" s="23" t="str">
        <f t="shared" ref="U269:U332" si="118">IF(ISBLANK(S269),"",IF(ISBLANK($E269),"",S269/$E269))</f>
        <v/>
      </c>
      <c r="V269" s="22"/>
      <c r="W269" s="21" t="str">
        <f t="shared" si="112"/>
        <v/>
      </c>
      <c r="X269" s="23" t="str">
        <f t="shared" ref="X269:X332" si="119">IF(ISBLANK(V269),"",IF(ISBLANK($E269),"",V269/$E269))</f>
        <v/>
      </c>
      <c r="Y269" s="22"/>
      <c r="Z269" s="21" t="str">
        <f t="shared" si="113"/>
        <v/>
      </c>
      <c r="AA269" s="23" t="str">
        <f t="shared" ref="AA269:AA332" si="120">IF(ISBLANK(Y269),"",IF(ISBLANK($E269),"",Y269/$E269))</f>
        <v/>
      </c>
      <c r="AB269" s="22">
        <v>240</v>
      </c>
      <c r="AC269" s="21">
        <f t="shared" si="114"/>
        <v>26.666666666666668</v>
      </c>
      <c r="AD269" s="23">
        <f t="shared" ref="AD269:AD332" si="121">IF(ISBLANK(AB269),"",IF(ISBLANK($E269),"",AB269/$E269))</f>
        <v>0.19323671497584541</v>
      </c>
      <c r="AE269" s="22">
        <v>600</v>
      </c>
      <c r="AF269" s="21">
        <f t="shared" si="115"/>
        <v>66.666666666666671</v>
      </c>
      <c r="AG269" s="85">
        <f t="shared" ref="AG269:AG332" si="122">IF(ISBLANK(AE269),"",IF(ISBLANK($E269),"",AE269/$E269))</f>
        <v>0.48309178743961351</v>
      </c>
    </row>
    <row r="270" spans="1:33" x14ac:dyDescent="0.25">
      <c r="A270" s="13">
        <f>WORKDAY(A271,1,JoursFeries!$B$3:$CH$15)</f>
        <v>42486</v>
      </c>
      <c r="F270" s="24" t="str">
        <f t="shared" ref="F270:F333" si="123">IF(ISBLANK(B270),"",
IF(B270=$C$4,(IF(ISBLANK(C270),10,C270)-IF(ISBLANK(D270),0,D270))*$F$4,
IF(B270=$C$5,(IF(ISBLANK(C270),10,C270)-IF(ISBLANK(D270),0,D270))*$F$5,
IF(B270=$C$6,(IF(ISBLANK(C270),10,C270)-IF(ISBLANK(D270),0,D270))*$F$6,
IF(B270=$C$7,(IF(ISBLANK(C270),10,C270)-IF(ISBLANK(D270),0,D270))*$F$7,IF(B270=$C$8,(IF(ISBLANK(C270),10,C270)-IF(ISBLANK(D270),0,D270))*$F$8,
(IF(ISBLANK(C270),10,C270)-IF(ISBLANK(D270),0,D270))*$F$9))))))</f>
        <v/>
      </c>
      <c r="G270" s="16" t="str">
        <f t="shared" si="116"/>
        <v/>
      </c>
      <c r="H270" s="15" t="str">
        <f t="shared" si="101"/>
        <v xml:space="preserve"> </v>
      </c>
      <c r="I270" s="15"/>
      <c r="J270" s="22"/>
      <c r="K270" s="21" t="str">
        <f t="shared" si="109"/>
        <v/>
      </c>
      <c r="L270" s="23" t="str">
        <f t="shared" ref="L270:L333" si="124">IF(ISBLANK(J270),"",IF(ISBLANK(E270),"",J270/E270))</f>
        <v/>
      </c>
      <c r="M270" s="22"/>
      <c r="N270" s="21" t="str">
        <f t="shared" ref="N270:N333" si="125">IF(ISBLANK(M270),"",M270/($C270-IF(ISBLANK($D270),0,$D270)))</f>
        <v/>
      </c>
      <c r="O270" s="23" t="str">
        <f t="shared" ref="O270:O333" si="126">IF(ISBLANK(M270),"",IF(ISBLANK($E270),"",M270/$E270))</f>
        <v/>
      </c>
      <c r="P270" s="22"/>
      <c r="Q270" s="21" t="str">
        <f t="shared" si="110"/>
        <v/>
      </c>
      <c r="R270" s="23" t="str">
        <f t="shared" si="117"/>
        <v/>
      </c>
      <c r="S270" s="22"/>
      <c r="T270" s="21" t="str">
        <f t="shared" si="111"/>
        <v/>
      </c>
      <c r="U270" s="23" t="str">
        <f t="shared" si="118"/>
        <v/>
      </c>
      <c r="V270" s="22"/>
      <c r="W270" s="21" t="str">
        <f t="shared" si="112"/>
        <v/>
      </c>
      <c r="X270" s="23" t="str">
        <f t="shared" si="119"/>
        <v/>
      </c>
      <c r="Y270" s="22"/>
      <c r="Z270" s="21" t="str">
        <f t="shared" si="113"/>
        <v/>
      </c>
      <c r="AA270" s="23" t="str">
        <f t="shared" si="120"/>
        <v/>
      </c>
      <c r="AB270" s="22"/>
      <c r="AC270" s="21" t="str">
        <f t="shared" si="114"/>
        <v/>
      </c>
      <c r="AD270" s="23" t="str">
        <f t="shared" si="121"/>
        <v/>
      </c>
      <c r="AE270" s="22"/>
      <c r="AF270" s="21" t="str">
        <f t="shared" si="115"/>
        <v/>
      </c>
      <c r="AG270" s="85" t="str">
        <f t="shared" si="122"/>
        <v/>
      </c>
    </row>
    <row r="271" spans="1:33" x14ac:dyDescent="0.25">
      <c r="A271" s="13">
        <f>WORKDAY(A272,1,JoursFeries!$B$3:$CH$15)</f>
        <v>42485</v>
      </c>
      <c r="F271" s="24" t="str">
        <f t="shared" si="123"/>
        <v/>
      </c>
      <c r="G271" s="16" t="str">
        <f t="shared" si="116"/>
        <v/>
      </c>
      <c r="H271" s="15" t="str">
        <f t="shared" si="101"/>
        <v xml:space="preserve"> </v>
      </c>
      <c r="I271" s="15"/>
      <c r="J271" s="22"/>
      <c r="K271" s="21" t="str">
        <f t="shared" si="109"/>
        <v/>
      </c>
      <c r="L271" s="23" t="str">
        <f t="shared" si="124"/>
        <v/>
      </c>
      <c r="M271" s="22"/>
      <c r="N271" s="21" t="str">
        <f t="shared" si="125"/>
        <v/>
      </c>
      <c r="O271" s="23" t="str">
        <f t="shared" si="126"/>
        <v/>
      </c>
      <c r="P271" s="22"/>
      <c r="Q271" s="21" t="str">
        <f t="shared" si="110"/>
        <v/>
      </c>
      <c r="R271" s="23" t="str">
        <f t="shared" si="117"/>
        <v/>
      </c>
      <c r="S271" s="22"/>
      <c r="T271" s="21" t="str">
        <f t="shared" si="111"/>
        <v/>
      </c>
      <c r="U271" s="23" t="str">
        <f t="shared" si="118"/>
        <v/>
      </c>
      <c r="V271" s="22"/>
      <c r="W271" s="21" t="str">
        <f t="shared" si="112"/>
        <v/>
      </c>
      <c r="X271" s="23" t="str">
        <f t="shared" si="119"/>
        <v/>
      </c>
      <c r="Y271" s="22"/>
      <c r="Z271" s="21" t="str">
        <f t="shared" si="113"/>
        <v/>
      </c>
      <c r="AA271" s="23" t="str">
        <f t="shared" si="120"/>
        <v/>
      </c>
      <c r="AB271" s="22"/>
      <c r="AC271" s="21" t="str">
        <f t="shared" si="114"/>
        <v/>
      </c>
      <c r="AD271" s="23" t="str">
        <f t="shared" si="121"/>
        <v/>
      </c>
      <c r="AE271" s="22"/>
      <c r="AF271" s="21" t="str">
        <f t="shared" si="115"/>
        <v/>
      </c>
      <c r="AG271" s="85" t="str">
        <f t="shared" si="122"/>
        <v/>
      </c>
    </row>
    <row r="272" spans="1:33" x14ac:dyDescent="0.25">
      <c r="A272" s="13">
        <f>WORKDAY(A273,1,JoursFeries!$B$3:$CH$15)</f>
        <v>42482</v>
      </c>
      <c r="B272" s="19" t="s">
        <v>116</v>
      </c>
      <c r="C272" s="19">
        <v>9</v>
      </c>
      <c r="E272" s="19">
        <f>-55.56+1187.56-200</f>
        <v>932</v>
      </c>
      <c r="F272" s="24">
        <f t="shared" si="123"/>
        <v>1118.270846985989</v>
      </c>
      <c r="G272" s="16">
        <f t="shared" si="116"/>
        <v>-186.27084698598901</v>
      </c>
      <c r="H272" s="15">
        <f t="shared" si="101"/>
        <v>103.55555555555556</v>
      </c>
      <c r="I272" s="15"/>
      <c r="J272" s="22">
        <v>240</v>
      </c>
      <c r="K272" s="21">
        <f t="shared" si="109"/>
        <v>26.666666666666668</v>
      </c>
      <c r="L272" s="23">
        <f t="shared" si="124"/>
        <v>0.25751072961373389</v>
      </c>
      <c r="M272" s="22">
        <v>126</v>
      </c>
      <c r="N272" s="21">
        <f t="shared" si="125"/>
        <v>14</v>
      </c>
      <c r="O272" s="23">
        <f t="shared" si="126"/>
        <v>0.13519313304721031</v>
      </c>
      <c r="P272" s="22">
        <v>126</v>
      </c>
      <c r="Q272" s="21">
        <f t="shared" si="110"/>
        <v>14</v>
      </c>
      <c r="R272" s="23">
        <f t="shared" si="117"/>
        <v>0.13519313304721031</v>
      </c>
      <c r="S272" s="22">
        <v>220</v>
      </c>
      <c r="T272" s="21">
        <f t="shared" si="111"/>
        <v>24.444444444444443</v>
      </c>
      <c r="U272" s="23">
        <f t="shared" si="118"/>
        <v>0.23605150214592274</v>
      </c>
      <c r="V272" s="22"/>
      <c r="W272" s="21" t="str">
        <f t="shared" si="112"/>
        <v/>
      </c>
      <c r="X272" s="23" t="str">
        <f t="shared" si="119"/>
        <v/>
      </c>
      <c r="Y272" s="22"/>
      <c r="Z272" s="21" t="str">
        <f t="shared" si="113"/>
        <v/>
      </c>
      <c r="AA272" s="23" t="str">
        <f t="shared" si="120"/>
        <v/>
      </c>
      <c r="AB272" s="22">
        <v>220</v>
      </c>
      <c r="AC272" s="21">
        <f t="shared" si="114"/>
        <v>24.444444444444443</v>
      </c>
      <c r="AD272" s="23">
        <f t="shared" si="121"/>
        <v>0.23605150214592274</v>
      </c>
      <c r="AE272" s="22"/>
      <c r="AF272" s="21" t="str">
        <f t="shared" si="115"/>
        <v/>
      </c>
      <c r="AG272" s="85" t="str">
        <f t="shared" si="122"/>
        <v/>
      </c>
    </row>
    <row r="273" spans="1:33" x14ac:dyDescent="0.25">
      <c r="A273" s="13">
        <f>WORKDAY(A274,1,JoursFeries!$B$3:$CH$15)</f>
        <v>42481</v>
      </c>
      <c r="B273" s="19" t="s">
        <v>116</v>
      </c>
      <c r="C273" s="19">
        <v>9</v>
      </c>
      <c r="E273" s="19">
        <f>-20.32-12.38+964.7</f>
        <v>932</v>
      </c>
      <c r="F273" s="24">
        <f t="shared" si="123"/>
        <v>1118.270846985989</v>
      </c>
      <c r="G273" s="16">
        <f t="shared" si="116"/>
        <v>-186.27084698598901</v>
      </c>
      <c r="H273" s="15">
        <f t="shared" si="101"/>
        <v>103.55555555555556</v>
      </c>
      <c r="I273" s="15"/>
      <c r="J273" s="22">
        <v>200</v>
      </c>
      <c r="K273" s="21">
        <f t="shared" si="109"/>
        <v>22.222222222222221</v>
      </c>
      <c r="L273" s="23">
        <f t="shared" si="124"/>
        <v>0.21459227467811159</v>
      </c>
      <c r="M273" s="22">
        <v>116</v>
      </c>
      <c r="N273" s="21">
        <f t="shared" si="125"/>
        <v>12.888888888888889</v>
      </c>
      <c r="O273" s="23">
        <f t="shared" si="126"/>
        <v>0.12446351931330472</v>
      </c>
      <c r="P273" s="22">
        <v>136</v>
      </c>
      <c r="Q273" s="21">
        <f t="shared" si="110"/>
        <v>15.111111111111111</v>
      </c>
      <c r="R273" s="23">
        <f t="shared" si="117"/>
        <v>0.14592274678111589</v>
      </c>
      <c r="S273" s="22">
        <v>200</v>
      </c>
      <c r="T273" s="21">
        <f t="shared" si="111"/>
        <v>22.222222222222221</v>
      </c>
      <c r="U273" s="23">
        <f t="shared" si="118"/>
        <v>0.21459227467811159</v>
      </c>
      <c r="V273" s="22"/>
      <c r="W273" s="21" t="str">
        <f t="shared" si="112"/>
        <v/>
      </c>
      <c r="X273" s="23" t="str">
        <f t="shared" si="119"/>
        <v/>
      </c>
      <c r="Y273" s="22"/>
      <c r="Z273" s="21" t="str">
        <f t="shared" si="113"/>
        <v/>
      </c>
      <c r="AA273" s="23" t="str">
        <f t="shared" si="120"/>
        <v/>
      </c>
      <c r="AB273" s="22">
        <v>280</v>
      </c>
      <c r="AC273" s="21">
        <f t="shared" si="114"/>
        <v>31.111111111111111</v>
      </c>
      <c r="AD273" s="23">
        <f t="shared" si="121"/>
        <v>0.30042918454935624</v>
      </c>
      <c r="AE273" s="22"/>
      <c r="AF273" s="21" t="str">
        <f t="shared" si="115"/>
        <v/>
      </c>
      <c r="AG273" s="85" t="str">
        <f t="shared" si="122"/>
        <v/>
      </c>
    </row>
    <row r="274" spans="1:33" x14ac:dyDescent="0.25">
      <c r="A274" s="13">
        <f>WORKDAY(A275,1,JoursFeries!$B$3:$CH$15)</f>
        <v>42480</v>
      </c>
      <c r="B274" s="19" t="s">
        <v>116</v>
      </c>
      <c r="C274" s="19">
        <v>9</v>
      </c>
      <c r="E274" s="19">
        <f>-48.72+1158.72</f>
        <v>1110</v>
      </c>
      <c r="F274" s="24">
        <f t="shared" si="123"/>
        <v>1118.270846985989</v>
      </c>
      <c r="G274" s="16">
        <f t="shared" si="116"/>
        <v>-8.2708469859890101</v>
      </c>
      <c r="H274" s="15">
        <f t="shared" si="101"/>
        <v>123.33333333333333</v>
      </c>
      <c r="I274" s="15"/>
      <c r="J274" s="22">
        <v>160</v>
      </c>
      <c r="K274" s="21">
        <f t="shared" si="109"/>
        <v>17.777777777777779</v>
      </c>
      <c r="L274" s="23">
        <f t="shared" si="124"/>
        <v>0.14414414414414414</v>
      </c>
      <c r="M274" s="22">
        <v>110</v>
      </c>
      <c r="N274" s="21">
        <f t="shared" si="125"/>
        <v>12.222222222222221</v>
      </c>
      <c r="O274" s="23">
        <f t="shared" si="126"/>
        <v>9.90990990990991E-2</v>
      </c>
      <c r="P274" s="22">
        <v>140</v>
      </c>
      <c r="Q274" s="21">
        <f t="shared" si="110"/>
        <v>15.555555555555555</v>
      </c>
      <c r="R274" s="23">
        <f t="shared" si="117"/>
        <v>0.12612612612612611</v>
      </c>
      <c r="S274" s="22">
        <v>200</v>
      </c>
      <c r="T274" s="21">
        <f t="shared" si="111"/>
        <v>22.222222222222221</v>
      </c>
      <c r="U274" s="23">
        <f t="shared" si="118"/>
        <v>0.18018018018018017</v>
      </c>
      <c r="V274" s="22"/>
      <c r="W274" s="21" t="str">
        <f t="shared" si="112"/>
        <v/>
      </c>
      <c r="X274" s="23" t="str">
        <f t="shared" si="119"/>
        <v/>
      </c>
      <c r="Y274" s="22"/>
      <c r="Z274" s="21" t="str">
        <f t="shared" si="113"/>
        <v/>
      </c>
      <c r="AA274" s="23" t="str">
        <f t="shared" si="120"/>
        <v/>
      </c>
      <c r="AB274" s="22">
        <v>500</v>
      </c>
      <c r="AC274" s="21">
        <f t="shared" si="114"/>
        <v>55.555555555555557</v>
      </c>
      <c r="AD274" s="23">
        <f t="shared" si="121"/>
        <v>0.45045045045045046</v>
      </c>
      <c r="AE274" s="22"/>
      <c r="AF274" s="21" t="str">
        <f t="shared" si="115"/>
        <v/>
      </c>
      <c r="AG274" s="85" t="str">
        <f t="shared" si="122"/>
        <v/>
      </c>
    </row>
    <row r="275" spans="1:33" x14ac:dyDescent="0.25">
      <c r="A275" s="13">
        <f>WORKDAY(A276,1,JoursFeries!$B$3:$CH$15)</f>
        <v>42479</v>
      </c>
      <c r="F275" s="24" t="str">
        <f t="shared" si="123"/>
        <v/>
      </c>
      <c r="G275" s="16" t="str">
        <f t="shared" si="116"/>
        <v/>
      </c>
      <c r="H275" s="15" t="str">
        <f t="shared" ref="H275:H338" si="127">IF(ISBLANK(C275)," ",IF(ISBLANK(E275)," ",E275/(C275-IF(ISBLANK(D275),0,D275))))</f>
        <v xml:space="preserve"> </v>
      </c>
      <c r="I275" s="15"/>
      <c r="J275" s="22"/>
      <c r="K275" s="21" t="str">
        <f t="shared" ref="K275:K306" si="128">IF(ISBLANK(J275),"",J275/(C275-IF(ISBLANK(D275),0,D275)))</f>
        <v/>
      </c>
      <c r="L275" s="23" t="str">
        <f t="shared" si="124"/>
        <v/>
      </c>
      <c r="M275" s="22"/>
      <c r="N275" s="21" t="str">
        <f t="shared" si="125"/>
        <v/>
      </c>
      <c r="O275" s="23" t="str">
        <f t="shared" si="126"/>
        <v/>
      </c>
      <c r="P275" s="22"/>
      <c r="Q275" s="21" t="str">
        <f t="shared" ref="Q275:Q306" si="129">IF(ISBLANK(P275),"",P275/($C275-IF(ISBLANK($D275),0,$D275)))</f>
        <v/>
      </c>
      <c r="R275" s="23" t="str">
        <f t="shared" si="117"/>
        <v/>
      </c>
      <c r="S275" s="22"/>
      <c r="T275" s="21" t="str">
        <f t="shared" ref="T275:T306" si="130">IF(ISBLANK(S275),"",S275/($C275-IF(ISBLANK($D275),0,$D275)))</f>
        <v/>
      </c>
      <c r="U275" s="23" t="str">
        <f t="shared" si="118"/>
        <v/>
      </c>
      <c r="V275" s="22"/>
      <c r="W275" s="21" t="str">
        <f t="shared" ref="W275:W306" si="131">IF(ISBLANK(V275),"",V275/($C275-IF(ISBLANK($D275),0,$D275)))</f>
        <v/>
      </c>
      <c r="X275" s="23" t="str">
        <f t="shared" si="119"/>
        <v/>
      </c>
      <c r="Y275" s="22"/>
      <c r="Z275" s="21" t="str">
        <f t="shared" ref="Z275:Z306" si="132">IF(ISBLANK(Y275),"",Y275/($C275-IF(ISBLANK($D275),0,$D275)))</f>
        <v/>
      </c>
      <c r="AA275" s="23" t="str">
        <f t="shared" si="120"/>
        <v/>
      </c>
      <c r="AB275" s="22"/>
      <c r="AC275" s="21" t="str">
        <f t="shared" ref="AC275:AC306" si="133">IF(ISBLANK(AB275),"",AB275/($C275-IF(ISBLANK($D275),0,$D275)))</f>
        <v/>
      </c>
      <c r="AD275" s="23" t="str">
        <f t="shared" si="121"/>
        <v/>
      </c>
      <c r="AE275" s="22"/>
      <c r="AF275" s="21" t="str">
        <f t="shared" ref="AF275:AF306" si="134">IF(ISBLANK(AE275),"",AE275/($C275-IF(ISBLANK($D275),0,$D275)))</f>
        <v/>
      </c>
      <c r="AG275" s="85" t="str">
        <f t="shared" si="122"/>
        <v/>
      </c>
    </row>
    <row r="276" spans="1:33" x14ac:dyDescent="0.25">
      <c r="A276" s="13">
        <f>WORKDAY(A277,1,JoursFeries!$B$3:$CH$15)</f>
        <v>42478</v>
      </c>
      <c r="B276" s="19" t="s">
        <v>116</v>
      </c>
      <c r="C276" s="19">
        <v>9</v>
      </c>
      <c r="E276" s="19">
        <f>-54-29.06+1183.06</f>
        <v>1100</v>
      </c>
      <c r="F276" s="24">
        <f t="shared" si="123"/>
        <v>1118.270846985989</v>
      </c>
      <c r="G276" s="16">
        <f t="shared" si="116"/>
        <v>-18.27084698598901</v>
      </c>
      <c r="H276" s="15">
        <f t="shared" si="127"/>
        <v>122.22222222222223</v>
      </c>
      <c r="I276" s="15"/>
      <c r="J276" s="22">
        <v>140</v>
      </c>
      <c r="K276" s="21">
        <f t="shared" si="128"/>
        <v>15.555555555555555</v>
      </c>
      <c r="L276" s="23">
        <f t="shared" si="124"/>
        <v>0.12727272727272726</v>
      </c>
      <c r="M276" s="22">
        <v>140</v>
      </c>
      <c r="N276" s="21">
        <f t="shared" si="125"/>
        <v>15.555555555555555</v>
      </c>
      <c r="O276" s="23">
        <f t="shared" si="126"/>
        <v>0.12727272727272726</v>
      </c>
      <c r="P276" s="22">
        <v>80</v>
      </c>
      <c r="Q276" s="21">
        <f t="shared" si="129"/>
        <v>8.8888888888888893</v>
      </c>
      <c r="R276" s="23">
        <f t="shared" si="117"/>
        <v>7.2727272727272724E-2</v>
      </c>
      <c r="S276" s="22">
        <v>240</v>
      </c>
      <c r="T276" s="21">
        <f t="shared" si="130"/>
        <v>26.666666666666668</v>
      </c>
      <c r="U276" s="23">
        <f t="shared" si="118"/>
        <v>0.21818181818181817</v>
      </c>
      <c r="V276" s="22"/>
      <c r="W276" s="21" t="str">
        <f t="shared" si="131"/>
        <v/>
      </c>
      <c r="X276" s="23" t="str">
        <f t="shared" si="119"/>
        <v/>
      </c>
      <c r="Y276" s="22"/>
      <c r="Z276" s="21" t="str">
        <f t="shared" si="132"/>
        <v/>
      </c>
      <c r="AA276" s="23" t="str">
        <f t="shared" si="120"/>
        <v/>
      </c>
      <c r="AB276" s="22">
        <v>500</v>
      </c>
      <c r="AC276" s="21">
        <f t="shared" si="133"/>
        <v>55.555555555555557</v>
      </c>
      <c r="AD276" s="23">
        <f t="shared" si="121"/>
        <v>0.45454545454545453</v>
      </c>
      <c r="AE276" s="22"/>
      <c r="AF276" s="21" t="str">
        <f t="shared" si="134"/>
        <v/>
      </c>
      <c r="AG276" s="85" t="str">
        <f t="shared" si="122"/>
        <v/>
      </c>
    </row>
    <row r="277" spans="1:33" x14ac:dyDescent="0.25">
      <c r="A277" s="13">
        <f>WORKDAY(A278,1,JoursFeries!$B$3:$CH$15)</f>
        <v>42475</v>
      </c>
      <c r="F277" s="24" t="str">
        <f t="shared" si="123"/>
        <v/>
      </c>
      <c r="G277" s="16" t="str">
        <f t="shared" si="116"/>
        <v/>
      </c>
      <c r="H277" s="15" t="str">
        <f t="shared" si="127"/>
        <v xml:space="preserve"> </v>
      </c>
      <c r="I277" s="15"/>
      <c r="J277" s="22"/>
      <c r="K277" s="21" t="str">
        <f t="shared" si="128"/>
        <v/>
      </c>
      <c r="L277" s="23" t="str">
        <f t="shared" si="124"/>
        <v/>
      </c>
      <c r="M277" s="22"/>
      <c r="N277" s="21" t="str">
        <f t="shared" si="125"/>
        <v/>
      </c>
      <c r="O277" s="23" t="str">
        <f t="shared" si="126"/>
        <v/>
      </c>
      <c r="P277" s="22"/>
      <c r="Q277" s="21" t="str">
        <f t="shared" si="129"/>
        <v/>
      </c>
      <c r="R277" s="23" t="str">
        <f t="shared" si="117"/>
        <v/>
      </c>
      <c r="S277" s="22"/>
      <c r="T277" s="21" t="str">
        <f t="shared" si="130"/>
        <v/>
      </c>
      <c r="U277" s="23" t="str">
        <f t="shared" si="118"/>
        <v/>
      </c>
      <c r="V277" s="22"/>
      <c r="W277" s="21" t="str">
        <f t="shared" si="131"/>
        <v/>
      </c>
      <c r="X277" s="23" t="str">
        <f t="shared" si="119"/>
        <v/>
      </c>
      <c r="Y277" s="22"/>
      <c r="Z277" s="21" t="str">
        <f t="shared" si="132"/>
        <v/>
      </c>
      <c r="AA277" s="23" t="str">
        <f t="shared" si="120"/>
        <v/>
      </c>
      <c r="AB277" s="22"/>
      <c r="AC277" s="21" t="str">
        <f t="shared" si="133"/>
        <v/>
      </c>
      <c r="AD277" s="23" t="str">
        <f t="shared" si="121"/>
        <v/>
      </c>
      <c r="AE277" s="22"/>
      <c r="AF277" s="21" t="str">
        <f t="shared" si="134"/>
        <v/>
      </c>
      <c r="AG277" s="85" t="str">
        <f t="shared" si="122"/>
        <v/>
      </c>
    </row>
    <row r="278" spans="1:33" x14ac:dyDescent="0.25">
      <c r="A278" s="13">
        <f>WORKDAY(A279,1,JoursFeries!$B$3:$CH$15)</f>
        <v>42474</v>
      </c>
      <c r="B278" s="19" t="s">
        <v>116</v>
      </c>
      <c r="C278" s="19">
        <v>9</v>
      </c>
      <c r="E278" s="19">
        <f>-73.04+1373.04</f>
        <v>1300</v>
      </c>
      <c r="F278" s="24">
        <f t="shared" si="123"/>
        <v>1118.270846985989</v>
      </c>
      <c r="G278" s="16">
        <f t="shared" si="116"/>
        <v>181.72915301401099</v>
      </c>
      <c r="H278" s="15">
        <f t="shared" si="127"/>
        <v>144.44444444444446</v>
      </c>
      <c r="I278" s="15"/>
      <c r="J278" s="22">
        <v>140</v>
      </c>
      <c r="K278" s="21">
        <f t="shared" si="128"/>
        <v>15.555555555555555</v>
      </c>
      <c r="L278" s="23">
        <f t="shared" si="124"/>
        <v>0.1076923076923077</v>
      </c>
      <c r="M278" s="22">
        <v>80</v>
      </c>
      <c r="N278" s="21">
        <f t="shared" si="125"/>
        <v>8.8888888888888893</v>
      </c>
      <c r="O278" s="23">
        <f t="shared" si="126"/>
        <v>6.1538461538461542E-2</v>
      </c>
      <c r="P278" s="22">
        <v>100</v>
      </c>
      <c r="Q278" s="21">
        <f t="shared" si="129"/>
        <v>11.111111111111111</v>
      </c>
      <c r="R278" s="23">
        <f t="shared" si="117"/>
        <v>7.6923076923076927E-2</v>
      </c>
      <c r="S278" s="22">
        <v>380</v>
      </c>
      <c r="T278" s="21">
        <f t="shared" si="130"/>
        <v>42.222222222222221</v>
      </c>
      <c r="U278" s="23">
        <f t="shared" si="118"/>
        <v>0.29230769230769232</v>
      </c>
      <c r="V278" s="22"/>
      <c r="W278" s="21" t="str">
        <f t="shared" si="131"/>
        <v/>
      </c>
      <c r="X278" s="23" t="str">
        <f t="shared" si="119"/>
        <v/>
      </c>
      <c r="Y278" s="22"/>
      <c r="Z278" s="21" t="str">
        <f t="shared" si="132"/>
        <v/>
      </c>
      <c r="AA278" s="23" t="str">
        <f t="shared" si="120"/>
        <v/>
      </c>
      <c r="AB278" s="22">
        <v>600</v>
      </c>
      <c r="AC278" s="21">
        <f t="shared" si="133"/>
        <v>66.666666666666671</v>
      </c>
      <c r="AD278" s="23">
        <f t="shared" si="121"/>
        <v>0.46153846153846156</v>
      </c>
      <c r="AE278" s="22"/>
      <c r="AF278" s="21" t="str">
        <f t="shared" si="134"/>
        <v/>
      </c>
      <c r="AG278" s="85" t="str">
        <f t="shared" si="122"/>
        <v/>
      </c>
    </row>
    <row r="279" spans="1:33" x14ac:dyDescent="0.25">
      <c r="A279" s="13">
        <f>WORKDAY(A280,1,JoursFeries!$B$3:$CH$15)</f>
        <v>42473</v>
      </c>
      <c r="B279" s="19" t="s">
        <v>116</v>
      </c>
      <c r="C279" s="19">
        <v>7</v>
      </c>
      <c r="E279" s="19">
        <v>880</v>
      </c>
      <c r="F279" s="24">
        <f t="shared" si="123"/>
        <v>869.76621432243599</v>
      </c>
      <c r="G279" s="16">
        <f t="shared" si="116"/>
        <v>10.233785677564015</v>
      </c>
      <c r="H279" s="15">
        <f t="shared" si="127"/>
        <v>125.71428571428571</v>
      </c>
      <c r="I279" s="15"/>
      <c r="J279" s="22">
        <v>60</v>
      </c>
      <c r="K279" s="21">
        <f t="shared" si="128"/>
        <v>8.5714285714285712</v>
      </c>
      <c r="L279" s="23">
        <f t="shared" si="124"/>
        <v>6.8181818181818177E-2</v>
      </c>
      <c r="M279" s="22">
        <v>80</v>
      </c>
      <c r="N279" s="21">
        <f t="shared" si="125"/>
        <v>11.428571428571429</v>
      </c>
      <c r="O279" s="23">
        <f t="shared" si="126"/>
        <v>9.0909090909090912E-2</v>
      </c>
      <c r="P279" s="22">
        <v>80</v>
      </c>
      <c r="Q279" s="21">
        <f t="shared" si="129"/>
        <v>11.428571428571429</v>
      </c>
      <c r="R279" s="23">
        <f t="shared" si="117"/>
        <v>9.0909090909090912E-2</v>
      </c>
      <c r="S279" s="22">
        <v>200</v>
      </c>
      <c r="T279" s="21">
        <f t="shared" si="130"/>
        <v>28.571428571428573</v>
      </c>
      <c r="U279" s="23">
        <f t="shared" si="118"/>
        <v>0.22727272727272727</v>
      </c>
      <c r="V279" s="22"/>
      <c r="W279" s="21" t="str">
        <f t="shared" si="131"/>
        <v/>
      </c>
      <c r="X279" s="23" t="str">
        <f t="shared" si="119"/>
        <v/>
      </c>
      <c r="Y279" s="22"/>
      <c r="Z279" s="21" t="str">
        <f t="shared" si="132"/>
        <v/>
      </c>
      <c r="AA279" s="23" t="str">
        <f t="shared" si="120"/>
        <v/>
      </c>
      <c r="AB279" s="22">
        <v>460</v>
      </c>
      <c r="AC279" s="21">
        <f t="shared" si="133"/>
        <v>65.714285714285708</v>
      </c>
      <c r="AD279" s="23">
        <f t="shared" si="121"/>
        <v>0.52272727272727271</v>
      </c>
      <c r="AE279" s="22"/>
      <c r="AF279" s="21" t="str">
        <f t="shared" si="134"/>
        <v/>
      </c>
      <c r="AG279" s="85" t="str">
        <f t="shared" si="122"/>
        <v/>
      </c>
    </row>
    <row r="280" spans="1:33" x14ac:dyDescent="0.25">
      <c r="A280" s="13">
        <f>WORKDAY(A281,1,JoursFeries!$B$3:$CH$15)</f>
        <v>42472</v>
      </c>
      <c r="B280" s="19" t="s">
        <v>116</v>
      </c>
      <c r="C280" s="19">
        <v>9</v>
      </c>
      <c r="E280" s="19">
        <f>-95.8-67.44+1401.24</f>
        <v>1238</v>
      </c>
      <c r="F280" s="24">
        <f t="shared" si="123"/>
        <v>1118.270846985989</v>
      </c>
      <c r="G280" s="16">
        <f t="shared" si="116"/>
        <v>119.72915301401099</v>
      </c>
      <c r="H280" s="15">
        <f t="shared" si="127"/>
        <v>137.55555555555554</v>
      </c>
      <c r="I280" s="15"/>
      <c r="J280" s="22">
        <v>180</v>
      </c>
      <c r="K280" s="21">
        <f t="shared" si="128"/>
        <v>20</v>
      </c>
      <c r="L280" s="23">
        <f t="shared" si="124"/>
        <v>0.14539579967689822</v>
      </c>
      <c r="M280" s="22">
        <v>98</v>
      </c>
      <c r="N280" s="21">
        <f t="shared" si="125"/>
        <v>10.888888888888889</v>
      </c>
      <c r="O280" s="23">
        <f t="shared" si="126"/>
        <v>7.9159935379644594E-2</v>
      </c>
      <c r="P280" s="22">
        <v>80</v>
      </c>
      <c r="Q280" s="21">
        <f t="shared" si="129"/>
        <v>8.8888888888888893</v>
      </c>
      <c r="R280" s="23">
        <f t="shared" si="117"/>
        <v>6.4620355411954766E-2</v>
      </c>
      <c r="S280" s="22">
        <v>280</v>
      </c>
      <c r="T280" s="21">
        <f t="shared" si="130"/>
        <v>31.111111111111111</v>
      </c>
      <c r="U280" s="23">
        <f t="shared" si="118"/>
        <v>0.22617124394184168</v>
      </c>
      <c r="V280" s="22"/>
      <c r="W280" s="21" t="str">
        <f t="shared" si="131"/>
        <v/>
      </c>
      <c r="X280" s="23" t="str">
        <f t="shared" si="119"/>
        <v/>
      </c>
      <c r="Y280" s="22"/>
      <c r="Z280" s="21" t="str">
        <f t="shared" si="132"/>
        <v/>
      </c>
      <c r="AA280" s="23" t="str">
        <f t="shared" si="120"/>
        <v/>
      </c>
      <c r="AB280" s="22">
        <v>600</v>
      </c>
      <c r="AC280" s="21">
        <f t="shared" si="133"/>
        <v>66.666666666666671</v>
      </c>
      <c r="AD280" s="23">
        <f t="shared" si="121"/>
        <v>0.48465266558966075</v>
      </c>
      <c r="AE280" s="22"/>
      <c r="AF280" s="21" t="str">
        <f t="shared" si="134"/>
        <v/>
      </c>
      <c r="AG280" s="85" t="str">
        <f t="shared" si="122"/>
        <v/>
      </c>
    </row>
    <row r="281" spans="1:33" x14ac:dyDescent="0.25">
      <c r="A281" s="13">
        <f>WORKDAY(A282,1,JoursFeries!$B$3:$CH$15)</f>
        <v>42471</v>
      </c>
      <c r="B281" s="19" t="s">
        <v>116</v>
      </c>
      <c r="C281" s="19">
        <v>9</v>
      </c>
      <c r="E281" s="19">
        <f>-30.44-12.52+762.96</f>
        <v>720</v>
      </c>
      <c r="F281" s="24">
        <f t="shared" si="123"/>
        <v>1118.270846985989</v>
      </c>
      <c r="G281" s="16">
        <f t="shared" si="116"/>
        <v>-398.27084698598901</v>
      </c>
      <c r="H281" s="15">
        <f t="shared" si="127"/>
        <v>80</v>
      </c>
      <c r="I281" s="15"/>
      <c r="J281" s="22">
        <v>140</v>
      </c>
      <c r="K281" s="21">
        <f t="shared" si="128"/>
        <v>15.555555555555555</v>
      </c>
      <c r="L281" s="23">
        <f t="shared" si="124"/>
        <v>0.19444444444444445</v>
      </c>
      <c r="M281" s="22">
        <v>100</v>
      </c>
      <c r="N281" s="21">
        <f t="shared" si="125"/>
        <v>11.111111111111111</v>
      </c>
      <c r="O281" s="23">
        <f t="shared" si="126"/>
        <v>0.1388888888888889</v>
      </c>
      <c r="P281" s="22">
        <v>100</v>
      </c>
      <c r="Q281" s="21">
        <f t="shared" si="129"/>
        <v>11.111111111111111</v>
      </c>
      <c r="R281" s="23">
        <f t="shared" si="117"/>
        <v>0.1388888888888889</v>
      </c>
      <c r="S281" s="22">
        <v>80</v>
      </c>
      <c r="T281" s="21">
        <f t="shared" si="130"/>
        <v>8.8888888888888893</v>
      </c>
      <c r="U281" s="23">
        <f t="shared" si="118"/>
        <v>0.1111111111111111</v>
      </c>
      <c r="V281" s="22"/>
      <c r="W281" s="21" t="str">
        <f t="shared" si="131"/>
        <v/>
      </c>
      <c r="X281" s="23" t="str">
        <f t="shared" si="119"/>
        <v/>
      </c>
      <c r="Y281" s="22"/>
      <c r="Z281" s="21" t="str">
        <f t="shared" si="132"/>
        <v/>
      </c>
      <c r="AA281" s="23" t="str">
        <f t="shared" si="120"/>
        <v/>
      </c>
      <c r="AB281" s="22">
        <v>300</v>
      </c>
      <c r="AC281" s="21">
        <f t="shared" si="133"/>
        <v>33.333333333333336</v>
      </c>
      <c r="AD281" s="23">
        <f t="shared" si="121"/>
        <v>0.41666666666666669</v>
      </c>
      <c r="AE281" s="22"/>
      <c r="AF281" s="21" t="str">
        <f t="shared" si="134"/>
        <v/>
      </c>
      <c r="AG281" s="85" t="str">
        <f t="shared" si="122"/>
        <v/>
      </c>
    </row>
    <row r="282" spans="1:33" x14ac:dyDescent="0.25">
      <c r="A282" s="13">
        <f>WORKDAY(A283,1,JoursFeries!$B$3:$CH$15)</f>
        <v>42468</v>
      </c>
      <c r="B282" s="19" t="s">
        <v>116</v>
      </c>
      <c r="C282" s="19">
        <v>11</v>
      </c>
      <c r="E282" s="19">
        <f>-80.5+990.5</f>
        <v>910</v>
      </c>
      <c r="F282" s="24">
        <f t="shared" si="123"/>
        <v>1366.7754796495424</v>
      </c>
      <c r="G282" s="16">
        <f t="shared" si="116"/>
        <v>-456.77547964954238</v>
      </c>
      <c r="H282" s="15">
        <f t="shared" si="127"/>
        <v>82.727272727272734</v>
      </c>
      <c r="I282" s="15"/>
      <c r="J282" s="22">
        <v>40</v>
      </c>
      <c r="K282" s="21">
        <f t="shared" si="128"/>
        <v>3.6363636363636362</v>
      </c>
      <c r="L282" s="23">
        <f t="shared" si="124"/>
        <v>4.3956043956043959E-2</v>
      </c>
      <c r="M282" s="22">
        <v>150</v>
      </c>
      <c r="N282" s="21">
        <f t="shared" si="125"/>
        <v>13.636363636363637</v>
      </c>
      <c r="O282" s="23">
        <f t="shared" si="126"/>
        <v>0.16483516483516483</v>
      </c>
      <c r="P282" s="22">
        <v>80</v>
      </c>
      <c r="Q282" s="21">
        <f t="shared" si="129"/>
        <v>7.2727272727272725</v>
      </c>
      <c r="R282" s="23">
        <f t="shared" si="117"/>
        <v>8.7912087912087919E-2</v>
      </c>
      <c r="S282" s="22">
        <v>140</v>
      </c>
      <c r="T282" s="21">
        <f t="shared" si="130"/>
        <v>12.727272727272727</v>
      </c>
      <c r="U282" s="23">
        <f t="shared" si="118"/>
        <v>0.15384615384615385</v>
      </c>
      <c r="V282" s="22"/>
      <c r="W282" s="21" t="str">
        <f t="shared" si="131"/>
        <v/>
      </c>
      <c r="X282" s="23" t="str">
        <f t="shared" si="119"/>
        <v/>
      </c>
      <c r="Y282" s="22"/>
      <c r="Z282" s="21" t="str">
        <f t="shared" si="132"/>
        <v/>
      </c>
      <c r="AA282" s="23" t="str">
        <f t="shared" si="120"/>
        <v/>
      </c>
      <c r="AB282" s="22">
        <v>500</v>
      </c>
      <c r="AC282" s="21">
        <f t="shared" si="133"/>
        <v>45.454545454545453</v>
      </c>
      <c r="AD282" s="23">
        <f t="shared" si="121"/>
        <v>0.5494505494505495</v>
      </c>
      <c r="AE282" s="22"/>
      <c r="AF282" s="21" t="str">
        <f t="shared" si="134"/>
        <v/>
      </c>
      <c r="AG282" s="85" t="str">
        <f t="shared" si="122"/>
        <v/>
      </c>
    </row>
    <row r="283" spans="1:33" x14ac:dyDescent="0.25">
      <c r="A283" s="13">
        <f>WORKDAY(A284,1,JoursFeries!$B$3:$CH$15)</f>
        <v>42467</v>
      </c>
      <c r="F283" s="24" t="str">
        <f t="shared" si="123"/>
        <v/>
      </c>
      <c r="G283" s="16" t="str">
        <f t="shared" si="116"/>
        <v/>
      </c>
      <c r="H283" s="15" t="str">
        <f t="shared" si="127"/>
        <v xml:space="preserve"> </v>
      </c>
      <c r="I283" s="15"/>
      <c r="J283" s="22"/>
      <c r="K283" s="21" t="str">
        <f t="shared" si="128"/>
        <v/>
      </c>
      <c r="L283" s="23" t="str">
        <f t="shared" si="124"/>
        <v/>
      </c>
      <c r="M283" s="22"/>
      <c r="N283" s="21" t="str">
        <f t="shared" si="125"/>
        <v/>
      </c>
      <c r="O283" s="23" t="str">
        <f t="shared" si="126"/>
        <v/>
      </c>
      <c r="P283" s="22"/>
      <c r="Q283" s="21" t="str">
        <f t="shared" si="129"/>
        <v/>
      </c>
      <c r="R283" s="23" t="str">
        <f t="shared" si="117"/>
        <v/>
      </c>
      <c r="S283" s="22"/>
      <c r="T283" s="21" t="str">
        <f t="shared" si="130"/>
        <v/>
      </c>
      <c r="U283" s="23" t="str">
        <f t="shared" si="118"/>
        <v/>
      </c>
      <c r="V283" s="22"/>
      <c r="W283" s="21" t="str">
        <f t="shared" si="131"/>
        <v/>
      </c>
      <c r="X283" s="23" t="str">
        <f t="shared" si="119"/>
        <v/>
      </c>
      <c r="Y283" s="22"/>
      <c r="Z283" s="21" t="str">
        <f t="shared" si="132"/>
        <v/>
      </c>
      <c r="AA283" s="23" t="str">
        <f t="shared" si="120"/>
        <v/>
      </c>
      <c r="AB283" s="22"/>
      <c r="AC283" s="21" t="str">
        <f t="shared" si="133"/>
        <v/>
      </c>
      <c r="AD283" s="23" t="str">
        <f t="shared" si="121"/>
        <v/>
      </c>
      <c r="AE283" s="22"/>
      <c r="AF283" s="21" t="str">
        <f t="shared" si="134"/>
        <v/>
      </c>
      <c r="AG283" s="85" t="str">
        <f t="shared" si="122"/>
        <v/>
      </c>
    </row>
    <row r="284" spans="1:33" x14ac:dyDescent="0.25">
      <c r="A284" s="18">
        <f>WORKDAY(A285,1,JoursFeries!$B$3:$CH$15)</f>
        <v>42466</v>
      </c>
      <c r="F284" s="24" t="str">
        <f t="shared" si="123"/>
        <v/>
      </c>
      <c r="G284" s="16" t="str">
        <f t="shared" si="116"/>
        <v/>
      </c>
      <c r="H284" s="15" t="str">
        <f t="shared" si="127"/>
        <v xml:space="preserve"> </v>
      </c>
      <c r="I284" s="15"/>
      <c r="J284" s="22"/>
      <c r="K284" s="21" t="str">
        <f t="shared" si="128"/>
        <v/>
      </c>
      <c r="L284" s="23" t="str">
        <f t="shared" si="124"/>
        <v/>
      </c>
      <c r="M284" s="22"/>
      <c r="N284" s="21" t="str">
        <f t="shared" si="125"/>
        <v/>
      </c>
      <c r="O284" s="23" t="str">
        <f t="shared" si="126"/>
        <v/>
      </c>
      <c r="P284" s="22"/>
      <c r="Q284" s="21" t="str">
        <f t="shared" si="129"/>
        <v/>
      </c>
      <c r="R284" s="23" t="str">
        <f t="shared" si="117"/>
        <v/>
      </c>
      <c r="S284" s="22"/>
      <c r="T284" s="21" t="str">
        <f t="shared" si="130"/>
        <v/>
      </c>
      <c r="U284" s="23" t="str">
        <f t="shared" si="118"/>
        <v/>
      </c>
      <c r="V284" s="22"/>
      <c r="W284" s="21" t="str">
        <f t="shared" si="131"/>
        <v/>
      </c>
      <c r="X284" s="23" t="str">
        <f t="shared" si="119"/>
        <v/>
      </c>
      <c r="Y284" s="22"/>
      <c r="Z284" s="21" t="str">
        <f t="shared" si="132"/>
        <v/>
      </c>
      <c r="AA284" s="23" t="str">
        <f t="shared" si="120"/>
        <v/>
      </c>
      <c r="AB284" s="22"/>
      <c r="AC284" s="21" t="str">
        <f t="shared" si="133"/>
        <v/>
      </c>
      <c r="AD284" s="23" t="str">
        <f t="shared" si="121"/>
        <v/>
      </c>
      <c r="AE284" s="22"/>
      <c r="AF284" s="21" t="str">
        <f t="shared" si="134"/>
        <v/>
      </c>
      <c r="AG284" s="85" t="str">
        <f t="shared" si="122"/>
        <v/>
      </c>
    </row>
    <row r="285" spans="1:33" x14ac:dyDescent="0.25">
      <c r="A285" s="13">
        <f>WORKDAY(A286,1,JoursFeries!$B$3:$CH$15)</f>
        <v>42465</v>
      </c>
      <c r="F285" s="24" t="str">
        <f t="shared" si="123"/>
        <v/>
      </c>
      <c r="G285" s="16" t="str">
        <f t="shared" si="116"/>
        <v/>
      </c>
      <c r="H285" s="15" t="str">
        <f t="shared" si="127"/>
        <v xml:space="preserve"> </v>
      </c>
      <c r="I285" s="15"/>
      <c r="J285" s="22"/>
      <c r="K285" s="21" t="str">
        <f t="shared" si="128"/>
        <v/>
      </c>
      <c r="L285" s="23" t="str">
        <f t="shared" si="124"/>
        <v/>
      </c>
      <c r="M285" s="22"/>
      <c r="N285" s="21" t="str">
        <f t="shared" si="125"/>
        <v/>
      </c>
      <c r="O285" s="23" t="str">
        <f t="shared" si="126"/>
        <v/>
      </c>
      <c r="P285" s="22"/>
      <c r="Q285" s="21" t="str">
        <f t="shared" si="129"/>
        <v/>
      </c>
      <c r="R285" s="23" t="str">
        <f t="shared" si="117"/>
        <v/>
      </c>
      <c r="S285" s="22"/>
      <c r="T285" s="21" t="str">
        <f t="shared" si="130"/>
        <v/>
      </c>
      <c r="U285" s="23" t="str">
        <f t="shared" si="118"/>
        <v/>
      </c>
      <c r="V285" s="22"/>
      <c r="W285" s="21" t="str">
        <f t="shared" si="131"/>
        <v/>
      </c>
      <c r="X285" s="23" t="str">
        <f t="shared" si="119"/>
        <v/>
      </c>
      <c r="Y285" s="22"/>
      <c r="Z285" s="21" t="str">
        <f t="shared" si="132"/>
        <v/>
      </c>
      <c r="AA285" s="23" t="str">
        <f t="shared" si="120"/>
        <v/>
      </c>
      <c r="AB285" s="22"/>
      <c r="AC285" s="21" t="str">
        <f t="shared" si="133"/>
        <v/>
      </c>
      <c r="AD285" s="23" t="str">
        <f t="shared" si="121"/>
        <v/>
      </c>
      <c r="AE285" s="22"/>
      <c r="AF285" s="21" t="str">
        <f t="shared" si="134"/>
        <v/>
      </c>
      <c r="AG285" s="85" t="str">
        <f t="shared" si="122"/>
        <v/>
      </c>
    </row>
    <row r="286" spans="1:33" x14ac:dyDescent="0.25">
      <c r="A286" s="13">
        <f>WORKDAY(A287,1,JoursFeries!$B$3:$CH$15)</f>
        <v>42464</v>
      </c>
      <c r="B286" s="19" t="s">
        <v>116</v>
      </c>
      <c r="C286" s="19">
        <v>11</v>
      </c>
      <c r="E286" s="19">
        <v>1180</v>
      </c>
      <c r="F286" s="24">
        <f t="shared" si="123"/>
        <v>1366.7754796495424</v>
      </c>
      <c r="G286" s="16">
        <f t="shared" si="116"/>
        <v>-186.77547964954238</v>
      </c>
      <c r="H286" s="15">
        <f t="shared" si="127"/>
        <v>107.27272727272727</v>
      </c>
      <c r="I286" s="15"/>
      <c r="J286" s="22">
        <v>220</v>
      </c>
      <c r="K286" s="21">
        <f t="shared" si="128"/>
        <v>20</v>
      </c>
      <c r="L286" s="23">
        <f t="shared" si="124"/>
        <v>0.1864406779661017</v>
      </c>
      <c r="M286" s="22">
        <v>150</v>
      </c>
      <c r="N286" s="21">
        <f t="shared" si="125"/>
        <v>13.636363636363637</v>
      </c>
      <c r="O286" s="23">
        <f t="shared" si="126"/>
        <v>0.1271186440677966</v>
      </c>
      <c r="P286" s="22">
        <v>150</v>
      </c>
      <c r="Q286" s="21">
        <f t="shared" si="129"/>
        <v>13.636363636363637</v>
      </c>
      <c r="R286" s="23">
        <f t="shared" si="117"/>
        <v>0.1271186440677966</v>
      </c>
      <c r="S286" s="22">
        <v>260</v>
      </c>
      <c r="T286" s="21">
        <f t="shared" si="130"/>
        <v>23.636363636363637</v>
      </c>
      <c r="U286" s="23">
        <f t="shared" si="118"/>
        <v>0.22033898305084745</v>
      </c>
      <c r="V286" s="22"/>
      <c r="W286" s="21" t="str">
        <f t="shared" si="131"/>
        <v/>
      </c>
      <c r="X286" s="23" t="str">
        <f t="shared" si="119"/>
        <v/>
      </c>
      <c r="Y286" s="22"/>
      <c r="Z286" s="21" t="str">
        <f t="shared" si="132"/>
        <v/>
      </c>
      <c r="AA286" s="23" t="str">
        <f t="shared" si="120"/>
        <v/>
      </c>
      <c r="AB286" s="22">
        <v>400</v>
      </c>
      <c r="AC286" s="21">
        <f t="shared" si="133"/>
        <v>36.363636363636367</v>
      </c>
      <c r="AD286" s="23">
        <f t="shared" si="121"/>
        <v>0.33898305084745761</v>
      </c>
      <c r="AE286" s="22"/>
      <c r="AF286" s="21" t="str">
        <f t="shared" si="134"/>
        <v/>
      </c>
      <c r="AG286" s="85" t="str">
        <f t="shared" si="122"/>
        <v/>
      </c>
    </row>
    <row r="287" spans="1:33" x14ac:dyDescent="0.25">
      <c r="A287" s="13">
        <f>WORKDAY(A288,1,JoursFeries!$B$3:$CH$15)</f>
        <v>42461</v>
      </c>
      <c r="B287" s="19" t="s">
        <v>116</v>
      </c>
      <c r="C287" s="19">
        <v>12</v>
      </c>
      <c r="E287" s="19">
        <f>-19.14+969.14</f>
        <v>950</v>
      </c>
      <c r="F287" s="24">
        <f t="shared" si="123"/>
        <v>1491.0277959813188</v>
      </c>
      <c r="G287" s="16">
        <f t="shared" si="116"/>
        <v>-541.02779598131883</v>
      </c>
      <c r="H287" s="15">
        <f t="shared" si="127"/>
        <v>79.166666666666671</v>
      </c>
      <c r="I287" s="15"/>
      <c r="J287" s="22">
        <v>240</v>
      </c>
      <c r="K287" s="21">
        <f t="shared" si="128"/>
        <v>20</v>
      </c>
      <c r="L287" s="23">
        <f t="shared" si="124"/>
        <v>0.25263157894736843</v>
      </c>
      <c r="M287" s="22">
        <v>120</v>
      </c>
      <c r="N287" s="21">
        <f t="shared" si="125"/>
        <v>10</v>
      </c>
      <c r="O287" s="23">
        <f t="shared" si="126"/>
        <v>0.12631578947368421</v>
      </c>
      <c r="P287" s="22">
        <v>120</v>
      </c>
      <c r="Q287" s="21">
        <f t="shared" si="129"/>
        <v>10</v>
      </c>
      <c r="R287" s="23">
        <f t="shared" si="117"/>
        <v>0.12631578947368421</v>
      </c>
      <c r="S287" s="22">
        <v>220</v>
      </c>
      <c r="T287" s="21">
        <f t="shared" si="130"/>
        <v>18.333333333333332</v>
      </c>
      <c r="U287" s="23">
        <f t="shared" si="118"/>
        <v>0.23157894736842105</v>
      </c>
      <c r="V287" s="22"/>
      <c r="W287" s="21" t="str">
        <f t="shared" si="131"/>
        <v/>
      </c>
      <c r="X287" s="23" t="str">
        <f t="shared" si="119"/>
        <v/>
      </c>
      <c r="Y287" s="22"/>
      <c r="Z287" s="21" t="str">
        <f t="shared" si="132"/>
        <v/>
      </c>
      <c r="AA287" s="23" t="str">
        <f t="shared" si="120"/>
        <v/>
      </c>
      <c r="AB287" s="22">
        <v>250</v>
      </c>
      <c r="AC287" s="21">
        <f t="shared" si="133"/>
        <v>20.833333333333332</v>
      </c>
      <c r="AD287" s="23">
        <f t="shared" si="121"/>
        <v>0.26315789473684209</v>
      </c>
      <c r="AE287" s="22"/>
      <c r="AF287" s="21" t="str">
        <f t="shared" si="134"/>
        <v/>
      </c>
      <c r="AG287" s="85" t="str">
        <f t="shared" si="122"/>
        <v/>
      </c>
    </row>
    <row r="288" spans="1:33" x14ac:dyDescent="0.25">
      <c r="A288" s="13">
        <f>WORKDAY(A289,1,JoursFeries!$B$3:$CH$15)</f>
        <v>42460</v>
      </c>
      <c r="F288" s="24" t="str">
        <f t="shared" si="123"/>
        <v/>
      </c>
      <c r="G288" s="16" t="str">
        <f t="shared" si="116"/>
        <v/>
      </c>
      <c r="H288" s="15" t="str">
        <f t="shared" si="127"/>
        <v xml:space="preserve"> </v>
      </c>
      <c r="I288" s="15"/>
      <c r="J288" s="22"/>
      <c r="K288" s="21" t="str">
        <f t="shared" si="128"/>
        <v/>
      </c>
      <c r="L288" s="23" t="str">
        <f t="shared" si="124"/>
        <v/>
      </c>
      <c r="M288" s="22"/>
      <c r="N288" s="21" t="str">
        <f t="shared" si="125"/>
        <v/>
      </c>
      <c r="O288" s="23" t="str">
        <f t="shared" si="126"/>
        <v/>
      </c>
      <c r="P288" s="22"/>
      <c r="Q288" s="21" t="str">
        <f t="shared" si="129"/>
        <v/>
      </c>
      <c r="R288" s="23" t="str">
        <f t="shared" si="117"/>
        <v/>
      </c>
      <c r="S288" s="22"/>
      <c r="T288" s="21" t="str">
        <f t="shared" si="130"/>
        <v/>
      </c>
      <c r="U288" s="23" t="str">
        <f t="shared" si="118"/>
        <v/>
      </c>
      <c r="V288" s="22"/>
      <c r="W288" s="21" t="str">
        <f t="shared" si="131"/>
        <v/>
      </c>
      <c r="X288" s="23" t="str">
        <f t="shared" si="119"/>
        <v/>
      </c>
      <c r="Y288" s="22"/>
      <c r="Z288" s="21" t="str">
        <f t="shared" si="132"/>
        <v/>
      </c>
      <c r="AA288" s="23" t="str">
        <f t="shared" si="120"/>
        <v/>
      </c>
      <c r="AB288" s="22"/>
      <c r="AC288" s="21" t="str">
        <f t="shared" si="133"/>
        <v/>
      </c>
      <c r="AD288" s="23" t="str">
        <f t="shared" si="121"/>
        <v/>
      </c>
      <c r="AE288" s="22"/>
      <c r="AF288" s="21" t="str">
        <f t="shared" si="134"/>
        <v/>
      </c>
      <c r="AG288" s="85" t="str">
        <f t="shared" si="122"/>
        <v/>
      </c>
    </row>
    <row r="289" spans="1:33" x14ac:dyDescent="0.25">
      <c r="A289" s="13">
        <f>WORKDAY(A290,1,JoursFeries!$B$3:$CH$15)</f>
        <v>42459</v>
      </c>
      <c r="F289" s="24" t="str">
        <f t="shared" si="123"/>
        <v/>
      </c>
      <c r="G289" s="16" t="str">
        <f t="shared" si="116"/>
        <v/>
      </c>
      <c r="H289" s="15" t="str">
        <f t="shared" si="127"/>
        <v xml:space="preserve"> </v>
      </c>
      <c r="I289" s="15"/>
      <c r="J289" s="22"/>
      <c r="K289" s="21" t="str">
        <f t="shared" si="128"/>
        <v/>
      </c>
      <c r="L289" s="23" t="str">
        <f t="shared" si="124"/>
        <v/>
      </c>
      <c r="M289" s="22"/>
      <c r="N289" s="21" t="str">
        <f t="shared" si="125"/>
        <v/>
      </c>
      <c r="O289" s="23" t="str">
        <f t="shared" si="126"/>
        <v/>
      </c>
      <c r="P289" s="22"/>
      <c r="Q289" s="21" t="str">
        <f t="shared" si="129"/>
        <v/>
      </c>
      <c r="R289" s="23" t="str">
        <f t="shared" si="117"/>
        <v/>
      </c>
      <c r="S289" s="22"/>
      <c r="T289" s="21" t="str">
        <f t="shared" si="130"/>
        <v/>
      </c>
      <c r="U289" s="23" t="str">
        <f t="shared" si="118"/>
        <v/>
      </c>
      <c r="V289" s="22"/>
      <c r="W289" s="21" t="str">
        <f t="shared" si="131"/>
        <v/>
      </c>
      <c r="X289" s="23" t="str">
        <f t="shared" si="119"/>
        <v/>
      </c>
      <c r="Y289" s="22"/>
      <c r="Z289" s="21" t="str">
        <f t="shared" si="132"/>
        <v/>
      </c>
      <c r="AA289" s="23" t="str">
        <f t="shared" si="120"/>
        <v/>
      </c>
      <c r="AB289" s="22"/>
      <c r="AC289" s="21" t="str">
        <f t="shared" si="133"/>
        <v/>
      </c>
      <c r="AD289" s="23" t="str">
        <f t="shared" si="121"/>
        <v/>
      </c>
      <c r="AE289" s="22"/>
      <c r="AF289" s="21" t="str">
        <f t="shared" si="134"/>
        <v/>
      </c>
      <c r="AG289" s="85" t="str">
        <f t="shared" si="122"/>
        <v/>
      </c>
    </row>
    <row r="290" spans="1:33" x14ac:dyDescent="0.25">
      <c r="A290" s="13">
        <f>WORKDAY(A291,1,JoursFeries!$B$3:$CH$15)</f>
        <v>42458</v>
      </c>
      <c r="B290" s="19" t="s">
        <v>115</v>
      </c>
      <c r="C290" s="19">
        <v>11</v>
      </c>
      <c r="E290" s="19">
        <f>-32.66+1172.66</f>
        <v>1140</v>
      </c>
      <c r="F290" s="24">
        <f t="shared" si="123"/>
        <v>1272.1247852721988</v>
      </c>
      <c r="G290" s="16">
        <f t="shared" si="116"/>
        <v>-132.12478527219878</v>
      </c>
      <c r="H290" s="15">
        <f t="shared" si="127"/>
        <v>103.63636363636364</v>
      </c>
      <c r="I290" s="15"/>
      <c r="J290" s="22">
        <v>360</v>
      </c>
      <c r="K290" s="21">
        <f t="shared" si="128"/>
        <v>32.727272727272727</v>
      </c>
      <c r="L290" s="23">
        <f t="shared" si="124"/>
        <v>0.31578947368421051</v>
      </c>
      <c r="M290" s="22">
        <v>150</v>
      </c>
      <c r="N290" s="21">
        <f t="shared" si="125"/>
        <v>13.636363636363637</v>
      </c>
      <c r="O290" s="23">
        <f t="shared" si="126"/>
        <v>0.13157894736842105</v>
      </c>
      <c r="P290" s="22">
        <v>150</v>
      </c>
      <c r="Q290" s="21">
        <f t="shared" si="129"/>
        <v>13.636363636363637</v>
      </c>
      <c r="R290" s="23">
        <f t="shared" si="117"/>
        <v>0.13157894736842105</v>
      </c>
      <c r="S290" s="22">
        <v>320</v>
      </c>
      <c r="T290" s="21">
        <f t="shared" si="130"/>
        <v>29.09090909090909</v>
      </c>
      <c r="U290" s="23">
        <f t="shared" si="118"/>
        <v>0.2807017543859649</v>
      </c>
      <c r="V290" s="22"/>
      <c r="W290" s="21" t="str">
        <f t="shared" si="131"/>
        <v/>
      </c>
      <c r="X290" s="23" t="str">
        <f t="shared" si="119"/>
        <v/>
      </c>
      <c r="Y290" s="22">
        <v>160</v>
      </c>
      <c r="Z290" s="21">
        <f t="shared" si="132"/>
        <v>14.545454545454545</v>
      </c>
      <c r="AA290" s="23">
        <f t="shared" si="120"/>
        <v>0.14035087719298245</v>
      </c>
      <c r="AB290" s="22"/>
      <c r="AC290" s="21" t="str">
        <f t="shared" si="133"/>
        <v/>
      </c>
      <c r="AD290" s="23" t="str">
        <f t="shared" si="121"/>
        <v/>
      </c>
      <c r="AE290" s="22"/>
      <c r="AF290" s="21" t="str">
        <f t="shared" si="134"/>
        <v/>
      </c>
      <c r="AG290" s="85" t="str">
        <f t="shared" si="122"/>
        <v/>
      </c>
    </row>
    <row r="291" spans="1:33" x14ac:dyDescent="0.25">
      <c r="A291" s="13">
        <f>WORKDAY(A292,1,JoursFeries!$B$3:$CH$15)</f>
        <v>42454</v>
      </c>
      <c r="B291" s="19" t="s">
        <v>115</v>
      </c>
      <c r="C291" s="19">
        <v>11</v>
      </c>
      <c r="E291" s="19">
        <f>-22.22+922.22</f>
        <v>900</v>
      </c>
      <c r="F291" s="24">
        <f t="shared" si="123"/>
        <v>1272.1247852721988</v>
      </c>
      <c r="G291" s="16">
        <f t="shared" si="116"/>
        <v>-372.12478527219878</v>
      </c>
      <c r="H291" s="15">
        <f t="shared" si="127"/>
        <v>81.818181818181813</v>
      </c>
      <c r="I291" s="15"/>
      <c r="J291" s="22">
        <v>260</v>
      </c>
      <c r="K291" s="21">
        <f t="shared" si="128"/>
        <v>23.636363636363637</v>
      </c>
      <c r="L291" s="23">
        <f t="shared" si="124"/>
        <v>0.28888888888888886</v>
      </c>
      <c r="M291" s="22">
        <v>100</v>
      </c>
      <c r="N291" s="21">
        <f t="shared" si="125"/>
        <v>9.0909090909090917</v>
      </c>
      <c r="O291" s="23">
        <f t="shared" si="126"/>
        <v>0.1111111111111111</v>
      </c>
      <c r="P291" s="22">
        <v>140</v>
      </c>
      <c r="Q291" s="21">
        <f t="shared" si="129"/>
        <v>12.727272727272727</v>
      </c>
      <c r="R291" s="23">
        <f t="shared" si="117"/>
        <v>0.15555555555555556</v>
      </c>
      <c r="S291" s="22">
        <v>220</v>
      </c>
      <c r="T291" s="21">
        <f t="shared" si="130"/>
        <v>20</v>
      </c>
      <c r="U291" s="23">
        <f t="shared" si="118"/>
        <v>0.24444444444444444</v>
      </c>
      <c r="V291" s="22"/>
      <c r="W291" s="21" t="str">
        <f t="shared" si="131"/>
        <v/>
      </c>
      <c r="X291" s="23" t="str">
        <f t="shared" si="119"/>
        <v/>
      </c>
      <c r="Y291" s="22">
        <v>180</v>
      </c>
      <c r="Z291" s="21">
        <f t="shared" si="132"/>
        <v>16.363636363636363</v>
      </c>
      <c r="AA291" s="23">
        <f t="shared" si="120"/>
        <v>0.2</v>
      </c>
      <c r="AB291" s="22"/>
      <c r="AC291" s="21" t="str">
        <f t="shared" si="133"/>
        <v/>
      </c>
      <c r="AD291" s="23" t="str">
        <f t="shared" si="121"/>
        <v/>
      </c>
      <c r="AE291" s="22"/>
      <c r="AF291" s="21" t="str">
        <f t="shared" si="134"/>
        <v/>
      </c>
      <c r="AG291" s="85" t="str">
        <f t="shared" si="122"/>
        <v/>
      </c>
    </row>
    <row r="292" spans="1:33" x14ac:dyDescent="0.25">
      <c r="A292" s="13">
        <f>WORKDAY(A293,1,JoursFeries!$B$3:$CH$15)</f>
        <v>42453</v>
      </c>
      <c r="B292" s="19" t="s">
        <v>115</v>
      </c>
      <c r="C292" s="19">
        <v>11</v>
      </c>
      <c r="E292" s="19">
        <f>-35.74+1095.74</f>
        <v>1060</v>
      </c>
      <c r="F292" s="24">
        <f t="shared" si="123"/>
        <v>1272.1247852721988</v>
      </c>
      <c r="G292" s="16">
        <f t="shared" si="116"/>
        <v>-212.12478527219878</v>
      </c>
      <c r="H292" s="15">
        <f t="shared" si="127"/>
        <v>96.36363636363636</v>
      </c>
      <c r="I292" s="15"/>
      <c r="J292" s="22">
        <v>300</v>
      </c>
      <c r="K292" s="21">
        <f t="shared" si="128"/>
        <v>27.272727272727273</v>
      </c>
      <c r="L292" s="23">
        <f t="shared" si="124"/>
        <v>0.28301886792452829</v>
      </c>
      <c r="M292" s="22">
        <v>180</v>
      </c>
      <c r="N292" s="21">
        <f t="shared" si="125"/>
        <v>16.363636363636363</v>
      </c>
      <c r="O292" s="23">
        <f t="shared" si="126"/>
        <v>0.16981132075471697</v>
      </c>
      <c r="P292" s="22">
        <v>180</v>
      </c>
      <c r="Q292" s="21">
        <f t="shared" si="129"/>
        <v>16.363636363636363</v>
      </c>
      <c r="R292" s="23">
        <f t="shared" si="117"/>
        <v>0.16981132075471697</v>
      </c>
      <c r="S292" s="22">
        <v>280</v>
      </c>
      <c r="T292" s="21">
        <f t="shared" si="130"/>
        <v>25.454545454545453</v>
      </c>
      <c r="U292" s="23">
        <f t="shared" si="118"/>
        <v>0.26415094339622641</v>
      </c>
      <c r="V292" s="22"/>
      <c r="W292" s="21" t="str">
        <f t="shared" si="131"/>
        <v/>
      </c>
      <c r="X292" s="23" t="str">
        <f t="shared" si="119"/>
        <v/>
      </c>
      <c r="Y292" s="22">
        <v>120</v>
      </c>
      <c r="Z292" s="21">
        <f t="shared" si="132"/>
        <v>10.909090909090908</v>
      </c>
      <c r="AA292" s="23">
        <f t="shared" si="120"/>
        <v>0.11320754716981132</v>
      </c>
      <c r="AB292" s="22"/>
      <c r="AC292" s="21" t="str">
        <f t="shared" si="133"/>
        <v/>
      </c>
      <c r="AD292" s="23" t="str">
        <f t="shared" si="121"/>
        <v/>
      </c>
      <c r="AE292" s="22"/>
      <c r="AF292" s="21" t="str">
        <f t="shared" si="134"/>
        <v/>
      </c>
      <c r="AG292" s="85" t="str">
        <f t="shared" si="122"/>
        <v/>
      </c>
    </row>
    <row r="293" spans="1:33" x14ac:dyDescent="0.25">
      <c r="A293" s="13">
        <f>WORKDAY(A294,1,JoursFeries!$B$3:$CH$15)</f>
        <v>42452</v>
      </c>
      <c r="B293" s="19" t="s">
        <v>115</v>
      </c>
      <c r="C293" s="19">
        <v>9</v>
      </c>
      <c r="E293" s="19">
        <f>-24.6+804.6</f>
        <v>780</v>
      </c>
      <c r="F293" s="24">
        <f t="shared" si="123"/>
        <v>1040.8293697681627</v>
      </c>
      <c r="G293" s="16">
        <f t="shared" si="116"/>
        <v>-260.82936976816268</v>
      </c>
      <c r="H293" s="15">
        <f t="shared" si="127"/>
        <v>86.666666666666671</v>
      </c>
      <c r="I293" s="15"/>
      <c r="J293" s="22">
        <v>240</v>
      </c>
      <c r="K293" s="21">
        <f t="shared" si="128"/>
        <v>26.666666666666668</v>
      </c>
      <c r="L293" s="23">
        <f t="shared" si="124"/>
        <v>0.30769230769230771</v>
      </c>
      <c r="M293" s="22">
        <v>80</v>
      </c>
      <c r="N293" s="21">
        <f t="shared" si="125"/>
        <v>8.8888888888888893</v>
      </c>
      <c r="O293" s="23">
        <f t="shared" si="126"/>
        <v>0.10256410256410256</v>
      </c>
      <c r="P293" s="22">
        <v>100</v>
      </c>
      <c r="Q293" s="21">
        <f t="shared" si="129"/>
        <v>11.111111111111111</v>
      </c>
      <c r="R293" s="23">
        <f t="shared" si="117"/>
        <v>0.12820512820512819</v>
      </c>
      <c r="S293" s="22">
        <v>220</v>
      </c>
      <c r="T293" s="21">
        <f t="shared" si="130"/>
        <v>24.444444444444443</v>
      </c>
      <c r="U293" s="23">
        <f t="shared" si="118"/>
        <v>0.28205128205128205</v>
      </c>
      <c r="V293" s="22"/>
      <c r="W293" s="21" t="str">
        <f t="shared" si="131"/>
        <v/>
      </c>
      <c r="X293" s="23" t="str">
        <f t="shared" si="119"/>
        <v/>
      </c>
      <c r="Y293" s="22">
        <v>140</v>
      </c>
      <c r="Z293" s="21">
        <f t="shared" si="132"/>
        <v>15.555555555555555</v>
      </c>
      <c r="AA293" s="23">
        <f t="shared" si="120"/>
        <v>0.17948717948717949</v>
      </c>
      <c r="AB293" s="22"/>
      <c r="AC293" s="21" t="str">
        <f t="shared" si="133"/>
        <v/>
      </c>
      <c r="AD293" s="23" t="str">
        <f t="shared" si="121"/>
        <v/>
      </c>
      <c r="AE293" s="22"/>
      <c r="AF293" s="21" t="str">
        <f t="shared" si="134"/>
        <v/>
      </c>
      <c r="AG293" s="85" t="str">
        <f t="shared" si="122"/>
        <v/>
      </c>
    </row>
    <row r="294" spans="1:33" x14ac:dyDescent="0.25">
      <c r="A294" s="13">
        <f>WORKDAY(A295,1,JoursFeries!$B$3:$CH$15)</f>
        <v>42451</v>
      </c>
      <c r="B294" s="19" t="s">
        <v>115</v>
      </c>
      <c r="C294" s="19">
        <v>9</v>
      </c>
      <c r="E294" s="19">
        <f>-63.7+1083.7-240</f>
        <v>780</v>
      </c>
      <c r="F294" s="24">
        <f t="shared" si="123"/>
        <v>1040.8293697681627</v>
      </c>
      <c r="G294" s="16">
        <f t="shared" si="116"/>
        <v>-260.82936976816268</v>
      </c>
      <c r="H294" s="15">
        <f t="shared" si="127"/>
        <v>86.666666666666671</v>
      </c>
      <c r="I294" s="15"/>
      <c r="J294" s="22">
        <v>240</v>
      </c>
      <c r="K294" s="21">
        <f t="shared" si="128"/>
        <v>26.666666666666668</v>
      </c>
      <c r="L294" s="23">
        <f t="shared" si="124"/>
        <v>0.30769230769230771</v>
      </c>
      <c r="M294" s="22">
        <v>120</v>
      </c>
      <c r="N294" s="21">
        <f t="shared" si="125"/>
        <v>13.333333333333334</v>
      </c>
      <c r="O294" s="23">
        <f t="shared" si="126"/>
        <v>0.15384615384615385</v>
      </c>
      <c r="P294" s="22">
        <v>100</v>
      </c>
      <c r="Q294" s="21">
        <f t="shared" si="129"/>
        <v>11.111111111111111</v>
      </c>
      <c r="R294" s="23">
        <f t="shared" si="117"/>
        <v>0.12820512820512819</v>
      </c>
      <c r="S294" s="22">
        <v>180</v>
      </c>
      <c r="T294" s="21">
        <f t="shared" si="130"/>
        <v>20</v>
      </c>
      <c r="U294" s="23">
        <f t="shared" si="118"/>
        <v>0.23076923076923078</v>
      </c>
      <c r="V294" s="22"/>
      <c r="W294" s="21" t="str">
        <f t="shared" si="131"/>
        <v/>
      </c>
      <c r="X294" s="23" t="str">
        <f t="shared" si="119"/>
        <v/>
      </c>
      <c r="Y294" s="22">
        <v>140</v>
      </c>
      <c r="Z294" s="21">
        <f t="shared" si="132"/>
        <v>15.555555555555555</v>
      </c>
      <c r="AA294" s="23">
        <f t="shared" si="120"/>
        <v>0.17948717948717949</v>
      </c>
      <c r="AB294" s="22"/>
      <c r="AC294" s="21" t="str">
        <f t="shared" si="133"/>
        <v/>
      </c>
      <c r="AD294" s="23" t="str">
        <f t="shared" si="121"/>
        <v/>
      </c>
      <c r="AE294" s="22"/>
      <c r="AF294" s="21" t="str">
        <f t="shared" si="134"/>
        <v/>
      </c>
      <c r="AG294" s="85" t="str">
        <f t="shared" si="122"/>
        <v/>
      </c>
    </row>
    <row r="295" spans="1:33" x14ac:dyDescent="0.25">
      <c r="A295" s="13">
        <f>WORKDAY(A296,1,JoursFeries!$B$3:$CH$15)</f>
        <v>42450</v>
      </c>
      <c r="F295" s="24" t="str">
        <f t="shared" si="123"/>
        <v/>
      </c>
      <c r="G295" s="16" t="str">
        <f t="shared" si="116"/>
        <v/>
      </c>
      <c r="H295" s="15" t="str">
        <f t="shared" si="127"/>
        <v xml:space="preserve"> </v>
      </c>
      <c r="I295" s="15"/>
      <c r="J295" s="22"/>
      <c r="K295" s="21" t="str">
        <f t="shared" si="128"/>
        <v/>
      </c>
      <c r="L295" s="23" t="str">
        <f t="shared" si="124"/>
        <v/>
      </c>
      <c r="M295" s="22"/>
      <c r="N295" s="21" t="str">
        <f t="shared" si="125"/>
        <v/>
      </c>
      <c r="O295" s="23" t="str">
        <f t="shared" si="126"/>
        <v/>
      </c>
      <c r="P295" s="22"/>
      <c r="Q295" s="21" t="str">
        <f t="shared" si="129"/>
        <v/>
      </c>
      <c r="R295" s="23" t="str">
        <f t="shared" si="117"/>
        <v/>
      </c>
      <c r="S295" s="22"/>
      <c r="T295" s="21" t="str">
        <f t="shared" si="130"/>
        <v/>
      </c>
      <c r="U295" s="23" t="str">
        <f t="shared" si="118"/>
        <v/>
      </c>
      <c r="V295" s="22"/>
      <c r="W295" s="21" t="str">
        <f t="shared" si="131"/>
        <v/>
      </c>
      <c r="X295" s="23" t="str">
        <f t="shared" si="119"/>
        <v/>
      </c>
      <c r="Y295" s="22"/>
      <c r="Z295" s="21" t="str">
        <f t="shared" si="132"/>
        <v/>
      </c>
      <c r="AA295" s="23" t="str">
        <f t="shared" si="120"/>
        <v/>
      </c>
      <c r="AB295" s="22"/>
      <c r="AC295" s="21" t="str">
        <f t="shared" si="133"/>
        <v/>
      </c>
      <c r="AD295" s="23" t="str">
        <f t="shared" si="121"/>
        <v/>
      </c>
      <c r="AE295" s="22"/>
      <c r="AF295" s="21" t="str">
        <f t="shared" si="134"/>
        <v/>
      </c>
      <c r="AG295" s="85" t="str">
        <f t="shared" si="122"/>
        <v/>
      </c>
    </row>
    <row r="296" spans="1:33" x14ac:dyDescent="0.25">
      <c r="A296" s="13">
        <f>WORKDAY(A297,1,JoursFeries!$B$3:$CH$15)</f>
        <v>42447</v>
      </c>
      <c r="F296" s="24" t="str">
        <f t="shared" si="123"/>
        <v/>
      </c>
      <c r="G296" s="16" t="str">
        <f t="shared" si="116"/>
        <v/>
      </c>
      <c r="H296" s="15" t="str">
        <f t="shared" si="127"/>
        <v xml:space="preserve"> </v>
      </c>
      <c r="I296" s="15"/>
      <c r="J296" s="22"/>
      <c r="K296" s="21" t="str">
        <f t="shared" si="128"/>
        <v/>
      </c>
      <c r="L296" s="23" t="str">
        <f t="shared" si="124"/>
        <v/>
      </c>
      <c r="M296" s="22"/>
      <c r="N296" s="21" t="str">
        <f t="shared" si="125"/>
        <v/>
      </c>
      <c r="O296" s="23" t="str">
        <f t="shared" si="126"/>
        <v/>
      </c>
      <c r="P296" s="22"/>
      <c r="Q296" s="21" t="str">
        <f t="shared" si="129"/>
        <v/>
      </c>
      <c r="R296" s="23" t="str">
        <f t="shared" si="117"/>
        <v/>
      </c>
      <c r="S296" s="22"/>
      <c r="T296" s="21" t="str">
        <f t="shared" si="130"/>
        <v/>
      </c>
      <c r="U296" s="23" t="str">
        <f t="shared" si="118"/>
        <v/>
      </c>
      <c r="V296" s="22"/>
      <c r="W296" s="21" t="str">
        <f t="shared" si="131"/>
        <v/>
      </c>
      <c r="X296" s="23" t="str">
        <f t="shared" si="119"/>
        <v/>
      </c>
      <c r="Y296" s="22"/>
      <c r="Z296" s="21" t="str">
        <f t="shared" si="132"/>
        <v/>
      </c>
      <c r="AA296" s="23" t="str">
        <f t="shared" si="120"/>
        <v/>
      </c>
      <c r="AB296" s="22"/>
      <c r="AC296" s="21" t="str">
        <f t="shared" si="133"/>
        <v/>
      </c>
      <c r="AD296" s="23" t="str">
        <f t="shared" si="121"/>
        <v/>
      </c>
      <c r="AE296" s="22"/>
      <c r="AF296" s="21" t="str">
        <f t="shared" si="134"/>
        <v/>
      </c>
      <c r="AG296" s="85" t="str">
        <f t="shared" si="122"/>
        <v/>
      </c>
    </row>
    <row r="297" spans="1:33" x14ac:dyDescent="0.25">
      <c r="A297" s="13">
        <f>WORKDAY(A298,1,JoursFeries!$B$3:$CH$15)</f>
        <v>42446</v>
      </c>
      <c r="F297" s="24" t="str">
        <f t="shared" si="123"/>
        <v/>
      </c>
      <c r="G297" s="16" t="str">
        <f t="shared" si="116"/>
        <v/>
      </c>
      <c r="H297" s="15" t="str">
        <f t="shared" si="127"/>
        <v xml:space="preserve"> </v>
      </c>
      <c r="I297" s="15"/>
      <c r="J297" s="22"/>
      <c r="K297" s="21" t="str">
        <f t="shared" si="128"/>
        <v/>
      </c>
      <c r="L297" s="23" t="str">
        <f t="shared" si="124"/>
        <v/>
      </c>
      <c r="M297" s="22"/>
      <c r="N297" s="21" t="str">
        <f t="shared" si="125"/>
        <v/>
      </c>
      <c r="O297" s="23" t="str">
        <f t="shared" si="126"/>
        <v/>
      </c>
      <c r="P297" s="22"/>
      <c r="Q297" s="21" t="str">
        <f t="shared" si="129"/>
        <v/>
      </c>
      <c r="R297" s="23" t="str">
        <f t="shared" si="117"/>
        <v/>
      </c>
      <c r="S297" s="22"/>
      <c r="T297" s="21" t="str">
        <f t="shared" si="130"/>
        <v/>
      </c>
      <c r="U297" s="23" t="str">
        <f t="shared" si="118"/>
        <v/>
      </c>
      <c r="V297" s="22"/>
      <c r="W297" s="21" t="str">
        <f t="shared" si="131"/>
        <v/>
      </c>
      <c r="X297" s="23" t="str">
        <f t="shared" si="119"/>
        <v/>
      </c>
      <c r="Y297" s="22"/>
      <c r="Z297" s="21" t="str">
        <f t="shared" si="132"/>
        <v/>
      </c>
      <c r="AA297" s="23" t="str">
        <f t="shared" si="120"/>
        <v/>
      </c>
      <c r="AB297" s="22"/>
      <c r="AC297" s="21" t="str">
        <f t="shared" si="133"/>
        <v/>
      </c>
      <c r="AD297" s="23" t="str">
        <f t="shared" si="121"/>
        <v/>
      </c>
      <c r="AE297" s="22"/>
      <c r="AF297" s="21" t="str">
        <f t="shared" si="134"/>
        <v/>
      </c>
      <c r="AG297" s="85" t="str">
        <f t="shared" si="122"/>
        <v/>
      </c>
    </row>
    <row r="298" spans="1:33" x14ac:dyDescent="0.25">
      <c r="A298" s="13">
        <f>WORKDAY(A299,1,JoursFeries!$B$3:$CH$15)</f>
        <v>42445</v>
      </c>
      <c r="F298" s="24" t="str">
        <f t="shared" si="123"/>
        <v/>
      </c>
      <c r="G298" s="16" t="str">
        <f t="shared" si="116"/>
        <v/>
      </c>
      <c r="H298" s="15" t="str">
        <f t="shared" si="127"/>
        <v xml:space="preserve"> </v>
      </c>
      <c r="I298" s="15"/>
      <c r="J298" s="22"/>
      <c r="K298" s="21" t="str">
        <f t="shared" si="128"/>
        <v/>
      </c>
      <c r="L298" s="23" t="str">
        <f t="shared" si="124"/>
        <v/>
      </c>
      <c r="M298" s="22"/>
      <c r="N298" s="21" t="str">
        <f t="shared" si="125"/>
        <v/>
      </c>
      <c r="O298" s="23" t="str">
        <f t="shared" si="126"/>
        <v/>
      </c>
      <c r="P298" s="22"/>
      <c r="Q298" s="21" t="str">
        <f t="shared" si="129"/>
        <v/>
      </c>
      <c r="R298" s="23" t="str">
        <f t="shared" si="117"/>
        <v/>
      </c>
      <c r="S298" s="22"/>
      <c r="T298" s="21" t="str">
        <f t="shared" si="130"/>
        <v/>
      </c>
      <c r="U298" s="23" t="str">
        <f t="shared" si="118"/>
        <v/>
      </c>
      <c r="V298" s="22"/>
      <c r="W298" s="21" t="str">
        <f t="shared" si="131"/>
        <v/>
      </c>
      <c r="X298" s="23" t="str">
        <f t="shared" si="119"/>
        <v/>
      </c>
      <c r="Y298" s="22"/>
      <c r="Z298" s="21" t="str">
        <f t="shared" si="132"/>
        <v/>
      </c>
      <c r="AA298" s="23" t="str">
        <f t="shared" si="120"/>
        <v/>
      </c>
      <c r="AB298" s="22"/>
      <c r="AC298" s="21" t="str">
        <f t="shared" si="133"/>
        <v/>
      </c>
      <c r="AD298" s="23" t="str">
        <f t="shared" si="121"/>
        <v/>
      </c>
      <c r="AE298" s="22"/>
      <c r="AF298" s="21" t="str">
        <f t="shared" si="134"/>
        <v/>
      </c>
      <c r="AG298" s="85" t="str">
        <f t="shared" si="122"/>
        <v/>
      </c>
    </row>
    <row r="299" spans="1:33" x14ac:dyDescent="0.25">
      <c r="A299" s="13">
        <f>WORKDAY(A300,1,JoursFeries!$B$3:$CH$15)</f>
        <v>42444</v>
      </c>
      <c r="F299" s="24" t="str">
        <f t="shared" si="123"/>
        <v/>
      </c>
      <c r="G299" s="16" t="str">
        <f t="shared" si="116"/>
        <v/>
      </c>
      <c r="H299" s="15" t="str">
        <f t="shared" si="127"/>
        <v xml:space="preserve"> </v>
      </c>
      <c r="I299" s="15"/>
      <c r="J299" s="22"/>
      <c r="K299" s="21" t="str">
        <f t="shared" si="128"/>
        <v/>
      </c>
      <c r="L299" s="23" t="str">
        <f t="shared" si="124"/>
        <v/>
      </c>
      <c r="M299" s="22"/>
      <c r="N299" s="21" t="str">
        <f t="shared" si="125"/>
        <v/>
      </c>
      <c r="O299" s="23" t="str">
        <f t="shared" si="126"/>
        <v/>
      </c>
      <c r="P299" s="22"/>
      <c r="Q299" s="21" t="str">
        <f t="shared" si="129"/>
        <v/>
      </c>
      <c r="R299" s="23" t="str">
        <f t="shared" si="117"/>
        <v/>
      </c>
      <c r="S299" s="22"/>
      <c r="T299" s="21" t="str">
        <f t="shared" si="130"/>
        <v/>
      </c>
      <c r="U299" s="23" t="str">
        <f t="shared" si="118"/>
        <v/>
      </c>
      <c r="V299" s="22"/>
      <c r="W299" s="21" t="str">
        <f t="shared" si="131"/>
        <v/>
      </c>
      <c r="X299" s="23" t="str">
        <f t="shared" si="119"/>
        <v/>
      </c>
      <c r="Y299" s="22"/>
      <c r="Z299" s="21" t="str">
        <f t="shared" si="132"/>
        <v/>
      </c>
      <c r="AA299" s="23" t="str">
        <f t="shared" si="120"/>
        <v/>
      </c>
      <c r="AB299" s="22"/>
      <c r="AC299" s="21" t="str">
        <f t="shared" si="133"/>
        <v/>
      </c>
      <c r="AD299" s="23" t="str">
        <f t="shared" si="121"/>
        <v/>
      </c>
      <c r="AE299" s="22"/>
      <c r="AF299" s="21" t="str">
        <f t="shared" si="134"/>
        <v/>
      </c>
      <c r="AG299" s="85" t="str">
        <f t="shared" si="122"/>
        <v/>
      </c>
    </row>
    <row r="300" spans="1:33" x14ac:dyDescent="0.25">
      <c r="A300" s="18">
        <f>WORKDAY(A301,1,JoursFeries!$B$3:$CH$15)</f>
        <v>42443</v>
      </c>
      <c r="F300" s="24" t="str">
        <f t="shared" si="123"/>
        <v/>
      </c>
      <c r="G300" s="16" t="str">
        <f t="shared" si="116"/>
        <v/>
      </c>
      <c r="H300" s="15" t="str">
        <f t="shared" si="127"/>
        <v xml:space="preserve"> </v>
      </c>
      <c r="I300" s="15"/>
      <c r="J300" s="22"/>
      <c r="K300" s="21" t="str">
        <f t="shared" si="128"/>
        <v/>
      </c>
      <c r="L300" s="23" t="str">
        <f t="shared" si="124"/>
        <v/>
      </c>
      <c r="M300" s="22"/>
      <c r="N300" s="21" t="str">
        <f t="shared" si="125"/>
        <v/>
      </c>
      <c r="O300" s="23" t="str">
        <f t="shared" si="126"/>
        <v/>
      </c>
      <c r="P300" s="22"/>
      <c r="Q300" s="21" t="str">
        <f t="shared" si="129"/>
        <v/>
      </c>
      <c r="R300" s="23" t="str">
        <f t="shared" si="117"/>
        <v/>
      </c>
      <c r="S300" s="22"/>
      <c r="T300" s="21" t="str">
        <f t="shared" si="130"/>
        <v/>
      </c>
      <c r="U300" s="23" t="str">
        <f t="shared" si="118"/>
        <v/>
      </c>
      <c r="V300" s="22"/>
      <c r="W300" s="21" t="str">
        <f t="shared" si="131"/>
        <v/>
      </c>
      <c r="X300" s="23" t="str">
        <f t="shared" si="119"/>
        <v/>
      </c>
      <c r="Y300" s="22"/>
      <c r="Z300" s="21" t="str">
        <f t="shared" si="132"/>
        <v/>
      </c>
      <c r="AA300" s="23" t="str">
        <f t="shared" si="120"/>
        <v/>
      </c>
      <c r="AB300" s="22"/>
      <c r="AC300" s="21" t="str">
        <f t="shared" si="133"/>
        <v/>
      </c>
      <c r="AD300" s="23" t="str">
        <f t="shared" si="121"/>
        <v/>
      </c>
      <c r="AE300" s="22"/>
      <c r="AF300" s="21" t="str">
        <f t="shared" si="134"/>
        <v/>
      </c>
      <c r="AG300" s="85" t="str">
        <f t="shared" si="122"/>
        <v/>
      </c>
    </row>
    <row r="301" spans="1:33" x14ac:dyDescent="0.25">
      <c r="A301" s="13">
        <f>WORKDAY(A302,1,JoursFeries!$B$3:$CH$15)</f>
        <v>42440</v>
      </c>
      <c r="F301" s="24" t="str">
        <f t="shared" si="123"/>
        <v/>
      </c>
      <c r="G301" s="16" t="str">
        <f t="shared" si="116"/>
        <v/>
      </c>
      <c r="H301" s="15" t="str">
        <f t="shared" si="127"/>
        <v xml:space="preserve"> </v>
      </c>
      <c r="I301" s="15"/>
      <c r="J301" s="22"/>
      <c r="K301" s="21" t="str">
        <f t="shared" si="128"/>
        <v/>
      </c>
      <c r="L301" s="23" t="str">
        <f t="shared" si="124"/>
        <v/>
      </c>
      <c r="M301" s="22"/>
      <c r="N301" s="21" t="str">
        <f t="shared" si="125"/>
        <v/>
      </c>
      <c r="O301" s="23" t="str">
        <f t="shared" si="126"/>
        <v/>
      </c>
      <c r="P301" s="22"/>
      <c r="Q301" s="21" t="str">
        <f t="shared" si="129"/>
        <v/>
      </c>
      <c r="R301" s="23" t="str">
        <f t="shared" si="117"/>
        <v/>
      </c>
      <c r="S301" s="22"/>
      <c r="T301" s="21" t="str">
        <f t="shared" si="130"/>
        <v/>
      </c>
      <c r="U301" s="23" t="str">
        <f t="shared" si="118"/>
        <v/>
      </c>
      <c r="V301" s="22"/>
      <c r="W301" s="21" t="str">
        <f t="shared" si="131"/>
        <v/>
      </c>
      <c r="X301" s="23" t="str">
        <f t="shared" si="119"/>
        <v/>
      </c>
      <c r="Y301" s="22"/>
      <c r="Z301" s="21" t="str">
        <f t="shared" si="132"/>
        <v/>
      </c>
      <c r="AA301" s="23" t="str">
        <f t="shared" si="120"/>
        <v/>
      </c>
      <c r="AB301" s="22"/>
      <c r="AC301" s="21" t="str">
        <f t="shared" si="133"/>
        <v/>
      </c>
      <c r="AD301" s="23" t="str">
        <f t="shared" si="121"/>
        <v/>
      </c>
      <c r="AE301" s="22"/>
      <c r="AF301" s="21" t="str">
        <f t="shared" si="134"/>
        <v/>
      </c>
      <c r="AG301" s="85" t="str">
        <f t="shared" si="122"/>
        <v/>
      </c>
    </row>
    <row r="302" spans="1:33" x14ac:dyDescent="0.25">
      <c r="A302" s="13">
        <f>WORKDAY(A303,1,JoursFeries!$B$3:$CH$15)</f>
        <v>42439</v>
      </c>
      <c r="B302" s="19" t="s">
        <v>117</v>
      </c>
      <c r="C302" s="19">
        <v>8</v>
      </c>
      <c r="E302" s="19">
        <v>1002</v>
      </c>
      <c r="F302" s="24">
        <f t="shared" si="123"/>
        <v>1002</v>
      </c>
      <c r="G302" s="16">
        <f t="shared" si="116"/>
        <v>0</v>
      </c>
      <c r="H302" s="15">
        <f t="shared" si="127"/>
        <v>125.25</v>
      </c>
      <c r="I302" s="15"/>
      <c r="J302" s="22">
        <v>200</v>
      </c>
      <c r="K302" s="21">
        <f t="shared" si="128"/>
        <v>25</v>
      </c>
      <c r="L302" s="23">
        <f t="shared" si="124"/>
        <v>0.19960079840319361</v>
      </c>
      <c r="M302" s="22">
        <v>112</v>
      </c>
      <c r="N302" s="21">
        <f t="shared" si="125"/>
        <v>14</v>
      </c>
      <c r="O302" s="23">
        <f t="shared" si="126"/>
        <v>0.11177644710578842</v>
      </c>
      <c r="P302" s="22">
        <v>30</v>
      </c>
      <c r="Q302" s="21">
        <f t="shared" si="129"/>
        <v>3.75</v>
      </c>
      <c r="R302" s="23">
        <f t="shared" si="117"/>
        <v>2.9940119760479042E-2</v>
      </c>
      <c r="S302" s="22"/>
      <c r="T302" s="21" t="str">
        <f t="shared" si="130"/>
        <v/>
      </c>
      <c r="U302" s="23" t="str">
        <f t="shared" si="118"/>
        <v/>
      </c>
      <c r="V302" s="22">
        <v>380</v>
      </c>
      <c r="W302" s="21">
        <f t="shared" si="131"/>
        <v>47.5</v>
      </c>
      <c r="X302" s="23">
        <f t="shared" si="119"/>
        <v>0.37924151696606784</v>
      </c>
      <c r="Y302" s="22">
        <v>280</v>
      </c>
      <c r="Z302" s="21">
        <f t="shared" si="132"/>
        <v>35</v>
      </c>
      <c r="AA302" s="23">
        <f t="shared" si="120"/>
        <v>0.27944111776447106</v>
      </c>
      <c r="AB302" s="22"/>
      <c r="AC302" s="21" t="str">
        <f t="shared" si="133"/>
        <v/>
      </c>
      <c r="AD302" s="23" t="str">
        <f t="shared" si="121"/>
        <v/>
      </c>
      <c r="AE302" s="22"/>
      <c r="AF302" s="21" t="str">
        <f t="shared" si="134"/>
        <v/>
      </c>
      <c r="AG302" s="85" t="str">
        <f t="shared" si="122"/>
        <v/>
      </c>
    </row>
    <row r="303" spans="1:33" x14ac:dyDescent="0.25">
      <c r="A303" s="13">
        <f>WORKDAY(A304,1,JoursFeries!$B$3:$CH$15)</f>
        <v>42438</v>
      </c>
      <c r="F303" s="24" t="str">
        <f t="shared" si="123"/>
        <v/>
      </c>
      <c r="G303" s="16" t="str">
        <f t="shared" si="116"/>
        <v/>
      </c>
      <c r="H303" s="15" t="str">
        <f t="shared" si="127"/>
        <v xml:space="preserve"> </v>
      </c>
      <c r="I303" s="15"/>
      <c r="J303" s="22"/>
      <c r="K303" s="21" t="str">
        <f t="shared" si="128"/>
        <v/>
      </c>
      <c r="L303" s="23" t="str">
        <f t="shared" si="124"/>
        <v/>
      </c>
      <c r="M303" s="22"/>
      <c r="N303" s="21" t="str">
        <f t="shared" si="125"/>
        <v/>
      </c>
      <c r="O303" s="23" t="str">
        <f t="shared" si="126"/>
        <v/>
      </c>
      <c r="P303" s="22"/>
      <c r="Q303" s="21" t="str">
        <f t="shared" si="129"/>
        <v/>
      </c>
      <c r="R303" s="23" t="str">
        <f t="shared" si="117"/>
        <v/>
      </c>
      <c r="S303" s="22"/>
      <c r="T303" s="21" t="str">
        <f t="shared" si="130"/>
        <v/>
      </c>
      <c r="U303" s="23" t="str">
        <f t="shared" si="118"/>
        <v/>
      </c>
      <c r="V303" s="22"/>
      <c r="W303" s="21" t="str">
        <f t="shared" si="131"/>
        <v/>
      </c>
      <c r="X303" s="23" t="str">
        <f t="shared" si="119"/>
        <v/>
      </c>
      <c r="Y303" s="22"/>
      <c r="Z303" s="21" t="str">
        <f t="shared" si="132"/>
        <v/>
      </c>
      <c r="AA303" s="23" t="str">
        <f t="shared" si="120"/>
        <v/>
      </c>
      <c r="AB303" s="22"/>
      <c r="AC303" s="21" t="str">
        <f t="shared" si="133"/>
        <v/>
      </c>
      <c r="AD303" s="23" t="str">
        <f t="shared" si="121"/>
        <v/>
      </c>
      <c r="AE303" s="22"/>
      <c r="AF303" s="21" t="str">
        <f t="shared" si="134"/>
        <v/>
      </c>
      <c r="AG303" s="85" t="str">
        <f t="shared" si="122"/>
        <v/>
      </c>
    </row>
    <row r="304" spans="1:33" x14ac:dyDescent="0.25">
      <c r="A304" s="13">
        <f>WORKDAY(A305,1,JoursFeries!$B$3:$CH$15)</f>
        <v>42437</v>
      </c>
      <c r="F304" s="24" t="str">
        <f t="shared" si="123"/>
        <v/>
      </c>
      <c r="G304" s="16" t="str">
        <f t="shared" si="116"/>
        <v/>
      </c>
      <c r="H304" s="15" t="str">
        <f t="shared" si="127"/>
        <v xml:space="preserve"> </v>
      </c>
      <c r="I304" s="15"/>
      <c r="J304" s="22"/>
      <c r="K304" s="21" t="str">
        <f t="shared" si="128"/>
        <v/>
      </c>
      <c r="L304" s="23" t="str">
        <f t="shared" si="124"/>
        <v/>
      </c>
      <c r="M304" s="22"/>
      <c r="N304" s="21" t="str">
        <f t="shared" si="125"/>
        <v/>
      </c>
      <c r="O304" s="23" t="str">
        <f t="shared" si="126"/>
        <v/>
      </c>
      <c r="P304" s="22"/>
      <c r="Q304" s="21" t="str">
        <f t="shared" si="129"/>
        <v/>
      </c>
      <c r="R304" s="23" t="str">
        <f t="shared" si="117"/>
        <v/>
      </c>
      <c r="S304" s="22"/>
      <c r="T304" s="21" t="str">
        <f t="shared" si="130"/>
        <v/>
      </c>
      <c r="U304" s="23" t="str">
        <f t="shared" si="118"/>
        <v/>
      </c>
      <c r="V304" s="22"/>
      <c r="W304" s="21" t="str">
        <f t="shared" si="131"/>
        <v/>
      </c>
      <c r="X304" s="23" t="str">
        <f t="shared" si="119"/>
        <v/>
      </c>
      <c r="Y304" s="22"/>
      <c r="Z304" s="21" t="str">
        <f t="shared" si="132"/>
        <v/>
      </c>
      <c r="AA304" s="23" t="str">
        <f t="shared" si="120"/>
        <v/>
      </c>
      <c r="AB304" s="22"/>
      <c r="AC304" s="21" t="str">
        <f t="shared" si="133"/>
        <v/>
      </c>
      <c r="AD304" s="23" t="str">
        <f t="shared" si="121"/>
        <v/>
      </c>
      <c r="AE304" s="22"/>
      <c r="AF304" s="21" t="str">
        <f t="shared" si="134"/>
        <v/>
      </c>
      <c r="AG304" s="85" t="str">
        <f t="shared" si="122"/>
        <v/>
      </c>
    </row>
    <row r="305" spans="1:33" x14ac:dyDescent="0.25">
      <c r="A305" s="13">
        <f>WORKDAY(A306,1,JoursFeries!$B$3:$CH$15)</f>
        <v>42436</v>
      </c>
      <c r="F305" s="24" t="str">
        <f t="shared" si="123"/>
        <v/>
      </c>
      <c r="G305" s="16" t="str">
        <f t="shared" si="116"/>
        <v/>
      </c>
      <c r="H305" s="15" t="str">
        <f t="shared" si="127"/>
        <v xml:space="preserve"> </v>
      </c>
      <c r="I305" s="15"/>
      <c r="J305" s="22"/>
      <c r="K305" s="21" t="str">
        <f t="shared" si="128"/>
        <v/>
      </c>
      <c r="L305" s="23" t="str">
        <f t="shared" si="124"/>
        <v/>
      </c>
      <c r="M305" s="22"/>
      <c r="N305" s="21" t="str">
        <f t="shared" si="125"/>
        <v/>
      </c>
      <c r="O305" s="23" t="str">
        <f t="shared" si="126"/>
        <v/>
      </c>
      <c r="P305" s="22"/>
      <c r="Q305" s="21" t="str">
        <f t="shared" si="129"/>
        <v/>
      </c>
      <c r="R305" s="23" t="str">
        <f t="shared" si="117"/>
        <v/>
      </c>
      <c r="S305" s="22"/>
      <c r="T305" s="21" t="str">
        <f t="shared" si="130"/>
        <v/>
      </c>
      <c r="U305" s="23" t="str">
        <f t="shared" si="118"/>
        <v/>
      </c>
      <c r="V305" s="22"/>
      <c r="W305" s="21" t="str">
        <f t="shared" si="131"/>
        <v/>
      </c>
      <c r="X305" s="23" t="str">
        <f t="shared" si="119"/>
        <v/>
      </c>
      <c r="Y305" s="22"/>
      <c r="Z305" s="21" t="str">
        <f t="shared" si="132"/>
        <v/>
      </c>
      <c r="AA305" s="23" t="str">
        <f t="shared" si="120"/>
        <v/>
      </c>
      <c r="AB305" s="22"/>
      <c r="AC305" s="21" t="str">
        <f t="shared" si="133"/>
        <v/>
      </c>
      <c r="AD305" s="23" t="str">
        <f t="shared" si="121"/>
        <v/>
      </c>
      <c r="AE305" s="22"/>
      <c r="AF305" s="21" t="str">
        <f t="shared" si="134"/>
        <v/>
      </c>
      <c r="AG305" s="85" t="str">
        <f t="shared" si="122"/>
        <v/>
      </c>
    </row>
    <row r="306" spans="1:33" x14ac:dyDescent="0.25">
      <c r="A306" s="13">
        <f>WORKDAY(A307,1,JoursFeries!$B$3:$CH$15)</f>
        <v>42433</v>
      </c>
      <c r="F306" s="24" t="str">
        <f t="shared" si="123"/>
        <v/>
      </c>
      <c r="G306" s="16" t="str">
        <f t="shared" si="116"/>
        <v/>
      </c>
      <c r="H306" s="15" t="str">
        <f t="shared" si="127"/>
        <v xml:space="preserve"> </v>
      </c>
      <c r="I306" s="15"/>
      <c r="J306" s="22"/>
      <c r="K306" s="21" t="str">
        <f t="shared" si="128"/>
        <v/>
      </c>
      <c r="L306" s="23" t="str">
        <f t="shared" si="124"/>
        <v/>
      </c>
      <c r="M306" s="22"/>
      <c r="N306" s="21" t="str">
        <f t="shared" si="125"/>
        <v/>
      </c>
      <c r="O306" s="23" t="str">
        <f t="shared" si="126"/>
        <v/>
      </c>
      <c r="P306" s="22"/>
      <c r="Q306" s="21" t="str">
        <f t="shared" si="129"/>
        <v/>
      </c>
      <c r="R306" s="23" t="str">
        <f t="shared" si="117"/>
        <v/>
      </c>
      <c r="S306" s="22"/>
      <c r="T306" s="21" t="str">
        <f t="shared" si="130"/>
        <v/>
      </c>
      <c r="U306" s="23" t="str">
        <f t="shared" si="118"/>
        <v/>
      </c>
      <c r="V306" s="22"/>
      <c r="W306" s="21" t="str">
        <f t="shared" si="131"/>
        <v/>
      </c>
      <c r="X306" s="23" t="str">
        <f t="shared" si="119"/>
        <v/>
      </c>
      <c r="Y306" s="22"/>
      <c r="Z306" s="21" t="str">
        <f t="shared" si="132"/>
        <v/>
      </c>
      <c r="AA306" s="23" t="str">
        <f t="shared" si="120"/>
        <v/>
      </c>
      <c r="AB306" s="22"/>
      <c r="AC306" s="21" t="str">
        <f t="shared" si="133"/>
        <v/>
      </c>
      <c r="AD306" s="23" t="str">
        <f t="shared" si="121"/>
        <v/>
      </c>
      <c r="AE306" s="22"/>
      <c r="AF306" s="21" t="str">
        <f t="shared" si="134"/>
        <v/>
      </c>
      <c r="AG306" s="85" t="str">
        <f t="shared" si="122"/>
        <v/>
      </c>
    </row>
    <row r="307" spans="1:33" x14ac:dyDescent="0.25">
      <c r="A307" s="13">
        <f>WORKDAY(A308,1,JoursFeries!$B$3:$CH$15)</f>
        <v>42432</v>
      </c>
      <c r="F307" s="24" t="str">
        <f t="shared" si="123"/>
        <v/>
      </c>
      <c r="G307" s="16" t="str">
        <f t="shared" si="116"/>
        <v/>
      </c>
      <c r="H307" s="15" t="str">
        <f t="shared" si="127"/>
        <v xml:space="preserve"> </v>
      </c>
      <c r="I307" s="15"/>
      <c r="J307" s="22"/>
      <c r="K307" s="21" t="str">
        <f t="shared" ref="K307:K338" si="135">IF(ISBLANK(J307),"",J307/(C307-IF(ISBLANK(D307),0,D307)))</f>
        <v/>
      </c>
      <c r="L307" s="23" t="str">
        <f t="shared" si="124"/>
        <v/>
      </c>
      <c r="M307" s="22"/>
      <c r="N307" s="21" t="str">
        <f t="shared" si="125"/>
        <v/>
      </c>
      <c r="O307" s="23" t="str">
        <f t="shared" si="126"/>
        <v/>
      </c>
      <c r="P307" s="22"/>
      <c r="Q307" s="21" t="str">
        <f t="shared" ref="Q307:Q338" si="136">IF(ISBLANK(P307),"",P307/($C307-IF(ISBLANK($D307),0,$D307)))</f>
        <v/>
      </c>
      <c r="R307" s="23" t="str">
        <f t="shared" si="117"/>
        <v/>
      </c>
      <c r="S307" s="22"/>
      <c r="T307" s="21" t="str">
        <f t="shared" ref="T307:T338" si="137">IF(ISBLANK(S307),"",S307/($C307-IF(ISBLANK($D307),0,$D307)))</f>
        <v/>
      </c>
      <c r="U307" s="23" t="str">
        <f t="shared" si="118"/>
        <v/>
      </c>
      <c r="V307" s="22"/>
      <c r="W307" s="21" t="str">
        <f t="shared" ref="W307:W338" si="138">IF(ISBLANK(V307),"",V307/($C307-IF(ISBLANK($D307),0,$D307)))</f>
        <v/>
      </c>
      <c r="X307" s="23" t="str">
        <f t="shared" si="119"/>
        <v/>
      </c>
      <c r="Y307" s="22"/>
      <c r="Z307" s="21" t="str">
        <f t="shared" ref="Z307:Z338" si="139">IF(ISBLANK(Y307),"",Y307/($C307-IF(ISBLANK($D307),0,$D307)))</f>
        <v/>
      </c>
      <c r="AA307" s="23" t="str">
        <f t="shared" si="120"/>
        <v/>
      </c>
      <c r="AB307" s="22"/>
      <c r="AC307" s="21" t="str">
        <f t="shared" ref="AC307:AC338" si="140">IF(ISBLANK(AB307),"",AB307/($C307-IF(ISBLANK($D307),0,$D307)))</f>
        <v/>
      </c>
      <c r="AD307" s="23" t="str">
        <f t="shared" si="121"/>
        <v/>
      </c>
      <c r="AE307" s="22"/>
      <c r="AF307" s="21" t="str">
        <f t="shared" ref="AF307:AF338" si="141">IF(ISBLANK(AE307),"",AE307/($C307-IF(ISBLANK($D307),0,$D307)))</f>
        <v/>
      </c>
      <c r="AG307" s="85" t="str">
        <f t="shared" si="122"/>
        <v/>
      </c>
    </row>
    <row r="308" spans="1:33" x14ac:dyDescent="0.25">
      <c r="A308" s="13">
        <f>WORKDAY(A309,1,JoursFeries!$B$3:$CH$15)</f>
        <v>42431</v>
      </c>
      <c r="F308" s="24" t="str">
        <f t="shared" si="123"/>
        <v/>
      </c>
      <c r="G308" s="16" t="str">
        <f t="shared" si="116"/>
        <v/>
      </c>
      <c r="H308" s="15" t="str">
        <f t="shared" si="127"/>
        <v xml:space="preserve"> </v>
      </c>
      <c r="I308" s="15"/>
      <c r="J308" s="22"/>
      <c r="K308" s="21" t="str">
        <f t="shared" si="135"/>
        <v/>
      </c>
      <c r="L308" s="23" t="str">
        <f t="shared" si="124"/>
        <v/>
      </c>
      <c r="M308" s="22"/>
      <c r="N308" s="21" t="str">
        <f t="shared" si="125"/>
        <v/>
      </c>
      <c r="O308" s="23" t="str">
        <f t="shared" si="126"/>
        <v/>
      </c>
      <c r="P308" s="22"/>
      <c r="Q308" s="21" t="str">
        <f t="shared" si="136"/>
        <v/>
      </c>
      <c r="R308" s="23" t="str">
        <f t="shared" si="117"/>
        <v/>
      </c>
      <c r="S308" s="22"/>
      <c r="T308" s="21" t="str">
        <f t="shared" si="137"/>
        <v/>
      </c>
      <c r="U308" s="23" t="str">
        <f t="shared" si="118"/>
        <v/>
      </c>
      <c r="V308" s="22"/>
      <c r="W308" s="21" t="str">
        <f t="shared" si="138"/>
        <v/>
      </c>
      <c r="X308" s="23" t="str">
        <f t="shared" si="119"/>
        <v/>
      </c>
      <c r="Y308" s="22"/>
      <c r="Z308" s="21" t="str">
        <f t="shared" si="139"/>
        <v/>
      </c>
      <c r="AA308" s="23" t="str">
        <f t="shared" si="120"/>
        <v/>
      </c>
      <c r="AB308" s="22"/>
      <c r="AC308" s="21" t="str">
        <f t="shared" si="140"/>
        <v/>
      </c>
      <c r="AD308" s="23" t="str">
        <f t="shared" si="121"/>
        <v/>
      </c>
      <c r="AE308" s="22"/>
      <c r="AF308" s="21" t="str">
        <f t="shared" si="141"/>
        <v/>
      </c>
      <c r="AG308" s="85" t="str">
        <f t="shared" si="122"/>
        <v/>
      </c>
    </row>
    <row r="309" spans="1:33" x14ac:dyDescent="0.25">
      <c r="A309" s="13">
        <f>WORKDAY(A310,1,JoursFeries!$B$3:$CH$15)</f>
        <v>42430</v>
      </c>
      <c r="B309" s="19" t="s">
        <v>118</v>
      </c>
      <c r="C309" s="19">
        <v>11</v>
      </c>
      <c r="E309" s="19">
        <f>1456.64-277.24-29.4</f>
        <v>1150</v>
      </c>
      <c r="F309" s="24">
        <f t="shared" si="123"/>
        <v>1630.9707999999998</v>
      </c>
      <c r="G309" s="16">
        <f t="shared" si="116"/>
        <v>-480.97079999999983</v>
      </c>
      <c r="H309" s="15">
        <f t="shared" si="127"/>
        <v>104.54545454545455</v>
      </c>
      <c r="I309" s="15"/>
      <c r="J309" s="22">
        <v>240</v>
      </c>
      <c r="K309" s="21">
        <f t="shared" si="135"/>
        <v>21.818181818181817</v>
      </c>
      <c r="L309" s="23">
        <f t="shared" si="124"/>
        <v>0.20869565217391303</v>
      </c>
      <c r="M309" s="22">
        <v>120</v>
      </c>
      <c r="N309" s="21">
        <f t="shared" si="125"/>
        <v>10.909090909090908</v>
      </c>
      <c r="O309" s="23">
        <f t="shared" si="126"/>
        <v>0.10434782608695652</v>
      </c>
      <c r="P309" s="22">
        <v>130</v>
      </c>
      <c r="Q309" s="21">
        <f t="shared" si="136"/>
        <v>11.818181818181818</v>
      </c>
      <c r="R309" s="23">
        <f t="shared" si="117"/>
        <v>0.11304347826086956</v>
      </c>
      <c r="S309" s="22"/>
      <c r="T309" s="21" t="str">
        <f t="shared" si="137"/>
        <v/>
      </c>
      <c r="U309" s="23" t="str">
        <f t="shared" si="118"/>
        <v/>
      </c>
      <c r="V309" s="22">
        <v>360</v>
      </c>
      <c r="W309" s="21">
        <f t="shared" si="138"/>
        <v>32.727272727272727</v>
      </c>
      <c r="X309" s="23">
        <f t="shared" si="119"/>
        <v>0.31304347826086959</v>
      </c>
      <c r="Y309" s="22"/>
      <c r="Z309" s="21" t="str">
        <f t="shared" si="139"/>
        <v/>
      </c>
      <c r="AA309" s="23" t="str">
        <f t="shared" si="120"/>
        <v/>
      </c>
      <c r="AB309" s="22">
        <v>300</v>
      </c>
      <c r="AC309" s="21">
        <f t="shared" si="140"/>
        <v>27.272727272727273</v>
      </c>
      <c r="AD309" s="23">
        <f t="shared" si="121"/>
        <v>0.2608695652173913</v>
      </c>
      <c r="AE309" s="22"/>
      <c r="AF309" s="21" t="str">
        <f t="shared" si="141"/>
        <v/>
      </c>
      <c r="AG309" s="85" t="str">
        <f t="shared" si="122"/>
        <v/>
      </c>
    </row>
    <row r="310" spans="1:33" x14ac:dyDescent="0.25">
      <c r="A310" s="13">
        <f>WORKDAY(A311,1,JoursFeries!$B$3:$CH$15)</f>
        <v>42429</v>
      </c>
      <c r="B310" s="19" t="s">
        <v>118</v>
      </c>
      <c r="C310" s="19">
        <v>8</v>
      </c>
      <c r="E310" s="19">
        <f>911.3-10.76-12-8.54</f>
        <v>880</v>
      </c>
      <c r="F310" s="24">
        <f t="shared" si="123"/>
        <v>1186.1605818181818</v>
      </c>
      <c r="G310" s="16">
        <f t="shared" si="116"/>
        <v>-306.16058181818175</v>
      </c>
      <c r="H310" s="15">
        <f t="shared" si="127"/>
        <v>110</v>
      </c>
      <c r="I310" s="15"/>
      <c r="J310" s="22">
        <v>160</v>
      </c>
      <c r="K310" s="21">
        <f t="shared" si="135"/>
        <v>20</v>
      </c>
      <c r="L310" s="23">
        <f t="shared" si="124"/>
        <v>0.18181818181818182</v>
      </c>
      <c r="M310" s="22">
        <v>30</v>
      </c>
      <c r="N310" s="21">
        <f t="shared" si="125"/>
        <v>3.75</v>
      </c>
      <c r="O310" s="23">
        <f t="shared" si="126"/>
        <v>3.4090909090909088E-2</v>
      </c>
      <c r="P310" s="22">
        <v>100</v>
      </c>
      <c r="Q310" s="21">
        <f t="shared" si="136"/>
        <v>12.5</v>
      </c>
      <c r="R310" s="23">
        <f t="shared" si="117"/>
        <v>0.11363636363636363</v>
      </c>
      <c r="S310" s="22"/>
      <c r="T310" s="21" t="str">
        <f t="shared" si="137"/>
        <v/>
      </c>
      <c r="U310" s="23" t="str">
        <f t="shared" si="118"/>
        <v/>
      </c>
      <c r="V310" s="22">
        <v>300</v>
      </c>
      <c r="W310" s="21">
        <f t="shared" si="138"/>
        <v>37.5</v>
      </c>
      <c r="X310" s="23">
        <f t="shared" si="119"/>
        <v>0.34090909090909088</v>
      </c>
      <c r="Y310" s="22"/>
      <c r="Z310" s="21" t="str">
        <f t="shared" si="139"/>
        <v/>
      </c>
      <c r="AA310" s="23" t="str">
        <f t="shared" si="120"/>
        <v/>
      </c>
      <c r="AB310" s="22">
        <v>260</v>
      </c>
      <c r="AC310" s="21">
        <f t="shared" si="140"/>
        <v>32.5</v>
      </c>
      <c r="AD310" s="23">
        <f t="shared" si="121"/>
        <v>0.29545454545454547</v>
      </c>
      <c r="AE310" s="22"/>
      <c r="AF310" s="21" t="str">
        <f t="shared" si="141"/>
        <v/>
      </c>
      <c r="AG310" s="85" t="str">
        <f t="shared" si="122"/>
        <v/>
      </c>
    </row>
    <row r="311" spans="1:33" x14ac:dyDescent="0.25">
      <c r="A311" s="13">
        <f>WORKDAY(A312,1,JoursFeries!$B$3:$CH$15)</f>
        <v>42426</v>
      </c>
      <c r="B311" s="19" t="s">
        <v>118</v>
      </c>
      <c r="C311" s="19">
        <v>11</v>
      </c>
      <c r="E311" s="19">
        <f>-48.84+1238.84</f>
        <v>1190</v>
      </c>
      <c r="F311" s="24">
        <f t="shared" si="123"/>
        <v>1630.9707999999998</v>
      </c>
      <c r="G311" s="16">
        <f t="shared" si="116"/>
        <v>-440.97079999999983</v>
      </c>
      <c r="H311" s="15">
        <f t="shared" si="127"/>
        <v>108.18181818181819</v>
      </c>
      <c r="I311" s="15"/>
      <c r="J311" s="22">
        <v>200</v>
      </c>
      <c r="K311" s="21">
        <f t="shared" si="135"/>
        <v>18.181818181818183</v>
      </c>
      <c r="L311" s="23">
        <f t="shared" si="124"/>
        <v>0.16806722689075632</v>
      </c>
      <c r="M311" s="22">
        <v>100</v>
      </c>
      <c r="N311" s="21">
        <f t="shared" si="125"/>
        <v>9.0909090909090917</v>
      </c>
      <c r="O311" s="23">
        <f t="shared" si="126"/>
        <v>8.4033613445378158E-2</v>
      </c>
      <c r="P311" s="22">
        <v>90</v>
      </c>
      <c r="Q311" s="21">
        <f t="shared" si="136"/>
        <v>8.1818181818181817</v>
      </c>
      <c r="R311" s="23">
        <f t="shared" si="117"/>
        <v>7.5630252100840331E-2</v>
      </c>
      <c r="S311" s="22"/>
      <c r="T311" s="21" t="str">
        <f t="shared" si="137"/>
        <v/>
      </c>
      <c r="U311" s="23" t="str">
        <f t="shared" si="118"/>
        <v/>
      </c>
      <c r="V311" s="22">
        <v>500</v>
      </c>
      <c r="W311" s="21">
        <f t="shared" si="138"/>
        <v>45.454545454545453</v>
      </c>
      <c r="X311" s="23">
        <f t="shared" si="119"/>
        <v>0.42016806722689076</v>
      </c>
      <c r="Y311" s="22"/>
      <c r="Z311" s="21" t="str">
        <f t="shared" si="139"/>
        <v/>
      </c>
      <c r="AA311" s="23" t="str">
        <f t="shared" si="120"/>
        <v/>
      </c>
      <c r="AB311" s="22">
        <v>300</v>
      </c>
      <c r="AC311" s="21">
        <f t="shared" si="140"/>
        <v>27.272727272727273</v>
      </c>
      <c r="AD311" s="23">
        <f t="shared" si="121"/>
        <v>0.25210084033613445</v>
      </c>
      <c r="AE311" s="22"/>
      <c r="AF311" s="21" t="str">
        <f t="shared" si="141"/>
        <v/>
      </c>
      <c r="AG311" s="85" t="str">
        <f t="shared" si="122"/>
        <v/>
      </c>
    </row>
    <row r="312" spans="1:33" x14ac:dyDescent="0.25">
      <c r="A312" s="18">
        <f>WORKDAY(A313,1,JoursFeries!$B$3:$CH$15)</f>
        <v>42425</v>
      </c>
      <c r="F312" s="24" t="str">
        <f t="shared" si="123"/>
        <v/>
      </c>
      <c r="G312" s="16" t="str">
        <f t="shared" si="116"/>
        <v/>
      </c>
      <c r="H312" s="15" t="str">
        <f t="shared" si="127"/>
        <v xml:space="preserve"> </v>
      </c>
      <c r="I312" s="15"/>
      <c r="J312" s="22"/>
      <c r="K312" s="21" t="str">
        <f t="shared" si="135"/>
        <v/>
      </c>
      <c r="L312" s="23" t="str">
        <f t="shared" si="124"/>
        <v/>
      </c>
      <c r="M312" s="22"/>
      <c r="N312" s="21" t="str">
        <f t="shared" si="125"/>
        <v/>
      </c>
      <c r="O312" s="23" t="str">
        <f t="shared" si="126"/>
        <v/>
      </c>
      <c r="P312" s="22"/>
      <c r="Q312" s="21" t="str">
        <f t="shared" si="136"/>
        <v/>
      </c>
      <c r="R312" s="23" t="str">
        <f t="shared" si="117"/>
        <v/>
      </c>
      <c r="S312" s="22"/>
      <c r="T312" s="21" t="str">
        <f t="shared" si="137"/>
        <v/>
      </c>
      <c r="U312" s="23" t="str">
        <f t="shared" si="118"/>
        <v/>
      </c>
      <c r="V312" s="22"/>
      <c r="W312" s="21" t="str">
        <f t="shared" si="138"/>
        <v/>
      </c>
      <c r="X312" s="23" t="str">
        <f t="shared" si="119"/>
        <v/>
      </c>
      <c r="Y312" s="22"/>
      <c r="Z312" s="21" t="str">
        <f t="shared" si="139"/>
        <v/>
      </c>
      <c r="AA312" s="23" t="str">
        <f t="shared" si="120"/>
        <v/>
      </c>
      <c r="AB312" s="22"/>
      <c r="AC312" s="21" t="str">
        <f t="shared" si="140"/>
        <v/>
      </c>
      <c r="AD312" s="23" t="str">
        <f t="shared" si="121"/>
        <v/>
      </c>
      <c r="AE312" s="22"/>
      <c r="AF312" s="21" t="str">
        <f t="shared" si="141"/>
        <v/>
      </c>
      <c r="AG312" s="85" t="str">
        <f t="shared" si="122"/>
        <v/>
      </c>
    </row>
    <row r="313" spans="1:33" x14ac:dyDescent="0.25">
      <c r="A313" s="13">
        <f>WORKDAY(A314,1,JoursFeries!$B$3:$CH$15)</f>
        <v>42424</v>
      </c>
      <c r="B313" s="19" t="s">
        <v>118</v>
      </c>
      <c r="C313" s="19">
        <v>11</v>
      </c>
      <c r="E313" s="19">
        <f>-30.52+1460.52</f>
        <v>1430</v>
      </c>
      <c r="F313" s="24">
        <f t="shared" si="123"/>
        <v>1630.9707999999998</v>
      </c>
      <c r="G313" s="16">
        <f t="shared" si="116"/>
        <v>-200.97079999999983</v>
      </c>
      <c r="H313" s="15">
        <f t="shared" si="127"/>
        <v>130</v>
      </c>
      <c r="I313" s="15"/>
      <c r="J313" s="22">
        <v>220</v>
      </c>
      <c r="K313" s="21">
        <f t="shared" si="135"/>
        <v>20</v>
      </c>
      <c r="L313" s="23">
        <f t="shared" si="124"/>
        <v>0.15384615384615385</v>
      </c>
      <c r="M313" s="22">
        <v>100</v>
      </c>
      <c r="N313" s="21">
        <f t="shared" si="125"/>
        <v>9.0909090909090917</v>
      </c>
      <c r="O313" s="23">
        <f t="shared" si="126"/>
        <v>6.9930069930069935E-2</v>
      </c>
      <c r="P313" s="22">
        <v>110</v>
      </c>
      <c r="Q313" s="21">
        <f t="shared" si="136"/>
        <v>10</v>
      </c>
      <c r="R313" s="23">
        <f t="shared" si="117"/>
        <v>7.6923076923076927E-2</v>
      </c>
      <c r="S313" s="22"/>
      <c r="T313" s="21" t="str">
        <f t="shared" si="137"/>
        <v/>
      </c>
      <c r="U313" s="23" t="str">
        <f t="shared" si="118"/>
        <v/>
      </c>
      <c r="V313" s="22">
        <v>600</v>
      </c>
      <c r="W313" s="21">
        <f t="shared" si="138"/>
        <v>54.545454545454547</v>
      </c>
      <c r="X313" s="23">
        <f t="shared" si="119"/>
        <v>0.41958041958041958</v>
      </c>
      <c r="Y313" s="22"/>
      <c r="Z313" s="21" t="str">
        <f t="shared" si="139"/>
        <v/>
      </c>
      <c r="AA313" s="23" t="str">
        <f t="shared" si="120"/>
        <v/>
      </c>
      <c r="AB313" s="22">
        <v>400</v>
      </c>
      <c r="AC313" s="21">
        <f t="shared" si="140"/>
        <v>36.363636363636367</v>
      </c>
      <c r="AD313" s="23">
        <f t="shared" si="121"/>
        <v>0.27972027972027974</v>
      </c>
      <c r="AE313" s="22"/>
      <c r="AF313" s="21" t="str">
        <f t="shared" si="141"/>
        <v/>
      </c>
      <c r="AG313" s="85" t="str">
        <f t="shared" si="122"/>
        <v/>
      </c>
    </row>
    <row r="314" spans="1:33" x14ac:dyDescent="0.25">
      <c r="A314" s="13">
        <f>WORKDAY(A315,1,JoursFeries!$B$3:$CH$15)</f>
        <v>42423</v>
      </c>
      <c r="B314" s="19" t="s">
        <v>118</v>
      </c>
      <c r="C314" s="19">
        <v>11</v>
      </c>
      <c r="E314" s="19">
        <v>1302</v>
      </c>
      <c r="F314" s="24">
        <f t="shared" si="123"/>
        <v>1630.9707999999998</v>
      </c>
      <c r="G314" s="16">
        <f t="shared" si="116"/>
        <v>-328.97079999999983</v>
      </c>
      <c r="H314" s="15">
        <f t="shared" si="127"/>
        <v>118.36363636363636</v>
      </c>
      <c r="I314" s="15"/>
      <c r="J314" s="22">
        <v>192</v>
      </c>
      <c r="K314" s="21">
        <f t="shared" si="135"/>
        <v>17.454545454545453</v>
      </c>
      <c r="L314" s="23">
        <f t="shared" si="124"/>
        <v>0.14746543778801843</v>
      </c>
      <c r="M314" s="22">
        <v>90</v>
      </c>
      <c r="N314" s="21">
        <f t="shared" si="125"/>
        <v>8.1818181818181817</v>
      </c>
      <c r="O314" s="23">
        <f t="shared" si="126"/>
        <v>6.9124423963133647E-2</v>
      </c>
      <c r="P314" s="22">
        <v>120</v>
      </c>
      <c r="Q314" s="21">
        <f t="shared" si="136"/>
        <v>10.909090909090908</v>
      </c>
      <c r="R314" s="23">
        <f t="shared" si="117"/>
        <v>9.2165898617511524E-2</v>
      </c>
      <c r="S314" s="22"/>
      <c r="T314" s="21" t="str">
        <f t="shared" si="137"/>
        <v/>
      </c>
      <c r="U314" s="23" t="str">
        <f t="shared" si="118"/>
        <v/>
      </c>
      <c r="V314" s="22">
        <v>600</v>
      </c>
      <c r="W314" s="21">
        <f t="shared" si="138"/>
        <v>54.545454545454547</v>
      </c>
      <c r="X314" s="23">
        <f t="shared" si="119"/>
        <v>0.46082949308755761</v>
      </c>
      <c r="Y314" s="22"/>
      <c r="Z314" s="21" t="str">
        <f t="shared" si="139"/>
        <v/>
      </c>
      <c r="AA314" s="23" t="str">
        <f t="shared" si="120"/>
        <v/>
      </c>
      <c r="AB314" s="22">
        <v>300</v>
      </c>
      <c r="AC314" s="21">
        <f t="shared" si="140"/>
        <v>27.272727272727273</v>
      </c>
      <c r="AD314" s="23">
        <f t="shared" si="121"/>
        <v>0.2304147465437788</v>
      </c>
      <c r="AE314" s="22"/>
      <c r="AF314" s="21" t="str">
        <f t="shared" si="141"/>
        <v/>
      </c>
      <c r="AG314" s="85" t="str">
        <f t="shared" si="122"/>
        <v/>
      </c>
    </row>
    <row r="315" spans="1:33" x14ac:dyDescent="0.25">
      <c r="A315" s="13">
        <f>WORKDAY(A316,1,JoursFeries!$B$3:$CH$15)</f>
        <v>42422</v>
      </c>
      <c r="B315" s="19" t="s">
        <v>118</v>
      </c>
      <c r="C315" s="19">
        <v>10</v>
      </c>
      <c r="E315" s="19">
        <f>-88.08+1245.08</f>
        <v>1157</v>
      </c>
      <c r="F315" s="24">
        <f t="shared" si="123"/>
        <v>1482.7007272727271</v>
      </c>
      <c r="G315" s="16">
        <f t="shared" si="116"/>
        <v>-325.70072727272714</v>
      </c>
      <c r="H315" s="15">
        <f t="shared" si="127"/>
        <v>115.7</v>
      </c>
      <c r="I315" s="15"/>
      <c r="J315" s="22">
        <v>210</v>
      </c>
      <c r="K315" s="21">
        <f t="shared" si="135"/>
        <v>21</v>
      </c>
      <c r="L315" s="23">
        <f t="shared" si="124"/>
        <v>0.1815038893690579</v>
      </c>
      <c r="M315" s="22">
        <v>90</v>
      </c>
      <c r="N315" s="21">
        <f t="shared" si="125"/>
        <v>9</v>
      </c>
      <c r="O315" s="23">
        <f t="shared" si="126"/>
        <v>7.7787381158167676E-2</v>
      </c>
      <c r="P315" s="22">
        <v>57</v>
      </c>
      <c r="Q315" s="21">
        <f t="shared" si="136"/>
        <v>5.7</v>
      </c>
      <c r="R315" s="23">
        <f t="shared" si="117"/>
        <v>4.9265341400172864E-2</v>
      </c>
      <c r="S315" s="22"/>
      <c r="T315" s="21" t="str">
        <f t="shared" si="137"/>
        <v/>
      </c>
      <c r="U315" s="23" t="str">
        <f t="shared" si="118"/>
        <v/>
      </c>
      <c r="V315" s="22">
        <v>500</v>
      </c>
      <c r="W315" s="21">
        <f t="shared" si="138"/>
        <v>50</v>
      </c>
      <c r="X315" s="23">
        <f t="shared" si="119"/>
        <v>0.43215211754537597</v>
      </c>
      <c r="Y315" s="22"/>
      <c r="Z315" s="21" t="str">
        <f t="shared" si="139"/>
        <v/>
      </c>
      <c r="AA315" s="23" t="str">
        <f t="shared" si="120"/>
        <v/>
      </c>
      <c r="AB315" s="22">
        <v>300</v>
      </c>
      <c r="AC315" s="21">
        <f t="shared" si="140"/>
        <v>30</v>
      </c>
      <c r="AD315" s="23">
        <f t="shared" si="121"/>
        <v>0.25929127052722556</v>
      </c>
      <c r="AE315" s="22"/>
      <c r="AF315" s="21" t="str">
        <f t="shared" si="141"/>
        <v/>
      </c>
      <c r="AG315" s="85" t="str">
        <f t="shared" si="122"/>
        <v/>
      </c>
    </row>
    <row r="316" spans="1:33" x14ac:dyDescent="0.25">
      <c r="A316" s="13">
        <f>WORKDAY(A317,1,JoursFeries!$B$3:$CH$15)</f>
        <v>42419</v>
      </c>
      <c r="F316" s="24" t="str">
        <f t="shared" si="123"/>
        <v/>
      </c>
      <c r="G316" s="16" t="str">
        <f t="shared" si="116"/>
        <v/>
      </c>
      <c r="H316" s="15" t="str">
        <f t="shared" si="127"/>
        <v xml:space="preserve"> </v>
      </c>
      <c r="I316" s="15"/>
      <c r="J316" s="22"/>
      <c r="K316" s="21" t="str">
        <f t="shared" si="135"/>
        <v/>
      </c>
      <c r="L316" s="23" t="str">
        <f t="shared" si="124"/>
        <v/>
      </c>
      <c r="M316" s="22"/>
      <c r="N316" s="21" t="str">
        <f t="shared" si="125"/>
        <v/>
      </c>
      <c r="O316" s="23" t="str">
        <f t="shared" si="126"/>
        <v/>
      </c>
      <c r="P316" s="22"/>
      <c r="Q316" s="21" t="str">
        <f t="shared" si="136"/>
        <v/>
      </c>
      <c r="R316" s="23" t="str">
        <f t="shared" si="117"/>
        <v/>
      </c>
      <c r="S316" s="22"/>
      <c r="T316" s="21" t="str">
        <f t="shared" si="137"/>
        <v/>
      </c>
      <c r="U316" s="23" t="str">
        <f t="shared" si="118"/>
        <v/>
      </c>
      <c r="V316" s="22"/>
      <c r="W316" s="21" t="str">
        <f t="shared" si="138"/>
        <v/>
      </c>
      <c r="X316" s="23" t="str">
        <f t="shared" si="119"/>
        <v/>
      </c>
      <c r="Y316" s="22"/>
      <c r="Z316" s="21" t="str">
        <f t="shared" si="139"/>
        <v/>
      </c>
      <c r="AA316" s="23" t="str">
        <f t="shared" si="120"/>
        <v/>
      </c>
      <c r="AB316" s="22"/>
      <c r="AC316" s="21" t="str">
        <f t="shared" si="140"/>
        <v/>
      </c>
      <c r="AD316" s="23" t="str">
        <f t="shared" si="121"/>
        <v/>
      </c>
      <c r="AE316" s="22"/>
      <c r="AF316" s="21" t="str">
        <f t="shared" si="141"/>
        <v/>
      </c>
      <c r="AG316" s="85" t="str">
        <f t="shared" si="122"/>
        <v/>
      </c>
    </row>
    <row r="317" spans="1:33" x14ac:dyDescent="0.25">
      <c r="A317" s="13">
        <f>WORKDAY(A318,1,JoursFeries!$B$3:$CH$15)</f>
        <v>42418</v>
      </c>
      <c r="F317" s="24" t="str">
        <f t="shared" si="123"/>
        <v/>
      </c>
      <c r="G317" s="16" t="str">
        <f t="shared" si="116"/>
        <v/>
      </c>
      <c r="H317" s="15" t="str">
        <f t="shared" si="127"/>
        <v xml:space="preserve"> </v>
      </c>
      <c r="I317" s="15"/>
      <c r="J317" s="22"/>
      <c r="K317" s="21" t="str">
        <f t="shared" si="135"/>
        <v/>
      </c>
      <c r="L317" s="23" t="str">
        <f t="shared" si="124"/>
        <v/>
      </c>
      <c r="M317" s="22"/>
      <c r="N317" s="21" t="str">
        <f t="shared" si="125"/>
        <v/>
      </c>
      <c r="O317" s="23" t="str">
        <f t="shared" si="126"/>
        <v/>
      </c>
      <c r="P317" s="22"/>
      <c r="Q317" s="21" t="str">
        <f t="shared" si="136"/>
        <v/>
      </c>
      <c r="R317" s="23" t="str">
        <f t="shared" si="117"/>
        <v/>
      </c>
      <c r="S317" s="22"/>
      <c r="T317" s="21" t="str">
        <f t="shared" si="137"/>
        <v/>
      </c>
      <c r="U317" s="23" t="str">
        <f t="shared" si="118"/>
        <v/>
      </c>
      <c r="V317" s="22"/>
      <c r="W317" s="21" t="str">
        <f t="shared" si="138"/>
        <v/>
      </c>
      <c r="X317" s="23" t="str">
        <f t="shared" si="119"/>
        <v/>
      </c>
      <c r="Y317" s="22"/>
      <c r="Z317" s="21" t="str">
        <f t="shared" si="139"/>
        <v/>
      </c>
      <c r="AA317" s="23" t="str">
        <f t="shared" si="120"/>
        <v/>
      </c>
      <c r="AB317" s="22"/>
      <c r="AC317" s="21" t="str">
        <f t="shared" si="140"/>
        <v/>
      </c>
      <c r="AD317" s="23" t="str">
        <f t="shared" si="121"/>
        <v/>
      </c>
      <c r="AE317" s="22"/>
      <c r="AF317" s="21" t="str">
        <f t="shared" si="141"/>
        <v/>
      </c>
      <c r="AG317" s="85" t="str">
        <f t="shared" si="122"/>
        <v/>
      </c>
    </row>
    <row r="318" spans="1:33" x14ac:dyDescent="0.25">
      <c r="A318" s="13">
        <f>WORKDAY(A319,1,JoursFeries!$B$3:$CH$15)</f>
        <v>42417</v>
      </c>
      <c r="B318" s="19" t="s">
        <v>120</v>
      </c>
      <c r="C318" s="19">
        <v>7</v>
      </c>
      <c r="E318" s="19">
        <f>-11.36-99.96+1051.32</f>
        <v>940</v>
      </c>
      <c r="F318" s="24">
        <f t="shared" si="123"/>
        <v>1058.1574384586606</v>
      </c>
      <c r="G318" s="16">
        <f t="shared" si="116"/>
        <v>-118.15743845866064</v>
      </c>
      <c r="H318" s="15">
        <f t="shared" si="127"/>
        <v>134.28571428571428</v>
      </c>
      <c r="I318" s="15"/>
      <c r="J318" s="22">
        <v>60</v>
      </c>
      <c r="K318" s="21">
        <f t="shared" si="135"/>
        <v>8.5714285714285712</v>
      </c>
      <c r="L318" s="23">
        <f t="shared" si="124"/>
        <v>6.3829787234042548E-2</v>
      </c>
      <c r="M318" s="22">
        <v>120</v>
      </c>
      <c r="N318" s="21">
        <f t="shared" si="125"/>
        <v>17.142857142857142</v>
      </c>
      <c r="O318" s="23">
        <f t="shared" si="126"/>
        <v>0.1276595744680851</v>
      </c>
      <c r="P318" s="22">
        <v>100</v>
      </c>
      <c r="Q318" s="21">
        <f t="shared" si="136"/>
        <v>14.285714285714286</v>
      </c>
      <c r="R318" s="23">
        <f t="shared" si="117"/>
        <v>0.10638297872340426</v>
      </c>
      <c r="S318" s="22"/>
      <c r="T318" s="21" t="str">
        <f t="shared" si="137"/>
        <v/>
      </c>
      <c r="U318" s="23" t="str">
        <f t="shared" si="118"/>
        <v/>
      </c>
      <c r="V318" s="22"/>
      <c r="W318" s="21" t="str">
        <f t="shared" si="138"/>
        <v/>
      </c>
      <c r="X318" s="23" t="str">
        <f t="shared" si="119"/>
        <v/>
      </c>
      <c r="Y318" s="22"/>
      <c r="Z318" s="21" t="str">
        <f t="shared" si="139"/>
        <v/>
      </c>
      <c r="AA318" s="23" t="str">
        <f t="shared" si="120"/>
        <v/>
      </c>
      <c r="AB318" s="22">
        <v>260</v>
      </c>
      <c r="AC318" s="21">
        <f t="shared" si="140"/>
        <v>37.142857142857146</v>
      </c>
      <c r="AD318" s="23">
        <f t="shared" si="121"/>
        <v>0.27659574468085107</v>
      </c>
      <c r="AE318" s="22">
        <v>400</v>
      </c>
      <c r="AF318" s="21">
        <f t="shared" si="141"/>
        <v>57.142857142857146</v>
      </c>
      <c r="AG318" s="85">
        <f t="shared" si="122"/>
        <v>0.42553191489361702</v>
      </c>
    </row>
    <row r="319" spans="1:33" x14ac:dyDescent="0.25">
      <c r="A319" s="13">
        <f>WORKDAY(A320,1,JoursFeries!$B$3:$CH$15)</f>
        <v>42416</v>
      </c>
      <c r="B319" s="19" t="s">
        <v>120</v>
      </c>
      <c r="C319" s="19">
        <v>11</v>
      </c>
      <c r="E319" s="19">
        <f>-500-37.5+1907.5</f>
        <v>1370</v>
      </c>
      <c r="F319" s="24">
        <f t="shared" si="123"/>
        <v>1662.8188318636096</v>
      </c>
      <c r="G319" s="16">
        <f t="shared" si="116"/>
        <v>-292.8188318636096</v>
      </c>
      <c r="H319" s="15">
        <f t="shared" si="127"/>
        <v>124.54545454545455</v>
      </c>
      <c r="I319" s="15"/>
      <c r="J319" s="22">
        <v>150</v>
      </c>
      <c r="K319" s="21">
        <f t="shared" si="135"/>
        <v>13.636363636363637</v>
      </c>
      <c r="L319" s="23">
        <f t="shared" si="124"/>
        <v>0.10948905109489052</v>
      </c>
      <c r="M319" s="22">
        <v>40</v>
      </c>
      <c r="N319" s="21">
        <f t="shared" si="125"/>
        <v>3.6363636363636362</v>
      </c>
      <c r="O319" s="23">
        <f t="shared" si="126"/>
        <v>2.9197080291970802E-2</v>
      </c>
      <c r="P319" s="22">
        <v>180</v>
      </c>
      <c r="Q319" s="21">
        <f t="shared" si="136"/>
        <v>16.363636363636363</v>
      </c>
      <c r="R319" s="23">
        <f t="shared" si="117"/>
        <v>0.13138686131386862</v>
      </c>
      <c r="S319" s="22"/>
      <c r="T319" s="21" t="str">
        <f t="shared" si="137"/>
        <v/>
      </c>
      <c r="U319" s="23" t="str">
        <f t="shared" si="118"/>
        <v/>
      </c>
      <c r="V319" s="22"/>
      <c r="W319" s="21" t="str">
        <f t="shared" si="138"/>
        <v/>
      </c>
      <c r="X319" s="23" t="str">
        <f t="shared" si="119"/>
        <v/>
      </c>
      <c r="Y319" s="22"/>
      <c r="Z319" s="21" t="str">
        <f t="shared" si="139"/>
        <v/>
      </c>
      <c r="AA319" s="23" t="str">
        <f t="shared" si="120"/>
        <v/>
      </c>
      <c r="AB319" s="22">
        <v>300</v>
      </c>
      <c r="AC319" s="21">
        <f t="shared" si="140"/>
        <v>27.272727272727273</v>
      </c>
      <c r="AD319" s="23">
        <f t="shared" si="121"/>
        <v>0.21897810218978103</v>
      </c>
      <c r="AE319" s="22">
        <v>700</v>
      </c>
      <c r="AF319" s="21">
        <f t="shared" si="141"/>
        <v>63.636363636363633</v>
      </c>
      <c r="AG319" s="85">
        <f t="shared" si="122"/>
        <v>0.51094890510948909</v>
      </c>
    </row>
    <row r="320" spans="1:33" x14ac:dyDescent="0.25">
      <c r="A320" s="13">
        <f>WORKDAY(A321,1,JoursFeries!$B$3:$CH$15)</f>
        <v>42415</v>
      </c>
      <c r="B320" s="19" t="s">
        <v>120</v>
      </c>
      <c r="C320" s="19">
        <v>11</v>
      </c>
      <c r="E320" s="19">
        <v>1770</v>
      </c>
      <c r="F320" s="24">
        <f t="shared" si="123"/>
        <v>1662.8188318636096</v>
      </c>
      <c r="G320" s="16">
        <f t="shared" si="116"/>
        <v>107.1811681363904</v>
      </c>
      <c r="H320" s="15">
        <f t="shared" si="127"/>
        <v>160.90909090909091</v>
      </c>
      <c r="I320" s="15"/>
      <c r="J320" s="22">
        <v>120</v>
      </c>
      <c r="K320" s="21">
        <f t="shared" si="135"/>
        <v>10.909090909090908</v>
      </c>
      <c r="L320" s="23">
        <f t="shared" si="124"/>
        <v>6.7796610169491525E-2</v>
      </c>
      <c r="M320" s="22">
        <v>100</v>
      </c>
      <c r="N320" s="21">
        <f t="shared" si="125"/>
        <v>9.0909090909090917</v>
      </c>
      <c r="O320" s="23">
        <f t="shared" si="126"/>
        <v>5.6497175141242938E-2</v>
      </c>
      <c r="P320" s="22">
        <v>150</v>
      </c>
      <c r="Q320" s="21">
        <f t="shared" si="136"/>
        <v>13.636363636363637</v>
      </c>
      <c r="R320" s="23">
        <f t="shared" si="117"/>
        <v>8.4745762711864403E-2</v>
      </c>
      <c r="S320" s="22"/>
      <c r="T320" s="21" t="str">
        <f t="shared" si="137"/>
        <v/>
      </c>
      <c r="U320" s="23" t="str">
        <f t="shared" si="118"/>
        <v/>
      </c>
      <c r="V320" s="22"/>
      <c r="W320" s="21" t="str">
        <f t="shared" si="138"/>
        <v/>
      </c>
      <c r="X320" s="23" t="str">
        <f t="shared" si="119"/>
        <v/>
      </c>
      <c r="Y320" s="22"/>
      <c r="Z320" s="21" t="str">
        <f t="shared" si="139"/>
        <v/>
      </c>
      <c r="AA320" s="23" t="str">
        <f t="shared" si="120"/>
        <v/>
      </c>
      <c r="AB320" s="22">
        <v>600</v>
      </c>
      <c r="AC320" s="21">
        <f t="shared" si="140"/>
        <v>54.545454545454547</v>
      </c>
      <c r="AD320" s="23">
        <f t="shared" si="121"/>
        <v>0.33898305084745761</v>
      </c>
      <c r="AE320" s="22">
        <v>800</v>
      </c>
      <c r="AF320" s="21">
        <f t="shared" si="141"/>
        <v>72.727272727272734</v>
      </c>
      <c r="AG320" s="85">
        <f t="shared" si="122"/>
        <v>0.4519774011299435</v>
      </c>
    </row>
    <row r="321" spans="1:33" x14ac:dyDescent="0.25">
      <c r="A321" s="13">
        <f>WORKDAY(A322,1,JoursFeries!$B$3:$CH$15)</f>
        <v>42412</v>
      </c>
      <c r="F321" s="24" t="str">
        <f t="shared" si="123"/>
        <v/>
      </c>
      <c r="G321" s="16" t="str">
        <f t="shared" si="116"/>
        <v/>
      </c>
      <c r="H321" s="15" t="str">
        <f t="shared" si="127"/>
        <v xml:space="preserve"> </v>
      </c>
      <c r="I321" s="15"/>
      <c r="J321" s="22"/>
      <c r="K321" s="21" t="str">
        <f t="shared" si="135"/>
        <v/>
      </c>
      <c r="L321" s="23" t="str">
        <f t="shared" si="124"/>
        <v/>
      </c>
      <c r="M321" s="22"/>
      <c r="N321" s="21" t="str">
        <f t="shared" si="125"/>
        <v/>
      </c>
      <c r="O321" s="23" t="str">
        <f t="shared" si="126"/>
        <v/>
      </c>
      <c r="P321" s="22"/>
      <c r="Q321" s="21" t="str">
        <f t="shared" si="136"/>
        <v/>
      </c>
      <c r="R321" s="23" t="str">
        <f t="shared" si="117"/>
        <v/>
      </c>
      <c r="S321" s="22"/>
      <c r="T321" s="21" t="str">
        <f t="shared" si="137"/>
        <v/>
      </c>
      <c r="U321" s="23" t="str">
        <f t="shared" si="118"/>
        <v/>
      </c>
      <c r="V321" s="22"/>
      <c r="W321" s="21" t="str">
        <f t="shared" si="138"/>
        <v/>
      </c>
      <c r="X321" s="23" t="str">
        <f t="shared" si="119"/>
        <v/>
      </c>
      <c r="Y321" s="22"/>
      <c r="Z321" s="21" t="str">
        <f t="shared" si="139"/>
        <v/>
      </c>
      <c r="AA321" s="23" t="str">
        <f t="shared" si="120"/>
        <v/>
      </c>
      <c r="AB321" s="22"/>
      <c r="AC321" s="21" t="str">
        <f t="shared" si="140"/>
        <v/>
      </c>
      <c r="AD321" s="23" t="str">
        <f t="shared" si="121"/>
        <v/>
      </c>
      <c r="AE321" s="22"/>
      <c r="AF321" s="21" t="str">
        <f t="shared" si="141"/>
        <v/>
      </c>
      <c r="AG321" s="85" t="str">
        <f t="shared" si="122"/>
        <v/>
      </c>
    </row>
    <row r="322" spans="1:33" x14ac:dyDescent="0.25">
      <c r="A322" s="13">
        <f>WORKDAY(A323,1,JoursFeries!$B$3:$CH$15)</f>
        <v>42411</v>
      </c>
      <c r="B322" s="19" t="s">
        <v>120</v>
      </c>
      <c r="C322" s="19">
        <v>11</v>
      </c>
      <c r="E322" s="19">
        <f>-54.44+1694.44</f>
        <v>1640</v>
      </c>
      <c r="F322" s="24">
        <f t="shared" si="123"/>
        <v>1662.8188318636096</v>
      </c>
      <c r="G322" s="16">
        <f t="shared" si="116"/>
        <v>-22.818831863609603</v>
      </c>
      <c r="H322" s="15">
        <f t="shared" si="127"/>
        <v>149.09090909090909</v>
      </c>
      <c r="I322" s="15"/>
      <c r="J322" s="22">
        <v>140</v>
      </c>
      <c r="K322" s="21">
        <f t="shared" si="135"/>
        <v>12.727272727272727</v>
      </c>
      <c r="L322" s="23">
        <f t="shared" si="124"/>
        <v>8.5365853658536592E-2</v>
      </c>
      <c r="M322" s="22">
        <v>100</v>
      </c>
      <c r="N322" s="21">
        <f t="shared" si="125"/>
        <v>9.0909090909090917</v>
      </c>
      <c r="O322" s="23">
        <f t="shared" si="126"/>
        <v>6.097560975609756E-2</v>
      </c>
      <c r="P322" s="22">
        <v>150</v>
      </c>
      <c r="Q322" s="21">
        <f t="shared" si="136"/>
        <v>13.636363636363637</v>
      </c>
      <c r="R322" s="23">
        <f t="shared" si="117"/>
        <v>9.1463414634146339E-2</v>
      </c>
      <c r="S322" s="22"/>
      <c r="T322" s="21" t="str">
        <f t="shared" si="137"/>
        <v/>
      </c>
      <c r="U322" s="23" t="str">
        <f t="shared" si="118"/>
        <v/>
      </c>
      <c r="V322" s="22"/>
      <c r="W322" s="21" t="str">
        <f t="shared" si="138"/>
        <v/>
      </c>
      <c r="X322" s="23" t="str">
        <f t="shared" si="119"/>
        <v/>
      </c>
      <c r="Y322" s="22"/>
      <c r="Z322" s="21" t="str">
        <f t="shared" si="139"/>
        <v/>
      </c>
      <c r="AA322" s="23" t="str">
        <f t="shared" si="120"/>
        <v/>
      </c>
      <c r="AB322" s="22">
        <v>450</v>
      </c>
      <c r="AC322" s="21">
        <f t="shared" si="140"/>
        <v>40.909090909090907</v>
      </c>
      <c r="AD322" s="23">
        <f t="shared" si="121"/>
        <v>0.27439024390243905</v>
      </c>
      <c r="AE322" s="22">
        <v>800</v>
      </c>
      <c r="AF322" s="21">
        <f t="shared" si="141"/>
        <v>72.727272727272734</v>
      </c>
      <c r="AG322" s="85">
        <f t="shared" si="122"/>
        <v>0.48780487804878048</v>
      </c>
    </row>
    <row r="323" spans="1:33" x14ac:dyDescent="0.25">
      <c r="A323" s="13">
        <f>WORKDAY(A324,1,JoursFeries!$B$3:$CH$15)</f>
        <v>42410</v>
      </c>
      <c r="B323" s="19" t="s">
        <v>120</v>
      </c>
      <c r="C323" s="19">
        <v>11</v>
      </c>
      <c r="E323" s="19">
        <f>-33.7+1653.7-80</f>
        <v>1540</v>
      </c>
      <c r="F323" s="24">
        <f t="shared" si="123"/>
        <v>1662.8188318636096</v>
      </c>
      <c r="G323" s="16">
        <f t="shared" si="116"/>
        <v>-122.8188318636096</v>
      </c>
      <c r="H323" s="15">
        <f t="shared" si="127"/>
        <v>140</v>
      </c>
      <c r="I323" s="15"/>
      <c r="J323" s="22">
        <v>140</v>
      </c>
      <c r="K323" s="21">
        <f t="shared" si="135"/>
        <v>12.727272727272727</v>
      </c>
      <c r="L323" s="23">
        <f t="shared" si="124"/>
        <v>9.0909090909090912E-2</v>
      </c>
      <c r="M323" s="22">
        <v>100</v>
      </c>
      <c r="N323" s="21">
        <f t="shared" si="125"/>
        <v>9.0909090909090917</v>
      </c>
      <c r="O323" s="23">
        <f t="shared" si="126"/>
        <v>6.4935064935064929E-2</v>
      </c>
      <c r="P323" s="22">
        <v>100</v>
      </c>
      <c r="Q323" s="21">
        <f t="shared" si="136"/>
        <v>9.0909090909090917</v>
      </c>
      <c r="R323" s="23">
        <f t="shared" si="117"/>
        <v>6.4935064935064929E-2</v>
      </c>
      <c r="S323" s="22"/>
      <c r="T323" s="21" t="str">
        <f t="shared" si="137"/>
        <v/>
      </c>
      <c r="U323" s="23" t="str">
        <f t="shared" si="118"/>
        <v/>
      </c>
      <c r="V323" s="22"/>
      <c r="W323" s="21" t="str">
        <f t="shared" si="138"/>
        <v/>
      </c>
      <c r="X323" s="23" t="str">
        <f t="shared" si="119"/>
        <v/>
      </c>
      <c r="Y323" s="22"/>
      <c r="Z323" s="21" t="str">
        <f t="shared" si="139"/>
        <v/>
      </c>
      <c r="AA323" s="23" t="str">
        <f t="shared" si="120"/>
        <v/>
      </c>
      <c r="AB323" s="22">
        <v>400</v>
      </c>
      <c r="AC323" s="21">
        <f t="shared" si="140"/>
        <v>36.363636363636367</v>
      </c>
      <c r="AD323" s="23">
        <f t="shared" si="121"/>
        <v>0.25974025974025972</v>
      </c>
      <c r="AE323" s="22">
        <v>800</v>
      </c>
      <c r="AF323" s="21">
        <f t="shared" si="141"/>
        <v>72.727272727272734</v>
      </c>
      <c r="AG323" s="85">
        <f t="shared" si="122"/>
        <v>0.51948051948051943</v>
      </c>
    </row>
    <row r="324" spans="1:33" x14ac:dyDescent="0.25">
      <c r="A324" s="13">
        <f>WORKDAY(A325,1,JoursFeries!$B$3:$CH$15)</f>
        <v>42409</v>
      </c>
      <c r="B324" s="19" t="s">
        <v>120</v>
      </c>
      <c r="C324" s="19">
        <v>11</v>
      </c>
      <c r="E324" s="19">
        <f>-29.74+1899.74-100</f>
        <v>1770</v>
      </c>
      <c r="F324" s="24">
        <f t="shared" si="123"/>
        <v>1662.8188318636096</v>
      </c>
      <c r="G324" s="16">
        <f t="shared" si="116"/>
        <v>107.1811681363904</v>
      </c>
      <c r="H324" s="15">
        <f t="shared" si="127"/>
        <v>160.90909090909091</v>
      </c>
      <c r="I324" s="15"/>
      <c r="J324" s="22">
        <v>180</v>
      </c>
      <c r="K324" s="21">
        <f t="shared" si="135"/>
        <v>16.363636363636363</v>
      </c>
      <c r="L324" s="23">
        <f t="shared" si="124"/>
        <v>0.10169491525423729</v>
      </c>
      <c r="M324" s="22">
        <v>120</v>
      </c>
      <c r="N324" s="21">
        <f t="shared" si="125"/>
        <v>10.909090909090908</v>
      </c>
      <c r="O324" s="23">
        <f t="shared" si="126"/>
        <v>6.7796610169491525E-2</v>
      </c>
      <c r="P324" s="22">
        <v>230</v>
      </c>
      <c r="Q324" s="21">
        <f t="shared" si="136"/>
        <v>20.90909090909091</v>
      </c>
      <c r="R324" s="23">
        <f t="shared" si="117"/>
        <v>0.12994350282485875</v>
      </c>
      <c r="S324" s="22"/>
      <c r="T324" s="21" t="str">
        <f t="shared" si="137"/>
        <v/>
      </c>
      <c r="U324" s="23" t="str">
        <f t="shared" si="118"/>
        <v/>
      </c>
      <c r="V324" s="22"/>
      <c r="W324" s="21" t="str">
        <f t="shared" si="138"/>
        <v/>
      </c>
      <c r="X324" s="23" t="str">
        <f t="shared" si="119"/>
        <v/>
      </c>
      <c r="Y324" s="22"/>
      <c r="Z324" s="21" t="str">
        <f t="shared" si="139"/>
        <v/>
      </c>
      <c r="AA324" s="23" t="str">
        <f t="shared" si="120"/>
        <v/>
      </c>
      <c r="AB324" s="22">
        <v>240</v>
      </c>
      <c r="AC324" s="21">
        <f t="shared" si="140"/>
        <v>21.818181818181817</v>
      </c>
      <c r="AD324" s="23">
        <f t="shared" si="121"/>
        <v>0.13559322033898305</v>
      </c>
      <c r="AE324" s="22">
        <v>1000</v>
      </c>
      <c r="AF324" s="21">
        <f t="shared" si="141"/>
        <v>90.909090909090907</v>
      </c>
      <c r="AG324" s="85">
        <f t="shared" si="122"/>
        <v>0.56497175141242939</v>
      </c>
    </row>
    <row r="325" spans="1:33" x14ac:dyDescent="0.25">
      <c r="A325" s="13">
        <f>WORKDAY(A326,1,JoursFeries!$B$3:$CH$15)</f>
        <v>42408</v>
      </c>
      <c r="B325" s="19" t="s">
        <v>120</v>
      </c>
      <c r="C325" s="19">
        <v>11</v>
      </c>
      <c r="E325" s="19">
        <f>-300-67.58+1807.58-60</f>
        <v>1380</v>
      </c>
      <c r="F325" s="24">
        <f t="shared" si="123"/>
        <v>1662.8188318636096</v>
      </c>
      <c r="G325" s="16">
        <f t="shared" si="116"/>
        <v>-282.8188318636096</v>
      </c>
      <c r="H325" s="15">
        <f t="shared" si="127"/>
        <v>125.45454545454545</v>
      </c>
      <c r="I325" s="15"/>
      <c r="J325" s="22">
        <v>200</v>
      </c>
      <c r="K325" s="21">
        <f t="shared" si="135"/>
        <v>18.181818181818183</v>
      </c>
      <c r="L325" s="23">
        <f t="shared" si="124"/>
        <v>0.14492753623188406</v>
      </c>
      <c r="M325" s="22">
        <v>60</v>
      </c>
      <c r="N325" s="21">
        <f t="shared" si="125"/>
        <v>5.4545454545454541</v>
      </c>
      <c r="O325" s="23">
        <f t="shared" si="126"/>
        <v>4.3478260869565216E-2</v>
      </c>
      <c r="P325" s="22">
        <v>20</v>
      </c>
      <c r="Q325" s="21">
        <f t="shared" si="136"/>
        <v>1.8181818181818181</v>
      </c>
      <c r="R325" s="23">
        <f t="shared" si="117"/>
        <v>1.4492753623188406E-2</v>
      </c>
      <c r="S325" s="22"/>
      <c r="T325" s="21" t="str">
        <f t="shared" si="137"/>
        <v/>
      </c>
      <c r="U325" s="23" t="str">
        <f t="shared" si="118"/>
        <v/>
      </c>
      <c r="V325" s="22"/>
      <c r="W325" s="21" t="str">
        <f t="shared" si="138"/>
        <v/>
      </c>
      <c r="X325" s="23" t="str">
        <f t="shared" si="119"/>
        <v/>
      </c>
      <c r="Y325" s="22"/>
      <c r="Z325" s="21" t="str">
        <f t="shared" si="139"/>
        <v/>
      </c>
      <c r="AA325" s="23" t="str">
        <f t="shared" si="120"/>
        <v/>
      </c>
      <c r="AB325" s="22">
        <v>300</v>
      </c>
      <c r="AC325" s="21">
        <f t="shared" si="140"/>
        <v>27.272727272727273</v>
      </c>
      <c r="AD325" s="23">
        <f t="shared" si="121"/>
        <v>0.21739130434782608</v>
      </c>
      <c r="AE325" s="22">
        <v>800</v>
      </c>
      <c r="AF325" s="21">
        <f t="shared" si="141"/>
        <v>72.727272727272734</v>
      </c>
      <c r="AG325" s="85">
        <f t="shared" si="122"/>
        <v>0.57971014492753625</v>
      </c>
    </row>
    <row r="326" spans="1:33" x14ac:dyDescent="0.25">
      <c r="A326" s="18">
        <f>WORKDAY(A327,1,JoursFeries!$B$3:$CH$15)</f>
        <v>42405</v>
      </c>
      <c r="F326" s="24" t="str">
        <f t="shared" si="123"/>
        <v/>
      </c>
      <c r="G326" s="16" t="str">
        <f t="shared" si="116"/>
        <v/>
      </c>
      <c r="H326" s="15" t="str">
        <f t="shared" si="127"/>
        <v xml:space="preserve"> </v>
      </c>
      <c r="I326" s="15"/>
      <c r="J326" s="22"/>
      <c r="K326" s="21" t="str">
        <f t="shared" si="135"/>
        <v/>
      </c>
      <c r="L326" s="23" t="str">
        <f t="shared" si="124"/>
        <v/>
      </c>
      <c r="M326" s="22"/>
      <c r="N326" s="21" t="str">
        <f t="shared" si="125"/>
        <v/>
      </c>
      <c r="O326" s="23" t="str">
        <f t="shared" si="126"/>
        <v/>
      </c>
      <c r="P326" s="22"/>
      <c r="Q326" s="21" t="str">
        <f t="shared" si="136"/>
        <v/>
      </c>
      <c r="R326" s="23" t="str">
        <f t="shared" si="117"/>
        <v/>
      </c>
      <c r="S326" s="22"/>
      <c r="T326" s="21" t="str">
        <f t="shared" si="137"/>
        <v/>
      </c>
      <c r="U326" s="23" t="str">
        <f t="shared" si="118"/>
        <v/>
      </c>
      <c r="V326" s="22"/>
      <c r="W326" s="21" t="str">
        <f t="shared" si="138"/>
        <v/>
      </c>
      <c r="X326" s="23" t="str">
        <f t="shared" si="119"/>
        <v/>
      </c>
      <c r="Y326" s="22"/>
      <c r="Z326" s="21" t="str">
        <f t="shared" si="139"/>
        <v/>
      </c>
      <c r="AA326" s="23" t="str">
        <f t="shared" si="120"/>
        <v/>
      </c>
      <c r="AB326" s="22"/>
      <c r="AC326" s="21" t="str">
        <f t="shared" si="140"/>
        <v/>
      </c>
      <c r="AD326" s="23" t="str">
        <f t="shared" si="121"/>
        <v/>
      </c>
      <c r="AE326" s="22"/>
      <c r="AF326" s="21" t="str">
        <f t="shared" si="141"/>
        <v/>
      </c>
      <c r="AG326" s="85" t="str">
        <f t="shared" si="122"/>
        <v/>
      </c>
    </row>
    <row r="327" spans="1:33" x14ac:dyDescent="0.25">
      <c r="A327" s="18">
        <f>WORKDAY(A328,1,JoursFeries!$B$3:$CH$15)</f>
        <v>42404</v>
      </c>
      <c r="F327" s="24" t="str">
        <f t="shared" si="123"/>
        <v/>
      </c>
      <c r="G327" s="16" t="str">
        <f t="shared" si="116"/>
        <v/>
      </c>
      <c r="H327" s="15" t="str">
        <f t="shared" si="127"/>
        <v xml:space="preserve"> </v>
      </c>
      <c r="I327" s="15"/>
      <c r="J327" s="22"/>
      <c r="K327" s="21" t="str">
        <f t="shared" si="135"/>
        <v/>
      </c>
      <c r="L327" s="23" t="str">
        <f t="shared" si="124"/>
        <v/>
      </c>
      <c r="M327" s="22"/>
      <c r="N327" s="21" t="str">
        <f t="shared" si="125"/>
        <v/>
      </c>
      <c r="O327" s="23" t="str">
        <f t="shared" si="126"/>
        <v/>
      </c>
      <c r="P327" s="22"/>
      <c r="Q327" s="21" t="str">
        <f t="shared" si="136"/>
        <v/>
      </c>
      <c r="R327" s="23" t="str">
        <f t="shared" si="117"/>
        <v/>
      </c>
      <c r="S327" s="22"/>
      <c r="T327" s="21" t="str">
        <f t="shared" si="137"/>
        <v/>
      </c>
      <c r="U327" s="23" t="str">
        <f t="shared" si="118"/>
        <v/>
      </c>
      <c r="V327" s="22"/>
      <c r="W327" s="21" t="str">
        <f t="shared" si="138"/>
        <v/>
      </c>
      <c r="X327" s="23" t="str">
        <f t="shared" si="119"/>
        <v/>
      </c>
      <c r="Y327" s="22"/>
      <c r="Z327" s="21" t="str">
        <f t="shared" si="139"/>
        <v/>
      </c>
      <c r="AA327" s="23" t="str">
        <f t="shared" si="120"/>
        <v/>
      </c>
      <c r="AB327" s="22"/>
      <c r="AC327" s="21" t="str">
        <f t="shared" si="140"/>
        <v/>
      </c>
      <c r="AD327" s="23" t="str">
        <f t="shared" si="121"/>
        <v/>
      </c>
      <c r="AE327" s="22"/>
      <c r="AF327" s="21" t="str">
        <f t="shared" si="141"/>
        <v/>
      </c>
      <c r="AG327" s="85" t="str">
        <f t="shared" si="122"/>
        <v/>
      </c>
    </row>
    <row r="328" spans="1:33" x14ac:dyDescent="0.25">
      <c r="A328" s="18">
        <f>WORKDAY(A329,1,JoursFeries!$B$3:$CH$15)</f>
        <v>42403</v>
      </c>
      <c r="F328" s="24" t="str">
        <f t="shared" si="123"/>
        <v/>
      </c>
      <c r="G328" s="16" t="str">
        <f t="shared" si="116"/>
        <v/>
      </c>
      <c r="H328" s="15" t="str">
        <f t="shared" si="127"/>
        <v xml:space="preserve"> </v>
      </c>
      <c r="I328" s="15"/>
      <c r="J328" s="22"/>
      <c r="K328" s="21" t="str">
        <f t="shared" si="135"/>
        <v/>
      </c>
      <c r="L328" s="23" t="str">
        <f t="shared" si="124"/>
        <v/>
      </c>
      <c r="M328" s="22"/>
      <c r="N328" s="21" t="str">
        <f t="shared" si="125"/>
        <v/>
      </c>
      <c r="O328" s="23" t="str">
        <f t="shared" si="126"/>
        <v/>
      </c>
      <c r="P328" s="22"/>
      <c r="Q328" s="21" t="str">
        <f t="shared" si="136"/>
        <v/>
      </c>
      <c r="R328" s="23" t="str">
        <f t="shared" si="117"/>
        <v/>
      </c>
      <c r="S328" s="22"/>
      <c r="T328" s="21" t="str">
        <f t="shared" si="137"/>
        <v/>
      </c>
      <c r="U328" s="23" t="str">
        <f t="shared" si="118"/>
        <v/>
      </c>
      <c r="V328" s="22"/>
      <c r="W328" s="21" t="str">
        <f t="shared" si="138"/>
        <v/>
      </c>
      <c r="X328" s="23" t="str">
        <f t="shared" si="119"/>
        <v/>
      </c>
      <c r="Y328" s="22"/>
      <c r="Z328" s="21" t="str">
        <f t="shared" si="139"/>
        <v/>
      </c>
      <c r="AA328" s="23" t="str">
        <f t="shared" si="120"/>
        <v/>
      </c>
      <c r="AB328" s="22"/>
      <c r="AC328" s="21" t="str">
        <f t="shared" si="140"/>
        <v/>
      </c>
      <c r="AD328" s="23" t="str">
        <f t="shared" si="121"/>
        <v/>
      </c>
      <c r="AE328" s="22"/>
      <c r="AF328" s="21" t="str">
        <f t="shared" si="141"/>
        <v/>
      </c>
      <c r="AG328" s="85" t="str">
        <f t="shared" si="122"/>
        <v/>
      </c>
    </row>
    <row r="329" spans="1:33" x14ac:dyDescent="0.25">
      <c r="A329" s="13">
        <f>WORKDAY(A330,1,JoursFeries!$B$3:$CH$15)</f>
        <v>42402</v>
      </c>
      <c r="B329" s="19" t="s">
        <v>120</v>
      </c>
      <c r="C329" s="19">
        <v>11</v>
      </c>
      <c r="E329" s="19">
        <f>1576.26-46.26</f>
        <v>1530</v>
      </c>
      <c r="F329" s="24">
        <f t="shared" si="123"/>
        <v>1662.8188318636096</v>
      </c>
      <c r="G329" s="16">
        <f t="shared" si="116"/>
        <v>-132.8188318636096</v>
      </c>
      <c r="H329" s="15">
        <f t="shared" si="127"/>
        <v>139.09090909090909</v>
      </c>
      <c r="I329" s="15"/>
      <c r="J329" s="22">
        <v>250</v>
      </c>
      <c r="K329" s="21">
        <f t="shared" si="135"/>
        <v>22.727272727272727</v>
      </c>
      <c r="L329" s="23">
        <f t="shared" si="124"/>
        <v>0.16339869281045752</v>
      </c>
      <c r="M329" s="22">
        <v>100</v>
      </c>
      <c r="N329" s="21">
        <f t="shared" si="125"/>
        <v>9.0909090909090917</v>
      </c>
      <c r="O329" s="23">
        <f t="shared" si="126"/>
        <v>6.535947712418301E-2</v>
      </c>
      <c r="P329" s="22">
        <v>180</v>
      </c>
      <c r="Q329" s="21">
        <f t="shared" si="136"/>
        <v>16.363636363636363</v>
      </c>
      <c r="R329" s="23">
        <f t="shared" si="117"/>
        <v>0.11764705882352941</v>
      </c>
      <c r="S329" s="22"/>
      <c r="T329" s="21" t="str">
        <f t="shared" si="137"/>
        <v/>
      </c>
      <c r="U329" s="23" t="str">
        <f t="shared" si="118"/>
        <v/>
      </c>
      <c r="V329" s="22"/>
      <c r="W329" s="21" t="str">
        <f t="shared" si="138"/>
        <v/>
      </c>
      <c r="X329" s="23" t="str">
        <f t="shared" si="119"/>
        <v/>
      </c>
      <c r="Y329" s="22"/>
      <c r="Z329" s="21" t="str">
        <f t="shared" si="139"/>
        <v/>
      </c>
      <c r="AA329" s="23" t="str">
        <f t="shared" si="120"/>
        <v/>
      </c>
      <c r="AB329" s="22">
        <v>300</v>
      </c>
      <c r="AC329" s="21">
        <f t="shared" si="140"/>
        <v>27.272727272727273</v>
      </c>
      <c r="AD329" s="23">
        <f t="shared" si="121"/>
        <v>0.19607843137254902</v>
      </c>
      <c r="AE329" s="22">
        <v>700</v>
      </c>
      <c r="AF329" s="21">
        <f t="shared" si="141"/>
        <v>63.636363636363633</v>
      </c>
      <c r="AG329" s="85">
        <f t="shared" si="122"/>
        <v>0.45751633986928103</v>
      </c>
    </row>
    <row r="330" spans="1:33" x14ac:dyDescent="0.25">
      <c r="A330" s="13">
        <f>WORKDAY(A331,1,JoursFeries!$B$3:$CH$15)</f>
        <v>42401</v>
      </c>
      <c r="F330" s="24" t="str">
        <f t="shared" si="123"/>
        <v/>
      </c>
      <c r="G330" s="16" t="str">
        <f t="shared" si="116"/>
        <v/>
      </c>
      <c r="H330" s="15" t="str">
        <f t="shared" si="127"/>
        <v xml:space="preserve"> </v>
      </c>
      <c r="I330" s="15"/>
      <c r="J330" s="22"/>
      <c r="K330" s="21" t="str">
        <f t="shared" si="135"/>
        <v/>
      </c>
      <c r="L330" s="23" t="str">
        <f t="shared" si="124"/>
        <v/>
      </c>
      <c r="M330" s="22"/>
      <c r="N330" s="21" t="str">
        <f t="shared" si="125"/>
        <v/>
      </c>
      <c r="O330" s="23" t="str">
        <f t="shared" si="126"/>
        <v/>
      </c>
      <c r="P330" s="22"/>
      <c r="Q330" s="21" t="str">
        <f t="shared" si="136"/>
        <v/>
      </c>
      <c r="R330" s="23" t="str">
        <f t="shared" si="117"/>
        <v/>
      </c>
      <c r="S330" s="22"/>
      <c r="T330" s="21" t="str">
        <f t="shared" si="137"/>
        <v/>
      </c>
      <c r="U330" s="23" t="str">
        <f t="shared" si="118"/>
        <v/>
      </c>
      <c r="V330" s="22"/>
      <c r="W330" s="21" t="str">
        <f t="shared" si="138"/>
        <v/>
      </c>
      <c r="X330" s="23" t="str">
        <f t="shared" si="119"/>
        <v/>
      </c>
      <c r="Y330" s="22"/>
      <c r="Z330" s="21" t="str">
        <f t="shared" si="139"/>
        <v/>
      </c>
      <c r="AA330" s="23" t="str">
        <f t="shared" si="120"/>
        <v/>
      </c>
      <c r="AB330" s="22"/>
      <c r="AC330" s="21" t="str">
        <f t="shared" si="140"/>
        <v/>
      </c>
      <c r="AD330" s="23" t="str">
        <f t="shared" si="121"/>
        <v/>
      </c>
      <c r="AE330" s="22"/>
      <c r="AF330" s="21" t="str">
        <f t="shared" si="141"/>
        <v/>
      </c>
      <c r="AG330" s="85" t="str">
        <f t="shared" si="122"/>
        <v/>
      </c>
    </row>
    <row r="331" spans="1:33" x14ac:dyDescent="0.25">
      <c r="A331" s="13">
        <f>WORKDAY(A332,1,JoursFeries!$B$3:$CH$15)</f>
        <v>42398</v>
      </c>
      <c r="B331" s="19" t="s">
        <v>120</v>
      </c>
      <c r="C331" s="19">
        <v>11</v>
      </c>
      <c r="E331" s="19">
        <f>2007.16-7.16-60</f>
        <v>1940</v>
      </c>
      <c r="F331" s="24">
        <f t="shared" si="123"/>
        <v>1662.8188318636096</v>
      </c>
      <c r="G331" s="16">
        <f t="shared" si="116"/>
        <v>277.1811681363904</v>
      </c>
      <c r="H331" s="15">
        <f t="shared" si="127"/>
        <v>176.36363636363637</v>
      </c>
      <c r="I331" s="15"/>
      <c r="J331" s="22">
        <v>180</v>
      </c>
      <c r="K331" s="21">
        <f t="shared" si="135"/>
        <v>16.363636363636363</v>
      </c>
      <c r="L331" s="23">
        <f t="shared" si="124"/>
        <v>9.2783505154639179E-2</v>
      </c>
      <c r="M331" s="22">
        <v>100</v>
      </c>
      <c r="N331" s="21">
        <f t="shared" si="125"/>
        <v>9.0909090909090917</v>
      </c>
      <c r="O331" s="23">
        <f t="shared" si="126"/>
        <v>5.1546391752577317E-2</v>
      </c>
      <c r="P331" s="22">
        <v>220</v>
      </c>
      <c r="Q331" s="21">
        <f t="shared" si="136"/>
        <v>20</v>
      </c>
      <c r="R331" s="23">
        <f t="shared" si="117"/>
        <v>0.1134020618556701</v>
      </c>
      <c r="S331" s="22"/>
      <c r="T331" s="21" t="str">
        <f t="shared" si="137"/>
        <v/>
      </c>
      <c r="U331" s="23" t="str">
        <f t="shared" si="118"/>
        <v/>
      </c>
      <c r="V331" s="22"/>
      <c r="W331" s="21" t="str">
        <f t="shared" si="138"/>
        <v/>
      </c>
      <c r="X331" s="23" t="str">
        <f t="shared" si="119"/>
        <v/>
      </c>
      <c r="Y331" s="22"/>
      <c r="Z331" s="21" t="str">
        <f t="shared" si="139"/>
        <v/>
      </c>
      <c r="AA331" s="23" t="str">
        <f t="shared" si="120"/>
        <v/>
      </c>
      <c r="AB331" s="22">
        <v>540</v>
      </c>
      <c r="AC331" s="21">
        <f t="shared" si="140"/>
        <v>49.090909090909093</v>
      </c>
      <c r="AD331" s="23">
        <f t="shared" si="121"/>
        <v>0.27835051546391754</v>
      </c>
      <c r="AE331" s="22">
        <v>900</v>
      </c>
      <c r="AF331" s="21">
        <f t="shared" si="141"/>
        <v>81.818181818181813</v>
      </c>
      <c r="AG331" s="85">
        <f t="shared" si="122"/>
        <v>0.46391752577319589</v>
      </c>
    </row>
    <row r="332" spans="1:33" x14ac:dyDescent="0.25">
      <c r="A332" s="13">
        <f>WORKDAY(A333,1,JoursFeries!$B$3:$CH$15)</f>
        <v>42397</v>
      </c>
      <c r="B332" s="19" t="s">
        <v>120</v>
      </c>
      <c r="C332" s="19">
        <v>11</v>
      </c>
      <c r="E332" s="19">
        <f>1770-140</f>
        <v>1630</v>
      </c>
      <c r="F332" s="24">
        <f t="shared" si="123"/>
        <v>1662.8188318636096</v>
      </c>
      <c r="G332" s="16">
        <f t="shared" si="116"/>
        <v>-32.818831863609603</v>
      </c>
      <c r="H332" s="15">
        <f t="shared" si="127"/>
        <v>148.18181818181819</v>
      </c>
      <c r="I332" s="15"/>
      <c r="J332" s="22">
        <v>200</v>
      </c>
      <c r="K332" s="21">
        <f t="shared" si="135"/>
        <v>18.181818181818183</v>
      </c>
      <c r="L332" s="23">
        <f t="shared" si="124"/>
        <v>0.12269938650306748</v>
      </c>
      <c r="M332" s="22">
        <v>100</v>
      </c>
      <c r="N332" s="21">
        <f t="shared" si="125"/>
        <v>9.0909090909090917</v>
      </c>
      <c r="O332" s="23">
        <f t="shared" si="126"/>
        <v>6.1349693251533742E-2</v>
      </c>
      <c r="P332" s="22">
        <v>200</v>
      </c>
      <c r="Q332" s="21">
        <f t="shared" si="136"/>
        <v>18.181818181818183</v>
      </c>
      <c r="R332" s="23">
        <f t="shared" si="117"/>
        <v>0.12269938650306748</v>
      </c>
      <c r="S332" s="22"/>
      <c r="T332" s="21" t="str">
        <f t="shared" si="137"/>
        <v/>
      </c>
      <c r="U332" s="23" t="str">
        <f t="shared" si="118"/>
        <v/>
      </c>
      <c r="V332" s="22"/>
      <c r="W332" s="21" t="str">
        <f t="shared" si="138"/>
        <v/>
      </c>
      <c r="X332" s="23" t="str">
        <f t="shared" si="119"/>
        <v/>
      </c>
      <c r="Y332" s="22"/>
      <c r="Z332" s="21" t="str">
        <f t="shared" si="139"/>
        <v/>
      </c>
      <c r="AA332" s="23" t="str">
        <f t="shared" si="120"/>
        <v/>
      </c>
      <c r="AB332" s="22">
        <v>390</v>
      </c>
      <c r="AC332" s="21">
        <f t="shared" si="140"/>
        <v>35.454545454545453</v>
      </c>
      <c r="AD332" s="23">
        <f t="shared" si="121"/>
        <v>0.2392638036809816</v>
      </c>
      <c r="AE332" s="22">
        <v>740</v>
      </c>
      <c r="AF332" s="21">
        <f t="shared" si="141"/>
        <v>67.272727272727266</v>
      </c>
      <c r="AG332" s="85">
        <f t="shared" si="122"/>
        <v>0.45398773006134968</v>
      </c>
    </row>
    <row r="333" spans="1:33" x14ac:dyDescent="0.25">
      <c r="A333" s="13">
        <f>WORKDAY(A334,1,JoursFeries!$B$3:$CH$15)</f>
        <v>42396</v>
      </c>
      <c r="B333" s="19" t="s">
        <v>120</v>
      </c>
      <c r="C333" s="19">
        <v>11</v>
      </c>
      <c r="E333" s="19">
        <f>1930-120</f>
        <v>1810</v>
      </c>
      <c r="F333" s="24">
        <f t="shared" si="123"/>
        <v>1662.8188318636096</v>
      </c>
      <c r="G333" s="16">
        <f t="shared" ref="G333:G351" si="142">IF(ISBLANK(E333),"",E333-F333)</f>
        <v>147.1811681363904</v>
      </c>
      <c r="H333" s="15">
        <f t="shared" si="127"/>
        <v>164.54545454545453</v>
      </c>
      <c r="I333" s="15"/>
      <c r="J333" s="22">
        <v>240</v>
      </c>
      <c r="K333" s="21">
        <f t="shared" si="135"/>
        <v>21.818181818181817</v>
      </c>
      <c r="L333" s="23">
        <f t="shared" si="124"/>
        <v>0.13259668508287292</v>
      </c>
      <c r="M333" s="22">
        <v>120</v>
      </c>
      <c r="N333" s="21">
        <f t="shared" si="125"/>
        <v>10.909090909090908</v>
      </c>
      <c r="O333" s="23">
        <f t="shared" si="126"/>
        <v>6.6298342541436461E-2</v>
      </c>
      <c r="P333" s="22">
        <v>250</v>
      </c>
      <c r="Q333" s="21">
        <f t="shared" si="136"/>
        <v>22.727272727272727</v>
      </c>
      <c r="R333" s="23">
        <f t="shared" ref="R333:R350" si="143">IF(ISBLANK(P333),"",IF(ISBLANK($E333),"",P333/$E333))</f>
        <v>0.13812154696132597</v>
      </c>
      <c r="S333" s="22"/>
      <c r="T333" s="21" t="str">
        <f t="shared" si="137"/>
        <v/>
      </c>
      <c r="U333" s="23" t="str">
        <f t="shared" ref="U333:U350" si="144">IF(ISBLANK(S333),"",IF(ISBLANK($E333),"",S333/$E333))</f>
        <v/>
      </c>
      <c r="V333" s="22"/>
      <c r="W333" s="21" t="str">
        <f t="shared" si="138"/>
        <v/>
      </c>
      <c r="X333" s="23" t="str">
        <f t="shared" ref="X333:X350" si="145">IF(ISBLANK(V333),"",IF(ISBLANK($E333),"",V333/$E333))</f>
        <v/>
      </c>
      <c r="Y333" s="22"/>
      <c r="Z333" s="21" t="str">
        <f t="shared" si="139"/>
        <v/>
      </c>
      <c r="AA333" s="23" t="str">
        <f t="shared" ref="AA333:AA350" si="146">IF(ISBLANK(Y333),"",IF(ISBLANK($E333),"",Y333/$E333))</f>
        <v/>
      </c>
      <c r="AB333" s="22">
        <v>400</v>
      </c>
      <c r="AC333" s="21">
        <f t="shared" si="140"/>
        <v>36.363636363636367</v>
      </c>
      <c r="AD333" s="23">
        <f t="shared" ref="AD333:AD350" si="147">IF(ISBLANK(AB333),"",IF(ISBLANK($E333),"",AB333/$E333))</f>
        <v>0.22099447513812154</v>
      </c>
      <c r="AE333" s="22">
        <v>800</v>
      </c>
      <c r="AF333" s="21">
        <f t="shared" si="141"/>
        <v>72.727272727272734</v>
      </c>
      <c r="AG333" s="85">
        <f t="shared" ref="AG333:AG350" si="148">IF(ISBLANK(AE333),"",IF(ISBLANK($E333),"",AE333/$E333))</f>
        <v>0.44198895027624308</v>
      </c>
    </row>
    <row r="334" spans="1:33" x14ac:dyDescent="0.25">
      <c r="A334" s="13">
        <f>WORKDAY(A335,1,JoursFeries!$B$3:$CH$15)</f>
        <v>42395</v>
      </c>
      <c r="B334" s="19" t="s">
        <v>120</v>
      </c>
      <c r="C334" s="19">
        <v>11</v>
      </c>
      <c r="E334" s="19">
        <f>-200+2160</f>
        <v>1960</v>
      </c>
      <c r="F334" s="24">
        <f t="shared" ref="F334:F351" si="149">IF(ISBLANK(B334),"",
IF(B334=$C$4,(IF(ISBLANK(C334),10,C334)-IF(ISBLANK(D334),0,D334))*$F$4,
IF(B334=$C$5,(IF(ISBLANK(C334),10,C334)-IF(ISBLANK(D334),0,D334))*$F$5,
IF(B334=$C$6,(IF(ISBLANK(C334),10,C334)-IF(ISBLANK(D334),0,D334))*$F$6,
IF(B334=$C$7,(IF(ISBLANK(C334),10,C334)-IF(ISBLANK(D334),0,D334))*$F$7,IF(B334=$C$8,(IF(ISBLANK(C334),10,C334)-IF(ISBLANK(D334),0,D334))*$F$8,
(IF(ISBLANK(C334),10,C334)-IF(ISBLANK(D334),0,D334))*$F$9))))))</f>
        <v>1662.8188318636096</v>
      </c>
      <c r="G334" s="16">
        <f t="shared" si="142"/>
        <v>297.1811681363904</v>
      </c>
      <c r="H334" s="15">
        <f t="shared" si="127"/>
        <v>178.18181818181819</v>
      </c>
      <c r="I334" s="15"/>
      <c r="J334" s="22">
        <v>220</v>
      </c>
      <c r="K334" s="21">
        <f t="shared" si="135"/>
        <v>20</v>
      </c>
      <c r="L334" s="23">
        <f t="shared" ref="L334:L351" si="150">IF(ISBLANK(J334),"",IF(ISBLANK(E334),"",J334/E334))</f>
        <v>0.11224489795918367</v>
      </c>
      <c r="M334" s="22">
        <v>140</v>
      </c>
      <c r="N334" s="21">
        <f t="shared" ref="N334:N351" si="151">IF(ISBLANK(M334),"",M334/($C334-IF(ISBLANK($D334),0,$D334)))</f>
        <v>12.727272727272727</v>
      </c>
      <c r="O334" s="23">
        <f t="shared" ref="O334:O350" si="152">IF(ISBLANK(M334),"",IF(ISBLANK($E334),"",M334/$E334))</f>
        <v>7.1428571428571425E-2</v>
      </c>
      <c r="P334" s="22">
        <v>200</v>
      </c>
      <c r="Q334" s="21">
        <f t="shared" si="136"/>
        <v>18.181818181818183</v>
      </c>
      <c r="R334" s="23">
        <f t="shared" si="143"/>
        <v>0.10204081632653061</v>
      </c>
      <c r="S334" s="22"/>
      <c r="T334" s="21" t="str">
        <f t="shared" si="137"/>
        <v/>
      </c>
      <c r="U334" s="23" t="str">
        <f t="shared" si="144"/>
        <v/>
      </c>
      <c r="V334" s="22"/>
      <c r="W334" s="21" t="str">
        <f t="shared" si="138"/>
        <v/>
      </c>
      <c r="X334" s="23" t="str">
        <f t="shared" si="145"/>
        <v/>
      </c>
      <c r="Y334" s="22"/>
      <c r="Z334" s="21" t="str">
        <f t="shared" si="139"/>
        <v/>
      </c>
      <c r="AA334" s="23" t="str">
        <f t="shared" si="146"/>
        <v/>
      </c>
      <c r="AB334" s="22">
        <v>400</v>
      </c>
      <c r="AC334" s="21">
        <f t="shared" si="140"/>
        <v>36.363636363636367</v>
      </c>
      <c r="AD334" s="23">
        <f t="shared" si="147"/>
        <v>0.20408163265306123</v>
      </c>
      <c r="AE334" s="22">
        <v>1000</v>
      </c>
      <c r="AF334" s="21">
        <f t="shared" si="141"/>
        <v>90.909090909090907</v>
      </c>
      <c r="AG334" s="85">
        <f t="shared" si="148"/>
        <v>0.51020408163265307</v>
      </c>
    </row>
    <row r="335" spans="1:33" x14ac:dyDescent="0.25">
      <c r="A335" s="13">
        <f>WORKDAY(A336,1,JoursFeries!$B$3:$CH$15)</f>
        <v>42394</v>
      </c>
      <c r="B335" s="19" t="s">
        <v>120</v>
      </c>
      <c r="C335" s="19">
        <v>11</v>
      </c>
      <c r="E335" s="19">
        <f>2022.1-82.1-120</f>
        <v>1820</v>
      </c>
      <c r="F335" s="24">
        <f t="shared" si="149"/>
        <v>1662.8188318636096</v>
      </c>
      <c r="G335" s="16">
        <f t="shared" si="142"/>
        <v>157.1811681363904</v>
      </c>
      <c r="H335" s="15">
        <f t="shared" si="127"/>
        <v>165.45454545454547</v>
      </c>
      <c r="I335" s="15"/>
      <c r="J335" s="22">
        <v>280</v>
      </c>
      <c r="K335" s="21">
        <f t="shared" si="135"/>
        <v>25.454545454545453</v>
      </c>
      <c r="L335" s="23">
        <f t="shared" si="150"/>
        <v>0.15384615384615385</v>
      </c>
      <c r="M335" s="22">
        <v>140</v>
      </c>
      <c r="N335" s="21">
        <f t="shared" si="151"/>
        <v>12.727272727272727</v>
      </c>
      <c r="O335" s="23">
        <f t="shared" si="152"/>
        <v>7.6923076923076927E-2</v>
      </c>
      <c r="P335" s="22">
        <v>200</v>
      </c>
      <c r="Q335" s="21">
        <f t="shared" si="136"/>
        <v>18.181818181818183</v>
      </c>
      <c r="R335" s="23">
        <f t="shared" si="143"/>
        <v>0.10989010989010989</v>
      </c>
      <c r="S335" s="22"/>
      <c r="T335" s="21" t="str">
        <f t="shared" si="137"/>
        <v/>
      </c>
      <c r="U335" s="23" t="str">
        <f t="shared" si="144"/>
        <v/>
      </c>
      <c r="V335" s="22"/>
      <c r="W335" s="21" t="str">
        <f t="shared" si="138"/>
        <v/>
      </c>
      <c r="X335" s="23" t="str">
        <f t="shared" si="145"/>
        <v/>
      </c>
      <c r="Y335" s="22"/>
      <c r="Z335" s="21" t="str">
        <f t="shared" si="139"/>
        <v/>
      </c>
      <c r="AA335" s="23" t="str">
        <f t="shared" si="146"/>
        <v/>
      </c>
      <c r="AB335" s="22">
        <v>400</v>
      </c>
      <c r="AC335" s="21">
        <f t="shared" si="140"/>
        <v>36.363636363636367</v>
      </c>
      <c r="AD335" s="23">
        <f t="shared" si="147"/>
        <v>0.21978021978021978</v>
      </c>
      <c r="AE335" s="22">
        <v>800</v>
      </c>
      <c r="AF335" s="21">
        <f t="shared" si="141"/>
        <v>72.727272727272734</v>
      </c>
      <c r="AG335" s="85">
        <f t="shared" si="148"/>
        <v>0.43956043956043955</v>
      </c>
    </row>
    <row r="336" spans="1:33" x14ac:dyDescent="0.25">
      <c r="A336" s="13">
        <f>WORKDAY(A337,1,JoursFeries!$B$3:$CH$15)</f>
        <v>42391</v>
      </c>
      <c r="B336" s="19" t="s">
        <v>120</v>
      </c>
      <c r="C336" s="19">
        <v>11</v>
      </c>
      <c r="E336" s="19">
        <f>2058.04-40.98-7.06</f>
        <v>2010</v>
      </c>
      <c r="F336" s="24">
        <f t="shared" si="149"/>
        <v>1662.8188318636096</v>
      </c>
      <c r="G336" s="16">
        <f t="shared" si="142"/>
        <v>347.1811681363904</v>
      </c>
      <c r="H336" s="15">
        <f t="shared" si="127"/>
        <v>182.72727272727272</v>
      </c>
      <c r="I336" s="15"/>
      <c r="J336" s="22">
        <v>260</v>
      </c>
      <c r="K336" s="21">
        <f t="shared" si="135"/>
        <v>23.636363636363637</v>
      </c>
      <c r="L336" s="23">
        <f t="shared" si="150"/>
        <v>0.12935323383084577</v>
      </c>
      <c r="M336" s="22">
        <v>100</v>
      </c>
      <c r="N336" s="21">
        <f t="shared" si="151"/>
        <v>9.0909090909090917</v>
      </c>
      <c r="O336" s="23">
        <f t="shared" si="152"/>
        <v>4.975124378109453E-2</v>
      </c>
      <c r="P336" s="22">
        <v>200</v>
      </c>
      <c r="Q336" s="21">
        <f t="shared" si="136"/>
        <v>18.181818181818183</v>
      </c>
      <c r="R336" s="23">
        <f t="shared" si="143"/>
        <v>9.950248756218906E-2</v>
      </c>
      <c r="S336" s="22"/>
      <c r="T336" s="21" t="str">
        <f t="shared" si="137"/>
        <v/>
      </c>
      <c r="U336" s="23" t="str">
        <f t="shared" si="144"/>
        <v/>
      </c>
      <c r="V336" s="22"/>
      <c r="W336" s="21" t="str">
        <f t="shared" si="138"/>
        <v/>
      </c>
      <c r="X336" s="23" t="str">
        <f t="shared" si="145"/>
        <v/>
      </c>
      <c r="Y336" s="22"/>
      <c r="Z336" s="21" t="str">
        <f t="shared" si="139"/>
        <v/>
      </c>
      <c r="AA336" s="23" t="str">
        <f t="shared" si="146"/>
        <v/>
      </c>
      <c r="AB336" s="22">
        <v>450</v>
      </c>
      <c r="AC336" s="21">
        <f t="shared" si="140"/>
        <v>40.909090909090907</v>
      </c>
      <c r="AD336" s="23">
        <f t="shared" si="147"/>
        <v>0.22388059701492538</v>
      </c>
      <c r="AE336" s="22">
        <v>1000</v>
      </c>
      <c r="AF336" s="21">
        <f t="shared" si="141"/>
        <v>90.909090909090907</v>
      </c>
      <c r="AG336" s="85">
        <f t="shared" si="148"/>
        <v>0.49751243781094528</v>
      </c>
    </row>
    <row r="337" spans="1:33" x14ac:dyDescent="0.25">
      <c r="A337" s="13">
        <f>WORKDAY(A338,1,JoursFeries!$B$3:$CH$15)</f>
        <v>42390</v>
      </c>
      <c r="B337" s="19" t="s">
        <v>120</v>
      </c>
      <c r="C337" s="19">
        <v>11</v>
      </c>
      <c r="E337" s="19">
        <v>1776</v>
      </c>
      <c r="F337" s="24">
        <f t="shared" si="149"/>
        <v>1662.8188318636096</v>
      </c>
      <c r="G337" s="16">
        <f t="shared" si="142"/>
        <v>113.1811681363904</v>
      </c>
      <c r="H337" s="15">
        <f t="shared" si="127"/>
        <v>161.45454545454547</v>
      </c>
      <c r="I337" s="15"/>
      <c r="J337" s="22">
        <v>276</v>
      </c>
      <c r="K337" s="21">
        <f t="shared" si="135"/>
        <v>25.09090909090909</v>
      </c>
      <c r="L337" s="23">
        <f t="shared" si="150"/>
        <v>0.1554054054054054</v>
      </c>
      <c r="M337" s="22">
        <v>160</v>
      </c>
      <c r="N337" s="21">
        <f t="shared" si="151"/>
        <v>14.545454545454545</v>
      </c>
      <c r="O337" s="23">
        <f t="shared" si="152"/>
        <v>9.0090090090090086E-2</v>
      </c>
      <c r="P337" s="22">
        <v>220</v>
      </c>
      <c r="Q337" s="21">
        <f t="shared" si="136"/>
        <v>20</v>
      </c>
      <c r="R337" s="23">
        <f t="shared" si="143"/>
        <v>0.12387387387387387</v>
      </c>
      <c r="S337" s="22"/>
      <c r="T337" s="21" t="str">
        <f t="shared" si="137"/>
        <v/>
      </c>
      <c r="U337" s="23" t="str">
        <f t="shared" si="144"/>
        <v/>
      </c>
      <c r="V337" s="22"/>
      <c r="W337" s="21" t="str">
        <f t="shared" si="138"/>
        <v/>
      </c>
      <c r="X337" s="23" t="str">
        <f t="shared" si="145"/>
        <v/>
      </c>
      <c r="Y337" s="22"/>
      <c r="Z337" s="21" t="str">
        <f t="shared" si="139"/>
        <v/>
      </c>
      <c r="AA337" s="23" t="str">
        <f t="shared" si="146"/>
        <v/>
      </c>
      <c r="AB337" s="22">
        <v>320</v>
      </c>
      <c r="AC337" s="21">
        <f t="shared" si="140"/>
        <v>29.09090909090909</v>
      </c>
      <c r="AD337" s="23">
        <f t="shared" si="147"/>
        <v>0.18018018018018017</v>
      </c>
      <c r="AE337" s="22">
        <v>800</v>
      </c>
      <c r="AF337" s="21">
        <f t="shared" si="141"/>
        <v>72.727272727272734</v>
      </c>
      <c r="AG337" s="85">
        <f t="shared" si="148"/>
        <v>0.45045045045045046</v>
      </c>
    </row>
    <row r="338" spans="1:33" x14ac:dyDescent="0.25">
      <c r="A338" s="13">
        <f>WORKDAY(A339,1,JoursFeries!$B$3:$CH$15)</f>
        <v>42389</v>
      </c>
      <c r="B338" s="19" t="s">
        <v>120</v>
      </c>
      <c r="C338" s="19">
        <v>7</v>
      </c>
      <c r="E338" s="19">
        <f>858.2-18.2</f>
        <v>840</v>
      </c>
      <c r="F338" s="24">
        <f t="shared" si="149"/>
        <v>1058.1574384586606</v>
      </c>
      <c r="G338" s="16">
        <f t="shared" si="142"/>
        <v>-218.15743845866064</v>
      </c>
      <c r="H338" s="15">
        <f t="shared" si="127"/>
        <v>120</v>
      </c>
      <c r="I338" s="15"/>
      <c r="J338" s="22">
        <v>100</v>
      </c>
      <c r="K338" s="21">
        <f t="shared" si="135"/>
        <v>14.285714285714286</v>
      </c>
      <c r="L338" s="23">
        <f t="shared" si="150"/>
        <v>0.11904761904761904</v>
      </c>
      <c r="M338" s="22">
        <v>40</v>
      </c>
      <c r="N338" s="21">
        <f t="shared" si="151"/>
        <v>5.7142857142857144</v>
      </c>
      <c r="O338" s="23">
        <f t="shared" si="152"/>
        <v>4.7619047619047616E-2</v>
      </c>
      <c r="P338" s="22">
        <v>60</v>
      </c>
      <c r="Q338" s="21">
        <f t="shared" si="136"/>
        <v>8.5714285714285712</v>
      </c>
      <c r="R338" s="23">
        <f t="shared" si="143"/>
        <v>7.1428571428571425E-2</v>
      </c>
      <c r="S338" s="22"/>
      <c r="T338" s="21" t="str">
        <f t="shared" si="137"/>
        <v/>
      </c>
      <c r="U338" s="23" t="str">
        <f t="shared" si="144"/>
        <v/>
      </c>
      <c r="V338" s="22"/>
      <c r="W338" s="21" t="str">
        <f t="shared" si="138"/>
        <v/>
      </c>
      <c r="X338" s="23" t="str">
        <f t="shared" si="145"/>
        <v/>
      </c>
      <c r="Y338" s="22"/>
      <c r="Z338" s="21" t="str">
        <f t="shared" si="139"/>
        <v/>
      </c>
      <c r="AA338" s="23" t="str">
        <f t="shared" si="146"/>
        <v/>
      </c>
      <c r="AB338" s="22">
        <v>200</v>
      </c>
      <c r="AC338" s="21">
        <f t="shared" si="140"/>
        <v>28.571428571428573</v>
      </c>
      <c r="AD338" s="23">
        <f t="shared" si="147"/>
        <v>0.23809523809523808</v>
      </c>
      <c r="AE338" s="22">
        <v>440</v>
      </c>
      <c r="AF338" s="21">
        <f t="shared" si="141"/>
        <v>62.857142857142854</v>
      </c>
      <c r="AG338" s="85">
        <f t="shared" si="148"/>
        <v>0.52380952380952384</v>
      </c>
    </row>
    <row r="339" spans="1:33" x14ac:dyDescent="0.25">
      <c r="A339" s="13">
        <f>WORKDAY(A340,1,JoursFeries!$B$3:$CH$15)</f>
        <v>42388</v>
      </c>
      <c r="B339" s="19" t="s">
        <v>120</v>
      </c>
      <c r="C339" s="19">
        <v>11</v>
      </c>
      <c r="E339" s="19">
        <f>1823.74-65.86-37.88</f>
        <v>1720</v>
      </c>
      <c r="F339" s="24">
        <f t="shared" si="149"/>
        <v>1662.8188318636096</v>
      </c>
      <c r="G339" s="16">
        <f t="shared" si="142"/>
        <v>57.181168136390397</v>
      </c>
      <c r="H339" s="15">
        <f t="shared" ref="H339:H351" si="153">IF(ISBLANK(C339)," ",IF(ISBLANK(E339)," ",E339/(C339-IF(ISBLANK(D339),0,D339))))</f>
        <v>156.36363636363637</v>
      </c>
      <c r="I339" s="15"/>
      <c r="J339" s="22">
        <v>300</v>
      </c>
      <c r="K339" s="21">
        <f t="shared" ref="K339:K351" si="154">IF(ISBLANK(J339),"",J339/(C339-IF(ISBLANK(D339),0,D339)))</f>
        <v>27.272727272727273</v>
      </c>
      <c r="L339" s="23">
        <f t="shared" si="150"/>
        <v>0.1744186046511628</v>
      </c>
      <c r="M339" s="22">
        <v>100</v>
      </c>
      <c r="N339" s="21">
        <f t="shared" si="151"/>
        <v>9.0909090909090917</v>
      </c>
      <c r="O339" s="23">
        <f t="shared" si="152"/>
        <v>5.8139534883720929E-2</v>
      </c>
      <c r="P339" s="22">
        <v>90</v>
      </c>
      <c r="Q339" s="21">
        <f t="shared" ref="Q339:Q350" si="155">IF(ISBLANK(P339),"",P339/($C339-IF(ISBLANK($D339),0,$D339)))</f>
        <v>8.1818181818181817</v>
      </c>
      <c r="R339" s="23">
        <f t="shared" si="143"/>
        <v>5.232558139534884E-2</v>
      </c>
      <c r="S339" s="22"/>
      <c r="T339" s="21" t="str">
        <f t="shared" ref="T339:T350" si="156">IF(ISBLANK(S339),"",S339/($C339-IF(ISBLANK($D339),0,$D339)))</f>
        <v/>
      </c>
      <c r="U339" s="23" t="str">
        <f t="shared" si="144"/>
        <v/>
      </c>
      <c r="V339" s="22"/>
      <c r="W339" s="21" t="str">
        <f t="shared" ref="W339:W350" si="157">IF(ISBLANK(V339),"",V339/($C339-IF(ISBLANK($D339),0,$D339)))</f>
        <v/>
      </c>
      <c r="X339" s="23" t="str">
        <f t="shared" si="145"/>
        <v/>
      </c>
      <c r="Y339" s="22"/>
      <c r="Z339" s="21" t="str">
        <f t="shared" ref="Z339:Z350" si="158">IF(ISBLANK(Y339),"",Y339/($C339-IF(ISBLANK($D339),0,$D339)))</f>
        <v/>
      </c>
      <c r="AA339" s="23" t="str">
        <f t="shared" si="146"/>
        <v/>
      </c>
      <c r="AB339" s="22">
        <v>430</v>
      </c>
      <c r="AC339" s="21">
        <f t="shared" ref="AC339:AC350" si="159">IF(ISBLANK(AB339),"",AB339/($C339-IF(ISBLANK($D339),0,$D339)))</f>
        <v>39.090909090909093</v>
      </c>
      <c r="AD339" s="23">
        <f t="shared" si="147"/>
        <v>0.25</v>
      </c>
      <c r="AE339" s="22">
        <v>800</v>
      </c>
      <c r="AF339" s="21">
        <f t="shared" ref="AF339:AF350" si="160">IF(ISBLANK(AE339),"",AE339/($C339-IF(ISBLANK($D339),0,$D339)))</f>
        <v>72.727272727272734</v>
      </c>
      <c r="AG339" s="85">
        <f t="shared" si="148"/>
        <v>0.46511627906976744</v>
      </c>
    </row>
    <row r="340" spans="1:33" x14ac:dyDescent="0.25">
      <c r="A340" s="13">
        <f>WORKDAY(A341,1,JoursFeries!$B$3:$CH$15)</f>
        <v>42387</v>
      </c>
      <c r="B340" s="19" t="s">
        <v>120</v>
      </c>
      <c r="C340" s="19">
        <v>11</v>
      </c>
      <c r="E340" s="19">
        <f>1560.64-32.38-75.26</f>
        <v>1453</v>
      </c>
      <c r="F340" s="24">
        <f t="shared" si="149"/>
        <v>1662.8188318636096</v>
      </c>
      <c r="G340" s="16">
        <f t="shared" si="142"/>
        <v>-209.8188318636096</v>
      </c>
      <c r="H340" s="15">
        <f t="shared" si="153"/>
        <v>132.09090909090909</v>
      </c>
      <c r="I340" s="15"/>
      <c r="J340" s="22">
        <v>220</v>
      </c>
      <c r="K340" s="21">
        <f t="shared" si="154"/>
        <v>20</v>
      </c>
      <c r="L340" s="23">
        <f t="shared" si="150"/>
        <v>0.15141087405368203</v>
      </c>
      <c r="M340" s="22">
        <v>120</v>
      </c>
      <c r="N340" s="21">
        <f t="shared" si="151"/>
        <v>10.909090909090908</v>
      </c>
      <c r="O340" s="23">
        <f t="shared" si="152"/>
        <v>8.2587749483826564E-2</v>
      </c>
      <c r="P340" s="22">
        <v>145</v>
      </c>
      <c r="Q340" s="21">
        <f t="shared" si="155"/>
        <v>13.181818181818182</v>
      </c>
      <c r="R340" s="23">
        <f t="shared" si="143"/>
        <v>9.9793530626290428E-2</v>
      </c>
      <c r="S340" s="22"/>
      <c r="T340" s="21" t="str">
        <f t="shared" si="156"/>
        <v/>
      </c>
      <c r="U340" s="23" t="str">
        <f t="shared" si="144"/>
        <v/>
      </c>
      <c r="V340" s="22"/>
      <c r="W340" s="21" t="str">
        <f t="shared" si="157"/>
        <v/>
      </c>
      <c r="X340" s="23" t="str">
        <f t="shared" si="145"/>
        <v/>
      </c>
      <c r="Y340" s="22"/>
      <c r="Z340" s="21" t="str">
        <f t="shared" si="158"/>
        <v/>
      </c>
      <c r="AA340" s="23" t="str">
        <f t="shared" si="146"/>
        <v/>
      </c>
      <c r="AB340" s="22">
        <v>368</v>
      </c>
      <c r="AC340" s="21">
        <f t="shared" si="159"/>
        <v>33.454545454545453</v>
      </c>
      <c r="AD340" s="23">
        <f t="shared" si="147"/>
        <v>0.25326909841706813</v>
      </c>
      <c r="AE340" s="22">
        <v>600</v>
      </c>
      <c r="AF340" s="21">
        <f t="shared" si="160"/>
        <v>54.545454545454547</v>
      </c>
      <c r="AG340" s="85">
        <f t="shared" si="148"/>
        <v>0.41293874741913283</v>
      </c>
    </row>
    <row r="341" spans="1:33" x14ac:dyDescent="0.25">
      <c r="A341" s="13">
        <f>WORKDAY(A342,1,JoursFeries!$B$3:$CH$15)</f>
        <v>42384</v>
      </c>
      <c r="F341" s="24" t="str">
        <f t="shared" si="149"/>
        <v/>
      </c>
      <c r="G341" s="16" t="str">
        <f t="shared" si="142"/>
        <v/>
      </c>
      <c r="H341" s="15" t="str">
        <f t="shared" si="153"/>
        <v xml:space="preserve"> </v>
      </c>
      <c r="I341" s="15"/>
      <c r="J341" s="22"/>
      <c r="K341" s="21" t="str">
        <f t="shared" si="154"/>
        <v/>
      </c>
      <c r="L341" s="23" t="str">
        <f t="shared" si="150"/>
        <v/>
      </c>
      <c r="M341" s="22"/>
      <c r="N341" s="21" t="str">
        <f t="shared" si="151"/>
        <v/>
      </c>
      <c r="O341" s="23" t="str">
        <f t="shared" si="152"/>
        <v/>
      </c>
      <c r="P341" s="22"/>
      <c r="Q341" s="21" t="str">
        <f t="shared" si="155"/>
        <v/>
      </c>
      <c r="R341" s="23" t="str">
        <f t="shared" si="143"/>
        <v/>
      </c>
      <c r="S341" s="22"/>
      <c r="T341" s="21" t="str">
        <f t="shared" si="156"/>
        <v/>
      </c>
      <c r="U341" s="23" t="str">
        <f t="shared" si="144"/>
        <v/>
      </c>
      <c r="V341" s="22"/>
      <c r="W341" s="21" t="str">
        <f t="shared" si="157"/>
        <v/>
      </c>
      <c r="X341" s="23" t="str">
        <f t="shared" si="145"/>
        <v/>
      </c>
      <c r="Y341" s="22"/>
      <c r="Z341" s="21" t="str">
        <f t="shared" si="158"/>
        <v/>
      </c>
      <c r="AA341" s="23" t="str">
        <f t="shared" si="146"/>
        <v/>
      </c>
      <c r="AB341" s="22"/>
      <c r="AC341" s="21" t="str">
        <f t="shared" si="159"/>
        <v/>
      </c>
      <c r="AD341" s="23" t="str">
        <f t="shared" si="147"/>
        <v/>
      </c>
      <c r="AE341" s="22"/>
      <c r="AF341" s="21" t="str">
        <f t="shared" si="160"/>
        <v/>
      </c>
      <c r="AG341" s="85" t="str">
        <f t="shared" si="148"/>
        <v/>
      </c>
    </row>
    <row r="342" spans="1:33" x14ac:dyDescent="0.25">
      <c r="A342" s="18">
        <f>WORKDAY(A343,1,JoursFeries!$B$3:$CH$15)</f>
        <v>42383</v>
      </c>
      <c r="B342" s="19" t="s">
        <v>118</v>
      </c>
      <c r="C342" s="19">
        <v>11</v>
      </c>
      <c r="E342" s="19">
        <f>1567.54-9.54</f>
        <v>1558</v>
      </c>
      <c r="F342" s="24">
        <f t="shared" si="149"/>
        <v>1630.9707999999998</v>
      </c>
      <c r="G342" s="16">
        <f t="shared" si="142"/>
        <v>-72.970799999999826</v>
      </c>
      <c r="H342" s="15">
        <f t="shared" si="153"/>
        <v>141.63636363636363</v>
      </c>
      <c r="I342" s="15"/>
      <c r="J342" s="22">
        <v>300</v>
      </c>
      <c r="K342" s="21">
        <f t="shared" si="154"/>
        <v>27.272727272727273</v>
      </c>
      <c r="L342" s="23">
        <f t="shared" si="150"/>
        <v>0.1925545571245186</v>
      </c>
      <c r="M342" s="22">
        <v>120</v>
      </c>
      <c r="N342" s="21">
        <f t="shared" si="151"/>
        <v>10.909090909090908</v>
      </c>
      <c r="O342" s="23">
        <f t="shared" si="152"/>
        <v>7.702182284980745E-2</v>
      </c>
      <c r="P342" s="22">
        <v>150</v>
      </c>
      <c r="Q342" s="21">
        <f t="shared" si="155"/>
        <v>13.636363636363637</v>
      </c>
      <c r="R342" s="23">
        <f t="shared" si="143"/>
        <v>9.6277278562259302E-2</v>
      </c>
      <c r="S342" s="22"/>
      <c r="T342" s="21" t="str">
        <f t="shared" si="156"/>
        <v/>
      </c>
      <c r="U342" s="23" t="str">
        <f t="shared" si="144"/>
        <v/>
      </c>
      <c r="V342" s="22">
        <v>620</v>
      </c>
      <c r="W342" s="21">
        <f t="shared" si="157"/>
        <v>56.363636363636367</v>
      </c>
      <c r="X342" s="23">
        <f t="shared" si="145"/>
        <v>0.39794608472400511</v>
      </c>
      <c r="Y342" s="22"/>
      <c r="Z342" s="21" t="str">
        <f t="shared" si="158"/>
        <v/>
      </c>
      <c r="AA342" s="23" t="str">
        <f t="shared" si="146"/>
        <v/>
      </c>
      <c r="AB342" s="22">
        <v>368</v>
      </c>
      <c r="AC342" s="21">
        <f t="shared" si="159"/>
        <v>33.454545454545453</v>
      </c>
      <c r="AD342" s="23">
        <f t="shared" si="147"/>
        <v>0.2362002567394095</v>
      </c>
      <c r="AE342" s="22"/>
      <c r="AF342" s="21" t="str">
        <f t="shared" si="160"/>
        <v/>
      </c>
      <c r="AG342" s="85" t="str">
        <f t="shared" si="148"/>
        <v/>
      </c>
    </row>
    <row r="343" spans="1:33" x14ac:dyDescent="0.25">
      <c r="A343" s="13">
        <f>WORKDAY(A344,1,JoursFeries!$B$3:$CH$15)</f>
        <v>42382</v>
      </c>
      <c r="B343" s="19" t="s">
        <v>118</v>
      </c>
      <c r="C343" s="19">
        <v>11</v>
      </c>
      <c r="E343" s="19">
        <f>1344.12-15.12</f>
        <v>1329</v>
      </c>
      <c r="F343" s="24">
        <f t="shared" si="149"/>
        <v>1630.9707999999998</v>
      </c>
      <c r="G343" s="16">
        <f t="shared" si="142"/>
        <v>-301.97079999999983</v>
      </c>
      <c r="H343" s="15">
        <f t="shared" si="153"/>
        <v>120.81818181818181</v>
      </c>
      <c r="I343" s="15"/>
      <c r="J343" s="22">
        <v>280</v>
      </c>
      <c r="K343" s="21">
        <f t="shared" si="154"/>
        <v>25.454545454545453</v>
      </c>
      <c r="L343" s="23">
        <f t="shared" si="150"/>
        <v>0.21068472535741159</v>
      </c>
      <c r="M343" s="22">
        <v>100</v>
      </c>
      <c r="N343" s="21">
        <f t="shared" si="151"/>
        <v>9.0909090909090917</v>
      </c>
      <c r="O343" s="23">
        <f t="shared" si="152"/>
        <v>7.5244544770504143E-2</v>
      </c>
      <c r="P343" s="22">
        <v>164</v>
      </c>
      <c r="Q343" s="21">
        <f t="shared" si="155"/>
        <v>14.909090909090908</v>
      </c>
      <c r="R343" s="23">
        <f t="shared" si="143"/>
        <v>0.12340105342362678</v>
      </c>
      <c r="S343" s="22"/>
      <c r="T343" s="21" t="str">
        <f t="shared" si="156"/>
        <v/>
      </c>
      <c r="U343" s="23" t="str">
        <f t="shared" si="144"/>
        <v/>
      </c>
      <c r="V343" s="22">
        <v>440</v>
      </c>
      <c r="W343" s="21">
        <f t="shared" si="157"/>
        <v>40</v>
      </c>
      <c r="X343" s="23">
        <f t="shared" si="145"/>
        <v>0.33107599699021822</v>
      </c>
      <c r="Y343" s="22"/>
      <c r="Z343" s="21" t="str">
        <f t="shared" si="158"/>
        <v/>
      </c>
      <c r="AA343" s="23" t="str">
        <f t="shared" si="146"/>
        <v/>
      </c>
      <c r="AB343" s="22">
        <v>345</v>
      </c>
      <c r="AC343" s="21">
        <f t="shared" si="159"/>
        <v>31.363636363636363</v>
      </c>
      <c r="AD343" s="23">
        <f t="shared" si="147"/>
        <v>0.2595936794582393</v>
      </c>
      <c r="AE343" s="22"/>
      <c r="AF343" s="21" t="str">
        <f t="shared" si="160"/>
        <v/>
      </c>
      <c r="AG343" s="85" t="str">
        <f t="shared" si="148"/>
        <v/>
      </c>
    </row>
    <row r="344" spans="1:33" x14ac:dyDescent="0.25">
      <c r="A344" s="13">
        <f>WORKDAY(A345,1,JoursFeries!$B$3:$CH$15)</f>
        <v>42381</v>
      </c>
      <c r="B344" s="19" t="s">
        <v>116</v>
      </c>
      <c r="C344" s="19">
        <v>7</v>
      </c>
      <c r="E344" s="19">
        <f>1212.56-25.38-37.18</f>
        <v>1149.9999999999998</v>
      </c>
      <c r="F344" s="24">
        <f t="shared" si="149"/>
        <v>869.76621432243599</v>
      </c>
      <c r="G344" s="16">
        <f t="shared" si="142"/>
        <v>280.23378567756379</v>
      </c>
      <c r="H344" s="15">
        <f t="shared" si="153"/>
        <v>164.28571428571425</v>
      </c>
      <c r="I344" s="15"/>
      <c r="J344" s="22">
        <v>320</v>
      </c>
      <c r="K344" s="21">
        <f t="shared" si="154"/>
        <v>45.714285714285715</v>
      </c>
      <c r="L344" s="23">
        <f t="shared" si="150"/>
        <v>0.27826086956521745</v>
      </c>
      <c r="M344" s="22">
        <v>140</v>
      </c>
      <c r="N344" s="21">
        <f t="shared" si="151"/>
        <v>20</v>
      </c>
      <c r="O344" s="23">
        <f t="shared" si="152"/>
        <v>0.12173913043478263</v>
      </c>
      <c r="P344" s="22">
        <v>150</v>
      </c>
      <c r="Q344" s="21">
        <f t="shared" si="155"/>
        <v>21.428571428571427</v>
      </c>
      <c r="R344" s="23">
        <f t="shared" si="143"/>
        <v>0.13043478260869568</v>
      </c>
      <c r="S344" s="22">
        <v>240</v>
      </c>
      <c r="T344" s="21">
        <f t="shared" si="156"/>
        <v>34.285714285714285</v>
      </c>
      <c r="U344" s="23">
        <f t="shared" si="144"/>
        <v>0.20869565217391309</v>
      </c>
      <c r="V344" s="22"/>
      <c r="W344" s="21" t="str">
        <f t="shared" si="157"/>
        <v/>
      </c>
      <c r="X344" s="23" t="str">
        <f t="shared" si="145"/>
        <v/>
      </c>
      <c r="Y344" s="22"/>
      <c r="Z344" s="21" t="str">
        <f t="shared" si="158"/>
        <v/>
      </c>
      <c r="AA344" s="23" t="str">
        <f t="shared" si="146"/>
        <v/>
      </c>
      <c r="AB344" s="22">
        <v>300</v>
      </c>
      <c r="AC344" s="21">
        <f t="shared" si="159"/>
        <v>42.857142857142854</v>
      </c>
      <c r="AD344" s="23">
        <f t="shared" si="147"/>
        <v>0.26086956521739135</v>
      </c>
      <c r="AE344" s="22"/>
      <c r="AF344" s="21" t="str">
        <f t="shared" si="160"/>
        <v/>
      </c>
      <c r="AG344" s="85" t="str">
        <f t="shared" si="148"/>
        <v/>
      </c>
    </row>
    <row r="345" spans="1:33" x14ac:dyDescent="0.25">
      <c r="A345" s="13">
        <f>WORKDAY(A346,1,JoursFeries!$B$3:$CH$15)</f>
        <v>42380</v>
      </c>
      <c r="B345" s="19" t="s">
        <v>116</v>
      </c>
      <c r="C345" s="19">
        <v>11</v>
      </c>
      <c r="E345" s="19">
        <v>1250</v>
      </c>
      <c r="F345" s="24">
        <f t="shared" si="149"/>
        <v>1366.7754796495424</v>
      </c>
      <c r="G345" s="16">
        <f t="shared" si="142"/>
        <v>-116.77547964954238</v>
      </c>
      <c r="H345" s="15">
        <f t="shared" si="153"/>
        <v>113.63636363636364</v>
      </c>
      <c r="I345" s="15"/>
      <c r="J345" s="22">
        <v>300</v>
      </c>
      <c r="K345" s="21">
        <f t="shared" si="154"/>
        <v>27.272727272727273</v>
      </c>
      <c r="L345" s="23">
        <f t="shared" si="150"/>
        <v>0.24</v>
      </c>
      <c r="M345" s="22">
        <v>125</v>
      </c>
      <c r="N345" s="21">
        <f t="shared" si="151"/>
        <v>11.363636363636363</v>
      </c>
      <c r="O345" s="23">
        <f t="shared" si="152"/>
        <v>0.1</v>
      </c>
      <c r="P345" s="22">
        <v>200</v>
      </c>
      <c r="Q345" s="21">
        <f t="shared" si="155"/>
        <v>18.181818181818183</v>
      </c>
      <c r="R345" s="23">
        <f t="shared" si="143"/>
        <v>0.16</v>
      </c>
      <c r="S345" s="22">
        <v>280</v>
      </c>
      <c r="T345" s="21">
        <f t="shared" si="156"/>
        <v>25.454545454545453</v>
      </c>
      <c r="U345" s="23">
        <f t="shared" si="144"/>
        <v>0.224</v>
      </c>
      <c r="V345" s="22"/>
      <c r="W345" s="21" t="str">
        <f t="shared" si="157"/>
        <v/>
      </c>
      <c r="X345" s="23" t="str">
        <f t="shared" si="145"/>
        <v/>
      </c>
      <c r="Y345" s="22"/>
      <c r="Z345" s="21" t="str">
        <f t="shared" si="158"/>
        <v/>
      </c>
      <c r="AA345" s="23" t="str">
        <f t="shared" si="146"/>
        <v/>
      </c>
      <c r="AB345" s="22">
        <v>345</v>
      </c>
      <c r="AC345" s="21">
        <f t="shared" si="159"/>
        <v>31.363636363636363</v>
      </c>
      <c r="AD345" s="23">
        <f t="shared" si="147"/>
        <v>0.27600000000000002</v>
      </c>
      <c r="AE345" s="22"/>
      <c r="AF345" s="21" t="str">
        <f t="shared" si="160"/>
        <v/>
      </c>
      <c r="AG345" s="85" t="str">
        <f t="shared" si="148"/>
        <v/>
      </c>
    </row>
    <row r="346" spans="1:33" x14ac:dyDescent="0.25">
      <c r="A346" s="13">
        <f>WORKDAY(A347,1,JoursFeries!$B$3:$CH$15)</f>
        <v>42377</v>
      </c>
      <c r="B346" s="19" t="s">
        <v>116</v>
      </c>
      <c r="C346" s="19">
        <v>11</v>
      </c>
      <c r="E346" s="19">
        <f>1087.28-25.5-11.78</f>
        <v>1050</v>
      </c>
      <c r="F346" s="24">
        <f t="shared" si="149"/>
        <v>1366.7754796495424</v>
      </c>
      <c r="G346" s="16">
        <f t="shared" si="142"/>
        <v>-316.77547964954238</v>
      </c>
      <c r="H346" s="15">
        <f t="shared" si="153"/>
        <v>95.454545454545453</v>
      </c>
      <c r="I346" s="15"/>
      <c r="J346" s="22">
        <v>220</v>
      </c>
      <c r="K346" s="21">
        <f t="shared" si="154"/>
        <v>20</v>
      </c>
      <c r="L346" s="23">
        <f t="shared" si="150"/>
        <v>0.20952380952380953</v>
      </c>
      <c r="M346" s="22">
        <v>100</v>
      </c>
      <c r="N346" s="21">
        <f t="shared" si="151"/>
        <v>9.0909090909090917</v>
      </c>
      <c r="O346" s="23">
        <f t="shared" si="152"/>
        <v>9.5238095238095233E-2</v>
      </c>
      <c r="P346" s="22">
        <v>170</v>
      </c>
      <c r="Q346" s="21">
        <f t="shared" si="155"/>
        <v>15.454545454545455</v>
      </c>
      <c r="R346" s="23">
        <f t="shared" si="143"/>
        <v>0.16190476190476191</v>
      </c>
      <c r="S346" s="22">
        <v>280</v>
      </c>
      <c r="T346" s="21">
        <f t="shared" si="156"/>
        <v>25.454545454545453</v>
      </c>
      <c r="U346" s="23">
        <f t="shared" si="144"/>
        <v>0.26666666666666666</v>
      </c>
      <c r="V346" s="22"/>
      <c r="W346" s="21" t="str">
        <f t="shared" si="157"/>
        <v/>
      </c>
      <c r="X346" s="23" t="str">
        <f t="shared" si="145"/>
        <v/>
      </c>
      <c r="Y346" s="22"/>
      <c r="Z346" s="21" t="str">
        <f t="shared" si="158"/>
        <v/>
      </c>
      <c r="AA346" s="23" t="str">
        <f t="shared" si="146"/>
        <v/>
      </c>
      <c r="AB346" s="22">
        <v>280</v>
      </c>
      <c r="AC346" s="21">
        <f t="shared" si="159"/>
        <v>25.454545454545453</v>
      </c>
      <c r="AD346" s="23">
        <f t="shared" si="147"/>
        <v>0.26666666666666666</v>
      </c>
      <c r="AE346" s="22"/>
      <c r="AF346" s="21" t="str">
        <f t="shared" si="160"/>
        <v/>
      </c>
      <c r="AG346" s="85" t="str">
        <f t="shared" si="148"/>
        <v/>
      </c>
    </row>
    <row r="347" spans="1:33" x14ac:dyDescent="0.25">
      <c r="A347" s="13">
        <f>WORKDAY(A348,1,JoursFeries!$B$3:$CH$15)</f>
        <v>42376</v>
      </c>
      <c r="B347" s="19" t="s">
        <v>116</v>
      </c>
      <c r="C347" s="19">
        <v>12</v>
      </c>
      <c r="E347" s="19">
        <f>1480.74-62.74-20</f>
        <v>1398</v>
      </c>
      <c r="F347" s="24">
        <f t="shared" si="149"/>
        <v>1491.0277959813188</v>
      </c>
      <c r="G347" s="16">
        <f t="shared" si="142"/>
        <v>-93.027795981318832</v>
      </c>
      <c r="H347" s="15">
        <f t="shared" si="153"/>
        <v>116.5</v>
      </c>
      <c r="I347" s="15"/>
      <c r="J347" s="22">
        <v>320</v>
      </c>
      <c r="K347" s="21">
        <f t="shared" si="154"/>
        <v>26.666666666666668</v>
      </c>
      <c r="L347" s="23">
        <f t="shared" si="150"/>
        <v>0.22889842632331903</v>
      </c>
      <c r="M347" s="22">
        <v>160</v>
      </c>
      <c r="N347" s="21">
        <f t="shared" si="151"/>
        <v>13.333333333333334</v>
      </c>
      <c r="O347" s="23">
        <f t="shared" si="152"/>
        <v>0.11444921316165951</v>
      </c>
      <c r="P347" s="22">
        <v>150</v>
      </c>
      <c r="Q347" s="21">
        <f t="shared" si="155"/>
        <v>12.5</v>
      </c>
      <c r="R347" s="23">
        <f t="shared" si="143"/>
        <v>0.1072961373390558</v>
      </c>
      <c r="S347" s="22">
        <v>400</v>
      </c>
      <c r="T347" s="21">
        <f t="shared" si="156"/>
        <v>33.333333333333336</v>
      </c>
      <c r="U347" s="23">
        <f t="shared" si="144"/>
        <v>0.28612303290414881</v>
      </c>
      <c r="V347" s="22"/>
      <c r="W347" s="21" t="str">
        <f t="shared" si="157"/>
        <v/>
      </c>
      <c r="X347" s="23" t="str">
        <f t="shared" si="145"/>
        <v/>
      </c>
      <c r="Y347" s="22"/>
      <c r="Z347" s="21" t="str">
        <f t="shared" si="158"/>
        <v/>
      </c>
      <c r="AA347" s="23" t="str">
        <f t="shared" si="146"/>
        <v/>
      </c>
      <c r="AB347" s="22">
        <v>368</v>
      </c>
      <c r="AC347" s="21">
        <f t="shared" si="159"/>
        <v>30.666666666666668</v>
      </c>
      <c r="AD347" s="23">
        <f t="shared" si="147"/>
        <v>0.26323319027181691</v>
      </c>
      <c r="AE347" s="22"/>
      <c r="AF347" s="21" t="str">
        <f t="shared" si="160"/>
        <v/>
      </c>
      <c r="AG347" s="85" t="str">
        <f t="shared" si="148"/>
        <v/>
      </c>
    </row>
    <row r="348" spans="1:33" x14ac:dyDescent="0.25">
      <c r="A348" s="13">
        <f>WORKDAY(A349,1,JoursFeries!$B$3:$CH$15)</f>
        <v>42375</v>
      </c>
      <c r="F348" s="24" t="str">
        <f t="shared" si="149"/>
        <v/>
      </c>
      <c r="G348" s="16" t="str">
        <f t="shared" si="142"/>
        <v/>
      </c>
      <c r="H348" s="15" t="str">
        <f t="shared" si="153"/>
        <v xml:space="preserve"> </v>
      </c>
      <c r="I348" s="15"/>
      <c r="J348" s="22"/>
      <c r="K348" s="19" t="str">
        <f t="shared" si="154"/>
        <v/>
      </c>
      <c r="L348" s="23" t="str">
        <f t="shared" si="150"/>
        <v/>
      </c>
      <c r="M348" s="22"/>
      <c r="N348" s="19" t="str">
        <f t="shared" si="151"/>
        <v/>
      </c>
      <c r="O348" s="23" t="str">
        <f t="shared" si="152"/>
        <v/>
      </c>
      <c r="P348" s="22"/>
      <c r="Q348" s="19" t="str">
        <f t="shared" si="155"/>
        <v/>
      </c>
      <c r="R348" s="23" t="str">
        <f t="shared" si="143"/>
        <v/>
      </c>
      <c r="S348" s="22"/>
      <c r="T348" s="19" t="str">
        <f t="shared" si="156"/>
        <v/>
      </c>
      <c r="U348" s="23" t="str">
        <f t="shared" si="144"/>
        <v/>
      </c>
      <c r="V348" s="22"/>
      <c r="W348" s="19" t="str">
        <f t="shared" si="157"/>
        <v/>
      </c>
      <c r="X348" s="23" t="str">
        <f t="shared" si="145"/>
        <v/>
      </c>
      <c r="Y348" s="22"/>
      <c r="Z348" s="19" t="str">
        <f t="shared" si="158"/>
        <v/>
      </c>
      <c r="AA348" s="23" t="str">
        <f t="shared" si="146"/>
        <v/>
      </c>
      <c r="AB348" s="22"/>
      <c r="AC348" s="19" t="str">
        <f t="shared" si="159"/>
        <v/>
      </c>
      <c r="AD348" s="23" t="str">
        <f t="shared" si="147"/>
        <v/>
      </c>
      <c r="AE348" s="22"/>
      <c r="AF348" s="19" t="str">
        <f t="shared" si="160"/>
        <v/>
      </c>
      <c r="AG348" s="85" t="str">
        <f t="shared" si="148"/>
        <v/>
      </c>
    </row>
    <row r="349" spans="1:33" x14ac:dyDescent="0.25">
      <c r="A349" s="13">
        <f>WORKDAY(A350,1,JoursFeries!$B$3:$CH$15)</f>
        <v>42374</v>
      </c>
      <c r="F349" s="24" t="str">
        <f t="shared" si="149"/>
        <v/>
      </c>
      <c r="G349" s="16" t="str">
        <f t="shared" si="142"/>
        <v/>
      </c>
      <c r="H349" s="15" t="str">
        <f t="shared" si="153"/>
        <v xml:space="preserve"> </v>
      </c>
      <c r="I349" s="15"/>
      <c r="J349" s="22"/>
      <c r="K349" s="19" t="str">
        <f t="shared" si="154"/>
        <v/>
      </c>
      <c r="L349" s="23" t="str">
        <f t="shared" si="150"/>
        <v/>
      </c>
      <c r="M349" s="22"/>
      <c r="N349" s="19" t="str">
        <f t="shared" si="151"/>
        <v/>
      </c>
      <c r="O349" s="23" t="str">
        <f t="shared" si="152"/>
        <v/>
      </c>
      <c r="P349" s="22"/>
      <c r="Q349" s="19" t="str">
        <f t="shared" si="155"/>
        <v/>
      </c>
      <c r="R349" s="23" t="str">
        <f t="shared" si="143"/>
        <v/>
      </c>
      <c r="S349" s="22"/>
      <c r="T349" s="19" t="str">
        <f t="shared" si="156"/>
        <v/>
      </c>
      <c r="U349" s="23" t="str">
        <f t="shared" si="144"/>
        <v/>
      </c>
      <c r="V349" s="22"/>
      <c r="W349" s="19" t="str">
        <f t="shared" si="157"/>
        <v/>
      </c>
      <c r="X349" s="23" t="str">
        <f t="shared" si="145"/>
        <v/>
      </c>
      <c r="Y349" s="22"/>
      <c r="Z349" s="19" t="str">
        <f t="shared" si="158"/>
        <v/>
      </c>
      <c r="AA349" s="23" t="str">
        <f t="shared" si="146"/>
        <v/>
      </c>
      <c r="AB349" s="22"/>
      <c r="AC349" s="19" t="str">
        <f t="shared" si="159"/>
        <v/>
      </c>
      <c r="AD349" s="23" t="str">
        <f t="shared" si="147"/>
        <v/>
      </c>
      <c r="AE349" s="22"/>
      <c r="AF349" s="19" t="str">
        <f t="shared" si="160"/>
        <v/>
      </c>
      <c r="AG349" s="85" t="str">
        <f t="shared" si="148"/>
        <v/>
      </c>
    </row>
    <row r="350" spans="1:33" x14ac:dyDescent="0.25">
      <c r="A350" s="13">
        <f>WORKDAY(A351,1,JoursFeries!$B$3:$CH$15)</f>
        <v>42373</v>
      </c>
      <c r="F350" s="24" t="str">
        <f t="shared" si="149"/>
        <v/>
      </c>
      <c r="G350" s="16" t="str">
        <f t="shared" si="142"/>
        <v/>
      </c>
      <c r="H350" s="15" t="str">
        <f t="shared" si="153"/>
        <v xml:space="preserve"> </v>
      </c>
      <c r="I350" s="15"/>
      <c r="J350" s="22"/>
      <c r="K350" s="19" t="str">
        <f t="shared" si="154"/>
        <v/>
      </c>
      <c r="L350" s="23" t="str">
        <f t="shared" si="150"/>
        <v/>
      </c>
      <c r="M350" s="22"/>
      <c r="N350" s="19" t="str">
        <f t="shared" si="151"/>
        <v/>
      </c>
      <c r="O350" s="23" t="str">
        <f t="shared" si="152"/>
        <v/>
      </c>
      <c r="P350" s="22"/>
      <c r="Q350" s="19" t="str">
        <f t="shared" si="155"/>
        <v/>
      </c>
      <c r="R350" s="23" t="str">
        <f t="shared" si="143"/>
        <v/>
      </c>
      <c r="S350" s="22"/>
      <c r="T350" s="19" t="str">
        <f t="shared" si="156"/>
        <v/>
      </c>
      <c r="U350" s="23" t="str">
        <f t="shared" si="144"/>
        <v/>
      </c>
      <c r="V350" s="22"/>
      <c r="W350" s="19" t="str">
        <f t="shared" si="157"/>
        <v/>
      </c>
      <c r="X350" s="23" t="str">
        <f t="shared" si="145"/>
        <v/>
      </c>
      <c r="Y350" s="22"/>
      <c r="Z350" s="19" t="str">
        <f t="shared" si="158"/>
        <v/>
      </c>
      <c r="AA350" s="23" t="str">
        <f t="shared" si="146"/>
        <v/>
      </c>
      <c r="AB350" s="22"/>
      <c r="AC350" s="19" t="str">
        <f t="shared" si="159"/>
        <v/>
      </c>
      <c r="AD350" s="23" t="str">
        <f t="shared" si="147"/>
        <v/>
      </c>
      <c r="AE350" s="22"/>
      <c r="AF350" s="19" t="str">
        <f t="shared" si="160"/>
        <v/>
      </c>
      <c r="AG350" s="85" t="str">
        <f t="shared" si="148"/>
        <v/>
      </c>
    </row>
    <row r="351" spans="1:33" x14ac:dyDescent="0.25">
      <c r="A351" s="13">
        <v>42370</v>
      </c>
      <c r="F351" s="24" t="str">
        <f t="shared" si="149"/>
        <v/>
      </c>
      <c r="G351" s="16" t="str">
        <f t="shared" si="142"/>
        <v/>
      </c>
      <c r="H351" s="15" t="str">
        <f t="shared" si="153"/>
        <v xml:space="preserve"> </v>
      </c>
      <c r="I351" s="15"/>
      <c r="J351" s="22"/>
      <c r="K351" s="19" t="str">
        <f t="shared" si="154"/>
        <v/>
      </c>
      <c r="L351" s="23" t="str">
        <f t="shared" si="150"/>
        <v/>
      </c>
      <c r="M351" s="22"/>
      <c r="N351" s="19" t="str">
        <f t="shared" si="151"/>
        <v/>
      </c>
      <c r="P351" s="22"/>
      <c r="S351" s="22"/>
      <c r="V351" s="22"/>
      <c r="Y351" s="22"/>
      <c r="AB351" s="22"/>
      <c r="AE351" s="22"/>
      <c r="AG351" s="89"/>
    </row>
    <row r="353" spans="7:7" x14ac:dyDescent="0.25">
      <c r="G353" s="16">
        <f>SUM(G15:G352)</f>
        <v>-1249.5018621680315</v>
      </c>
    </row>
  </sheetData>
  <mergeCells count="31">
    <mergeCell ref="V2:W2"/>
    <mergeCell ref="T2:U2"/>
    <mergeCell ref="R2:S2"/>
    <mergeCell ref="X2:Y2"/>
    <mergeCell ref="F13:F14"/>
    <mergeCell ref="A1:H3"/>
    <mergeCell ref="J2:K2"/>
    <mergeCell ref="L2:M2"/>
    <mergeCell ref="N2:O2"/>
    <mergeCell ref="P2:Q2"/>
    <mergeCell ref="C4:D4"/>
    <mergeCell ref="C5:D5"/>
    <mergeCell ref="C6:D6"/>
    <mergeCell ref="C7:D7"/>
    <mergeCell ref="C8:D8"/>
    <mergeCell ref="C9:D9"/>
    <mergeCell ref="Y13:AA13"/>
    <mergeCell ref="G13:G14"/>
    <mergeCell ref="H13:H14"/>
    <mergeCell ref="J13:L13"/>
    <mergeCell ref="M13:O13"/>
    <mergeCell ref="P13:R13"/>
    <mergeCell ref="S13:U13"/>
    <mergeCell ref="V13:X13"/>
    <mergeCell ref="AE13:AG13"/>
    <mergeCell ref="AB13:AD13"/>
    <mergeCell ref="A13:A14"/>
    <mergeCell ref="B13:B14"/>
    <mergeCell ref="C13:C14"/>
    <mergeCell ref="D13:D14"/>
    <mergeCell ref="E13:E14"/>
  </mergeCells>
  <conditionalFormatting sqref="G15:G2177">
    <cfRule type="cellIs" dxfId="30" priority="1" operator="equal">
      <formula>""</formula>
    </cfRule>
    <cfRule type="cellIs" dxfId="29" priority="2" operator="lessThan">
      <formula>-200</formula>
    </cfRule>
    <cfRule type="cellIs" dxfId="28" priority="3" operator="greaterThan">
      <formula>200</formula>
    </cfRule>
    <cfRule type="cellIs" dxfId="27" priority="4" operator="greaterThan">
      <formula>100</formula>
    </cfRule>
    <cfRule type="cellIs" dxfId="26" priority="5" operator="greaterThan">
      <formula>-100</formula>
    </cfRule>
    <cfRule type="cellIs" dxfId="25" priority="6" operator="greaterThan">
      <formula>-200</formula>
    </cfRule>
  </conditionalFormatting>
  <dataValidations disablePrompts="1" count="1">
    <dataValidation type="list" allowBlank="1" showInputMessage="1" showErrorMessage="1" sqref="B15:B351">
      <formula1>$C$3:$C$10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9153" r:id="rId4" name="Button 1">
              <controlPr defaultSize="0" print="0" autoFill="0" autoPict="0" macro="[0]!Ajout_1_jour">
                <anchor moveWithCells="1" sizeWithCells="1">
                  <from>
                    <xdr:col>0</xdr:col>
                    <xdr:colOff>285750</xdr:colOff>
                    <xdr:row>10</xdr:row>
                    <xdr:rowOff>9525</xdr:rowOff>
                  </from>
                  <to>
                    <xdr:col>2</xdr:col>
                    <xdr:colOff>619125</xdr:colOff>
                    <xdr:row>11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54" r:id="rId5" name="Button 2">
              <controlPr defaultSize="0" print="0" autoFill="0" autoPict="0" macro="[0]!Ajout_5_jours">
                <anchor moveWithCells="1" sizeWithCells="1">
                  <from>
                    <xdr:col>4</xdr:col>
                    <xdr:colOff>0</xdr:colOff>
                    <xdr:row>10</xdr:row>
                    <xdr:rowOff>9525</xdr:rowOff>
                  </from>
                  <to>
                    <xdr:col>6</xdr:col>
                    <xdr:colOff>276225</xdr:colOff>
                    <xdr:row>11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O23"/>
  <sheetViews>
    <sheetView zoomScaleNormal="100" workbookViewId="0">
      <selection activeCell="J2" sqref="J2"/>
    </sheetView>
  </sheetViews>
  <sheetFormatPr baseColWidth="10" defaultRowHeight="15" x14ac:dyDescent="0.25"/>
  <cols>
    <col min="1" max="1" width="15.85546875" style="17" customWidth="1"/>
    <col min="2" max="16384" width="11.42578125" style="17"/>
  </cols>
  <sheetData>
    <row r="1" spans="1:15" ht="21" x14ac:dyDescent="0.25">
      <c r="B1" s="163" t="s">
        <v>143</v>
      </c>
      <c r="C1" s="163"/>
      <c r="D1" s="163"/>
      <c r="E1" s="163"/>
      <c r="F1" s="163"/>
      <c r="G1" s="163"/>
    </row>
    <row r="3" spans="1:15" x14ac:dyDescent="0.25">
      <c r="B3" s="165" t="s">
        <v>440</v>
      </c>
      <c r="C3" s="165"/>
      <c r="D3" s="165"/>
      <c r="E3" s="165"/>
      <c r="F3" s="165"/>
      <c r="G3" s="165"/>
      <c r="H3" s="165"/>
      <c r="I3" s="165"/>
      <c r="J3" s="165"/>
      <c r="K3" s="165"/>
      <c r="L3" s="165"/>
    </row>
    <row r="4" spans="1:15" ht="7.5" customHeight="1" x14ac:dyDescent="0.25"/>
    <row r="5" spans="1:15" ht="27" customHeight="1" x14ac:dyDescent="0.25">
      <c r="A5" s="27" t="s">
        <v>124</v>
      </c>
      <c r="B5" s="28" t="s">
        <v>46</v>
      </c>
      <c r="C5" s="28" t="s">
        <v>47</v>
      </c>
      <c r="D5" s="28" t="s">
        <v>49</v>
      </c>
      <c r="E5" s="28" t="s">
        <v>48</v>
      </c>
      <c r="F5" s="28" t="s">
        <v>106</v>
      </c>
      <c r="G5" s="27" t="s">
        <v>45</v>
      </c>
      <c r="H5" s="27" t="s">
        <v>107</v>
      </c>
      <c r="I5" s="27" t="s">
        <v>113</v>
      </c>
    </row>
    <row r="6" spans="1:15" ht="31.5" customHeight="1" x14ac:dyDescent="0.25">
      <c r="A6" s="33" t="s">
        <v>142</v>
      </c>
      <c r="B6" s="34"/>
      <c r="C6" s="34"/>
      <c r="D6" s="34">
        <v>10000</v>
      </c>
      <c r="E6" s="34"/>
      <c r="F6" s="34"/>
      <c r="G6" s="34"/>
      <c r="H6" s="34"/>
      <c r="I6" s="34"/>
    </row>
    <row r="7" spans="1:15" x14ac:dyDescent="0.25">
      <c r="K7" s="42" t="s">
        <v>104</v>
      </c>
      <c r="L7" s="147" t="s">
        <v>125</v>
      </c>
      <c r="M7" s="147"/>
      <c r="N7" s="31" t="s">
        <v>51</v>
      </c>
      <c r="O7" s="15">
        <f>Production!F4</f>
        <v>115.64770775201808</v>
      </c>
    </row>
    <row r="8" spans="1:15" x14ac:dyDescent="0.25">
      <c r="B8" s="13"/>
      <c r="L8" s="147" t="s">
        <v>126</v>
      </c>
      <c r="M8" s="147"/>
      <c r="O8" s="15">
        <f>Production!F5</f>
        <v>124.25231633177657</v>
      </c>
    </row>
    <row r="9" spans="1:15" ht="19.5" customHeight="1" x14ac:dyDescent="0.25">
      <c r="A9" s="164" t="s">
        <v>147</v>
      </c>
      <c r="B9" s="164"/>
      <c r="C9" s="164" t="s">
        <v>156</v>
      </c>
      <c r="D9" s="164"/>
      <c r="L9" s="147" t="s">
        <v>127</v>
      </c>
      <c r="M9" s="147"/>
      <c r="O9" s="15">
        <f>Production!F6</f>
        <v>125.25</v>
      </c>
    </row>
    <row r="10" spans="1:15" x14ac:dyDescent="0.25">
      <c r="L10" s="147" t="s">
        <v>128</v>
      </c>
      <c r="M10" s="147"/>
      <c r="O10" s="15">
        <f>Production!F7</f>
        <v>148.27007272727272</v>
      </c>
    </row>
    <row r="11" spans="1:15" x14ac:dyDescent="0.25">
      <c r="A11" s="91" t="s">
        <v>137</v>
      </c>
      <c r="B11" s="148" t="s">
        <v>126</v>
      </c>
      <c r="C11" s="149"/>
      <c r="L11" s="147" t="s">
        <v>129</v>
      </c>
      <c r="M11" s="147"/>
      <c r="O11" s="15">
        <f>Production!F8</f>
        <v>150.57142857142858</v>
      </c>
    </row>
    <row r="12" spans="1:15" x14ac:dyDescent="0.25">
      <c r="A12" s="91" t="s">
        <v>140</v>
      </c>
      <c r="B12" s="96">
        <v>12</v>
      </c>
      <c r="C12" s="97" t="s">
        <v>158</v>
      </c>
      <c r="L12" s="147" t="s">
        <v>130</v>
      </c>
      <c r="M12" s="147"/>
      <c r="O12" s="15">
        <f>Production!F9</f>
        <v>151.16534835123724</v>
      </c>
    </row>
    <row r="14" spans="1:15" ht="17.25" customHeight="1" x14ac:dyDescent="0.25">
      <c r="A14" s="136" t="s">
        <v>124</v>
      </c>
      <c r="B14" s="136" t="s">
        <v>139</v>
      </c>
      <c r="C14" s="136"/>
      <c r="D14" s="131" t="s">
        <v>141</v>
      </c>
      <c r="E14" s="131"/>
      <c r="F14" s="131" t="s">
        <v>138</v>
      </c>
      <c r="G14" s="131"/>
    </row>
    <row r="15" spans="1:15" s="14" customFormat="1" ht="19.5" customHeight="1" x14ac:dyDescent="0.25">
      <c r="A15" s="136"/>
      <c r="B15" s="136"/>
      <c r="C15" s="136"/>
      <c r="D15" s="131"/>
      <c r="E15" s="131"/>
      <c r="F15" s="29" t="s">
        <v>25</v>
      </c>
      <c r="G15" s="29" t="s">
        <v>26</v>
      </c>
    </row>
    <row r="16" spans="1:15" ht="22.5" customHeight="1" thickBot="1" x14ac:dyDescent="0.3">
      <c r="A16" s="28" t="s">
        <v>46</v>
      </c>
      <c r="B16" s="162">
        <f>IFERROR(IF(ISBLANK($B$11),"",
(IF($B$11=$L$7,B6/(Production!K4),
IF($B$11=$L$8,B6/(Production!K5),
IF($B$11=$L$9,B6/(Production!K6),
IF($B$11=$L$10,B6/(Production!K7),
IF($B$11=$L$11,B6/(Production!K8),
B6/(Production!K9)))))))/0.75),"")</f>
        <v>0</v>
      </c>
      <c r="C16" s="162"/>
      <c r="D16" s="162">
        <f t="shared" ref="D16:D23" si="0">IFERROR(B16/2.65,"")</f>
        <v>0</v>
      </c>
      <c r="E16" s="162"/>
      <c r="F16" s="45">
        <f t="shared" ref="F16:F23" si="1">IFERROR(
IF(ISBLANK($B$11),"",
IF($B$11=$L$7,B16/$O$7,
IF($B$11=$L$8,B16/$O$8,
IF($B$11=$L$9,B16/$O$9,
IF($B$11=$L$10,B16/$O$10,
IF($B$11=$L$11,B16/$O$11,
B16/$O$12)))))),"")</f>
        <v>0</v>
      </c>
      <c r="G16" s="45">
        <f t="shared" ref="G16:G23" si="2">IFERROR(IF(ISBLANK($B$12),F16/10,F16/$B$12),"")</f>
        <v>0</v>
      </c>
    </row>
    <row r="17" spans="1:13" ht="22.5" customHeight="1" x14ac:dyDescent="0.25">
      <c r="A17" s="28" t="s">
        <v>47</v>
      </c>
      <c r="B17" s="162">
        <f>IFERROR(IF(ISBLANK($B$11),"",
(IF($B$11=$L$7,C6/(Production!M4),
IF($B$11=$L$8,C6/(Production!M5),
IF($B$11=$L$9,C6/(Production!M6),
IF($B$11=$L$10,C6/(Production!M7),
IF($B$11=$L$11,C6/(Production!M8),
C6/(Production!M9)))))))/0.75),"")</f>
        <v>0</v>
      </c>
      <c r="C17" s="162"/>
      <c r="D17" s="162">
        <f t="shared" si="0"/>
        <v>0</v>
      </c>
      <c r="E17" s="162"/>
      <c r="F17" s="45">
        <f t="shared" si="1"/>
        <v>0</v>
      </c>
      <c r="G17" s="45">
        <f t="shared" si="2"/>
        <v>0</v>
      </c>
      <c r="I17" s="150" t="s">
        <v>144</v>
      </c>
      <c r="J17" s="151"/>
      <c r="K17" s="156">
        <f>MAX(B16:C23)</f>
        <v>80017.569328522964</v>
      </c>
      <c r="L17" s="157"/>
    </row>
    <row r="18" spans="1:13" ht="22.5" customHeight="1" x14ac:dyDescent="0.25">
      <c r="A18" s="28" t="s">
        <v>49</v>
      </c>
      <c r="B18" s="162">
        <f>IFERROR(IF(ISBLANK($B$11),"",
(IF($B$11=$L$7,D6/(Production!O4),
IF($B$11=$L$8,D6/(Production!O5),
IF($B$11=$L$9,D6/(Production!O6),
IF($B$11=$L$10,D6/(Production!O7),
IF($B$11=$L$11,D6/(Production!O8),
D6/(Production!O9)))))))/0.75),"")</f>
        <v>80017.569328522964</v>
      </c>
      <c r="C18" s="162"/>
      <c r="D18" s="162">
        <f t="shared" si="0"/>
        <v>30195.309180574706</v>
      </c>
      <c r="E18" s="162"/>
      <c r="F18" s="45">
        <f t="shared" si="1"/>
        <v>643.99257648333344</v>
      </c>
      <c r="G18" s="45">
        <f t="shared" si="2"/>
        <v>53.666048040277786</v>
      </c>
      <c r="I18" s="152" t="s">
        <v>145</v>
      </c>
      <c r="J18" s="153"/>
      <c r="K18" s="158">
        <f>MAX(G16:G23)</f>
        <v>53.666048040277786</v>
      </c>
      <c r="L18" s="159"/>
    </row>
    <row r="19" spans="1:13" ht="22.5" customHeight="1" thickBot="1" x14ac:dyDescent="0.3">
      <c r="A19" s="28" t="s">
        <v>48</v>
      </c>
      <c r="B19" s="162">
        <f>IFERROR(IF(ISBLANK($B$11),"",
(IF($B$11=$L$7,E6/(Production!Q4),
IF($B$11=$L$8,E6/(Production!Q5),
IF($B$11=$L$9,E6/(Production!Q6),
IF($B$11=$L$10,E6/(Production!Q7),
IF($B$11=$L$11,E6/(Production!Q8),
E6/(Production!Q9)))))))/0.75),"")</f>
        <v>0</v>
      </c>
      <c r="C19" s="162"/>
      <c r="D19" s="162">
        <f t="shared" si="0"/>
        <v>0</v>
      </c>
      <c r="E19" s="162"/>
      <c r="F19" s="45">
        <f t="shared" si="1"/>
        <v>0</v>
      </c>
      <c r="G19" s="45">
        <f t="shared" si="2"/>
        <v>0</v>
      </c>
      <c r="I19" s="154" t="s">
        <v>146</v>
      </c>
      <c r="J19" s="155"/>
      <c r="K19" s="160">
        <f>WORKDAY(C9,-K18,JoursFeries!B3:CH15)</f>
        <v>42817</v>
      </c>
      <c r="L19" s="161"/>
      <c r="M19" s="120" t="s">
        <v>435</v>
      </c>
    </row>
    <row r="20" spans="1:13" ht="22.5" customHeight="1" x14ac:dyDescent="0.25">
      <c r="A20" s="28" t="s">
        <v>106</v>
      </c>
      <c r="B20" s="162" t="str">
        <f>IFERROR(IF(ISBLANK($B$11),"",
(IF($B$11=$L$7,F6/(Production!S4),
IF($B$11=$L$8,F6/(Production!S5),
IF($B$11=$L$9,F6/(Production!S6),
IF($B$11=$L$10,F6/(Production!S7),
IF($B$11=$L$11,F6/(Production!S8),
F6/(Production!S9)))))))/0.75),"")</f>
        <v/>
      </c>
      <c r="C20" s="162"/>
      <c r="D20" s="162" t="str">
        <f t="shared" si="0"/>
        <v/>
      </c>
      <c r="E20" s="162"/>
      <c r="F20" s="45" t="str">
        <f t="shared" si="1"/>
        <v/>
      </c>
      <c r="G20" s="45" t="str">
        <f t="shared" si="2"/>
        <v/>
      </c>
    </row>
    <row r="21" spans="1:13" ht="22.5" customHeight="1" x14ac:dyDescent="0.25">
      <c r="A21" s="27" t="s">
        <v>45</v>
      </c>
      <c r="B21" s="162" t="str">
        <f>IFERROR(IF(ISBLANK($B$11),"",
(IF($B$11=$L$7,G6/(Production!Y4),
IF($B$11=$L$8,G6/(Production!Y5),
IF($B$11=$L$9,G6/(Production!Y6),
IF($B$11=$L$10,G6/(Production!Y7),
IF($B$11=$L$11,G6/(Production!Y8),
G6/(Production!Y9)))))))/0.75),"")</f>
        <v/>
      </c>
      <c r="C21" s="162"/>
      <c r="D21" s="162" t="str">
        <f t="shared" si="0"/>
        <v/>
      </c>
      <c r="E21" s="162"/>
      <c r="F21" s="45" t="str">
        <f t="shared" si="1"/>
        <v/>
      </c>
      <c r="G21" s="45" t="str">
        <f t="shared" si="2"/>
        <v/>
      </c>
    </row>
    <row r="22" spans="1:13" ht="22.5" customHeight="1" x14ac:dyDescent="0.25">
      <c r="A22" s="28" t="s">
        <v>107</v>
      </c>
      <c r="B22" s="162" t="str">
        <f>IFERROR(IF(ISBLANK($B$11),"",
(IF($B$11=$L$7,H6/(Production!U4),
IF($B$11=$L$8,H6/(Production!U5),
IF($B$11=$L$9,H6/(Production!U6),
IF($B$11=$L$10,H6/(Production!U7),
IF($B$11=$L$11,H6/(Production!U8),
H6/(Production!U9)))))))/0.75),"")</f>
        <v/>
      </c>
      <c r="C22" s="162"/>
      <c r="D22" s="162" t="str">
        <f t="shared" si="0"/>
        <v/>
      </c>
      <c r="E22" s="162"/>
      <c r="F22" s="45" t="str">
        <f t="shared" si="1"/>
        <v/>
      </c>
      <c r="G22" s="45" t="str">
        <f t="shared" si="2"/>
        <v/>
      </c>
    </row>
    <row r="23" spans="1:13" ht="22.5" customHeight="1" x14ac:dyDescent="0.25">
      <c r="A23" s="28" t="s">
        <v>113</v>
      </c>
      <c r="B23" s="162">
        <f>IFERROR(IF(ISBLANK($B$11),"",
(IF($B$11=$L$7,I6/(Production!W4),
IF($B$11=$L$8,I6/(Production!W5),
IF($B$11=$L$9,I6/(Production!W6),
IF($B$11=$L$10,I6/(Production!W7),
IF($B$11=$L$11,I6/(Production!W8),
I6/(Production!W9)))))))/0.75),"")</f>
        <v>0</v>
      </c>
      <c r="C23" s="162"/>
      <c r="D23" s="162">
        <f t="shared" si="0"/>
        <v>0</v>
      </c>
      <c r="E23" s="162"/>
      <c r="F23" s="45">
        <f t="shared" si="1"/>
        <v>0</v>
      </c>
      <c r="G23" s="45">
        <f t="shared" si="2"/>
        <v>0</v>
      </c>
    </row>
  </sheetData>
  <mergeCells count="37">
    <mergeCell ref="B21:C21"/>
    <mergeCell ref="B22:C22"/>
    <mergeCell ref="B23:C23"/>
    <mergeCell ref="D17:E17"/>
    <mergeCell ref="D18:E18"/>
    <mergeCell ref="D19:E19"/>
    <mergeCell ref="D20:E20"/>
    <mergeCell ref="D21:E21"/>
    <mergeCell ref="D22:E22"/>
    <mergeCell ref="D23:E23"/>
    <mergeCell ref="B20:C20"/>
    <mergeCell ref="A14:A15"/>
    <mergeCell ref="B14:C15"/>
    <mergeCell ref="D14:E15"/>
    <mergeCell ref="F14:G14"/>
    <mergeCell ref="B16:C16"/>
    <mergeCell ref="D16:E16"/>
    <mergeCell ref="B1:G1"/>
    <mergeCell ref="L7:M7"/>
    <mergeCell ref="L8:M8"/>
    <mergeCell ref="L9:M9"/>
    <mergeCell ref="L10:M10"/>
    <mergeCell ref="A9:B9"/>
    <mergeCell ref="C9:D9"/>
    <mergeCell ref="B3:L3"/>
    <mergeCell ref="L11:M11"/>
    <mergeCell ref="B11:C11"/>
    <mergeCell ref="I17:J17"/>
    <mergeCell ref="I18:J18"/>
    <mergeCell ref="I19:J19"/>
    <mergeCell ref="K17:L17"/>
    <mergeCell ref="K18:L18"/>
    <mergeCell ref="K19:L19"/>
    <mergeCell ref="L12:M12"/>
    <mergeCell ref="B17:C17"/>
    <mergeCell ref="B18:C18"/>
    <mergeCell ref="B19:C19"/>
  </mergeCells>
  <dataValidations disablePrompts="1" count="1">
    <dataValidation type="list" allowBlank="1" showInputMessage="1" showErrorMessage="1" sqref="B11">
      <formula1>$L$6:$L$12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4517" r:id="rId4" name="DTPicker21">
          <controlPr defaultSize="0" autoLine="0" autoPict="0" linkedCell="C9" r:id="rId5">
            <anchor moveWithCells="1">
              <from>
                <xdr:col>2</xdr:col>
                <xdr:colOff>9525</xdr:colOff>
                <xdr:row>8</xdr:row>
                <xdr:rowOff>9525</xdr:rowOff>
              </from>
              <to>
                <xdr:col>3</xdr:col>
                <xdr:colOff>752475</xdr:colOff>
                <xdr:row>9</xdr:row>
                <xdr:rowOff>0</xdr:rowOff>
              </to>
            </anchor>
          </controlPr>
        </control>
      </mc:Choice>
      <mc:Fallback>
        <control shapeId="64517" r:id="rId4" name="DTPicker2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36"/>
  <sheetViews>
    <sheetView tabSelected="1" workbookViewId="0">
      <selection activeCell="E12" sqref="E12"/>
    </sheetView>
  </sheetViews>
  <sheetFormatPr baseColWidth="10" defaultRowHeight="15" x14ac:dyDescent="0.25"/>
  <cols>
    <col min="1" max="1" width="21.140625" style="17" customWidth="1"/>
    <col min="2" max="2" width="15.5703125" style="17" customWidth="1"/>
    <col min="3" max="3" width="11.42578125" style="17"/>
    <col min="4" max="4" width="12.140625" style="17" bestFit="1" customWidth="1"/>
    <col min="5" max="16384" width="11.42578125" style="17"/>
  </cols>
  <sheetData>
    <row r="1" spans="1:10" ht="28.5" customHeight="1" x14ac:dyDescent="0.25">
      <c r="B1" s="167" t="s">
        <v>430</v>
      </c>
      <c r="C1" s="167"/>
      <c r="D1" s="167"/>
      <c r="E1" s="167"/>
      <c r="F1" s="167"/>
      <c r="G1" s="167"/>
      <c r="H1" s="32"/>
    </row>
    <row r="2" spans="1:10" ht="12" customHeight="1" x14ac:dyDescent="0.25">
      <c r="A2" s="3"/>
      <c r="B2" s="40"/>
      <c r="C2" s="40"/>
      <c r="D2" s="40"/>
      <c r="E2" s="40"/>
      <c r="F2" s="41"/>
      <c r="G2" s="40"/>
      <c r="H2" s="32"/>
    </row>
    <row r="3" spans="1:10" ht="12.75" customHeight="1" x14ac:dyDescent="0.25">
      <c r="A3" s="168" t="s">
        <v>443</v>
      </c>
      <c r="B3" s="168"/>
      <c r="C3" s="168"/>
      <c r="D3" s="40"/>
      <c r="E3" s="40"/>
      <c r="F3" s="40"/>
      <c r="G3" s="40"/>
      <c r="H3" s="32"/>
    </row>
    <row r="4" spans="1:10" x14ac:dyDescent="0.25">
      <c r="A4" s="168"/>
      <c r="B4" s="168"/>
      <c r="C4" s="168"/>
      <c r="F4" s="42" t="s">
        <v>104</v>
      </c>
      <c r="G4" s="147" t="s">
        <v>125</v>
      </c>
      <c r="H4" s="147"/>
      <c r="I4" s="31" t="s">
        <v>51</v>
      </c>
      <c r="J4" s="15">
        <f>Production!F4</f>
        <v>115.64770775201808</v>
      </c>
    </row>
    <row r="5" spans="1:10" x14ac:dyDescent="0.25">
      <c r="A5" s="169"/>
      <c r="B5" s="169"/>
      <c r="C5" s="169"/>
      <c r="G5" s="147" t="s">
        <v>126</v>
      </c>
      <c r="H5" s="147"/>
      <c r="J5" s="15">
        <f>Production!F5</f>
        <v>124.25231633177657</v>
      </c>
    </row>
    <row r="6" spans="1:10" x14ac:dyDescent="0.25">
      <c r="A6" s="36" t="s">
        <v>121</v>
      </c>
      <c r="B6" s="96">
        <v>8000</v>
      </c>
      <c r="C6" s="97" t="s">
        <v>160</v>
      </c>
      <c r="G6" s="147" t="s">
        <v>127</v>
      </c>
      <c r="H6" s="147"/>
      <c r="J6" s="15">
        <f>Production!F6</f>
        <v>125.25</v>
      </c>
    </row>
    <row r="7" spans="1:10" x14ac:dyDescent="0.25">
      <c r="A7" s="36" t="s">
        <v>131</v>
      </c>
      <c r="B7" s="94">
        <f>IF(ISBLANK(B6),"",B6*2.65)</f>
        <v>21200</v>
      </c>
      <c r="C7" s="97" t="s">
        <v>161</v>
      </c>
      <c r="D7" s="3"/>
      <c r="G7" s="147" t="s">
        <v>128</v>
      </c>
      <c r="H7" s="147"/>
      <c r="J7" s="15">
        <f>Production!F7</f>
        <v>148.27007272727272</v>
      </c>
    </row>
    <row r="8" spans="1:10" x14ac:dyDescent="0.25">
      <c r="A8" s="37" t="s">
        <v>133</v>
      </c>
      <c r="B8" s="98">
        <f>0.75*B7</f>
        <v>15900</v>
      </c>
      <c r="C8" s="99" t="s">
        <v>161</v>
      </c>
      <c r="G8" s="147" t="s">
        <v>129</v>
      </c>
      <c r="H8" s="147"/>
      <c r="J8" s="15">
        <f>Production!F8</f>
        <v>150.57142857142858</v>
      </c>
    </row>
    <row r="9" spans="1:10" x14ac:dyDescent="0.25">
      <c r="A9" s="3"/>
      <c r="G9" s="147" t="s">
        <v>130</v>
      </c>
      <c r="H9" s="147"/>
      <c r="J9" s="15">
        <f>Production!F9</f>
        <v>151.16534835123724</v>
      </c>
    </row>
    <row r="10" spans="1:10" s="93" customFormat="1" x14ac:dyDescent="0.25">
      <c r="A10" s="36" t="s">
        <v>431</v>
      </c>
      <c r="B10" s="95">
        <v>4000</v>
      </c>
      <c r="C10" s="97" t="s">
        <v>161</v>
      </c>
      <c r="G10" s="92"/>
      <c r="H10" s="92"/>
      <c r="J10" s="15"/>
    </row>
    <row r="11" spans="1:10" s="93" customFormat="1" x14ac:dyDescent="0.25">
      <c r="A11" s="3"/>
      <c r="G11" s="92"/>
      <c r="H11" s="92"/>
      <c r="J11" s="15"/>
    </row>
    <row r="12" spans="1:10" x14ac:dyDescent="0.25">
      <c r="A12" s="3"/>
    </row>
    <row r="13" spans="1:10" x14ac:dyDescent="0.25">
      <c r="A13" s="36" t="s">
        <v>44</v>
      </c>
      <c r="B13" s="30" t="s">
        <v>125</v>
      </c>
    </row>
    <row r="14" spans="1:10" x14ac:dyDescent="0.25">
      <c r="A14" s="36" t="s">
        <v>132</v>
      </c>
      <c r="B14" s="100">
        <f>IF(ISBLANK(B13),"",IF(B13=G4,J4,IF(B13=G5,J5,IF(B13=G6,J6,IF(B13=G7,J7,IF(B13=G8,J8,J9))))))</f>
        <v>115.64770775201808</v>
      </c>
      <c r="C14" s="97" t="s">
        <v>159</v>
      </c>
    </row>
    <row r="15" spans="1:10" x14ac:dyDescent="0.25">
      <c r="A15" s="3"/>
    </row>
    <row r="16" spans="1:10" ht="27" customHeight="1" x14ac:dyDescent="0.25">
      <c r="A16" s="38" t="s">
        <v>123</v>
      </c>
      <c r="B16" s="96">
        <v>10</v>
      </c>
      <c r="C16" s="97" t="s">
        <v>158</v>
      </c>
    </row>
    <row r="18" spans="1:10" ht="20.25" customHeight="1" x14ac:dyDescent="0.25">
      <c r="A18" s="166" t="s">
        <v>122</v>
      </c>
      <c r="B18" s="43" t="s">
        <v>25</v>
      </c>
      <c r="C18" s="44">
        <f>IF(ISBLANK(B10),IF(ISBLANK(B8),"",IF(ISBLANK(B14),"",B8/B14)),(B8-B10)/B14)</f>
        <v>102.89871050031549</v>
      </c>
    </row>
    <row r="19" spans="1:10" ht="21" customHeight="1" x14ac:dyDescent="0.25">
      <c r="A19" s="166"/>
      <c r="B19" s="43" t="s">
        <v>26</v>
      </c>
      <c r="C19" s="44">
        <f>IF(ISBLANK(C18),"",IF(ISBLANK(B16),C18/10,C18/B16))</f>
        <v>10.289871050031548</v>
      </c>
    </row>
    <row r="21" spans="1:10" ht="25.5" customHeight="1" x14ac:dyDescent="0.25">
      <c r="A21" s="27" t="s">
        <v>135</v>
      </c>
      <c r="B21" s="30"/>
      <c r="C21" s="27" t="s">
        <v>136</v>
      </c>
      <c r="D21" s="121">
        <f>WORKDAY(B22,C19,JoursFeries!B3:CH15)</f>
        <v>42933</v>
      </c>
      <c r="E21" s="120" t="s">
        <v>436</v>
      </c>
    </row>
    <row r="22" spans="1:10" ht="10.5" customHeight="1" x14ac:dyDescent="0.25">
      <c r="B22" s="35" t="s">
        <v>162</v>
      </c>
    </row>
    <row r="24" spans="1:10" ht="27" customHeight="1" thickBot="1" x14ac:dyDescent="0.3">
      <c r="A24" s="27" t="s">
        <v>124</v>
      </c>
      <c r="B24" s="49" t="s">
        <v>50</v>
      </c>
      <c r="C24" s="50" t="s">
        <v>46</v>
      </c>
      <c r="D24" s="50" t="s">
        <v>47</v>
      </c>
      <c r="E24" s="50" t="s">
        <v>49</v>
      </c>
      <c r="F24" s="50" t="s">
        <v>48</v>
      </c>
      <c r="G24" s="50" t="s">
        <v>106</v>
      </c>
      <c r="H24" s="51" t="s">
        <v>45</v>
      </c>
      <c r="I24" s="51" t="s">
        <v>107</v>
      </c>
      <c r="J24" s="51" t="s">
        <v>113</v>
      </c>
    </row>
    <row r="25" spans="1:10" ht="28.5" customHeight="1" thickTop="1" x14ac:dyDescent="0.25">
      <c r="A25" s="27" t="s">
        <v>134</v>
      </c>
      <c r="B25" s="47">
        <f>IFERROR(B16*B14,"")</f>
        <v>1156.4770775201807</v>
      </c>
      <c r="C25" s="48">
        <f>IFERROR(IF(ISBLANK(B13),"",
IF(B13=G4,B25*Production!K4,
IF(B13=G5,B25*Production!K5,
IF(B13=G6,B25*Production!K6,
IF(B13=G7,B25*Production!K7,
IF(B13=G8,B25*Production!K8,B25*Production!K9)))))),"")</f>
        <v>335.8098860829117</v>
      </c>
      <c r="D25" s="48">
        <f>IFERROR(IF(ISBLANK(B13),"",
IF(B13=G4,B25*Production!M4,
IF(B13=G5,B25*Production!M5,
IF(B13=G6,B25*Production!M6,
IF(B13=G7,B25*Production!M7,
IF(B13=G8,B25*Production!M8,
B25*Production!M9)))))),"")</f>
        <v>171.45909009529083</v>
      </c>
      <c r="E25" s="48">
        <f>IFERROR(IF(ISBLANK(B13),"",
IF(B13=G4,B25*Production!O4,
IF(B13=G5,B25*Production!O5,
IF(B13=G6,B25*Production!O6,
IF(B13=G7,B25*Production!O7,
IF(B13=G8,B25*Production!O8,
B25*Production!O9)))))),"")</f>
        <v>226.61186325763566</v>
      </c>
      <c r="F25" s="48">
        <f>IFERROR(IF(ISBLANK(B13),"",
IF(B13=G4,B25*Production!Q4,
IF(B13=G5,B25*Production!Q5,
IF(B13=G6,B25*Production!Q6,
IF(B13=G7,B25*Production!Q7,
IF(B13=G8,B25*Production!Q8,
B25*Production!Q9)))))),"")</f>
        <v>207.88458790862393</v>
      </c>
      <c r="G25" s="48" t="str">
        <f>IFERROR(IF(ISBLANK(B13),"",
IF(B13=G4,B25*Production!S4,
IF(B13=G5,B25*Production!S5,
IF(B13=G6,B25*Production!S6,
IF(B13=G7,B25*Production!S7,
IF(B13=G8,B25*Production!S8,
B25*Production!S9)))))),"")</f>
        <v/>
      </c>
      <c r="H25" s="48" t="str">
        <f>IFERROR(IF(ISBLANK(B13),"",
IF(B13=G4,B25*Production!Y4,
IF(B13=G5,B25*Production!Y5,
IF(B13=G6,B25*Production!Y6,
IF(B13=G7,B25*Production!Y7,
IF(B13=G8,B25*Production!Y8,
B25*Production!Y9)))))),"")</f>
        <v/>
      </c>
      <c r="I25" s="48">
        <f>IFERROR(IF(ISBLANK(B13),"",
IF(B13=G4,B25*Production!U4,
IF(B13=G5,B25*Production!U5,
IF(B13=G6,B25*Production!U6,
IF(B13=G7,B25*Production!U7,
IF(B13=G8,B25*Production!U8,
B25*Production!U9)))))),"")</f>
        <v>214.7116501757186</v>
      </c>
      <c r="J25" s="48" t="str">
        <f>IFERROR(IF(ISBLANK(B13),"",
IF(B13=G4,B25*Production!W4,
IF(B13=G5,B25*Production!W5,
IF(B13=G6,B25*Production!W6,
IF(B13=G7,B25*Production!W7,
IF(B13=G8,B25*Production!W8,
B25*Production!W9)))))),"")</f>
        <v/>
      </c>
    </row>
    <row r="26" spans="1:10" ht="24.75" customHeight="1" x14ac:dyDescent="0.25">
      <c r="A26" s="27" t="s">
        <v>131</v>
      </c>
      <c r="B26" s="46">
        <f>SUM(C26:J26)</f>
        <v>11899.999999999998</v>
      </c>
      <c r="C26" s="39">
        <f t="shared" ref="C26:J26" si="0">IFERROR(IF(ISBLANK(C$25),"",C$25*$C$19),"")</f>
        <v>3455.4404251189453</v>
      </c>
      <c r="D26" s="39">
        <f t="shared" si="0"/>
        <v>1764.2919274362841</v>
      </c>
      <c r="E26" s="39">
        <f t="shared" si="0"/>
        <v>2331.8068513284529</v>
      </c>
      <c r="F26" s="39">
        <f t="shared" si="0"/>
        <v>2139.105602868688</v>
      </c>
      <c r="G26" s="39" t="str">
        <f t="shared" si="0"/>
        <v/>
      </c>
      <c r="H26" s="39" t="str">
        <f t="shared" si="0"/>
        <v/>
      </c>
      <c r="I26" s="39">
        <f t="shared" si="0"/>
        <v>2209.355193247628</v>
      </c>
      <c r="J26" s="39" t="str">
        <f t="shared" si="0"/>
        <v/>
      </c>
    </row>
    <row r="27" spans="1:10" x14ac:dyDescent="0.25">
      <c r="C27" s="3"/>
    </row>
    <row r="28" spans="1:10" x14ac:dyDescent="0.25">
      <c r="C28" s="3"/>
    </row>
    <row r="30" spans="1:10" x14ac:dyDescent="0.25">
      <c r="C30" s="3"/>
    </row>
    <row r="36" spans="2:3" x14ac:dyDescent="0.25">
      <c r="B36" s="26"/>
      <c r="C36" s="26"/>
    </row>
  </sheetData>
  <mergeCells count="9">
    <mergeCell ref="G8:H8"/>
    <mergeCell ref="G9:H9"/>
    <mergeCell ref="A18:A19"/>
    <mergeCell ref="B1:G1"/>
    <mergeCell ref="G4:H4"/>
    <mergeCell ref="G5:H5"/>
    <mergeCell ref="G6:H6"/>
    <mergeCell ref="G7:H7"/>
    <mergeCell ref="A3:C5"/>
  </mergeCells>
  <dataValidations count="1">
    <dataValidation type="list" allowBlank="1" showInputMessage="1" showErrorMessage="1" sqref="B13">
      <formula1>$G$1:$G$9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8369" r:id="rId4" name="DTPicker21">
          <controlPr defaultSize="0" autoLine="0" autoPict="0" linkedCell="B22" r:id="rId5">
            <anchor moveWithCells="1">
              <from>
                <xdr:col>1</xdr:col>
                <xdr:colOff>9525</xdr:colOff>
                <xdr:row>20</xdr:row>
                <xdr:rowOff>0</xdr:rowOff>
              </from>
              <to>
                <xdr:col>2</xdr:col>
                <xdr:colOff>9525</xdr:colOff>
                <xdr:row>20</xdr:row>
                <xdr:rowOff>200025</xdr:rowOff>
              </to>
            </anchor>
          </controlPr>
        </control>
      </mc:Choice>
      <mc:Fallback>
        <control shapeId="58369" r:id="rId4" name="DTPicker2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J258"/>
  <sheetViews>
    <sheetView zoomScale="85" zoomScaleNormal="85" workbookViewId="0">
      <pane xSplit="4" ySplit="5" topLeftCell="E6" activePane="bottomRight" state="frozen"/>
      <selection pane="topRight" activeCell="D1" sqref="D1"/>
      <selection pane="bottomLeft" activeCell="A6" sqref="A6"/>
      <selection pane="bottomRight" activeCell="E6" sqref="E6"/>
    </sheetView>
  </sheetViews>
  <sheetFormatPr baseColWidth="10" defaultColWidth="30.7109375" defaultRowHeight="39.950000000000003" customHeight="1" x14ac:dyDescent="0.25"/>
  <cols>
    <col min="1" max="1" width="4.7109375" style="55" customWidth="1"/>
    <col min="2" max="2" width="5" style="55" customWidth="1"/>
    <col min="3" max="3" width="7.28515625" style="55" customWidth="1"/>
    <col min="4" max="4" width="12.5703125" style="55" customWidth="1"/>
    <col min="5" max="16384" width="30.7109375" style="55"/>
  </cols>
  <sheetData>
    <row r="1" spans="1:10" ht="29.25" thickBot="1" x14ac:dyDescent="0.3">
      <c r="A1" s="54">
        <v>42898</v>
      </c>
      <c r="D1" s="55">
        <v>2017</v>
      </c>
      <c r="E1" s="171" t="s">
        <v>155</v>
      </c>
      <c r="F1" s="172"/>
      <c r="G1" s="172"/>
      <c r="H1" s="173" t="s">
        <v>441</v>
      </c>
      <c r="I1" s="174"/>
      <c r="J1" s="174"/>
    </row>
    <row r="2" spans="1:10" ht="15" x14ac:dyDescent="0.25">
      <c r="C2" s="174" t="s">
        <v>442</v>
      </c>
      <c r="D2" s="174"/>
      <c r="E2" s="174"/>
    </row>
    <row r="3" spans="1:10" ht="15" x14ac:dyDescent="0.25">
      <c r="C3" s="175"/>
      <c r="D3" s="175"/>
      <c r="E3" s="175"/>
    </row>
    <row r="4" spans="1:10" s="57" customFormat="1" ht="39.950000000000003" customHeight="1" x14ac:dyDescent="0.25">
      <c r="A4" s="58" t="s">
        <v>148</v>
      </c>
      <c r="B4" s="58" t="s">
        <v>149</v>
      </c>
      <c r="C4" s="170" t="s">
        <v>150</v>
      </c>
      <c r="D4" s="170"/>
      <c r="E4" s="53" t="s">
        <v>425</v>
      </c>
      <c r="F4" s="53" t="s">
        <v>426</v>
      </c>
      <c r="G4" s="53" t="s">
        <v>427</v>
      </c>
      <c r="H4" s="53" t="s">
        <v>428</v>
      </c>
    </row>
    <row r="5" spans="1:10" s="57" customFormat="1" ht="6.75" customHeight="1" x14ac:dyDescent="0.25">
      <c r="D5" s="56"/>
      <c r="G5" s="119"/>
    </row>
    <row r="6" spans="1:10" ht="63.95" customHeight="1" x14ac:dyDescent="0.25">
      <c r="A6" s="55">
        <f>MONTH(D6)</f>
        <v>1</v>
      </c>
      <c r="B6" s="60">
        <f>WEEKNUM(D6,1)</f>
        <v>1</v>
      </c>
      <c r="C6" s="62" t="str">
        <f>TEXT(D6,"jjj")</f>
        <v>dim</v>
      </c>
      <c r="D6" s="63">
        <f>WORKDAY(DATE(D1,1,1),0,JoursFeries!B3:CH15)</f>
        <v>42736</v>
      </c>
      <c r="E6" s="55" t="str">
        <f>IFERROR(VLOOKUP(D6,'Recap Dates'!$A$2:$B$99,2,FALSE),"")</f>
        <v/>
      </c>
      <c r="F6" s="74" t="str">
        <f>IFERROR(VLOOKUP(D6,'Recap Dates'!$A$103:$B$216,2,FALSE),"")</f>
        <v/>
      </c>
      <c r="G6" s="55" t="str">
        <f>IFERROR(VLOOKUP(D6,'Recap Dates'!$A$220:$B$284,2,FALSE),"")</f>
        <v/>
      </c>
      <c r="H6" s="55" t="str">
        <f>IFERROR(VLOOKUP(D6,Engin!$F$7:$G$253,2,FALSE),"")</f>
        <v/>
      </c>
    </row>
    <row r="7" spans="1:10" ht="63.95" customHeight="1" x14ac:dyDescent="0.25">
      <c r="A7" s="55">
        <f t="shared" ref="A7:A70" si="0">MONTH(D7)</f>
        <v>1</v>
      </c>
      <c r="B7" s="61">
        <f t="shared" ref="B7:B70" si="1">WEEKNUM(D7,1)</f>
        <v>1</v>
      </c>
      <c r="C7" s="59" t="str">
        <f t="shared" ref="C7:C70" si="2">TEXT(D7,"jjj")</f>
        <v>lun</v>
      </c>
      <c r="D7" s="63">
        <f>WORKDAY(D6,1,JoursFeries!$B$3:$CH$15)</f>
        <v>42737</v>
      </c>
      <c r="E7" s="55" t="str">
        <f>IFERROR(VLOOKUP(D7,'Recap Dates'!$A$2:$B$99,2,FALSE),"")</f>
        <v/>
      </c>
      <c r="F7" s="74" t="str">
        <f>IFERROR(VLOOKUP(D7,'Recap Dates'!$A$103:$B$216,2,FALSE),"")</f>
        <v/>
      </c>
      <c r="G7" s="55" t="str">
        <f>IFERROR(VLOOKUP(D7,'Recap Dates'!$A$220:$B$284,2,FALSE),"")</f>
        <v/>
      </c>
      <c r="H7" s="55" t="str">
        <f>IFERROR(VLOOKUP(D7,Engin!$F$7:$G$253,2,FALSE),"")</f>
        <v/>
      </c>
    </row>
    <row r="8" spans="1:10" ht="63.95" customHeight="1" x14ac:dyDescent="0.25">
      <c r="A8" s="55">
        <f t="shared" si="0"/>
        <v>1</v>
      </c>
      <c r="B8" s="61">
        <f t="shared" si="1"/>
        <v>1</v>
      </c>
      <c r="C8" s="59" t="str">
        <f t="shared" si="2"/>
        <v>mar</v>
      </c>
      <c r="D8" s="63">
        <f>WORKDAY(D7,1,JoursFeries!$B$3:$CH$15)</f>
        <v>42738</v>
      </c>
      <c r="E8" s="55" t="str">
        <f>IFERROR(VLOOKUP(D8,'Recap Dates'!$A$2:$B$99,2,FALSE),"")</f>
        <v/>
      </c>
      <c r="F8" s="74" t="str">
        <f>IFERROR(VLOOKUP(D8,'Recap Dates'!$A$103:$B$216,2,FALSE),"")</f>
        <v/>
      </c>
      <c r="G8" s="55" t="str">
        <f>IFERROR(VLOOKUP(D8,'Recap Dates'!$A$220:$B$284,2,FALSE),"")</f>
        <v/>
      </c>
      <c r="H8" s="55" t="str">
        <f>IFERROR(VLOOKUP(D8,Engin!$F$7:$G$253,2,FALSE),"")</f>
        <v/>
      </c>
    </row>
    <row r="9" spans="1:10" ht="63.95" customHeight="1" x14ac:dyDescent="0.25">
      <c r="A9" s="59">
        <f t="shared" si="0"/>
        <v>1</v>
      </c>
      <c r="B9" s="61">
        <f t="shared" si="1"/>
        <v>1</v>
      </c>
      <c r="C9" s="59" t="str">
        <f t="shared" si="2"/>
        <v>mer</v>
      </c>
      <c r="D9" s="63">
        <f>WORKDAY(D8,1,JoursFeries!$B$3:$CH$15)</f>
        <v>42739</v>
      </c>
      <c r="E9" s="55" t="str">
        <f>IFERROR(VLOOKUP(D9,'Recap Dates'!$A$2:$B$99,2,FALSE),"")</f>
        <v/>
      </c>
      <c r="F9" s="74" t="str">
        <f>IFERROR(VLOOKUP(D9,'Recap Dates'!$A$103:$B$216,2,FALSE),"")</f>
        <v/>
      </c>
      <c r="G9" s="55" t="str">
        <f>IFERROR(VLOOKUP(D9,'Recap Dates'!$A$220:$B$284,2,FALSE),"")</f>
        <v/>
      </c>
      <c r="H9" s="55" t="str">
        <f>IFERROR(VLOOKUP(D9,Engin!$F$7:$G$253,2,FALSE),"")</f>
        <v/>
      </c>
    </row>
    <row r="10" spans="1:10" ht="63.95" customHeight="1" x14ac:dyDescent="0.25">
      <c r="A10" s="59">
        <f t="shared" si="0"/>
        <v>1</v>
      </c>
      <c r="B10" s="61">
        <f t="shared" si="1"/>
        <v>1</v>
      </c>
      <c r="C10" s="59" t="str">
        <f t="shared" si="2"/>
        <v>jeu</v>
      </c>
      <c r="D10" s="63">
        <f>WORKDAY(D9,1,JoursFeries!$B$3:$CH$15)</f>
        <v>42740</v>
      </c>
      <c r="E10" s="55" t="str">
        <f>IFERROR(VLOOKUP(D10,'Recap Dates'!$A$2:$B$99,2,FALSE),"")</f>
        <v/>
      </c>
      <c r="F10" s="74" t="str">
        <f>IFERROR(VLOOKUP(D10,'Recap Dates'!$A$103:$B$216,2,FALSE),"")</f>
        <v/>
      </c>
      <c r="G10" s="55" t="str">
        <f>IFERROR(VLOOKUP(D10,'Recap Dates'!$A$220:$B$284,2,FALSE),"")</f>
        <v/>
      </c>
      <c r="H10" s="55" t="str">
        <f>IFERROR(VLOOKUP(D10,Engin!$F$7:$G$253,2,FALSE),"")</f>
        <v/>
      </c>
    </row>
    <row r="11" spans="1:10" ht="63.95" customHeight="1" x14ac:dyDescent="0.25">
      <c r="A11" s="59">
        <f t="shared" si="0"/>
        <v>1</v>
      </c>
      <c r="B11" s="61">
        <f t="shared" si="1"/>
        <v>1</v>
      </c>
      <c r="C11" s="59" t="str">
        <f t="shared" si="2"/>
        <v>ven</v>
      </c>
      <c r="D11" s="63">
        <f>WORKDAY(D10,1,JoursFeries!$B$3:$CH$15)</f>
        <v>42741</v>
      </c>
      <c r="E11" s="55" t="str">
        <f>IFERROR(VLOOKUP(D11,'Recap Dates'!$A$2:$B$99,2,FALSE),"")</f>
        <v/>
      </c>
      <c r="F11" s="74" t="str">
        <f>IFERROR(VLOOKUP(D11,'Recap Dates'!$A$103:$B$216,2,FALSE),"")</f>
        <v/>
      </c>
      <c r="G11" s="55" t="str">
        <f>IFERROR(VLOOKUP(D11,'Recap Dates'!$A$220:$B$284,2,FALSE),"")</f>
        <v/>
      </c>
      <c r="H11" s="55" t="str">
        <f>IFERROR(VLOOKUP(D11,Engin!$F$7:$G$253,2,FALSE),"")</f>
        <v/>
      </c>
    </row>
    <row r="12" spans="1:10" ht="63.95" customHeight="1" x14ac:dyDescent="0.25">
      <c r="A12" s="59">
        <f t="shared" si="0"/>
        <v>1</v>
      </c>
      <c r="B12" s="61">
        <f t="shared" si="1"/>
        <v>2</v>
      </c>
      <c r="C12" s="59" t="str">
        <f t="shared" si="2"/>
        <v>lun</v>
      </c>
      <c r="D12" s="63">
        <f>WORKDAY(D11,1,JoursFeries!$B$3:$CH$15)</f>
        <v>42744</v>
      </c>
      <c r="E12" s="55" t="str">
        <f>IFERROR(VLOOKUP(D12,'Recap Dates'!$A$2:$B$99,2,FALSE),"")</f>
        <v/>
      </c>
      <c r="F12" s="74" t="str">
        <f>IFERROR(VLOOKUP(D12,'Recap Dates'!$A$103:$B$216,2,FALSE),"")</f>
        <v/>
      </c>
      <c r="G12" s="55" t="str">
        <f>IFERROR(VLOOKUP(D12,'Recap Dates'!$A$220:$B$284,2,FALSE),"")</f>
        <v/>
      </c>
      <c r="H12" s="55" t="str">
        <f>IFERROR(VLOOKUP(D12,Engin!$F$7:$G$253,2,FALSE),"")</f>
        <v/>
      </c>
    </row>
    <row r="13" spans="1:10" ht="63.95" customHeight="1" x14ac:dyDescent="0.25">
      <c r="A13" s="59">
        <f t="shared" si="0"/>
        <v>1</v>
      </c>
      <c r="B13" s="61">
        <f t="shared" si="1"/>
        <v>2</v>
      </c>
      <c r="C13" s="59" t="str">
        <f t="shared" si="2"/>
        <v>mar</v>
      </c>
      <c r="D13" s="63">
        <f>WORKDAY(D12,1,JoursFeries!$B$3:$CH$15)</f>
        <v>42745</v>
      </c>
      <c r="E13" s="55" t="str">
        <f>IFERROR(VLOOKUP(D13,'Recap Dates'!$A$2:$B$99,2,FALSE),"")</f>
        <v/>
      </c>
      <c r="F13" s="74" t="str">
        <f>IFERROR(VLOOKUP(D13,'Recap Dates'!$A$103:$B$216,2,FALSE),"")</f>
        <v/>
      </c>
      <c r="G13" s="55" t="str">
        <f>IFERROR(VLOOKUP(D13,'Recap Dates'!$A$220:$B$284,2,FALSE),"")</f>
        <v/>
      </c>
      <c r="H13" s="55" t="str">
        <f>IFERROR(VLOOKUP(D13,Engin!$F$7:$G$253,2,FALSE),"")</f>
        <v/>
      </c>
    </row>
    <row r="14" spans="1:10" ht="63.95" customHeight="1" x14ac:dyDescent="0.25">
      <c r="A14" s="59">
        <f t="shared" si="0"/>
        <v>1</v>
      </c>
      <c r="B14" s="61">
        <f t="shared" si="1"/>
        <v>2</v>
      </c>
      <c r="C14" s="59" t="str">
        <f t="shared" si="2"/>
        <v>mer</v>
      </c>
      <c r="D14" s="63">
        <f>WORKDAY(D13,1,JoursFeries!$B$3:$CH$15)</f>
        <v>42746</v>
      </c>
      <c r="E14" s="55" t="str">
        <f>IFERROR(VLOOKUP(D14,'Recap Dates'!$A$2:$B$99,2,FALSE),"")</f>
        <v/>
      </c>
      <c r="F14" s="74" t="str">
        <f>IFERROR(VLOOKUP(D14,'Recap Dates'!$A$103:$B$216,2,FALSE),"")</f>
        <v/>
      </c>
      <c r="G14" s="55" t="str">
        <f>IFERROR(VLOOKUP(D14,'Recap Dates'!$A$220:$B$284,2,FALSE),"")</f>
        <v/>
      </c>
      <c r="H14" s="55" t="str">
        <f>IFERROR(VLOOKUP(D14,Engin!$F$7:$G$253,2,FALSE),"")</f>
        <v>Entretien 10000h (10000h + 5000h + 2500h + 2000h + 1000h + 500h + 250h + 100h)</v>
      </c>
    </row>
    <row r="15" spans="1:10" ht="63.95" customHeight="1" x14ac:dyDescent="0.25">
      <c r="A15" s="59">
        <f t="shared" si="0"/>
        <v>1</v>
      </c>
      <c r="B15" s="61">
        <f t="shared" si="1"/>
        <v>2</v>
      </c>
      <c r="C15" s="59" t="str">
        <f t="shared" si="2"/>
        <v>jeu</v>
      </c>
      <c r="D15" s="63">
        <f>WORKDAY(D14,1,JoursFeries!$B$3:$CH$15)</f>
        <v>42747</v>
      </c>
      <c r="E15" s="55" t="str">
        <f>IFERROR(VLOOKUP(D15,'Recap Dates'!$A$2:$B$99,2,FALSE),"")</f>
        <v/>
      </c>
      <c r="F15" s="74" t="str">
        <f>IFERROR(VLOOKUP(D15,'Recap Dates'!$A$103:$B$216,2,FALSE),"")</f>
        <v/>
      </c>
      <c r="G15" s="55" t="str">
        <f>IFERROR(VLOOKUP(D15,'Recap Dates'!$A$220:$B$284,2,FALSE),"")</f>
        <v/>
      </c>
      <c r="H15" s="55" t="str">
        <f>IFERROR(VLOOKUP(D15,Engin!$F$7:$G$253,2,FALSE),"")</f>
        <v/>
      </c>
    </row>
    <row r="16" spans="1:10" ht="63.95" customHeight="1" x14ac:dyDescent="0.25">
      <c r="A16" s="59">
        <f t="shared" si="0"/>
        <v>1</v>
      </c>
      <c r="B16" s="61">
        <f t="shared" si="1"/>
        <v>2</v>
      </c>
      <c r="C16" s="59" t="str">
        <f t="shared" si="2"/>
        <v>ven</v>
      </c>
      <c r="D16" s="63">
        <f>WORKDAY(D15,1,JoursFeries!$B$3:$CH$15)</f>
        <v>42748</v>
      </c>
      <c r="E16" s="55" t="str">
        <f>IFERROR(VLOOKUP(D16,'Recap Dates'!$A$2:$B$99,2,FALSE),"")</f>
        <v/>
      </c>
      <c r="F16" s="74" t="str">
        <f>IFERROR(VLOOKUP(D16,'Recap Dates'!$A$103:$B$216,2,FALSE),"")</f>
        <v/>
      </c>
      <c r="G16" s="55" t="str">
        <f>IFERROR(VLOOKUP(D16,'Recap Dates'!$A$220:$B$284,2,FALSE),"")</f>
        <v>Remplacement joint torrique</v>
      </c>
      <c r="H16" s="55" t="str">
        <f>IFERROR(VLOOKUP(D16,Engin!$F$7:$G$253,2,FALSE),"")</f>
        <v/>
      </c>
    </row>
    <row r="17" spans="1:8" ht="63.95" customHeight="1" x14ac:dyDescent="0.25">
      <c r="A17" s="59">
        <f t="shared" si="0"/>
        <v>1</v>
      </c>
      <c r="B17" s="61">
        <f t="shared" si="1"/>
        <v>3</v>
      </c>
      <c r="C17" s="59" t="str">
        <f t="shared" si="2"/>
        <v>lun</v>
      </c>
      <c r="D17" s="63">
        <f>WORKDAY(D16,1,JoursFeries!$B$3:$CH$15)</f>
        <v>42751</v>
      </c>
      <c r="E17" s="55" t="str">
        <f>IFERROR(VLOOKUP(D17,'Recap Dates'!$A$2:$B$99,2,FALSE),"")</f>
        <v/>
      </c>
      <c r="F17" s="74" t="str">
        <f>IFERROR(VLOOKUP(D17,'Recap Dates'!$A$103:$B$216,2,FALSE),"")</f>
        <v/>
      </c>
      <c r="G17" s="55" t="str">
        <f>IFERROR(VLOOKUP(D17,'Recap Dates'!$A$220:$B$284,2,FALSE),"")</f>
        <v/>
      </c>
      <c r="H17" s="55" t="str">
        <f>IFERROR(VLOOKUP(D17,Engin!$F$7:$G$253,2,FALSE),"")</f>
        <v/>
      </c>
    </row>
    <row r="18" spans="1:8" ht="63.95" customHeight="1" x14ac:dyDescent="0.25">
      <c r="A18" s="59">
        <f t="shared" si="0"/>
        <v>1</v>
      </c>
      <c r="B18" s="61">
        <f t="shared" si="1"/>
        <v>3</v>
      </c>
      <c r="C18" s="59" t="str">
        <f t="shared" si="2"/>
        <v>mar</v>
      </c>
      <c r="D18" s="63">
        <f>WORKDAY(D17,1,JoursFeries!$B$3:$CH$15)</f>
        <v>42752</v>
      </c>
      <c r="E18" s="55" t="str">
        <f>IFERROR(VLOOKUP(D18,'Recap Dates'!$A$2:$B$99,2,FALSE),"")</f>
        <v/>
      </c>
      <c r="F18" s="74" t="str">
        <f>IFERROR(VLOOKUP(D18,'Recap Dates'!$A$103:$B$216,2,FALSE),"")</f>
        <v/>
      </c>
      <c r="G18" s="55" t="str">
        <f>IFERROR(VLOOKUP(D18,'Recap Dates'!$A$220:$B$284,2,FALSE),"")</f>
        <v/>
      </c>
      <c r="H18" s="55" t="str">
        <f>IFERROR(VLOOKUP(D18,Engin!$F$7:$G$253,2,FALSE),"")</f>
        <v/>
      </c>
    </row>
    <row r="19" spans="1:8" ht="63.95" customHeight="1" x14ac:dyDescent="0.25">
      <c r="A19" s="59">
        <f t="shared" si="0"/>
        <v>1</v>
      </c>
      <c r="B19" s="61">
        <f t="shared" si="1"/>
        <v>3</v>
      </c>
      <c r="C19" s="59" t="str">
        <f t="shared" si="2"/>
        <v>mer</v>
      </c>
      <c r="D19" s="63">
        <f>WORKDAY(D18,1,JoursFeries!$B$3:$CH$15)</f>
        <v>42753</v>
      </c>
      <c r="E19" s="55" t="str">
        <f>IFERROR(VLOOKUP(D19,'Recap Dates'!$A$2:$B$99,2,FALSE),"")</f>
        <v/>
      </c>
      <c r="F19" s="74" t="str">
        <f>IFERROR(VLOOKUP(D19,'Recap Dates'!$A$103:$B$216,2,FALSE),"")</f>
        <v/>
      </c>
      <c r="G19" s="55" t="str">
        <f>IFERROR(VLOOKUP(D19,'Recap Dates'!$A$220:$B$284,2,FALSE),"")</f>
        <v/>
      </c>
      <c r="H19" s="55" t="str">
        <f>IFERROR(VLOOKUP(D19,Engin!$F$7:$G$253,2,FALSE),"")</f>
        <v/>
      </c>
    </row>
    <row r="20" spans="1:8" ht="63.95" customHeight="1" x14ac:dyDescent="0.25">
      <c r="A20" s="59">
        <f t="shared" si="0"/>
        <v>1</v>
      </c>
      <c r="B20" s="61">
        <f t="shared" si="1"/>
        <v>3</v>
      </c>
      <c r="C20" s="59" t="str">
        <f t="shared" si="2"/>
        <v>jeu</v>
      </c>
      <c r="D20" s="63">
        <f>WORKDAY(D19,1,JoursFeries!$B$3:$CH$15)</f>
        <v>42754</v>
      </c>
      <c r="E20" s="55" t="str">
        <f>IFERROR(VLOOKUP(D20,'Recap Dates'!$A$2:$B$99,2,FALSE),"")</f>
        <v/>
      </c>
      <c r="F20" s="74" t="str">
        <f>IFERROR(VLOOKUP(D20,'Recap Dates'!$A$103:$B$216,2,FALSE),"")</f>
        <v/>
      </c>
      <c r="G20" s="55" t="str">
        <f>IFERROR(VLOOKUP(D20,'Recap Dates'!$A$220:$B$284,2,FALSE),"")</f>
        <v>Remplacement coussinet sphérique</v>
      </c>
      <c r="H20" s="55" t="str">
        <f>IFERROR(VLOOKUP(D20,Engin!$F$7:$G$253,2,FALSE),"")</f>
        <v/>
      </c>
    </row>
    <row r="21" spans="1:8" ht="63.95" customHeight="1" x14ac:dyDescent="0.25">
      <c r="A21" s="59">
        <f t="shared" si="0"/>
        <v>1</v>
      </c>
      <c r="B21" s="61">
        <f t="shared" si="1"/>
        <v>3</v>
      </c>
      <c r="C21" s="59" t="str">
        <f t="shared" si="2"/>
        <v>ven</v>
      </c>
      <c r="D21" s="63">
        <f>WORKDAY(D20,1,JoursFeries!$B$3:$CH$15)</f>
        <v>42755</v>
      </c>
      <c r="E21" s="55" t="str">
        <f>IFERROR(VLOOKUP(D21,'Recap Dates'!$A$2:$B$99,2,FALSE),"")</f>
        <v/>
      </c>
      <c r="F21" s="74" t="str">
        <f>IFERROR(VLOOKUP(D21,'Recap Dates'!$A$103:$B$216,2,FALSE),"")</f>
        <v/>
      </c>
      <c r="G21" s="55" t="str">
        <f>IFERROR(VLOOKUP(D21,'Recap Dates'!$A$220:$B$284,2,FALSE),"")</f>
        <v/>
      </c>
      <c r="H21" s="55" t="str">
        <f>IFERROR(VLOOKUP(D21,Engin!$F$7:$G$253,2,FALSE),"")</f>
        <v/>
      </c>
    </row>
    <row r="22" spans="1:8" ht="63.95" customHeight="1" x14ac:dyDescent="0.25">
      <c r="A22" s="59">
        <f t="shared" si="0"/>
        <v>1</v>
      </c>
      <c r="B22" s="61">
        <f t="shared" si="1"/>
        <v>4</v>
      </c>
      <c r="C22" s="59" t="str">
        <f t="shared" si="2"/>
        <v>lun</v>
      </c>
      <c r="D22" s="63">
        <f>WORKDAY(D21,1,JoursFeries!$B$3:$CH$15)</f>
        <v>42758</v>
      </c>
      <c r="E22" s="55" t="str">
        <f>IFERROR(VLOOKUP(D22,'Recap Dates'!$A$2:$B$99,2,FALSE),"")</f>
        <v/>
      </c>
      <c r="F22" s="74" t="str">
        <f>IFERROR(VLOOKUP(D22,'Recap Dates'!$A$103:$B$216,2,FALSE),"")</f>
        <v/>
      </c>
      <c r="G22" s="55" t="str">
        <f>IFERROR(VLOOKUP(D22,'Recap Dates'!$A$220:$B$284,2,FALSE),"")</f>
        <v/>
      </c>
      <c r="H22" s="55" t="str">
        <f>IFERROR(VLOOKUP(D22,Engin!$F$7:$G$253,2,FALSE),"")</f>
        <v/>
      </c>
    </row>
    <row r="23" spans="1:8" ht="63.95" customHeight="1" x14ac:dyDescent="0.25">
      <c r="A23" s="59">
        <f t="shared" si="0"/>
        <v>1</v>
      </c>
      <c r="B23" s="61">
        <f t="shared" si="1"/>
        <v>4</v>
      </c>
      <c r="C23" s="59" t="str">
        <f t="shared" si="2"/>
        <v>mar</v>
      </c>
      <c r="D23" s="63">
        <f>WORKDAY(D22,1,JoursFeries!$B$3:$CH$15)</f>
        <v>42759</v>
      </c>
      <c r="E23" s="55" t="str">
        <f>IFERROR(VLOOKUP(D23,'Recap Dates'!$A$2:$B$99,2,FALSE),"")</f>
        <v/>
      </c>
      <c r="F23" s="74" t="str">
        <f>IFERROR(VLOOKUP(D23,'Recap Dates'!$A$103:$B$216,2,FALSE),"")</f>
        <v/>
      </c>
      <c r="G23" s="55" t="str">
        <f>IFERROR(VLOOKUP(D23,'Recap Dates'!$A$220:$B$284,2,FALSE),"")</f>
        <v/>
      </c>
      <c r="H23" s="55" t="str">
        <f>IFERROR(VLOOKUP(D23,Engin!$F$7:$G$253,2,FALSE),"")</f>
        <v/>
      </c>
    </row>
    <row r="24" spans="1:8" ht="63.95" customHeight="1" x14ac:dyDescent="0.25">
      <c r="A24" s="59">
        <f t="shared" si="0"/>
        <v>1</v>
      </c>
      <c r="B24" s="61">
        <f t="shared" si="1"/>
        <v>4</v>
      </c>
      <c r="C24" s="59" t="str">
        <f t="shared" si="2"/>
        <v>mer</v>
      </c>
      <c r="D24" s="63">
        <f>WORKDAY(D23,1,JoursFeries!$B$3:$CH$15)</f>
        <v>42760</v>
      </c>
      <c r="E24" s="55" t="str">
        <f>IFERROR(VLOOKUP(D24,'Recap Dates'!$A$2:$B$99,2,FALSE),"")</f>
        <v/>
      </c>
      <c r="F24" s="74" t="str">
        <f>IFERROR(VLOOKUP(D24,'Recap Dates'!$A$103:$B$216,2,FALSE),"")</f>
        <v/>
      </c>
      <c r="G24" s="55" t="str">
        <f>IFERROR(VLOOKUP(D24,'Recap Dates'!$A$220:$B$284,2,FALSE),"")</f>
        <v/>
      </c>
      <c r="H24" s="55" t="str">
        <f>IFERROR(VLOOKUP(D24,Engin!$F$7:$G$253,2,FALSE),"")</f>
        <v/>
      </c>
    </row>
    <row r="25" spans="1:8" ht="63.95" customHeight="1" x14ac:dyDescent="0.25">
      <c r="A25" s="59">
        <f t="shared" si="0"/>
        <v>1</v>
      </c>
      <c r="B25" s="61">
        <f t="shared" si="1"/>
        <v>4</v>
      </c>
      <c r="C25" s="59" t="str">
        <f t="shared" si="2"/>
        <v>jeu</v>
      </c>
      <c r="D25" s="63">
        <f>WORKDAY(D24,1,JoursFeries!$B$3:$CH$15)</f>
        <v>42761</v>
      </c>
      <c r="E25" s="55" t="str">
        <f>IFERROR(VLOOKUP(D25,'Recap Dates'!$A$2:$B$99,2,FALSE),"")</f>
        <v/>
      </c>
      <c r="F25" s="74" t="str">
        <f>IFERROR(VLOOKUP(D25,'Recap Dates'!$A$103:$B$216,2,FALSE),"")</f>
        <v/>
      </c>
      <c r="G25" s="55" t="str">
        <f>IFERROR(VLOOKUP(D25,'Recap Dates'!$A$220:$B$284,2,FALSE),"")</f>
        <v/>
      </c>
      <c r="H25" s="55" t="str">
        <f>IFERROR(VLOOKUP(D25,Engin!$F$7:$G$253,2,FALSE),"")</f>
        <v>Entretien 10100h (100h)</v>
      </c>
    </row>
    <row r="26" spans="1:8" ht="63.95" customHeight="1" x14ac:dyDescent="0.25">
      <c r="A26" s="59">
        <f t="shared" si="0"/>
        <v>1</v>
      </c>
      <c r="B26" s="61">
        <f t="shared" si="1"/>
        <v>4</v>
      </c>
      <c r="C26" s="59" t="str">
        <f t="shared" si="2"/>
        <v>ven</v>
      </c>
      <c r="D26" s="63">
        <f>WORKDAY(D25,1,JoursFeries!$B$3:$CH$15)</f>
        <v>42762</v>
      </c>
      <c r="E26" s="55" t="str">
        <f>IFERROR(VLOOKUP(D26,'Recap Dates'!$A$2:$B$99,2,FALSE),"")</f>
        <v/>
      </c>
      <c r="F26" s="74" t="str">
        <f>IFERROR(VLOOKUP(D26,'Recap Dates'!$A$103:$B$216,2,FALSE),"")</f>
        <v/>
      </c>
      <c r="G26" s="55" t="str">
        <f>IFERROR(VLOOKUP(D26,'Recap Dates'!$A$220:$B$284,2,FALSE),"")</f>
        <v/>
      </c>
      <c r="H26" s="55" t="str">
        <f>IFERROR(VLOOKUP(D26,Engin!$F$7:$G$253,2,FALSE),"")</f>
        <v/>
      </c>
    </row>
    <row r="27" spans="1:8" ht="63.95" customHeight="1" x14ac:dyDescent="0.25">
      <c r="A27" s="59">
        <f t="shared" si="0"/>
        <v>1</v>
      </c>
      <c r="B27" s="61">
        <f t="shared" si="1"/>
        <v>5</v>
      </c>
      <c r="C27" s="59" t="str">
        <f t="shared" si="2"/>
        <v>lun</v>
      </c>
      <c r="D27" s="63">
        <f>WORKDAY(D26,1,JoursFeries!$B$3:$CH$15)</f>
        <v>42765</v>
      </c>
      <c r="E27" s="55" t="str">
        <f>IFERROR(VLOOKUP(D27,'Recap Dates'!$A$2:$B$99,2,FALSE),"")</f>
        <v/>
      </c>
      <c r="F27" s="74" t="str">
        <f>IFERROR(VLOOKUP(D27,'Recap Dates'!$A$103:$B$216,2,FALSE),"")</f>
        <v/>
      </c>
      <c r="G27" s="55" t="str">
        <f>IFERROR(VLOOKUP(D27,'Recap Dates'!$A$220:$B$284,2,FALSE),"")</f>
        <v/>
      </c>
      <c r="H27" s="55" t="str">
        <f>IFERROR(VLOOKUP(D27,Engin!$F$7:$G$253,2,FALSE),"")</f>
        <v/>
      </c>
    </row>
    <row r="28" spans="1:8" ht="63.95" customHeight="1" x14ac:dyDescent="0.25">
      <c r="A28" s="59">
        <f t="shared" si="0"/>
        <v>1</v>
      </c>
      <c r="B28" s="61">
        <f t="shared" si="1"/>
        <v>5</v>
      </c>
      <c r="C28" s="59" t="str">
        <f t="shared" si="2"/>
        <v>mar</v>
      </c>
      <c r="D28" s="63">
        <f>WORKDAY(D27,1,JoursFeries!$B$3:$CH$15)</f>
        <v>42766</v>
      </c>
      <c r="E28" s="55" t="str">
        <f>IFERROR(VLOOKUP(D28,'Recap Dates'!$A$2:$B$99,2,FALSE),"")</f>
        <v/>
      </c>
      <c r="F28" s="74" t="str">
        <f>IFERROR(VLOOKUP(D28,'Recap Dates'!$A$103:$B$216,2,FALSE),"")</f>
        <v/>
      </c>
      <c r="G28" s="55" t="str">
        <f>IFERROR(VLOOKUP(D28,'Recap Dates'!$A$220:$B$284,2,FALSE),"")</f>
        <v/>
      </c>
      <c r="H28" s="55" t="str">
        <f>IFERROR(VLOOKUP(D28,Engin!$F$7:$G$253,2,FALSE),"")</f>
        <v/>
      </c>
    </row>
    <row r="29" spans="1:8" ht="63.95" customHeight="1" x14ac:dyDescent="0.25">
      <c r="A29" s="59">
        <f t="shared" si="0"/>
        <v>2</v>
      </c>
      <c r="B29" s="61">
        <f t="shared" si="1"/>
        <v>5</v>
      </c>
      <c r="C29" s="59" t="str">
        <f t="shared" si="2"/>
        <v>mer</v>
      </c>
      <c r="D29" s="63">
        <f>WORKDAY(D28,1,JoursFeries!$B$3:$CH$15)</f>
        <v>42767</v>
      </c>
      <c r="E29" s="55" t="str">
        <f>IFERROR(VLOOKUP(D29,'Recap Dates'!$A$2:$B$99,2,FALSE),"")</f>
        <v/>
      </c>
      <c r="F29" s="74" t="str">
        <f>IFERROR(VLOOKUP(D29,'Recap Dates'!$A$103:$B$216,2,FALSE),"")</f>
        <v/>
      </c>
      <c r="G29" s="55" t="str">
        <f>IFERROR(VLOOKUP(D29,'Recap Dates'!$A$220:$B$284,2,FALSE),"")</f>
        <v/>
      </c>
      <c r="H29" s="55" t="str">
        <f>IFERROR(VLOOKUP(D29,Engin!$F$7:$G$253,2,FALSE),"")</f>
        <v/>
      </c>
    </row>
    <row r="30" spans="1:8" ht="63.95" customHeight="1" x14ac:dyDescent="0.25">
      <c r="A30" s="59">
        <f t="shared" si="0"/>
        <v>2</v>
      </c>
      <c r="B30" s="61">
        <f t="shared" si="1"/>
        <v>5</v>
      </c>
      <c r="C30" s="59" t="str">
        <f t="shared" si="2"/>
        <v>jeu</v>
      </c>
      <c r="D30" s="63">
        <f>WORKDAY(D29,1,JoursFeries!$B$3:$CH$15)</f>
        <v>42768</v>
      </c>
      <c r="E30" s="55" t="str">
        <f>IFERROR(VLOOKUP(D30,'Recap Dates'!$A$2:$B$99,2,FALSE),"")</f>
        <v/>
      </c>
      <c r="F30" s="74" t="str">
        <f>IFERROR(VLOOKUP(D30,'Recap Dates'!$A$103:$B$216,2,FALSE),"")</f>
        <v/>
      </c>
      <c r="G30" s="55" t="str">
        <f>IFERROR(VLOOKUP(D30,'Recap Dates'!$A$220:$B$284,2,FALSE),"")</f>
        <v/>
      </c>
      <c r="H30" s="55" t="str">
        <f>IFERROR(VLOOKUP(D30,Engin!$F$7:$G$253,2,FALSE),"")</f>
        <v/>
      </c>
    </row>
    <row r="31" spans="1:8" ht="63.95" customHeight="1" x14ac:dyDescent="0.25">
      <c r="A31" s="59">
        <f t="shared" si="0"/>
        <v>2</v>
      </c>
      <c r="B31" s="61">
        <f t="shared" si="1"/>
        <v>5</v>
      </c>
      <c r="C31" s="59" t="str">
        <f t="shared" si="2"/>
        <v>ven</v>
      </c>
      <c r="D31" s="63">
        <f>WORKDAY(D30,1,JoursFeries!$B$3:$CH$15)</f>
        <v>42769</v>
      </c>
      <c r="E31" s="55" t="str">
        <f>IFERROR(VLOOKUP(D31,'Recap Dates'!$A$2:$B$99,2,FALSE),"")</f>
        <v/>
      </c>
      <c r="F31" s="74" t="str">
        <f>IFERROR(VLOOKUP(D31,'Recap Dates'!$A$103:$B$216,2,FALSE),"")</f>
        <v/>
      </c>
      <c r="G31" s="55" t="str">
        <f>IFERROR(VLOOKUP(D31,'Recap Dates'!$A$220:$B$284,2,FALSE),"")</f>
        <v/>
      </c>
      <c r="H31" s="55" t="str">
        <f>IFERROR(VLOOKUP(D31,Engin!$F$7:$G$253,2,FALSE),"")</f>
        <v/>
      </c>
    </row>
    <row r="32" spans="1:8" ht="63.95" customHeight="1" x14ac:dyDescent="0.25">
      <c r="A32" s="59">
        <f t="shared" si="0"/>
        <v>2</v>
      </c>
      <c r="B32" s="61">
        <f t="shared" si="1"/>
        <v>6</v>
      </c>
      <c r="C32" s="59" t="str">
        <f t="shared" si="2"/>
        <v>lun</v>
      </c>
      <c r="D32" s="63">
        <f>WORKDAY(D31,1,JoursFeries!$B$3:$CH$15)</f>
        <v>42772</v>
      </c>
      <c r="E32" s="55" t="str">
        <f>IFERROR(VLOOKUP(D32,'Recap Dates'!$A$2:$B$99,2,FALSE),"")</f>
        <v/>
      </c>
      <c r="F32" s="74" t="str">
        <f>IFERROR(VLOOKUP(D32,'Recap Dates'!$A$103:$B$216,2,FALSE),"")</f>
        <v/>
      </c>
      <c r="G32" s="55" t="str">
        <f>IFERROR(VLOOKUP(D32,'Recap Dates'!$A$220:$B$284,2,FALSE),"")</f>
        <v/>
      </c>
      <c r="H32" s="55" t="str">
        <f>IFERROR(VLOOKUP(D32,Engin!$F$7:$G$253,2,FALSE),"")</f>
        <v/>
      </c>
    </row>
    <row r="33" spans="1:8" ht="63.95" customHeight="1" x14ac:dyDescent="0.25">
      <c r="A33" s="59">
        <f t="shared" si="0"/>
        <v>2</v>
      </c>
      <c r="B33" s="61">
        <f t="shared" si="1"/>
        <v>6</v>
      </c>
      <c r="C33" s="59" t="str">
        <f t="shared" si="2"/>
        <v>mar</v>
      </c>
      <c r="D33" s="63">
        <f>WORKDAY(D32,1,JoursFeries!$B$3:$CH$15)</f>
        <v>42773</v>
      </c>
      <c r="E33" s="55" t="str">
        <f>IFERROR(VLOOKUP(D33,'Recap Dates'!$A$2:$B$99,2,FALSE),"")</f>
        <v/>
      </c>
      <c r="F33" s="74" t="str">
        <f>IFERROR(VLOOKUP(D33,'Recap Dates'!$A$103:$B$216,2,FALSE),"")</f>
        <v/>
      </c>
      <c r="G33" s="55" t="str">
        <f>IFERROR(VLOOKUP(D33,'Recap Dates'!$A$220:$B$284,2,FALSE),"")</f>
        <v/>
      </c>
      <c r="H33" s="55" t="str">
        <f>IFERROR(VLOOKUP(D33,Engin!$F$7:$G$253,2,FALSE),"")</f>
        <v/>
      </c>
    </row>
    <row r="34" spans="1:8" ht="63.95" customHeight="1" x14ac:dyDescent="0.25">
      <c r="A34" s="59">
        <f t="shared" si="0"/>
        <v>2</v>
      </c>
      <c r="B34" s="61">
        <f t="shared" si="1"/>
        <v>6</v>
      </c>
      <c r="C34" s="59" t="str">
        <f t="shared" si="2"/>
        <v>mer</v>
      </c>
      <c r="D34" s="63">
        <f>WORKDAY(D33,1,JoursFeries!$B$3:$CH$15)</f>
        <v>42774</v>
      </c>
      <c r="E34" s="55" t="str">
        <f>IFERROR(VLOOKUP(D34,'Recap Dates'!$A$2:$B$99,2,FALSE),"")</f>
        <v/>
      </c>
      <c r="F34" s="74" t="str">
        <f>IFERROR(VLOOKUP(D34,'Recap Dates'!$A$103:$B$216,2,FALSE),"")</f>
        <v/>
      </c>
      <c r="G34" s="55" t="str">
        <f>IFERROR(VLOOKUP(D34,'Recap Dates'!$A$220:$B$284,2,FALSE),"")</f>
        <v/>
      </c>
      <c r="H34" s="55" t="str">
        <f>IFERROR(VLOOKUP(D34,Engin!$F$7:$G$253,2,FALSE),"")</f>
        <v>Entretien 10200h (100h)</v>
      </c>
    </row>
    <row r="35" spans="1:8" ht="63.95" customHeight="1" x14ac:dyDescent="0.25">
      <c r="A35" s="59">
        <f t="shared" si="0"/>
        <v>2</v>
      </c>
      <c r="B35" s="61">
        <f t="shared" si="1"/>
        <v>6</v>
      </c>
      <c r="C35" s="59" t="str">
        <f t="shared" si="2"/>
        <v>jeu</v>
      </c>
      <c r="D35" s="63">
        <f>WORKDAY(D34,1,JoursFeries!$B$3:$CH$15)</f>
        <v>42775</v>
      </c>
      <c r="E35" s="55" t="str">
        <f>IFERROR(VLOOKUP(D35,'Recap Dates'!$A$2:$B$99,2,FALSE),"")</f>
        <v/>
      </c>
      <c r="F35" s="74" t="str">
        <f>IFERROR(VLOOKUP(D35,'Recap Dates'!$A$103:$B$216,2,FALSE),"")</f>
        <v/>
      </c>
      <c r="G35" s="55" t="str">
        <f>IFERROR(VLOOKUP(D35,'Recap Dates'!$A$220:$B$284,2,FALSE),"")</f>
        <v/>
      </c>
      <c r="H35" s="55" t="str">
        <f>IFERROR(VLOOKUP(D35,Engin!$F$7:$G$253,2,FALSE),"")</f>
        <v/>
      </c>
    </row>
    <row r="36" spans="1:8" ht="63.95" customHeight="1" x14ac:dyDescent="0.25">
      <c r="A36" s="59">
        <f t="shared" si="0"/>
        <v>2</v>
      </c>
      <c r="B36" s="61">
        <f t="shared" si="1"/>
        <v>6</v>
      </c>
      <c r="C36" s="59" t="str">
        <f t="shared" si="2"/>
        <v>ven</v>
      </c>
      <c r="D36" s="63">
        <f>WORKDAY(D35,1,JoursFeries!$B$3:$CH$15)</f>
        <v>42776</v>
      </c>
      <c r="E36" s="55" t="str">
        <f>IFERROR(VLOOKUP(D36,'Recap Dates'!$A$2:$B$99,2,FALSE),"")</f>
        <v/>
      </c>
      <c r="F36" s="74" t="str">
        <f>IFERROR(VLOOKUP(D36,'Recap Dates'!$A$103:$B$216,2,FALSE),"")</f>
        <v/>
      </c>
      <c r="G36" s="55" t="str">
        <f>IFERROR(VLOOKUP(D36,'Recap Dates'!$A$220:$B$284,2,FALSE),"")</f>
        <v/>
      </c>
      <c r="H36" s="55" t="str">
        <f>IFERROR(VLOOKUP(D36,Engin!$F$7:$G$253,2,FALSE),"")</f>
        <v/>
      </c>
    </row>
    <row r="37" spans="1:8" ht="63.95" customHeight="1" x14ac:dyDescent="0.25">
      <c r="A37" s="59">
        <f t="shared" si="0"/>
        <v>2</v>
      </c>
      <c r="B37" s="61">
        <f t="shared" si="1"/>
        <v>7</v>
      </c>
      <c r="C37" s="59" t="str">
        <f t="shared" si="2"/>
        <v>lun</v>
      </c>
      <c r="D37" s="63">
        <f>WORKDAY(D36,1,JoursFeries!$B$3:$CH$15)</f>
        <v>42779</v>
      </c>
      <c r="E37" s="55" t="str">
        <f>IFERROR(VLOOKUP(D37,'Recap Dates'!$A$2:$B$99,2,FALSE),"")</f>
        <v/>
      </c>
      <c r="F37" s="74" t="str">
        <f>IFERROR(VLOOKUP(D37,'Recap Dates'!$A$103:$B$216,2,FALSE),"")</f>
        <v/>
      </c>
      <c r="G37" s="55" t="str">
        <f>IFERROR(VLOOKUP(D37,'Recap Dates'!$A$220:$B$284,2,FALSE),"")</f>
        <v/>
      </c>
      <c r="H37" s="55" t="str">
        <f>IFERROR(VLOOKUP(D37,Engin!$F$7:$G$253,2,FALSE),"")</f>
        <v/>
      </c>
    </row>
    <row r="38" spans="1:8" ht="63.95" customHeight="1" x14ac:dyDescent="0.25">
      <c r="A38" s="59">
        <f t="shared" si="0"/>
        <v>2</v>
      </c>
      <c r="B38" s="61">
        <f t="shared" si="1"/>
        <v>7</v>
      </c>
      <c r="C38" s="59" t="str">
        <f t="shared" si="2"/>
        <v>mar</v>
      </c>
      <c r="D38" s="63">
        <f>WORKDAY(D37,1,JoursFeries!$B$3:$CH$15)</f>
        <v>42780</v>
      </c>
      <c r="E38" s="55" t="str">
        <f>IFERROR(VLOOKUP(D38,'Recap Dates'!$A$2:$B$99,2,FALSE),"")</f>
        <v/>
      </c>
      <c r="F38" s="74" t="str">
        <f>IFERROR(VLOOKUP(D38,'Recap Dates'!$A$103:$B$216,2,FALSE),"")</f>
        <v/>
      </c>
      <c r="G38" s="55" t="str">
        <f>IFERROR(VLOOKUP(D38,'Recap Dates'!$A$220:$B$284,2,FALSE),"")</f>
        <v/>
      </c>
      <c r="H38" s="55" t="str">
        <f>IFERROR(VLOOKUP(D38,Engin!$F$7:$G$253,2,FALSE),"")</f>
        <v/>
      </c>
    </row>
    <row r="39" spans="1:8" ht="63.95" customHeight="1" x14ac:dyDescent="0.25">
      <c r="A39" s="59">
        <f t="shared" si="0"/>
        <v>2</v>
      </c>
      <c r="B39" s="61">
        <f t="shared" si="1"/>
        <v>7</v>
      </c>
      <c r="C39" s="59" t="str">
        <f t="shared" si="2"/>
        <v>mer</v>
      </c>
      <c r="D39" s="63">
        <f>WORKDAY(D38,1,JoursFeries!$B$3:$CH$15)</f>
        <v>42781</v>
      </c>
      <c r="E39" s="55" t="str">
        <f>IFERROR(VLOOKUP(D39,'Recap Dates'!$A$2:$B$99,2,FALSE),"")</f>
        <v/>
      </c>
      <c r="F39" s="74" t="str">
        <f>IFERROR(VLOOKUP(D39,'Recap Dates'!$A$103:$B$216,2,FALSE),"")</f>
        <v/>
      </c>
      <c r="G39" s="55" t="str">
        <f>IFERROR(VLOOKUP(D39,'Recap Dates'!$A$220:$B$284,2,FALSE),"")</f>
        <v/>
      </c>
      <c r="H39" s="55" t="str">
        <f>IFERROR(VLOOKUP(D39,Engin!$F$7:$G$253,2,FALSE),"")</f>
        <v>Entretien 10250h (250h)</v>
      </c>
    </row>
    <row r="40" spans="1:8" ht="63.95" customHeight="1" x14ac:dyDescent="0.25">
      <c r="A40" s="59">
        <f t="shared" si="0"/>
        <v>2</v>
      </c>
      <c r="B40" s="61">
        <f t="shared" si="1"/>
        <v>7</v>
      </c>
      <c r="C40" s="59" t="str">
        <f t="shared" si="2"/>
        <v>jeu</v>
      </c>
      <c r="D40" s="63">
        <f>WORKDAY(D39,1,JoursFeries!$B$3:$CH$15)</f>
        <v>42782</v>
      </c>
      <c r="E40" s="55" t="str">
        <f>IFERROR(VLOOKUP(D40,'Recap Dates'!$A$2:$B$99,2,FALSE),"")</f>
        <v/>
      </c>
      <c r="F40" s="74" t="str">
        <f>IFERROR(VLOOKUP(D40,'Recap Dates'!$A$103:$B$216,2,FALSE),"")</f>
        <v/>
      </c>
      <c r="G40" s="55" t="str">
        <f>IFERROR(VLOOKUP(D40,'Recap Dates'!$A$220:$B$284,2,FALSE),"")</f>
        <v/>
      </c>
      <c r="H40" s="55" t="str">
        <f>IFERROR(VLOOKUP(D40,Engin!$F$7:$G$253,2,FALSE),"")</f>
        <v/>
      </c>
    </row>
    <row r="41" spans="1:8" ht="63.95" customHeight="1" x14ac:dyDescent="0.25">
      <c r="A41" s="59">
        <f t="shared" si="0"/>
        <v>2</v>
      </c>
      <c r="B41" s="61">
        <f t="shared" si="1"/>
        <v>7</v>
      </c>
      <c r="C41" s="59" t="str">
        <f t="shared" si="2"/>
        <v>ven</v>
      </c>
      <c r="D41" s="63">
        <f>WORKDAY(D40,1,JoursFeries!$B$3:$CH$15)</f>
        <v>42783</v>
      </c>
      <c r="E41" s="55" t="str">
        <f>IFERROR(VLOOKUP(D41,'Recap Dates'!$A$2:$B$99,2,FALSE),"")</f>
        <v/>
      </c>
      <c r="F41" s="74" t="str">
        <f>IFERROR(VLOOKUP(D41,'Recap Dates'!$A$103:$B$216,2,FALSE),"")</f>
        <v/>
      </c>
      <c r="G41" s="55" t="str">
        <f>IFERROR(VLOOKUP(D41,'Recap Dates'!$A$220:$B$284,2,FALSE),"")</f>
        <v/>
      </c>
      <c r="H41" s="55" t="str">
        <f>IFERROR(VLOOKUP(D41,Engin!$F$7:$G$253,2,FALSE),"")</f>
        <v/>
      </c>
    </row>
    <row r="42" spans="1:8" ht="63.95" customHeight="1" x14ac:dyDescent="0.25">
      <c r="A42" s="59">
        <f t="shared" si="0"/>
        <v>2</v>
      </c>
      <c r="B42" s="61">
        <f t="shared" si="1"/>
        <v>8</v>
      </c>
      <c r="C42" s="59" t="str">
        <f t="shared" si="2"/>
        <v>lun</v>
      </c>
      <c r="D42" s="63">
        <f>WORKDAY(D41,1,JoursFeries!$B$3:$CH$15)</f>
        <v>42786</v>
      </c>
      <c r="E42" s="55" t="str">
        <f>IFERROR(VLOOKUP(D42,'Recap Dates'!$A$2:$B$99,2,FALSE),"")</f>
        <v/>
      </c>
      <c r="F42" s="74" t="str">
        <f>IFERROR(VLOOKUP(D42,'Recap Dates'!$A$103:$B$216,2,FALSE),"")</f>
        <v/>
      </c>
      <c r="G42" s="55" t="str">
        <f>IFERROR(VLOOKUP(D42,'Recap Dates'!$A$220:$B$284,2,FALSE),"")</f>
        <v/>
      </c>
      <c r="H42" s="55" t="str">
        <f>IFERROR(VLOOKUP(D42,Engin!$F$7:$G$253,2,FALSE),"")</f>
        <v/>
      </c>
    </row>
    <row r="43" spans="1:8" ht="63.95" customHeight="1" x14ac:dyDescent="0.25">
      <c r="A43" s="59">
        <f t="shared" si="0"/>
        <v>2</v>
      </c>
      <c r="B43" s="61">
        <f t="shared" si="1"/>
        <v>8</v>
      </c>
      <c r="C43" s="59" t="str">
        <f t="shared" si="2"/>
        <v>mar</v>
      </c>
      <c r="D43" s="63">
        <f>WORKDAY(D42,1,JoursFeries!$B$3:$CH$15)</f>
        <v>42787</v>
      </c>
      <c r="E43" s="55" t="str">
        <f>IFERROR(VLOOKUP(D43,'Recap Dates'!$A$2:$B$99,2,FALSE),"")</f>
        <v/>
      </c>
      <c r="F43" s="74" t="str">
        <f>IFERROR(VLOOKUP(D43,'Recap Dates'!$A$103:$B$216,2,FALSE),"")</f>
        <v/>
      </c>
      <c r="G43" s="55" t="str">
        <f>IFERROR(VLOOKUP(D43,'Recap Dates'!$A$220:$B$284,2,FALSE),"")</f>
        <v/>
      </c>
      <c r="H43" s="55" t="str">
        <f>IFERROR(VLOOKUP(D43,Engin!$F$7:$G$253,2,FALSE),"")</f>
        <v/>
      </c>
    </row>
    <row r="44" spans="1:8" ht="63.95" customHeight="1" x14ac:dyDescent="0.25">
      <c r="A44" s="59">
        <f t="shared" si="0"/>
        <v>2</v>
      </c>
      <c r="B44" s="61">
        <f t="shared" si="1"/>
        <v>8</v>
      </c>
      <c r="C44" s="59" t="str">
        <f t="shared" si="2"/>
        <v>mer</v>
      </c>
      <c r="D44" s="63">
        <f>WORKDAY(D43,1,JoursFeries!$B$3:$CH$15)</f>
        <v>42788</v>
      </c>
      <c r="E44" s="55" t="str">
        <f>IFERROR(VLOOKUP(D44,'Recap Dates'!$A$2:$B$99,2,FALSE),"")</f>
        <v/>
      </c>
      <c r="F44" s="74" t="str">
        <f>IFERROR(VLOOKUP(D44,'Recap Dates'!$A$103:$B$216,2,FALSE),"")</f>
        <v/>
      </c>
      <c r="G44" s="55" t="str">
        <f>IFERROR(VLOOKUP(D44,'Recap Dates'!$A$220:$B$284,2,FALSE),"")</f>
        <v/>
      </c>
      <c r="H44" s="55" t="str">
        <f>IFERROR(VLOOKUP(D44,Engin!$F$7:$G$253,2,FALSE),"")</f>
        <v>Entretien 10300h (100h)</v>
      </c>
    </row>
    <row r="45" spans="1:8" ht="63.95" customHeight="1" x14ac:dyDescent="0.25">
      <c r="A45" s="59">
        <f t="shared" si="0"/>
        <v>2</v>
      </c>
      <c r="B45" s="61">
        <f t="shared" si="1"/>
        <v>8</v>
      </c>
      <c r="C45" s="59" t="str">
        <f t="shared" si="2"/>
        <v>jeu</v>
      </c>
      <c r="D45" s="63">
        <f>WORKDAY(D44,1,JoursFeries!$B$3:$CH$15)</f>
        <v>42789</v>
      </c>
      <c r="E45" s="55" t="str">
        <f>IFERROR(VLOOKUP(D45,'Recap Dates'!$A$2:$B$99,2,FALSE),"")</f>
        <v/>
      </c>
      <c r="F45" s="74" t="str">
        <f>IFERROR(VLOOKUP(D45,'Recap Dates'!$A$103:$B$216,2,FALSE),"")</f>
        <v/>
      </c>
      <c r="G45" s="55" t="str">
        <f>IFERROR(VLOOKUP(D45,'Recap Dates'!$A$220:$B$284,2,FALSE),"")</f>
        <v/>
      </c>
      <c r="H45" s="55" t="str">
        <f>IFERROR(VLOOKUP(D45,Engin!$F$7:$G$253,2,FALSE),"")</f>
        <v/>
      </c>
    </row>
    <row r="46" spans="1:8" ht="63.95" customHeight="1" x14ac:dyDescent="0.25">
      <c r="A46" s="59">
        <f t="shared" si="0"/>
        <v>2</v>
      </c>
      <c r="B46" s="61">
        <f t="shared" si="1"/>
        <v>8</v>
      </c>
      <c r="C46" s="59" t="str">
        <f t="shared" si="2"/>
        <v>ven</v>
      </c>
      <c r="D46" s="63">
        <f>WORKDAY(D45,1,JoursFeries!$B$3:$CH$15)</f>
        <v>42790</v>
      </c>
      <c r="E46" s="55" t="str">
        <f>IFERROR(VLOOKUP(D46,'Recap Dates'!$A$2:$B$99,2,FALSE),"")</f>
        <v/>
      </c>
      <c r="F46" s="74" t="str">
        <f>IFERROR(VLOOKUP(D46,'Recap Dates'!$A$103:$B$216,2,FALSE),"")</f>
        <v/>
      </c>
      <c r="G46" s="55" t="str">
        <f>IFERROR(VLOOKUP(D46,'Recap Dates'!$A$220:$B$284,2,FALSE),"")</f>
        <v/>
      </c>
      <c r="H46" s="55" t="str">
        <f>IFERROR(VLOOKUP(D46,Engin!$F$7:$G$253,2,FALSE),"")</f>
        <v/>
      </c>
    </row>
    <row r="47" spans="1:8" ht="63.95" customHeight="1" x14ac:dyDescent="0.25">
      <c r="A47" s="59">
        <f t="shared" si="0"/>
        <v>2</v>
      </c>
      <c r="B47" s="61">
        <f t="shared" si="1"/>
        <v>9</v>
      </c>
      <c r="C47" s="59" t="str">
        <f t="shared" si="2"/>
        <v>lun</v>
      </c>
      <c r="D47" s="63">
        <f>WORKDAY(D46,1,JoursFeries!$B$3:$CH$15)</f>
        <v>42793</v>
      </c>
      <c r="E47" s="55" t="str">
        <f>IFERROR(VLOOKUP(D47,'Recap Dates'!$A$2:$B$99,2,FALSE),"")</f>
        <v/>
      </c>
      <c r="F47" s="74" t="str">
        <f>IFERROR(VLOOKUP(D47,'Recap Dates'!$A$103:$B$216,2,FALSE),"")</f>
        <v/>
      </c>
      <c r="G47" s="55" t="str">
        <f>IFERROR(VLOOKUP(D47,'Recap Dates'!$A$220:$B$284,2,FALSE),"")</f>
        <v/>
      </c>
      <c r="H47" s="55" t="str">
        <f>IFERROR(VLOOKUP(D47,Engin!$F$7:$G$253,2,FALSE),"")</f>
        <v/>
      </c>
    </row>
    <row r="48" spans="1:8" ht="63.95" customHeight="1" x14ac:dyDescent="0.25">
      <c r="A48" s="59">
        <f t="shared" si="0"/>
        <v>2</v>
      </c>
      <c r="B48" s="61">
        <f t="shared" si="1"/>
        <v>9</v>
      </c>
      <c r="C48" s="59" t="str">
        <f t="shared" si="2"/>
        <v>mar</v>
      </c>
      <c r="D48" s="63">
        <f>WORKDAY(D47,1,JoursFeries!$B$3:$CH$15)</f>
        <v>42794</v>
      </c>
      <c r="E48" s="55" t="str">
        <f>IFERROR(VLOOKUP(D48,'Recap Dates'!$A$2:$B$99,2,FALSE),"")</f>
        <v/>
      </c>
      <c r="F48" s="74" t="str">
        <f>IFERROR(VLOOKUP(D48,'Recap Dates'!$A$103:$B$216,2,FALSE),"")</f>
        <v/>
      </c>
      <c r="G48" s="55" t="str">
        <f>IFERROR(VLOOKUP(D48,'Recap Dates'!$A$220:$B$284,2,FALSE),"")</f>
        <v/>
      </c>
      <c r="H48" s="55" t="str">
        <f>IFERROR(VLOOKUP(D48,Engin!$F$7:$G$253,2,FALSE),"")</f>
        <v/>
      </c>
    </row>
    <row r="49" spans="1:8" ht="63.95" customHeight="1" x14ac:dyDescent="0.25">
      <c r="A49" s="59">
        <f t="shared" si="0"/>
        <v>3</v>
      </c>
      <c r="B49" s="61">
        <f t="shared" si="1"/>
        <v>9</v>
      </c>
      <c r="C49" s="59" t="str">
        <f t="shared" si="2"/>
        <v>mer</v>
      </c>
      <c r="D49" s="63">
        <f>WORKDAY(D48,1,JoursFeries!$B$3:$CH$15)</f>
        <v>42795</v>
      </c>
      <c r="E49" s="55" t="str">
        <f>IFERROR(VLOOKUP(D49,'Recap Dates'!$A$2:$B$99,2,FALSE),"")</f>
        <v/>
      </c>
      <c r="F49" s="74" t="str">
        <f>IFERROR(VLOOKUP(D49,'Recap Dates'!$A$103:$B$216,2,FALSE),"")</f>
        <v/>
      </c>
      <c r="G49" s="55" t="str">
        <f>IFERROR(VLOOKUP(D49,'Recap Dates'!$A$220:$B$284,2,FALSE),"")</f>
        <v/>
      </c>
      <c r="H49" s="55" t="str">
        <f>IFERROR(VLOOKUP(D49,Engin!$F$7:$G$253,2,FALSE),"")</f>
        <v/>
      </c>
    </row>
    <row r="50" spans="1:8" ht="63.95" customHeight="1" x14ac:dyDescent="0.25">
      <c r="A50" s="59">
        <f t="shared" si="0"/>
        <v>3</v>
      </c>
      <c r="B50" s="61">
        <f t="shared" si="1"/>
        <v>9</v>
      </c>
      <c r="C50" s="59" t="str">
        <f t="shared" si="2"/>
        <v>jeu</v>
      </c>
      <c r="D50" s="63">
        <f>WORKDAY(D49,1,JoursFeries!$B$3:$CH$15)</f>
        <v>42796</v>
      </c>
      <c r="E50" s="55" t="str">
        <f>IFERROR(VLOOKUP(D50,'Recap Dates'!$A$2:$B$99,2,FALSE),"")</f>
        <v/>
      </c>
      <c r="F50" s="74" t="str">
        <f>IFERROR(VLOOKUP(D50,'Recap Dates'!$A$103:$B$216,2,FALSE),"")</f>
        <v/>
      </c>
      <c r="G50" s="55" t="str">
        <f>IFERROR(VLOOKUP(D50,'Recap Dates'!$A$220:$B$284,2,FALSE),"")</f>
        <v/>
      </c>
      <c r="H50" s="55" t="str">
        <f>IFERROR(VLOOKUP(D50,Engin!$F$7:$G$253,2,FALSE),"")</f>
        <v/>
      </c>
    </row>
    <row r="51" spans="1:8" ht="63.95" customHeight="1" x14ac:dyDescent="0.25">
      <c r="A51" s="59">
        <f t="shared" si="0"/>
        <v>3</v>
      </c>
      <c r="B51" s="61">
        <f t="shared" si="1"/>
        <v>9</v>
      </c>
      <c r="C51" s="59" t="str">
        <f t="shared" si="2"/>
        <v>ven</v>
      </c>
      <c r="D51" s="63">
        <f>WORKDAY(D50,1,JoursFeries!$B$3:$CH$15)</f>
        <v>42797</v>
      </c>
      <c r="E51" s="55" t="str">
        <f>IFERROR(VLOOKUP(D51,'Recap Dates'!$A$2:$B$99,2,FALSE),"")</f>
        <v/>
      </c>
      <c r="F51" s="74" t="str">
        <f>IFERROR(VLOOKUP(D51,'Recap Dates'!$A$103:$B$216,2,FALSE),"")</f>
        <v/>
      </c>
      <c r="G51" s="55" t="str">
        <f>IFERROR(VLOOKUP(D51,'Recap Dates'!$A$220:$B$284,2,FALSE),"")</f>
        <v/>
      </c>
      <c r="H51" s="55" t="str">
        <f>IFERROR(VLOOKUP(D51,Engin!$F$7:$G$253,2,FALSE),"")</f>
        <v/>
      </c>
    </row>
    <row r="52" spans="1:8" ht="63.95" customHeight="1" x14ac:dyDescent="0.25">
      <c r="A52" s="59">
        <f t="shared" si="0"/>
        <v>3</v>
      </c>
      <c r="B52" s="61">
        <f t="shared" si="1"/>
        <v>10</v>
      </c>
      <c r="C52" s="59" t="str">
        <f t="shared" si="2"/>
        <v>lun</v>
      </c>
      <c r="D52" s="63">
        <f>WORKDAY(D51,1,JoursFeries!$B$3:$CH$15)</f>
        <v>42800</v>
      </c>
      <c r="E52" s="55" t="str">
        <f>IFERROR(VLOOKUP(D52,'Recap Dates'!$A$2:$B$99,2,FALSE),"")</f>
        <v/>
      </c>
      <c r="F52" s="74" t="str">
        <f>IFERROR(VLOOKUP(D52,'Recap Dates'!$A$103:$B$216,2,FALSE),"")</f>
        <v/>
      </c>
      <c r="G52" s="55" t="str">
        <f>IFERROR(VLOOKUP(D52,'Recap Dates'!$A$220:$B$284,2,FALSE),"")</f>
        <v/>
      </c>
      <c r="H52" s="55" t="str">
        <f>IFERROR(VLOOKUP(D52,Engin!$F$7:$G$253,2,FALSE),"")</f>
        <v/>
      </c>
    </row>
    <row r="53" spans="1:8" ht="63.95" customHeight="1" x14ac:dyDescent="0.25">
      <c r="A53" s="59">
        <f t="shared" si="0"/>
        <v>3</v>
      </c>
      <c r="B53" s="61">
        <f t="shared" si="1"/>
        <v>10</v>
      </c>
      <c r="C53" s="59" t="str">
        <f t="shared" si="2"/>
        <v>mar</v>
      </c>
      <c r="D53" s="63">
        <f>WORKDAY(D52,1,JoursFeries!$B$3:$CH$15)</f>
        <v>42801</v>
      </c>
      <c r="E53" s="55" t="str">
        <f>IFERROR(VLOOKUP(D53,'Recap Dates'!$A$2:$B$99,2,FALSE),"")</f>
        <v/>
      </c>
      <c r="F53" s="74" t="str">
        <f>IFERROR(VLOOKUP(D53,'Recap Dates'!$A$103:$B$216,2,FALSE),"")</f>
        <v/>
      </c>
      <c r="G53" s="55" t="str">
        <f>IFERROR(VLOOKUP(D53,'Recap Dates'!$A$220:$B$284,2,FALSE),"")</f>
        <v/>
      </c>
      <c r="H53" s="55" t="str">
        <f>IFERROR(VLOOKUP(D53,Engin!$F$7:$G$253,2,FALSE),"")</f>
        <v/>
      </c>
    </row>
    <row r="54" spans="1:8" ht="63.95" customHeight="1" x14ac:dyDescent="0.25">
      <c r="A54" s="59">
        <f t="shared" si="0"/>
        <v>3</v>
      </c>
      <c r="B54" s="61">
        <f t="shared" si="1"/>
        <v>10</v>
      </c>
      <c r="C54" s="59" t="str">
        <f t="shared" si="2"/>
        <v>mer</v>
      </c>
      <c r="D54" s="63">
        <f>WORKDAY(D53,1,JoursFeries!$B$3:$CH$15)</f>
        <v>42802</v>
      </c>
      <c r="E54" s="55" t="str">
        <f>IFERROR(VLOOKUP(D54,'Recap Dates'!$A$2:$B$99,2,FALSE),"")</f>
        <v/>
      </c>
      <c r="F54" s="74" t="str">
        <f>IFERROR(VLOOKUP(D54,'Recap Dates'!$A$103:$B$216,2,FALSE),"")</f>
        <v/>
      </c>
      <c r="G54" s="55" t="str">
        <f>IFERROR(VLOOKUP(D54,'Recap Dates'!$A$220:$B$284,2,FALSE),"")</f>
        <v/>
      </c>
      <c r="H54" s="55" t="str">
        <f>IFERROR(VLOOKUP(D54,Engin!$F$7:$G$253,2,FALSE),"")</f>
        <v>Entretien 10400h (100h)</v>
      </c>
    </row>
    <row r="55" spans="1:8" ht="63.95" customHeight="1" x14ac:dyDescent="0.25">
      <c r="A55" s="59">
        <f t="shared" si="0"/>
        <v>3</v>
      </c>
      <c r="B55" s="61">
        <f t="shared" si="1"/>
        <v>10</v>
      </c>
      <c r="C55" s="59" t="str">
        <f t="shared" si="2"/>
        <v>jeu</v>
      </c>
      <c r="D55" s="63">
        <f>WORKDAY(D54,1,JoursFeries!$B$3:$CH$15)</f>
        <v>42803</v>
      </c>
      <c r="E55" s="55" t="str">
        <f>IFERROR(VLOOKUP(D55,'Recap Dates'!$A$2:$B$99,2,FALSE),"")</f>
        <v/>
      </c>
      <c r="F55" s="74" t="str">
        <f>IFERROR(VLOOKUP(D55,'Recap Dates'!$A$103:$B$216,2,FALSE),"")</f>
        <v/>
      </c>
      <c r="G55" s="55" t="str">
        <f>IFERROR(VLOOKUP(D55,'Recap Dates'!$A$220:$B$284,2,FALSE),"")</f>
        <v/>
      </c>
      <c r="H55" s="55" t="str">
        <f>IFERROR(VLOOKUP(D55,Engin!$F$7:$G$253,2,FALSE),"")</f>
        <v/>
      </c>
    </row>
    <row r="56" spans="1:8" ht="63.95" customHeight="1" x14ac:dyDescent="0.25">
      <c r="A56" s="59">
        <f t="shared" si="0"/>
        <v>3</v>
      </c>
      <c r="B56" s="61">
        <f t="shared" si="1"/>
        <v>10</v>
      </c>
      <c r="C56" s="59" t="str">
        <f t="shared" si="2"/>
        <v>ven</v>
      </c>
      <c r="D56" s="63">
        <f>WORKDAY(D55,1,JoursFeries!$B$3:$CH$15)</f>
        <v>42804</v>
      </c>
      <c r="E56" s="55" t="str">
        <f>IFERROR(VLOOKUP(D56,'Recap Dates'!$A$2:$B$99,2,FALSE),"")</f>
        <v/>
      </c>
      <c r="F56" s="74" t="str">
        <f>IFERROR(VLOOKUP(D56,'Recap Dates'!$A$103:$B$216,2,FALSE),"")</f>
        <v/>
      </c>
      <c r="G56" s="55" t="str">
        <f>IFERROR(VLOOKUP(D56,'Recap Dates'!$A$220:$B$284,2,FALSE),"")</f>
        <v/>
      </c>
      <c r="H56" s="55" t="str">
        <f>IFERROR(VLOOKUP(D56,Engin!$F$7:$G$253,2,FALSE),"")</f>
        <v/>
      </c>
    </row>
    <row r="57" spans="1:8" ht="63.95" customHeight="1" x14ac:dyDescent="0.25">
      <c r="A57" s="59">
        <f t="shared" si="0"/>
        <v>3</v>
      </c>
      <c r="B57" s="61">
        <f t="shared" si="1"/>
        <v>11</v>
      </c>
      <c r="C57" s="59" t="str">
        <f t="shared" si="2"/>
        <v>lun</v>
      </c>
      <c r="D57" s="63">
        <f>WORKDAY(D56,1,JoursFeries!$B$3:$CH$15)</f>
        <v>42807</v>
      </c>
      <c r="E57" s="55" t="str">
        <f>IFERROR(VLOOKUP(D57,'Recap Dates'!$A$2:$B$99,2,FALSE),"")</f>
        <v/>
      </c>
      <c r="F57" s="74" t="str">
        <f>IFERROR(VLOOKUP(D57,'Recap Dates'!$A$103:$B$216,2,FALSE),"")</f>
        <v/>
      </c>
      <c r="G57" s="55" t="str">
        <f>IFERROR(VLOOKUP(D57,'Recap Dates'!$A$220:$B$284,2,FALSE),"")</f>
        <v/>
      </c>
      <c r="H57" s="55" t="str">
        <f>IFERROR(VLOOKUP(D57,Engin!$F$7:$G$253,2,FALSE),"")</f>
        <v/>
      </c>
    </row>
    <row r="58" spans="1:8" ht="63.95" customHeight="1" x14ac:dyDescent="0.25">
      <c r="A58" s="59">
        <f t="shared" si="0"/>
        <v>3</v>
      </c>
      <c r="B58" s="61">
        <f t="shared" si="1"/>
        <v>11</v>
      </c>
      <c r="C58" s="59" t="str">
        <f t="shared" si="2"/>
        <v>mar</v>
      </c>
      <c r="D58" s="63">
        <f>WORKDAY(D57,1,JoursFeries!$B$3:$CH$15)</f>
        <v>42808</v>
      </c>
      <c r="E58" s="55" t="str">
        <f>IFERROR(VLOOKUP(D58,'Recap Dates'!$A$2:$B$99,2,FALSE),"")</f>
        <v/>
      </c>
      <c r="F58" s="74" t="str">
        <f>IFERROR(VLOOKUP(D58,'Recap Dates'!$A$103:$B$216,2,FALSE),"")</f>
        <v>Remplacement blindage balourd</v>
      </c>
      <c r="G58" s="55" t="str">
        <f>IFERROR(VLOOKUP(D58,'Recap Dates'!$A$220:$B$284,2,FALSE),"")</f>
        <v/>
      </c>
      <c r="H58" s="55" t="str">
        <f>IFERROR(VLOOKUP(D58,Engin!$F$7:$G$253,2,FALSE),"")</f>
        <v/>
      </c>
    </row>
    <row r="59" spans="1:8" ht="63.95" customHeight="1" x14ac:dyDescent="0.25">
      <c r="A59" s="59">
        <f t="shared" si="0"/>
        <v>3</v>
      </c>
      <c r="B59" s="61">
        <f t="shared" si="1"/>
        <v>11</v>
      </c>
      <c r="C59" s="59" t="str">
        <f t="shared" si="2"/>
        <v>mer</v>
      </c>
      <c r="D59" s="63">
        <f>WORKDAY(D58,1,JoursFeries!$B$3:$CH$15)</f>
        <v>42809</v>
      </c>
      <c r="E59" s="55" t="str">
        <f>IFERROR(VLOOKUP(D59,'Recap Dates'!$A$2:$B$99,2,FALSE),"")</f>
        <v/>
      </c>
      <c r="F59" s="74" t="str">
        <f>IFERROR(VLOOKUP(D59,'Recap Dates'!$A$103:$B$216,2,FALSE),"")</f>
        <v/>
      </c>
      <c r="G59" s="55" t="str">
        <f>IFERROR(VLOOKUP(D59,'Recap Dates'!$A$220:$B$284,2,FALSE),"")</f>
        <v/>
      </c>
      <c r="H59" s="55" t="str">
        <f>IFERROR(VLOOKUP(D59,Engin!$F$7:$G$253,2,FALSE),"")</f>
        <v/>
      </c>
    </row>
    <row r="60" spans="1:8" ht="63.95" customHeight="1" x14ac:dyDescent="0.25">
      <c r="A60" s="59">
        <f t="shared" si="0"/>
        <v>3</v>
      </c>
      <c r="B60" s="61">
        <f t="shared" si="1"/>
        <v>11</v>
      </c>
      <c r="C60" s="59" t="str">
        <f t="shared" si="2"/>
        <v>jeu</v>
      </c>
      <c r="D60" s="63">
        <f>WORKDAY(D59,1,JoursFeries!$B$3:$CH$15)</f>
        <v>42810</v>
      </c>
      <c r="E60" s="55" t="str">
        <f>IFERROR(VLOOKUP(D60,'Recap Dates'!$A$2:$B$99,2,FALSE),"")</f>
        <v/>
      </c>
      <c r="F60" s="74" t="str">
        <f>IFERROR(VLOOKUP(D60,'Recap Dates'!$A$103:$B$216,2,FALSE),"")</f>
        <v/>
      </c>
      <c r="G60" s="55" t="str">
        <f>IFERROR(VLOOKUP(D60,'Recap Dates'!$A$220:$B$284,2,FALSE),"")</f>
        <v/>
      </c>
      <c r="H60" s="55" t="str">
        <f>IFERROR(VLOOKUP(D60,Engin!$F$7:$G$253,2,FALSE),"")</f>
        <v/>
      </c>
    </row>
    <row r="61" spans="1:8" ht="63.95" customHeight="1" x14ac:dyDescent="0.25">
      <c r="A61" s="59">
        <f t="shared" si="0"/>
        <v>3</v>
      </c>
      <c r="B61" s="61">
        <f t="shared" si="1"/>
        <v>11</v>
      </c>
      <c r="C61" s="59" t="str">
        <f t="shared" si="2"/>
        <v>ven</v>
      </c>
      <c r="D61" s="63">
        <f>WORKDAY(D60,1,JoursFeries!$B$3:$CH$15)</f>
        <v>42811</v>
      </c>
      <c r="E61" s="55" t="str">
        <f>IFERROR(VLOOKUP(D61,'Recap Dates'!$A$2:$B$99,2,FALSE),"")</f>
        <v/>
      </c>
      <c r="F61" s="74" t="str">
        <f>IFERROR(VLOOKUP(D61,'Recap Dates'!$A$103:$B$216,2,FALSE),"")</f>
        <v/>
      </c>
      <c r="G61" s="55" t="str">
        <f>IFERROR(VLOOKUP(D61,'Recap Dates'!$A$220:$B$284,2,FALSE),"")</f>
        <v/>
      </c>
      <c r="H61" s="55" t="str">
        <f>IFERROR(VLOOKUP(D61,Engin!$F$7:$G$253,2,FALSE),"")</f>
        <v/>
      </c>
    </row>
    <row r="62" spans="1:8" ht="63.95" customHeight="1" x14ac:dyDescent="0.25">
      <c r="A62" s="59">
        <f t="shared" si="0"/>
        <v>3</v>
      </c>
      <c r="B62" s="61">
        <f t="shared" si="1"/>
        <v>12</v>
      </c>
      <c r="C62" s="59" t="str">
        <f t="shared" si="2"/>
        <v>lun</v>
      </c>
      <c r="D62" s="63">
        <f>WORKDAY(D61,1,JoursFeries!$B$3:$CH$15)</f>
        <v>42814</v>
      </c>
      <c r="E62" s="55" t="str">
        <f>IFERROR(VLOOKUP(D62,'Recap Dates'!$A$2:$B$99,2,FALSE),"")</f>
        <v/>
      </c>
      <c r="F62" s="74" t="str">
        <f>IFERROR(VLOOKUP(D62,'Recap Dates'!$A$103:$B$216,2,FALSE),"")</f>
        <v/>
      </c>
      <c r="G62" s="55" t="str">
        <f>IFERROR(VLOOKUP(D62,'Recap Dates'!$A$220:$B$284,2,FALSE),"")</f>
        <v/>
      </c>
      <c r="H62" s="55" t="str">
        <f>IFERROR(VLOOKUP(D62,Engin!$F$7:$G$253,2,FALSE),"")</f>
        <v/>
      </c>
    </row>
    <row r="63" spans="1:8" ht="63.95" customHeight="1" x14ac:dyDescent="0.25">
      <c r="A63" s="59">
        <f t="shared" si="0"/>
        <v>3</v>
      </c>
      <c r="B63" s="61">
        <f t="shared" si="1"/>
        <v>12</v>
      </c>
      <c r="C63" s="59" t="str">
        <f t="shared" si="2"/>
        <v>mar</v>
      </c>
      <c r="D63" s="63">
        <f>WORKDAY(D62,1,JoursFeries!$B$3:$CH$15)</f>
        <v>42815</v>
      </c>
      <c r="E63" s="55" t="str">
        <f>IFERROR(VLOOKUP(D63,'Recap Dates'!$A$2:$B$99,2,FALSE),"")</f>
        <v/>
      </c>
      <c r="F63" s="74" t="str">
        <f>IFERROR(VLOOKUP(D63,'Recap Dates'!$A$103:$B$216,2,FALSE),"")</f>
        <v/>
      </c>
      <c r="G63" s="55" t="str">
        <f>IFERROR(VLOOKUP(D63,'Recap Dates'!$A$220:$B$284,2,FALSE),"")</f>
        <v/>
      </c>
      <c r="H63" s="55" t="str">
        <f>IFERROR(VLOOKUP(D63,Engin!$F$7:$G$253,2,FALSE),"")</f>
        <v/>
      </c>
    </row>
    <row r="64" spans="1:8" ht="63.95" customHeight="1" x14ac:dyDescent="0.25">
      <c r="A64" s="59">
        <f t="shared" si="0"/>
        <v>3</v>
      </c>
      <c r="B64" s="61">
        <f t="shared" si="1"/>
        <v>12</v>
      </c>
      <c r="C64" s="59" t="str">
        <f t="shared" si="2"/>
        <v>mer</v>
      </c>
      <c r="D64" s="63">
        <f>WORKDAY(D63,1,JoursFeries!$B$3:$CH$15)</f>
        <v>42816</v>
      </c>
      <c r="E64" s="55" t="str">
        <f>IFERROR(VLOOKUP(D64,'Recap Dates'!$A$2:$B$99,2,FALSE),"")</f>
        <v/>
      </c>
      <c r="F64" s="74" t="str">
        <f>IFERROR(VLOOKUP(D64,'Recap Dates'!$A$103:$B$216,2,FALSE),"")</f>
        <v/>
      </c>
      <c r="G64" s="55" t="str">
        <f>IFERROR(VLOOKUP(D64,'Recap Dates'!$A$220:$B$284,2,FALSE),"")</f>
        <v/>
      </c>
      <c r="H64" s="55" t="str">
        <f>IFERROR(VLOOKUP(D64,Engin!$F$7:$G$253,2,FALSE),"")</f>
        <v>Entretien 10500h (500h + 250h + 100h)</v>
      </c>
    </row>
    <row r="65" spans="1:8" ht="63.95" customHeight="1" x14ac:dyDescent="0.25">
      <c r="A65" s="59">
        <f t="shared" si="0"/>
        <v>3</v>
      </c>
      <c r="B65" s="61">
        <f t="shared" si="1"/>
        <v>12</v>
      </c>
      <c r="C65" s="59" t="str">
        <f t="shared" si="2"/>
        <v>jeu</v>
      </c>
      <c r="D65" s="63">
        <f>WORKDAY(D64,1,JoursFeries!$B$3:$CH$15)</f>
        <v>42817</v>
      </c>
      <c r="E65" s="55" t="str">
        <f>IFERROR(VLOOKUP(D65,'Recap Dates'!$A$2:$B$99,2,FALSE),"")</f>
        <v/>
      </c>
      <c r="F65" s="74" t="str">
        <f>IFERROR(VLOOKUP(D65,'Recap Dates'!$A$103:$B$216,2,FALSE),"")</f>
        <v/>
      </c>
      <c r="G65" s="55" t="str">
        <f>IFERROR(VLOOKUP(D65,'Recap Dates'!$A$220:$B$284,2,FALSE),"")</f>
        <v/>
      </c>
      <c r="H65" s="55" t="str">
        <f>IFERROR(VLOOKUP(D65,Engin!$F$7:$G$253,2,FALSE),"")</f>
        <v/>
      </c>
    </row>
    <row r="66" spans="1:8" ht="63.95" customHeight="1" x14ac:dyDescent="0.25">
      <c r="A66" s="59">
        <f t="shared" si="0"/>
        <v>3</v>
      </c>
      <c r="B66" s="61">
        <f t="shared" si="1"/>
        <v>12</v>
      </c>
      <c r="C66" s="59" t="str">
        <f t="shared" si="2"/>
        <v>ven</v>
      </c>
      <c r="D66" s="63">
        <f>WORKDAY(D65,1,JoursFeries!$B$3:$CH$15)</f>
        <v>42818</v>
      </c>
      <c r="E66" s="55" t="str">
        <f>IFERROR(VLOOKUP(D66,'Recap Dates'!$A$2:$B$99,2,FALSE),"")</f>
        <v/>
      </c>
      <c r="F66" s="74" t="str">
        <f>IFERROR(VLOOKUP(D66,'Recap Dates'!$A$103:$B$216,2,FALSE),"")</f>
        <v/>
      </c>
      <c r="G66" s="55" t="str">
        <f>IFERROR(VLOOKUP(D66,'Recap Dates'!$A$220:$B$284,2,FALSE),"")</f>
        <v/>
      </c>
      <c r="H66" s="55" t="str">
        <f>IFERROR(VLOOKUP(D66,Engin!$F$7:$G$253,2,FALSE),"")</f>
        <v/>
      </c>
    </row>
    <row r="67" spans="1:8" ht="63.95" customHeight="1" x14ac:dyDescent="0.25">
      <c r="A67" s="59">
        <f t="shared" si="0"/>
        <v>3</v>
      </c>
      <c r="B67" s="61">
        <f t="shared" si="1"/>
        <v>13</v>
      </c>
      <c r="C67" s="59" t="str">
        <f t="shared" si="2"/>
        <v>lun</v>
      </c>
      <c r="D67" s="63">
        <f>WORKDAY(D66,1,JoursFeries!$B$3:$CH$15)</f>
        <v>42821</v>
      </c>
      <c r="E67" s="55" t="str">
        <f>IFERROR(VLOOKUP(D67,'Recap Dates'!$A$2:$B$99,2,FALSE),"")</f>
        <v/>
      </c>
      <c r="F67" s="74" t="str">
        <f>IFERROR(VLOOKUP(D67,'Recap Dates'!$A$103:$B$216,2,FALSE),"")</f>
        <v/>
      </c>
      <c r="G67" s="55" t="str">
        <f>IFERROR(VLOOKUP(D67,'Recap Dates'!$A$220:$B$284,2,FALSE),"")</f>
        <v/>
      </c>
      <c r="H67" s="55" t="str">
        <f>IFERROR(VLOOKUP(D67,Engin!$F$7:$G$253,2,FALSE),"")</f>
        <v/>
      </c>
    </row>
    <row r="68" spans="1:8" ht="63.95" customHeight="1" x14ac:dyDescent="0.25">
      <c r="A68" s="59">
        <f t="shared" si="0"/>
        <v>3</v>
      </c>
      <c r="B68" s="61">
        <f t="shared" si="1"/>
        <v>13</v>
      </c>
      <c r="C68" s="59" t="str">
        <f t="shared" si="2"/>
        <v>mar</v>
      </c>
      <c r="D68" s="63">
        <f>WORKDAY(D67,1,JoursFeries!$B$3:$CH$15)</f>
        <v>42822</v>
      </c>
      <c r="E68" s="55" t="str">
        <f>IFERROR(VLOOKUP(D68,'Recap Dates'!$A$2:$B$99,2,FALSE),"")</f>
        <v/>
      </c>
      <c r="F68" s="74" t="str">
        <f>IFERROR(VLOOKUP(D68,'Recap Dates'!$A$103:$B$216,2,FALSE),"")</f>
        <v/>
      </c>
      <c r="G68" s="55" t="str">
        <f>IFERROR(VLOOKUP(D68,'Recap Dates'!$A$220:$B$284,2,FALSE),"")</f>
        <v/>
      </c>
      <c r="H68" s="55" t="str">
        <f>IFERROR(VLOOKUP(D68,Engin!$F$7:$G$253,2,FALSE),"")</f>
        <v/>
      </c>
    </row>
    <row r="69" spans="1:8" ht="63.95" customHeight="1" x14ac:dyDescent="0.25">
      <c r="A69" s="59">
        <f t="shared" si="0"/>
        <v>3</v>
      </c>
      <c r="B69" s="61">
        <f t="shared" si="1"/>
        <v>13</v>
      </c>
      <c r="C69" s="59" t="str">
        <f t="shared" si="2"/>
        <v>mer</v>
      </c>
      <c r="D69" s="63">
        <f>WORKDAY(D68,1,JoursFeries!$B$3:$CH$15)</f>
        <v>42823</v>
      </c>
      <c r="E69" s="55" t="str">
        <f>IFERROR(VLOOKUP(D69,'Recap Dates'!$A$2:$B$99,2,FALSE),"")</f>
        <v/>
      </c>
      <c r="F69" s="74" t="str">
        <f>IFERROR(VLOOKUP(D69,'Recap Dates'!$A$103:$B$216,2,FALSE),"")</f>
        <v/>
      </c>
      <c r="G69" s="55" t="str">
        <f>IFERROR(VLOOKUP(D69,'Recap Dates'!$A$220:$B$284,2,FALSE),"")</f>
        <v/>
      </c>
      <c r="H69" s="55" t="str">
        <f>IFERROR(VLOOKUP(D69,Engin!$F$7:$G$253,2,FALSE),"")</f>
        <v/>
      </c>
    </row>
    <row r="70" spans="1:8" ht="63.95" customHeight="1" x14ac:dyDescent="0.25">
      <c r="A70" s="59">
        <f t="shared" si="0"/>
        <v>3</v>
      </c>
      <c r="B70" s="61">
        <f t="shared" si="1"/>
        <v>13</v>
      </c>
      <c r="C70" s="59" t="str">
        <f t="shared" si="2"/>
        <v>jeu</v>
      </c>
      <c r="D70" s="63">
        <f>WORKDAY(D69,1,JoursFeries!$B$3:$CH$15)</f>
        <v>42824</v>
      </c>
      <c r="E70" s="55" t="str">
        <f>IFERROR(VLOOKUP(D70,'Recap Dates'!$A$2:$B$99,2,FALSE),"")</f>
        <v/>
      </c>
      <c r="F70" s="74" t="str">
        <f>IFERROR(VLOOKUP(D70,'Recap Dates'!$A$103:$B$216,2,FALSE),"")</f>
        <v/>
      </c>
      <c r="G70" s="55" t="str">
        <f>IFERROR(VLOOKUP(D70,'Recap Dates'!$A$220:$B$284,2,FALSE),"")</f>
        <v/>
      </c>
      <c r="H70" s="55" t="str">
        <f>IFERROR(VLOOKUP(D70,Engin!$F$7:$G$253,2,FALSE),"")</f>
        <v/>
      </c>
    </row>
    <row r="71" spans="1:8" ht="63.95" customHeight="1" x14ac:dyDescent="0.25">
      <c r="A71" s="59">
        <f t="shared" ref="A71:A134" si="3">MONTH(D71)</f>
        <v>3</v>
      </c>
      <c r="B71" s="61">
        <f t="shared" ref="B71:B134" si="4">WEEKNUM(D71,1)</f>
        <v>13</v>
      </c>
      <c r="C71" s="59" t="str">
        <f t="shared" ref="C71:C134" si="5">TEXT(D71,"jjj")</f>
        <v>ven</v>
      </c>
      <c r="D71" s="63">
        <f>WORKDAY(D70,1,JoursFeries!$B$3:$CH$15)</f>
        <v>42825</v>
      </c>
      <c r="E71" s="55" t="str">
        <f>IFERROR(VLOOKUP(D71,'Recap Dates'!$A$2:$B$99,2,FALSE),"")</f>
        <v/>
      </c>
      <c r="F71" s="74" t="str">
        <f>IFERROR(VLOOKUP(D71,'Recap Dates'!$A$103:$B$216,2,FALSE),"")</f>
        <v/>
      </c>
      <c r="G71" s="55" t="str">
        <f>IFERROR(VLOOKUP(D71,'Recap Dates'!$A$220:$B$284,2,FALSE),"")</f>
        <v/>
      </c>
      <c r="H71" s="55" t="str">
        <f>IFERROR(VLOOKUP(D71,Engin!$F$7:$G$253,2,FALSE),"")</f>
        <v/>
      </c>
    </row>
    <row r="72" spans="1:8" ht="63.95" customHeight="1" x14ac:dyDescent="0.25">
      <c r="A72" s="59">
        <f t="shared" si="3"/>
        <v>4</v>
      </c>
      <c r="B72" s="61">
        <f t="shared" si="4"/>
        <v>14</v>
      </c>
      <c r="C72" s="59" t="str">
        <f t="shared" si="5"/>
        <v>lun</v>
      </c>
      <c r="D72" s="63">
        <f>WORKDAY(D71,1,JoursFeries!$B$3:$CH$15)</f>
        <v>42828</v>
      </c>
      <c r="E72" s="55" t="str">
        <f>IFERROR(VLOOKUP(D72,'Recap Dates'!$A$2:$B$99,2,FALSE),"")</f>
        <v/>
      </c>
      <c r="F72" s="74" t="str">
        <f>IFERROR(VLOOKUP(D72,'Recap Dates'!$A$103:$B$216,2,FALSE),"")</f>
        <v/>
      </c>
      <c r="G72" s="55" t="str">
        <f>IFERROR(VLOOKUP(D72,'Recap Dates'!$A$220:$B$284,2,FALSE),"")</f>
        <v/>
      </c>
      <c r="H72" s="55" t="str">
        <f>IFERROR(VLOOKUP(D72,Engin!$F$7:$G$253,2,FALSE),"")</f>
        <v/>
      </c>
    </row>
    <row r="73" spans="1:8" ht="63.95" customHeight="1" x14ac:dyDescent="0.25">
      <c r="A73" s="59">
        <f t="shared" si="3"/>
        <v>4</v>
      </c>
      <c r="B73" s="61">
        <f t="shared" si="4"/>
        <v>14</v>
      </c>
      <c r="C73" s="59" t="str">
        <f t="shared" si="5"/>
        <v>mar</v>
      </c>
      <c r="D73" s="63">
        <f>WORKDAY(D72,1,JoursFeries!$B$3:$CH$15)</f>
        <v>42829</v>
      </c>
      <c r="E73" s="55" t="str">
        <f>IFERROR(VLOOKUP(D73,'Recap Dates'!$A$2:$B$99,2,FALSE),"")</f>
        <v/>
      </c>
      <c r="F73" s="74" t="str">
        <f>IFERROR(VLOOKUP(D73,'Recap Dates'!$A$103:$B$216,2,FALSE),"")</f>
        <v/>
      </c>
      <c r="G73" s="55" t="str">
        <f>IFERROR(VLOOKUP(D73,'Recap Dates'!$A$220:$B$284,2,FALSE),"")</f>
        <v/>
      </c>
      <c r="H73" s="55" t="str">
        <f>IFERROR(VLOOKUP(D73,Engin!$F$7:$G$253,2,FALSE),"")</f>
        <v/>
      </c>
    </row>
    <row r="74" spans="1:8" ht="63.95" customHeight="1" x14ac:dyDescent="0.25">
      <c r="A74" s="59">
        <f t="shared" si="3"/>
        <v>4</v>
      </c>
      <c r="B74" s="61">
        <f t="shared" si="4"/>
        <v>14</v>
      </c>
      <c r="C74" s="59" t="str">
        <f t="shared" si="5"/>
        <v>mer</v>
      </c>
      <c r="D74" s="63">
        <f>WORKDAY(D73,1,JoursFeries!$B$3:$CH$15)</f>
        <v>42830</v>
      </c>
      <c r="E74" s="55" t="str">
        <f>IFERROR(VLOOKUP(D74,'Recap Dates'!$A$2:$B$99,2,FALSE),"")</f>
        <v/>
      </c>
      <c r="F74" s="74" t="str">
        <f>IFERROR(VLOOKUP(D74,'Recap Dates'!$A$103:$B$216,2,FALSE),"")</f>
        <v/>
      </c>
      <c r="G74" s="55" t="str">
        <f>IFERROR(VLOOKUP(D74,'Recap Dates'!$A$220:$B$284,2,FALSE),"")</f>
        <v/>
      </c>
      <c r="H74" s="55" t="str">
        <f>IFERROR(VLOOKUP(D74,Engin!$F$7:$G$253,2,FALSE),"")</f>
        <v>Entretien 10600h (100h)</v>
      </c>
    </row>
    <row r="75" spans="1:8" ht="63.95" customHeight="1" x14ac:dyDescent="0.25">
      <c r="A75" s="59">
        <f t="shared" si="3"/>
        <v>4</v>
      </c>
      <c r="B75" s="61">
        <f t="shared" si="4"/>
        <v>14</v>
      </c>
      <c r="C75" s="59" t="str">
        <f t="shared" si="5"/>
        <v>jeu</v>
      </c>
      <c r="D75" s="63">
        <f>WORKDAY(D74,1,JoursFeries!$B$3:$CH$15)</f>
        <v>42831</v>
      </c>
      <c r="E75" s="55" t="str">
        <f>IFERROR(VLOOKUP(D75,'Recap Dates'!$A$2:$B$99,2,FALSE),"")</f>
        <v/>
      </c>
      <c r="F75" s="74" t="str">
        <f>IFERROR(VLOOKUP(D75,'Recap Dates'!$A$103:$B$216,2,FALSE),"")</f>
        <v/>
      </c>
      <c r="G75" s="55" t="str">
        <f>IFERROR(VLOOKUP(D75,'Recap Dates'!$A$220:$B$284,2,FALSE),"")</f>
        <v/>
      </c>
      <c r="H75" s="55" t="str">
        <f>IFERROR(VLOOKUP(D75,Engin!$F$7:$G$253,2,FALSE),"")</f>
        <v/>
      </c>
    </row>
    <row r="76" spans="1:8" ht="63.95" customHeight="1" x14ac:dyDescent="0.25">
      <c r="A76" s="59">
        <f t="shared" si="3"/>
        <v>4</v>
      </c>
      <c r="B76" s="61">
        <f t="shared" si="4"/>
        <v>14</v>
      </c>
      <c r="C76" s="59" t="str">
        <f t="shared" si="5"/>
        <v>ven</v>
      </c>
      <c r="D76" s="63">
        <f>WORKDAY(D75,1,JoursFeries!$B$3:$CH$15)</f>
        <v>42832</v>
      </c>
      <c r="E76" s="55" t="str">
        <f>IFERROR(VLOOKUP(D76,'Recap Dates'!$A$2:$B$99,2,FALSE),"")</f>
        <v/>
      </c>
      <c r="F76" s="74" t="str">
        <f>IFERROR(VLOOKUP(D76,'Recap Dates'!$A$103:$B$216,2,FALSE),"")</f>
        <v/>
      </c>
      <c r="G76" s="55" t="str">
        <f>IFERROR(VLOOKUP(D76,'Recap Dates'!$A$220:$B$284,2,FALSE),"")</f>
        <v/>
      </c>
      <c r="H76" s="55" t="str">
        <f>IFERROR(VLOOKUP(D76,Engin!$F$7:$G$253,2,FALSE),"")</f>
        <v/>
      </c>
    </row>
    <row r="77" spans="1:8" ht="63.95" customHeight="1" x14ac:dyDescent="0.25">
      <c r="A77" s="59">
        <f t="shared" si="3"/>
        <v>4</v>
      </c>
      <c r="B77" s="61">
        <f t="shared" si="4"/>
        <v>15</v>
      </c>
      <c r="C77" s="59" t="str">
        <f t="shared" si="5"/>
        <v>lun</v>
      </c>
      <c r="D77" s="63">
        <f>WORKDAY(D76,1,JoursFeries!$B$3:$CH$15)</f>
        <v>42835</v>
      </c>
      <c r="E77" s="55" t="str">
        <f>IFERROR(VLOOKUP(D77,'Recap Dates'!$A$2:$B$99,2,FALSE),"")</f>
        <v/>
      </c>
      <c r="F77" s="74" t="str">
        <f>IFERROR(VLOOKUP(D77,'Recap Dates'!$A$103:$B$216,2,FALSE),"")</f>
        <v/>
      </c>
      <c r="G77" s="55" t="str">
        <f>IFERROR(VLOOKUP(D77,'Recap Dates'!$A$220:$B$284,2,FALSE),"")</f>
        <v/>
      </c>
      <c r="H77" s="55" t="str">
        <f>IFERROR(VLOOKUP(D77,Engin!$F$7:$G$253,2,FALSE),"")</f>
        <v/>
      </c>
    </row>
    <row r="78" spans="1:8" ht="63.95" customHeight="1" x14ac:dyDescent="0.25">
      <c r="A78" s="59">
        <f t="shared" si="3"/>
        <v>4</v>
      </c>
      <c r="B78" s="61">
        <f t="shared" si="4"/>
        <v>15</v>
      </c>
      <c r="C78" s="59" t="str">
        <f t="shared" si="5"/>
        <v>mar</v>
      </c>
      <c r="D78" s="63">
        <f>WORKDAY(D77,1,JoursFeries!$B$3:$CH$15)</f>
        <v>42836</v>
      </c>
      <c r="E78" s="55" t="str">
        <f>IFERROR(VLOOKUP(D78,'Recap Dates'!$A$2:$B$99,2,FALSE),"")</f>
        <v/>
      </c>
      <c r="F78" s="74" t="str">
        <f>IFERROR(VLOOKUP(D78,'Recap Dates'!$A$103:$B$216,2,FALSE),"")</f>
        <v/>
      </c>
      <c r="G78" s="55" t="str">
        <f>IFERROR(VLOOKUP(D78,'Recap Dates'!$A$220:$B$284,2,FALSE),"")</f>
        <v/>
      </c>
      <c r="H78" s="55" t="str">
        <f>IFERROR(VLOOKUP(D78,Engin!$F$7:$G$253,2,FALSE),"")</f>
        <v/>
      </c>
    </row>
    <row r="79" spans="1:8" ht="63.95" customHeight="1" x14ac:dyDescent="0.25">
      <c r="A79" s="59">
        <f t="shared" si="3"/>
        <v>4</v>
      </c>
      <c r="B79" s="61">
        <f t="shared" si="4"/>
        <v>15</v>
      </c>
      <c r="C79" s="59" t="str">
        <f t="shared" si="5"/>
        <v>mer</v>
      </c>
      <c r="D79" s="63">
        <f>WORKDAY(D78,1,JoursFeries!$B$3:$CH$15)</f>
        <v>42837</v>
      </c>
      <c r="E79" s="55" t="str">
        <f>IFERROR(VLOOKUP(D79,'Recap Dates'!$A$2:$B$99,2,FALSE),"")</f>
        <v/>
      </c>
      <c r="F79" s="74" t="str">
        <f>IFERROR(VLOOKUP(D79,'Recap Dates'!$A$103:$B$216,2,FALSE),"")</f>
        <v/>
      </c>
      <c r="G79" s="55" t="str">
        <f>IFERROR(VLOOKUP(D79,'Recap Dates'!$A$220:$B$284,2,FALSE),"")</f>
        <v/>
      </c>
      <c r="H79" s="55" t="str">
        <f>IFERROR(VLOOKUP(D79,Engin!$F$7:$G$253,2,FALSE),"")</f>
        <v/>
      </c>
    </row>
    <row r="80" spans="1:8" ht="63.95" customHeight="1" x14ac:dyDescent="0.25">
      <c r="A80" s="59">
        <f t="shared" si="3"/>
        <v>4</v>
      </c>
      <c r="B80" s="61">
        <f t="shared" si="4"/>
        <v>15</v>
      </c>
      <c r="C80" s="59" t="str">
        <f t="shared" si="5"/>
        <v>jeu</v>
      </c>
      <c r="D80" s="63">
        <f>WORKDAY(D79,1,JoursFeries!$B$3:$CH$15)</f>
        <v>42838</v>
      </c>
      <c r="E80" s="55" t="str">
        <f>IFERROR(VLOOKUP(D80,'Recap Dates'!$A$2:$B$99,2,FALSE),"")</f>
        <v/>
      </c>
      <c r="F80" s="74" t="str">
        <f>IFERROR(VLOOKUP(D80,'Recap Dates'!$A$103:$B$216,2,FALSE),"")</f>
        <v/>
      </c>
      <c r="G80" s="55" t="str">
        <f>IFERROR(VLOOKUP(D80,'Recap Dates'!$A$220:$B$284,2,FALSE),"")</f>
        <v/>
      </c>
      <c r="H80" s="55" t="str">
        <f>IFERROR(VLOOKUP(D80,Engin!$F$7:$G$253,2,FALSE),"")</f>
        <v/>
      </c>
    </row>
    <row r="81" spans="1:8" ht="63.95" customHeight="1" x14ac:dyDescent="0.25">
      <c r="A81" s="59">
        <f t="shared" si="3"/>
        <v>4</v>
      </c>
      <c r="B81" s="61">
        <f t="shared" si="4"/>
        <v>15</v>
      </c>
      <c r="C81" s="59" t="str">
        <f t="shared" si="5"/>
        <v>ven</v>
      </c>
      <c r="D81" s="63">
        <f>WORKDAY(D80,1,JoursFeries!$B$3:$CH$15)</f>
        <v>42839</v>
      </c>
      <c r="E81" s="55" t="str">
        <f>IFERROR(VLOOKUP(D81,'Recap Dates'!$A$2:$B$99,2,FALSE),"")</f>
        <v/>
      </c>
      <c r="F81" s="74" t="str">
        <f>IFERROR(VLOOKUP(D81,'Recap Dates'!$A$103:$B$216,2,FALSE),"")</f>
        <v/>
      </c>
      <c r="G81" s="55" t="str">
        <f>IFERROR(VLOOKUP(D81,'Recap Dates'!$A$220:$B$284,2,FALSE),"")</f>
        <v/>
      </c>
      <c r="H81" s="55" t="str">
        <f>IFERROR(VLOOKUP(D81,Engin!$F$7:$G$253,2,FALSE),"")</f>
        <v/>
      </c>
    </row>
    <row r="82" spans="1:8" ht="63.95" customHeight="1" x14ac:dyDescent="0.25">
      <c r="A82" s="59">
        <f t="shared" si="3"/>
        <v>4</v>
      </c>
      <c r="B82" s="61">
        <f t="shared" si="4"/>
        <v>16</v>
      </c>
      <c r="C82" s="59" t="str">
        <f t="shared" si="5"/>
        <v>mar</v>
      </c>
      <c r="D82" s="63">
        <f>WORKDAY(D81,1,JoursFeries!$B$3:$CH$15)</f>
        <v>42843</v>
      </c>
      <c r="E82" s="55" t="str">
        <f>IFERROR(VLOOKUP(D82,'Recap Dates'!$A$2:$B$99,2,FALSE),"")</f>
        <v/>
      </c>
      <c r="F82" s="74" t="str">
        <f>IFERROR(VLOOKUP(D82,'Recap Dates'!$A$103:$B$216,2,FALSE),"")</f>
        <v>Remplacement joint boitier</v>
      </c>
      <c r="G82" s="55" t="str">
        <f>IFERROR(VLOOKUP(D82,'Recap Dates'!$A$220:$B$284,2,FALSE),"")</f>
        <v/>
      </c>
      <c r="H82" s="55" t="str">
        <f>IFERROR(VLOOKUP(D82,Engin!$F$7:$G$253,2,FALSE),"")</f>
        <v/>
      </c>
    </row>
    <row r="83" spans="1:8" ht="63.95" customHeight="1" x14ac:dyDescent="0.25">
      <c r="A83" s="59">
        <f t="shared" si="3"/>
        <v>4</v>
      </c>
      <c r="B83" s="61">
        <f t="shared" si="4"/>
        <v>16</v>
      </c>
      <c r="C83" s="59" t="str">
        <f t="shared" si="5"/>
        <v>mer</v>
      </c>
      <c r="D83" s="63">
        <f>WORKDAY(D82,1,JoursFeries!$B$3:$CH$15)</f>
        <v>42844</v>
      </c>
      <c r="E83" s="55" t="str">
        <f>IFERROR(VLOOKUP(D83,'Recap Dates'!$A$2:$B$99,2,FALSE),"")</f>
        <v/>
      </c>
      <c r="F83" s="74" t="str">
        <f>IFERROR(VLOOKUP(D83,'Recap Dates'!$A$103:$B$216,2,FALSE),"")</f>
        <v/>
      </c>
      <c r="G83" s="55" t="str">
        <f>IFERROR(VLOOKUP(D83,'Recap Dates'!$A$220:$B$284,2,FALSE),"")</f>
        <v/>
      </c>
      <c r="H83" s="55" t="str">
        <f>IFERROR(VLOOKUP(D83,Engin!$F$7:$G$253,2,FALSE),"")</f>
        <v/>
      </c>
    </row>
    <row r="84" spans="1:8" ht="63.95" customHeight="1" x14ac:dyDescent="0.25">
      <c r="A84" s="59">
        <f t="shared" si="3"/>
        <v>4</v>
      </c>
      <c r="B84" s="61">
        <f t="shared" si="4"/>
        <v>16</v>
      </c>
      <c r="C84" s="59" t="str">
        <f t="shared" si="5"/>
        <v>jeu</v>
      </c>
      <c r="D84" s="63">
        <f>WORKDAY(D83,1,JoursFeries!$B$3:$CH$15)</f>
        <v>42845</v>
      </c>
      <c r="E84" s="55" t="str">
        <f>IFERROR(VLOOKUP(D84,'Recap Dates'!$A$2:$B$99,2,FALSE),"")</f>
        <v/>
      </c>
      <c r="F84" s="74" t="str">
        <f>IFERROR(VLOOKUP(D84,'Recap Dates'!$A$103:$B$216,2,FALSE),"")</f>
        <v/>
      </c>
      <c r="G84" s="55" t="str">
        <f>IFERROR(VLOOKUP(D84,'Recap Dates'!$A$220:$B$284,2,FALSE),"")</f>
        <v/>
      </c>
      <c r="H84" s="55" t="str">
        <f>IFERROR(VLOOKUP(D84,Engin!$F$7:$G$253,2,FALSE),"")</f>
        <v>Entretien 10700h (100h)</v>
      </c>
    </row>
    <row r="85" spans="1:8" ht="63.95" customHeight="1" x14ac:dyDescent="0.25">
      <c r="A85" s="59">
        <f t="shared" si="3"/>
        <v>4</v>
      </c>
      <c r="B85" s="61">
        <f t="shared" si="4"/>
        <v>16</v>
      </c>
      <c r="C85" s="59" t="str">
        <f t="shared" si="5"/>
        <v>ven</v>
      </c>
      <c r="D85" s="63">
        <f>WORKDAY(D84,1,JoursFeries!$B$3:$CH$15)</f>
        <v>42846</v>
      </c>
      <c r="E85" s="55" t="str">
        <f>IFERROR(VLOOKUP(D85,'Recap Dates'!$A$2:$B$99,2,FALSE),"")</f>
        <v/>
      </c>
      <c r="F85" s="74" t="str">
        <f>IFERROR(VLOOKUP(D85,'Recap Dates'!$A$103:$B$216,2,FALSE),"")</f>
        <v/>
      </c>
      <c r="G85" s="55" t="str">
        <f>IFERROR(VLOOKUP(D85,'Recap Dates'!$A$220:$B$284,2,FALSE),"")</f>
        <v/>
      </c>
      <c r="H85" s="55" t="str">
        <f>IFERROR(VLOOKUP(D85,Engin!$F$7:$G$253,2,FALSE),"")</f>
        <v/>
      </c>
    </row>
    <row r="86" spans="1:8" ht="63.95" customHeight="1" x14ac:dyDescent="0.25">
      <c r="A86" s="59">
        <f t="shared" si="3"/>
        <v>4</v>
      </c>
      <c r="B86" s="61">
        <f t="shared" si="4"/>
        <v>17</v>
      </c>
      <c r="C86" s="59" t="str">
        <f t="shared" si="5"/>
        <v>lun</v>
      </c>
      <c r="D86" s="63">
        <f>WORKDAY(D85,1,JoursFeries!$B$3:$CH$15)</f>
        <v>42849</v>
      </c>
      <c r="E86" s="55" t="str">
        <f>IFERROR(VLOOKUP(D86,'Recap Dates'!$A$2:$B$99,2,FALSE),"")</f>
        <v/>
      </c>
      <c r="F86" s="74" t="str">
        <f>IFERROR(VLOOKUP(D86,'Recap Dates'!$A$103:$B$216,2,FALSE),"")</f>
        <v/>
      </c>
      <c r="G86" s="55" t="str">
        <f>IFERROR(VLOOKUP(D86,'Recap Dates'!$A$220:$B$284,2,FALSE),"")</f>
        <v/>
      </c>
      <c r="H86" s="55" t="str">
        <f>IFERROR(VLOOKUP(D86,Engin!$F$7:$G$253,2,FALSE),"")</f>
        <v/>
      </c>
    </row>
    <row r="87" spans="1:8" ht="63.95" customHeight="1" x14ac:dyDescent="0.25">
      <c r="A87" s="59">
        <f t="shared" si="3"/>
        <v>4</v>
      </c>
      <c r="B87" s="61">
        <f t="shared" si="4"/>
        <v>17</v>
      </c>
      <c r="C87" s="59" t="str">
        <f t="shared" si="5"/>
        <v>mar</v>
      </c>
      <c r="D87" s="63">
        <f>WORKDAY(D86,1,JoursFeries!$B$3:$CH$15)</f>
        <v>42850</v>
      </c>
      <c r="E87" s="55" t="str">
        <f>IFERROR(VLOOKUP(D87,'Recap Dates'!$A$2:$B$99,2,FALSE),"")</f>
        <v/>
      </c>
      <c r="F87" s="74" t="str">
        <f>IFERROR(VLOOKUP(D87,'Recap Dates'!$A$103:$B$216,2,FALSE),"")</f>
        <v/>
      </c>
      <c r="G87" s="55" t="str">
        <f>IFERROR(VLOOKUP(D87,'Recap Dates'!$A$220:$B$284,2,FALSE),"")</f>
        <v/>
      </c>
      <c r="H87" s="55" t="str">
        <f>IFERROR(VLOOKUP(D87,Engin!$F$7:$G$253,2,FALSE),"")</f>
        <v/>
      </c>
    </row>
    <row r="88" spans="1:8" ht="63.95" customHeight="1" x14ac:dyDescent="0.25">
      <c r="A88" s="59">
        <f t="shared" si="3"/>
        <v>4</v>
      </c>
      <c r="B88" s="61">
        <f t="shared" si="4"/>
        <v>17</v>
      </c>
      <c r="C88" s="59" t="str">
        <f t="shared" si="5"/>
        <v>mer</v>
      </c>
      <c r="D88" s="63">
        <f>WORKDAY(D87,1,JoursFeries!$B$3:$CH$15)</f>
        <v>42851</v>
      </c>
      <c r="E88" s="55" t="str">
        <f>IFERROR(VLOOKUP(D88,'Recap Dates'!$A$2:$B$99,2,FALSE),"")</f>
        <v/>
      </c>
      <c r="F88" s="74" t="str">
        <f>IFERROR(VLOOKUP(D88,'Recap Dates'!$A$103:$B$216,2,FALSE),"")</f>
        <v/>
      </c>
      <c r="G88" s="55" t="str">
        <f>IFERROR(VLOOKUP(D88,'Recap Dates'!$A$220:$B$284,2,FALSE),"")</f>
        <v/>
      </c>
      <c r="H88" s="55" t="str">
        <f>IFERROR(VLOOKUP(D88,Engin!$F$7:$G$253,2,FALSE),"")</f>
        <v/>
      </c>
    </row>
    <row r="89" spans="1:8" ht="63.95" customHeight="1" x14ac:dyDescent="0.25">
      <c r="A89" s="59">
        <f t="shared" si="3"/>
        <v>4</v>
      </c>
      <c r="B89" s="61">
        <f t="shared" si="4"/>
        <v>17</v>
      </c>
      <c r="C89" s="59" t="str">
        <f t="shared" si="5"/>
        <v>jeu</v>
      </c>
      <c r="D89" s="63">
        <f>WORKDAY(D88,1,JoursFeries!$B$3:$CH$15)</f>
        <v>42852</v>
      </c>
      <c r="E89" s="55" t="str">
        <f>IFERROR(VLOOKUP(D89,'Recap Dates'!$A$2:$B$99,2,FALSE),"")</f>
        <v/>
      </c>
      <c r="F89" s="74" t="str">
        <f>IFERROR(VLOOKUP(D89,'Recap Dates'!$A$103:$B$216,2,FALSE),"")</f>
        <v/>
      </c>
      <c r="G89" s="55" t="str">
        <f>IFERROR(VLOOKUP(D89,'Recap Dates'!$A$220:$B$284,2,FALSE),"")</f>
        <v/>
      </c>
      <c r="H89" s="55" t="str">
        <f>IFERROR(VLOOKUP(D89,Engin!$F$7:$G$253,2,FALSE),"")</f>
        <v>Entretien 10750h (250h)</v>
      </c>
    </row>
    <row r="90" spans="1:8" ht="63.95" customHeight="1" x14ac:dyDescent="0.25">
      <c r="A90" s="59">
        <f t="shared" si="3"/>
        <v>4</v>
      </c>
      <c r="B90" s="61">
        <f t="shared" si="4"/>
        <v>17</v>
      </c>
      <c r="C90" s="59" t="str">
        <f t="shared" si="5"/>
        <v>ven</v>
      </c>
      <c r="D90" s="63">
        <f>WORKDAY(D89,1,JoursFeries!$B$3:$CH$15)</f>
        <v>42853</v>
      </c>
      <c r="E90" s="55" t="str">
        <f>IFERROR(VLOOKUP(D90,'Recap Dates'!$A$2:$B$99,2,FALSE),"")</f>
        <v/>
      </c>
      <c r="F90" s="74" t="str">
        <f>IFERROR(VLOOKUP(D90,'Recap Dates'!$A$103:$B$216,2,FALSE),"")</f>
        <v/>
      </c>
      <c r="G90" s="55" t="str">
        <f>IFERROR(VLOOKUP(D90,'Recap Dates'!$A$220:$B$284,2,FALSE),"")</f>
        <v/>
      </c>
      <c r="H90" s="55" t="str">
        <f>IFERROR(VLOOKUP(D90,Engin!$F$7:$G$253,2,FALSE),"")</f>
        <v/>
      </c>
    </row>
    <row r="91" spans="1:8" ht="63.95" customHeight="1" x14ac:dyDescent="0.25">
      <c r="A91" s="59">
        <f t="shared" si="3"/>
        <v>5</v>
      </c>
      <c r="B91" s="61">
        <f t="shared" si="4"/>
        <v>18</v>
      </c>
      <c r="C91" s="59" t="str">
        <f t="shared" si="5"/>
        <v>mar</v>
      </c>
      <c r="D91" s="63">
        <f>WORKDAY(D90,1,JoursFeries!$B$3:$CH$15)</f>
        <v>42857</v>
      </c>
      <c r="E91" s="55" t="str">
        <f>IFERROR(VLOOKUP(D91,'Recap Dates'!$A$2:$B$99,2,FALSE),"")</f>
        <v/>
      </c>
      <c r="F91" s="74" t="str">
        <f>IFERROR(VLOOKUP(D91,'Recap Dates'!$A$103:$B$216,2,FALSE),"")</f>
        <v/>
      </c>
      <c r="G91" s="55" t="str">
        <f>IFERROR(VLOOKUP(D91,'Recap Dates'!$A$220:$B$284,2,FALSE),"")</f>
        <v/>
      </c>
      <c r="H91" s="55" t="str">
        <f>IFERROR(VLOOKUP(D91,Engin!$F$7:$G$253,2,FALSE),"")</f>
        <v/>
      </c>
    </row>
    <row r="92" spans="1:8" ht="63.95" customHeight="1" x14ac:dyDescent="0.25">
      <c r="A92" s="59">
        <f t="shared" si="3"/>
        <v>5</v>
      </c>
      <c r="B92" s="61">
        <f t="shared" si="4"/>
        <v>18</v>
      </c>
      <c r="C92" s="59" t="str">
        <f t="shared" si="5"/>
        <v>mer</v>
      </c>
      <c r="D92" s="63">
        <f>WORKDAY(D91,1,JoursFeries!$B$3:$CH$15)</f>
        <v>42858</v>
      </c>
      <c r="E92" s="55" t="str">
        <f>IFERROR(VLOOKUP(D92,'Recap Dates'!$A$2:$B$99,2,FALSE),"")</f>
        <v/>
      </c>
      <c r="F92" s="74" t="str">
        <f>IFERROR(VLOOKUP(D92,'Recap Dates'!$A$103:$B$216,2,FALSE),"")</f>
        <v/>
      </c>
      <c r="G92" s="55" t="str">
        <f>IFERROR(VLOOKUP(D92,'Recap Dates'!$A$220:$B$284,2,FALSE),"")</f>
        <v/>
      </c>
      <c r="H92" s="55" t="str">
        <f>IFERROR(VLOOKUP(D92,Engin!$F$7:$G$253,2,FALSE),"")</f>
        <v/>
      </c>
    </row>
    <row r="93" spans="1:8" ht="63.95" customHeight="1" x14ac:dyDescent="0.25">
      <c r="A93" s="59">
        <f t="shared" si="3"/>
        <v>5</v>
      </c>
      <c r="B93" s="61">
        <f t="shared" si="4"/>
        <v>18</v>
      </c>
      <c r="C93" s="59" t="str">
        <f t="shared" si="5"/>
        <v>jeu</v>
      </c>
      <c r="D93" s="63">
        <f>WORKDAY(D92,1,JoursFeries!$B$3:$CH$15)</f>
        <v>42859</v>
      </c>
      <c r="E93" s="55" t="str">
        <f>IFERROR(VLOOKUP(D93,'Recap Dates'!$A$2:$B$99,2,FALSE),"")</f>
        <v/>
      </c>
      <c r="F93" s="74" t="str">
        <f>IFERROR(VLOOKUP(D93,'Recap Dates'!$A$103:$B$216,2,FALSE),"")</f>
        <v/>
      </c>
      <c r="G93" s="55" t="str">
        <f>IFERROR(VLOOKUP(D93,'Recap Dates'!$A$220:$B$284,2,FALSE),"")</f>
        <v/>
      </c>
      <c r="H93" s="55" t="str">
        <f>IFERROR(VLOOKUP(D93,Engin!$F$7:$G$253,2,FALSE),"")</f>
        <v/>
      </c>
    </row>
    <row r="94" spans="1:8" ht="63.95" customHeight="1" x14ac:dyDescent="0.25">
      <c r="A94" s="59">
        <f t="shared" si="3"/>
        <v>5</v>
      </c>
      <c r="B94" s="61">
        <f t="shared" si="4"/>
        <v>18</v>
      </c>
      <c r="C94" s="59" t="str">
        <f t="shared" si="5"/>
        <v>ven</v>
      </c>
      <c r="D94" s="63">
        <f>WORKDAY(D93,1,JoursFeries!$B$3:$CH$15)</f>
        <v>42860</v>
      </c>
      <c r="E94" s="55" t="str">
        <f>IFERROR(VLOOKUP(D94,'Recap Dates'!$A$2:$B$99,2,FALSE),"")</f>
        <v/>
      </c>
      <c r="F94" s="74" t="str">
        <f>IFERROR(VLOOKUP(D94,'Recap Dates'!$A$103:$B$216,2,FALSE),"")</f>
        <v/>
      </c>
      <c r="G94" s="55" t="str">
        <f>IFERROR(VLOOKUP(D94,'Recap Dates'!$A$220:$B$284,2,FALSE),"")</f>
        <v/>
      </c>
      <c r="H94" s="55" t="str">
        <f>IFERROR(VLOOKUP(D94,Engin!$F$7:$G$253,2,FALSE),"")</f>
        <v>Entretien 10800h (100h)</v>
      </c>
    </row>
    <row r="95" spans="1:8" ht="63.95" customHeight="1" x14ac:dyDescent="0.25">
      <c r="A95" s="59">
        <f t="shared" si="3"/>
        <v>5</v>
      </c>
      <c r="B95" s="61">
        <f t="shared" si="4"/>
        <v>19</v>
      </c>
      <c r="C95" s="59" t="str">
        <f t="shared" si="5"/>
        <v>mar</v>
      </c>
      <c r="D95" s="63">
        <f>WORKDAY(D94,1,JoursFeries!$B$3:$CH$15)</f>
        <v>42864</v>
      </c>
      <c r="E95" s="55" t="str">
        <f>IFERROR(VLOOKUP(D95,'Recap Dates'!$A$2:$B$99,2,FALSE),"")</f>
        <v/>
      </c>
      <c r="F95" s="74" t="str">
        <f>IFERROR(VLOOKUP(D95,'Recap Dates'!$A$103:$B$216,2,FALSE),"")</f>
        <v/>
      </c>
      <c r="G95" s="55" t="str">
        <f>IFERROR(VLOOKUP(D95,'Recap Dates'!$A$220:$B$284,2,FALSE),"")</f>
        <v/>
      </c>
      <c r="H95" s="55" t="str">
        <f>IFERROR(VLOOKUP(D95,Engin!$F$7:$G$253,2,FALSE),"")</f>
        <v/>
      </c>
    </row>
    <row r="96" spans="1:8" ht="63.95" customHeight="1" x14ac:dyDescent="0.25">
      <c r="A96" s="59">
        <f t="shared" si="3"/>
        <v>5</v>
      </c>
      <c r="B96" s="61">
        <f t="shared" si="4"/>
        <v>19</v>
      </c>
      <c r="C96" s="59" t="str">
        <f t="shared" si="5"/>
        <v>mer</v>
      </c>
      <c r="D96" s="63">
        <f>WORKDAY(D95,1,JoursFeries!$B$3:$CH$15)</f>
        <v>42865</v>
      </c>
      <c r="E96" s="55" t="str">
        <f>IFERROR(VLOOKUP(D96,'Recap Dates'!$A$2:$B$99,2,FALSE),"")</f>
        <v/>
      </c>
      <c r="F96" s="74" t="str">
        <f>IFERROR(VLOOKUP(D96,'Recap Dates'!$A$103:$B$216,2,FALSE),"")</f>
        <v/>
      </c>
      <c r="G96" s="55" t="str">
        <f>IFERROR(VLOOKUP(D96,'Recap Dates'!$A$220:$B$284,2,FALSE),"")</f>
        <v/>
      </c>
      <c r="H96" s="55" t="str">
        <f>IFERROR(VLOOKUP(D96,Engin!$F$7:$G$253,2,FALSE),"")</f>
        <v/>
      </c>
    </row>
    <row r="97" spans="1:8" ht="63.95" customHeight="1" x14ac:dyDescent="0.25">
      <c r="A97" s="59">
        <f t="shared" si="3"/>
        <v>5</v>
      </c>
      <c r="B97" s="61">
        <f t="shared" si="4"/>
        <v>19</v>
      </c>
      <c r="C97" s="59" t="str">
        <f t="shared" si="5"/>
        <v>jeu</v>
      </c>
      <c r="D97" s="63">
        <f>WORKDAY(D96,1,JoursFeries!$B$3:$CH$15)</f>
        <v>42866</v>
      </c>
      <c r="E97" s="55" t="str">
        <f>IFERROR(VLOOKUP(D97,'Recap Dates'!$A$2:$B$99,2,FALSE),"")</f>
        <v/>
      </c>
      <c r="F97" s="74" t="str">
        <f>IFERROR(VLOOKUP(D97,'Recap Dates'!$A$103:$B$216,2,FALSE),"")</f>
        <v/>
      </c>
      <c r="G97" s="55" t="str">
        <f>IFERROR(VLOOKUP(D97,'Recap Dates'!$A$220:$B$284,2,FALSE),"")</f>
        <v/>
      </c>
      <c r="H97" s="55" t="str">
        <f>IFERROR(VLOOKUP(D97,Engin!$F$7:$G$253,2,FALSE),"")</f>
        <v/>
      </c>
    </row>
    <row r="98" spans="1:8" ht="63.95" customHeight="1" x14ac:dyDescent="0.25">
      <c r="A98" s="59">
        <f t="shared" si="3"/>
        <v>5</v>
      </c>
      <c r="B98" s="61">
        <f t="shared" si="4"/>
        <v>19</v>
      </c>
      <c r="C98" s="59" t="str">
        <f t="shared" si="5"/>
        <v>ven</v>
      </c>
      <c r="D98" s="63">
        <f>WORKDAY(D97,1,JoursFeries!$B$3:$CH$15)</f>
        <v>42867</v>
      </c>
      <c r="E98" s="55" t="str">
        <f>IFERROR(VLOOKUP(D98,'Recap Dates'!$A$2:$B$99,2,FALSE),"")</f>
        <v/>
      </c>
      <c r="F98" s="74" t="str">
        <f>IFERROR(VLOOKUP(D98,'Recap Dates'!$A$103:$B$216,2,FALSE),"")</f>
        <v>Remplacement blindage balourd</v>
      </c>
      <c r="G98" s="55" t="str">
        <f>IFERROR(VLOOKUP(D98,'Recap Dates'!$A$220:$B$284,2,FALSE),"")</f>
        <v/>
      </c>
      <c r="H98" s="55" t="str">
        <f>IFERROR(VLOOKUP(D98,Engin!$F$7:$G$253,2,FALSE),"")</f>
        <v/>
      </c>
    </row>
    <row r="99" spans="1:8" ht="63.95" customHeight="1" x14ac:dyDescent="0.25">
      <c r="A99" s="59">
        <f t="shared" si="3"/>
        <v>5</v>
      </c>
      <c r="B99" s="61">
        <f t="shared" si="4"/>
        <v>20</v>
      </c>
      <c r="C99" s="59" t="str">
        <f t="shared" si="5"/>
        <v>lun</v>
      </c>
      <c r="D99" s="63">
        <f>WORKDAY(D98,1,JoursFeries!$B$3:$CH$15)</f>
        <v>42870</v>
      </c>
      <c r="E99" s="55" t="str">
        <f>IFERROR(VLOOKUP(D99,'Recap Dates'!$A$2:$B$99,2,FALSE),"")</f>
        <v/>
      </c>
      <c r="F99" s="74" t="str">
        <f>IFERROR(VLOOKUP(D99,'Recap Dates'!$A$103:$B$216,2,FALSE),"")</f>
        <v/>
      </c>
      <c r="G99" s="55" t="str">
        <f>IFERROR(VLOOKUP(D99,'Recap Dates'!$A$220:$B$284,2,FALSE),"")</f>
        <v/>
      </c>
      <c r="H99" s="55" t="str">
        <f>IFERROR(VLOOKUP(D99,Engin!$F$7:$G$253,2,FALSE),"")</f>
        <v/>
      </c>
    </row>
    <row r="100" spans="1:8" ht="63.95" customHeight="1" x14ac:dyDescent="0.25">
      <c r="A100" s="59">
        <f t="shared" si="3"/>
        <v>5</v>
      </c>
      <c r="B100" s="61">
        <f t="shared" si="4"/>
        <v>20</v>
      </c>
      <c r="C100" s="59" t="str">
        <f t="shared" si="5"/>
        <v>mar</v>
      </c>
      <c r="D100" s="63">
        <f>WORKDAY(D99,1,JoursFeries!$B$3:$CH$15)</f>
        <v>42871</v>
      </c>
      <c r="E100" s="55" t="str">
        <f>IFERROR(VLOOKUP(D100,'Recap Dates'!$A$2:$B$99,2,FALSE),"")</f>
        <v/>
      </c>
      <c r="F100" s="74" t="str">
        <f>IFERROR(VLOOKUP(D100,'Recap Dates'!$A$103:$B$216,2,FALSE),"")</f>
        <v/>
      </c>
      <c r="G100" s="55" t="str">
        <f>IFERROR(VLOOKUP(D100,'Recap Dates'!$A$220:$B$284,2,FALSE),"")</f>
        <v/>
      </c>
      <c r="H100" s="55" t="str">
        <f>IFERROR(VLOOKUP(D100,Engin!$F$7:$G$253,2,FALSE),"")</f>
        <v/>
      </c>
    </row>
    <row r="101" spans="1:8" ht="63.95" customHeight="1" x14ac:dyDescent="0.25">
      <c r="A101" s="59">
        <f t="shared" si="3"/>
        <v>5</v>
      </c>
      <c r="B101" s="61">
        <f t="shared" si="4"/>
        <v>20</v>
      </c>
      <c r="C101" s="59" t="str">
        <f t="shared" si="5"/>
        <v>mer</v>
      </c>
      <c r="D101" s="63">
        <f>WORKDAY(D100,1,JoursFeries!$B$3:$CH$15)</f>
        <v>42872</v>
      </c>
      <c r="E101" s="55" t="str">
        <f>IFERROR(VLOOKUP(D101,'Recap Dates'!$A$2:$B$99,2,FALSE),"")</f>
        <v/>
      </c>
      <c r="F101" s="74" t="str">
        <f>IFERROR(VLOOKUP(D101,'Recap Dates'!$A$103:$B$216,2,FALSE),"")</f>
        <v/>
      </c>
      <c r="G101" s="55" t="str">
        <f>IFERROR(VLOOKUP(D101,'Recap Dates'!$A$220:$B$284,2,FALSE),"")</f>
        <v/>
      </c>
      <c r="H101" s="55" t="str">
        <f>IFERROR(VLOOKUP(D101,Engin!$F$7:$G$253,2,FALSE),"")</f>
        <v/>
      </c>
    </row>
    <row r="102" spans="1:8" ht="63.95" customHeight="1" x14ac:dyDescent="0.25">
      <c r="A102" s="59">
        <f t="shared" si="3"/>
        <v>5</v>
      </c>
      <c r="B102" s="61">
        <f t="shared" si="4"/>
        <v>20</v>
      </c>
      <c r="C102" s="59" t="str">
        <f t="shared" si="5"/>
        <v>jeu</v>
      </c>
      <c r="D102" s="63">
        <f>WORKDAY(D101,1,JoursFeries!$B$3:$CH$15)</f>
        <v>42873</v>
      </c>
      <c r="E102" s="55" t="str">
        <f>IFERROR(VLOOKUP(D102,'Recap Dates'!$A$2:$B$99,2,FALSE),"")</f>
        <v/>
      </c>
      <c r="F102" s="74" t="str">
        <f>IFERROR(VLOOKUP(D102,'Recap Dates'!$A$103:$B$216,2,FALSE),"")</f>
        <v/>
      </c>
      <c r="G102" s="55" t="str">
        <f>IFERROR(VLOOKUP(D102,'Recap Dates'!$A$220:$B$284,2,FALSE),"")</f>
        <v/>
      </c>
      <c r="H102" s="55" t="str">
        <f>IFERROR(VLOOKUP(D102,Engin!$F$7:$G$253,2,FALSE),"")</f>
        <v/>
      </c>
    </row>
    <row r="103" spans="1:8" ht="63.95" customHeight="1" x14ac:dyDescent="0.25">
      <c r="A103" s="59">
        <f t="shared" si="3"/>
        <v>5</v>
      </c>
      <c r="B103" s="61">
        <f t="shared" si="4"/>
        <v>20</v>
      </c>
      <c r="C103" s="59" t="str">
        <f t="shared" si="5"/>
        <v>ven</v>
      </c>
      <c r="D103" s="63">
        <f>WORKDAY(D102,1,JoursFeries!$B$3:$CH$15)</f>
        <v>42874</v>
      </c>
      <c r="E103" s="55" t="str">
        <f>IFERROR(VLOOKUP(D103,'Recap Dates'!$A$2:$B$99,2,FALSE),"")</f>
        <v/>
      </c>
      <c r="F103" s="74" t="str">
        <f>IFERROR(VLOOKUP(D103,'Recap Dates'!$A$103:$B$216,2,FALSE),"")</f>
        <v/>
      </c>
      <c r="G103" s="55" t="str">
        <f>IFERROR(VLOOKUP(D103,'Recap Dates'!$A$220:$B$284,2,FALSE),"")</f>
        <v/>
      </c>
      <c r="H103" s="55" t="str">
        <f>IFERROR(VLOOKUP(D103,Engin!$F$7:$G$253,2,FALSE),"")</f>
        <v/>
      </c>
    </row>
    <row r="104" spans="1:8" ht="63.95" customHeight="1" x14ac:dyDescent="0.25">
      <c r="A104" s="59">
        <f t="shared" si="3"/>
        <v>5</v>
      </c>
      <c r="B104" s="61">
        <f t="shared" si="4"/>
        <v>21</v>
      </c>
      <c r="C104" s="59" t="str">
        <f t="shared" si="5"/>
        <v>lun</v>
      </c>
      <c r="D104" s="63">
        <f>WORKDAY(D103,1,JoursFeries!$B$3:$CH$15)</f>
        <v>42877</v>
      </c>
      <c r="E104" s="55" t="str">
        <f>IFERROR(VLOOKUP(D104,'Recap Dates'!$A$2:$B$99,2,FALSE),"")</f>
        <v/>
      </c>
      <c r="F104" s="74" t="str">
        <f>IFERROR(VLOOKUP(D104,'Recap Dates'!$A$103:$B$216,2,FALSE),"")</f>
        <v/>
      </c>
      <c r="G104" s="55" t="str">
        <f>IFERROR(VLOOKUP(D104,'Recap Dates'!$A$220:$B$284,2,FALSE),"")</f>
        <v/>
      </c>
      <c r="H104" s="55" t="str">
        <f>IFERROR(VLOOKUP(D104,Engin!$F$7:$G$253,2,FALSE),"")</f>
        <v>Entretien 10900h (100h)</v>
      </c>
    </row>
    <row r="105" spans="1:8" ht="63.95" customHeight="1" x14ac:dyDescent="0.25">
      <c r="A105" s="59">
        <f t="shared" si="3"/>
        <v>5</v>
      </c>
      <c r="B105" s="61">
        <f t="shared" si="4"/>
        <v>21</v>
      </c>
      <c r="C105" s="59" t="str">
        <f t="shared" si="5"/>
        <v>mar</v>
      </c>
      <c r="D105" s="63">
        <f>WORKDAY(D104,1,JoursFeries!$B$3:$CH$15)</f>
        <v>42878</v>
      </c>
      <c r="E105" s="55" t="str">
        <f>IFERROR(VLOOKUP(D105,'Recap Dates'!$A$2:$B$99,2,FALSE),"")</f>
        <v/>
      </c>
      <c r="F105" s="74" t="str">
        <f>IFERROR(VLOOKUP(D105,'Recap Dates'!$A$103:$B$216,2,FALSE),"")</f>
        <v/>
      </c>
      <c r="G105" s="55" t="str">
        <f>IFERROR(VLOOKUP(D105,'Recap Dates'!$A$220:$B$284,2,FALSE),"")</f>
        <v/>
      </c>
      <c r="H105" s="55" t="str">
        <f>IFERROR(VLOOKUP(D105,Engin!$F$7:$G$253,2,FALSE),"")</f>
        <v/>
      </c>
    </row>
    <row r="106" spans="1:8" ht="63.95" customHeight="1" x14ac:dyDescent="0.25">
      <c r="A106" s="59">
        <f t="shared" si="3"/>
        <v>5</v>
      </c>
      <c r="B106" s="61">
        <f t="shared" si="4"/>
        <v>21</v>
      </c>
      <c r="C106" s="59" t="str">
        <f t="shared" si="5"/>
        <v>mer</v>
      </c>
      <c r="D106" s="63">
        <f>WORKDAY(D105,1,JoursFeries!$B$3:$CH$15)</f>
        <v>42879</v>
      </c>
      <c r="E106" s="55" t="str">
        <f>IFERROR(VLOOKUP(D106,'Recap Dates'!$A$2:$B$99,2,FALSE),"")</f>
        <v/>
      </c>
      <c r="F106" s="74" t="str">
        <f>IFERROR(VLOOKUP(D106,'Recap Dates'!$A$103:$B$216,2,FALSE),"")</f>
        <v/>
      </c>
      <c r="G106" s="55" t="str">
        <f>IFERROR(VLOOKUP(D106,'Recap Dates'!$A$220:$B$284,2,FALSE),"")</f>
        <v/>
      </c>
      <c r="H106" s="55" t="str">
        <f>IFERROR(VLOOKUP(D106,Engin!$F$7:$G$253,2,FALSE),"")</f>
        <v/>
      </c>
    </row>
    <row r="107" spans="1:8" ht="63.95" customHeight="1" x14ac:dyDescent="0.25">
      <c r="A107" s="59">
        <f t="shared" si="3"/>
        <v>5</v>
      </c>
      <c r="B107" s="61">
        <f t="shared" si="4"/>
        <v>21</v>
      </c>
      <c r="C107" s="59" t="str">
        <f t="shared" si="5"/>
        <v>ven</v>
      </c>
      <c r="D107" s="63">
        <f>WORKDAY(D106,1,JoursFeries!$B$3:$CH$15)</f>
        <v>42881</v>
      </c>
      <c r="E107" s="55" t="str">
        <f>IFERROR(VLOOKUP(D107,'Recap Dates'!$A$2:$B$99,2,FALSE),"")</f>
        <v/>
      </c>
      <c r="F107" s="74" t="str">
        <f>IFERROR(VLOOKUP(D107,'Recap Dates'!$A$103:$B$216,2,FALSE),"")</f>
        <v/>
      </c>
      <c r="G107" s="55" t="str">
        <f>IFERROR(VLOOKUP(D107,'Recap Dates'!$A$220:$B$284,2,FALSE),"")</f>
        <v/>
      </c>
      <c r="H107" s="55" t="str">
        <f>IFERROR(VLOOKUP(D107,Engin!$F$7:$G$253,2,FALSE),"")</f>
        <v/>
      </c>
    </row>
    <row r="108" spans="1:8" ht="63.95" customHeight="1" x14ac:dyDescent="0.25">
      <c r="A108" s="59">
        <f t="shared" si="3"/>
        <v>5</v>
      </c>
      <c r="B108" s="61">
        <f t="shared" si="4"/>
        <v>22</v>
      </c>
      <c r="C108" s="59" t="str">
        <f t="shared" si="5"/>
        <v>lun</v>
      </c>
      <c r="D108" s="63">
        <f>WORKDAY(D107,1,JoursFeries!$B$3:$CH$15)</f>
        <v>42884</v>
      </c>
      <c r="E108" s="55" t="str">
        <f>IFERROR(VLOOKUP(D108,'Recap Dates'!$A$2:$B$99,2,FALSE),"")</f>
        <v/>
      </c>
      <c r="F108" s="74" t="str">
        <f>IFERROR(VLOOKUP(D108,'Recap Dates'!$A$103:$B$216,2,FALSE),"")</f>
        <v/>
      </c>
      <c r="G108" s="55" t="str">
        <f>IFERROR(VLOOKUP(D108,'Recap Dates'!$A$220:$B$284,2,FALSE),"")</f>
        <v/>
      </c>
      <c r="H108" s="55" t="str">
        <f>IFERROR(VLOOKUP(D108,Engin!$F$7:$G$253,2,FALSE),"")</f>
        <v/>
      </c>
    </row>
    <row r="109" spans="1:8" ht="63.95" customHeight="1" x14ac:dyDescent="0.25">
      <c r="A109" s="59">
        <f t="shared" si="3"/>
        <v>5</v>
      </c>
      <c r="B109" s="61">
        <f t="shared" si="4"/>
        <v>22</v>
      </c>
      <c r="C109" s="59" t="str">
        <f t="shared" si="5"/>
        <v>mar</v>
      </c>
      <c r="D109" s="63">
        <f>WORKDAY(D108,1,JoursFeries!$B$3:$CH$15)</f>
        <v>42885</v>
      </c>
      <c r="E109" s="55" t="str">
        <f>IFERROR(VLOOKUP(D109,'Recap Dates'!$A$2:$B$99,2,FALSE),"")</f>
        <v/>
      </c>
      <c r="F109" s="74" t="str">
        <f>IFERROR(VLOOKUP(D109,'Recap Dates'!$A$103:$B$216,2,FALSE),"")</f>
        <v/>
      </c>
      <c r="G109" s="55" t="str">
        <f>IFERROR(VLOOKUP(D109,'Recap Dates'!$A$220:$B$284,2,FALSE),"")</f>
        <v/>
      </c>
      <c r="H109" s="55" t="str">
        <f>IFERROR(VLOOKUP(D109,Engin!$F$7:$G$253,2,FALSE),"")</f>
        <v/>
      </c>
    </row>
    <row r="110" spans="1:8" ht="63.95" customHeight="1" x14ac:dyDescent="0.25">
      <c r="A110" s="59">
        <f t="shared" si="3"/>
        <v>5</v>
      </c>
      <c r="B110" s="61">
        <f t="shared" si="4"/>
        <v>22</v>
      </c>
      <c r="C110" s="59" t="str">
        <f t="shared" si="5"/>
        <v>mer</v>
      </c>
      <c r="D110" s="63">
        <f>WORKDAY(D109,1,JoursFeries!$B$3:$CH$15)</f>
        <v>42886</v>
      </c>
      <c r="E110" s="55" t="str">
        <f>IFERROR(VLOOKUP(D110,'Recap Dates'!$A$2:$B$99,2,FALSE),"")</f>
        <v/>
      </c>
      <c r="F110" s="74" t="str">
        <f>IFERROR(VLOOKUP(D110,'Recap Dates'!$A$103:$B$216,2,FALSE),"")</f>
        <v/>
      </c>
      <c r="G110" s="55" t="str">
        <f>IFERROR(VLOOKUP(D110,'Recap Dates'!$A$220:$B$284,2,FALSE),"")</f>
        <v/>
      </c>
      <c r="H110" s="55" t="str">
        <f>IFERROR(VLOOKUP(D110,Engin!$F$7:$G$253,2,FALSE),"")</f>
        <v/>
      </c>
    </row>
    <row r="111" spans="1:8" ht="63.95" customHeight="1" x14ac:dyDescent="0.25">
      <c r="A111" s="59">
        <f t="shared" si="3"/>
        <v>6</v>
      </c>
      <c r="B111" s="61">
        <f t="shared" si="4"/>
        <v>22</v>
      </c>
      <c r="C111" s="59" t="str">
        <f t="shared" si="5"/>
        <v>jeu</v>
      </c>
      <c r="D111" s="63">
        <f>WORKDAY(D110,1,JoursFeries!$B$3:$CH$15)</f>
        <v>42887</v>
      </c>
      <c r="E111" s="55" t="str">
        <f>IFERROR(VLOOKUP(D111,'Recap Dates'!$A$2:$B$99,2,FALSE),"")</f>
        <v/>
      </c>
      <c r="F111" s="74" t="str">
        <f>IFERROR(VLOOKUP(D111,'Recap Dates'!$A$103:$B$216,2,FALSE),"")</f>
        <v/>
      </c>
      <c r="G111" s="55" t="str">
        <f>IFERROR(VLOOKUP(D111,'Recap Dates'!$A$220:$B$284,2,FALSE),"")</f>
        <v/>
      </c>
      <c r="H111" s="55" t="str">
        <f>IFERROR(VLOOKUP(D111,Engin!$F$7:$G$253,2,FALSE),"")</f>
        <v/>
      </c>
    </row>
    <row r="112" spans="1:8" ht="63.95" customHeight="1" x14ac:dyDescent="0.25">
      <c r="A112" s="59">
        <f t="shared" si="3"/>
        <v>6</v>
      </c>
      <c r="B112" s="61">
        <f t="shared" si="4"/>
        <v>22</v>
      </c>
      <c r="C112" s="59" t="str">
        <f t="shared" si="5"/>
        <v>ven</v>
      </c>
      <c r="D112" s="63">
        <f>WORKDAY(D111,1,JoursFeries!$B$3:$CH$15)</f>
        <v>42888</v>
      </c>
      <c r="E112" s="55" t="str">
        <f>IFERROR(VLOOKUP(D112,'Recap Dates'!$A$2:$B$99,2,FALSE),"")</f>
        <v/>
      </c>
      <c r="F112" s="74" t="str">
        <f>IFERROR(VLOOKUP(D112,'Recap Dates'!$A$103:$B$216,2,FALSE),"")</f>
        <v/>
      </c>
      <c r="G112" s="55" t="str">
        <f>IFERROR(VLOOKUP(D112,'Recap Dates'!$A$220:$B$284,2,FALSE),"")</f>
        <v/>
      </c>
      <c r="H112" s="55" t="str">
        <f>IFERROR(VLOOKUP(D112,Engin!$F$7:$G$253,2,FALSE),"")</f>
        <v/>
      </c>
    </row>
    <row r="113" spans="1:8" ht="63.95" customHeight="1" x14ac:dyDescent="0.25">
      <c r="A113" s="59">
        <f t="shared" si="3"/>
        <v>6</v>
      </c>
      <c r="B113" s="61">
        <f t="shared" si="4"/>
        <v>23</v>
      </c>
      <c r="C113" s="59" t="str">
        <f t="shared" si="5"/>
        <v>mar</v>
      </c>
      <c r="D113" s="63">
        <f>WORKDAY(D112,1,JoursFeries!$B$3:$CH$15)</f>
        <v>42892</v>
      </c>
      <c r="E113" s="55" t="str">
        <f>IFERROR(VLOOKUP(D113,'Recap Dates'!$A$2:$B$99,2,FALSE),"")</f>
        <v/>
      </c>
      <c r="F113" s="74" t="str">
        <f>IFERROR(VLOOKUP(D113,'Recap Dates'!$A$103:$B$216,2,FALSE),"")</f>
        <v/>
      </c>
      <c r="G113" s="55" t="str">
        <f>IFERROR(VLOOKUP(D113,'Recap Dates'!$A$220:$B$284,2,FALSE),"")</f>
        <v/>
      </c>
      <c r="H113" s="55" t="str">
        <f>IFERROR(VLOOKUP(D113,Engin!$F$7:$G$253,2,FALSE),"")</f>
        <v/>
      </c>
    </row>
    <row r="114" spans="1:8" ht="63.95" customHeight="1" x14ac:dyDescent="0.25">
      <c r="A114" s="59">
        <f t="shared" si="3"/>
        <v>6</v>
      </c>
      <c r="B114" s="61">
        <f t="shared" si="4"/>
        <v>23</v>
      </c>
      <c r="C114" s="59" t="str">
        <f t="shared" si="5"/>
        <v>mer</v>
      </c>
      <c r="D114" s="63">
        <f>WORKDAY(D113,1,JoursFeries!$B$3:$CH$15)</f>
        <v>42893</v>
      </c>
      <c r="E114" s="55" t="str">
        <f>IFERROR(VLOOKUP(D114,'Recap Dates'!$A$2:$B$99,2,FALSE),"")</f>
        <v/>
      </c>
      <c r="F114" s="74" t="str">
        <f>IFERROR(VLOOKUP(D114,'Recap Dates'!$A$103:$B$216,2,FALSE),"")</f>
        <v/>
      </c>
      <c r="G114" s="55" t="str">
        <f>IFERROR(VLOOKUP(D114,'Recap Dates'!$A$220:$B$284,2,FALSE),"")</f>
        <v/>
      </c>
      <c r="H114" s="55" t="str">
        <f>IFERROR(VLOOKUP(D114,Engin!$F$7:$G$253,2,FALSE),"")</f>
        <v>Entretien 11000h (1000h + 500h + 250h + 100h)</v>
      </c>
    </row>
    <row r="115" spans="1:8" ht="63.95" customHeight="1" x14ac:dyDescent="0.25">
      <c r="A115" s="59">
        <f t="shared" si="3"/>
        <v>6</v>
      </c>
      <c r="B115" s="61">
        <f t="shared" si="4"/>
        <v>23</v>
      </c>
      <c r="C115" s="59" t="str">
        <f t="shared" si="5"/>
        <v>jeu</v>
      </c>
      <c r="D115" s="63">
        <f>WORKDAY(D114,1,JoursFeries!$B$3:$CH$15)</f>
        <v>42894</v>
      </c>
      <c r="E115" s="55" t="str">
        <f>IFERROR(VLOOKUP(D115,'Recap Dates'!$A$2:$B$99,2,FALSE),"")</f>
        <v/>
      </c>
      <c r="F115" s="74" t="str">
        <f>IFERROR(VLOOKUP(D115,'Recap Dates'!$A$103:$B$216,2,FALSE),"")</f>
        <v/>
      </c>
      <c r="G115" s="55" t="str">
        <f>IFERROR(VLOOKUP(D115,'Recap Dates'!$A$220:$B$284,2,FALSE),"")</f>
        <v/>
      </c>
      <c r="H115" s="55" t="str">
        <f>IFERROR(VLOOKUP(D115,Engin!$F$7:$G$253,2,FALSE),"")</f>
        <v/>
      </c>
    </row>
    <row r="116" spans="1:8" ht="63.95" customHeight="1" x14ac:dyDescent="0.25">
      <c r="A116" s="59">
        <f t="shared" si="3"/>
        <v>6</v>
      </c>
      <c r="B116" s="61">
        <f t="shared" si="4"/>
        <v>23</v>
      </c>
      <c r="C116" s="59" t="str">
        <f t="shared" si="5"/>
        <v>ven</v>
      </c>
      <c r="D116" s="63">
        <f>WORKDAY(D115,1,JoursFeries!$B$3:$CH$15)</f>
        <v>42895</v>
      </c>
      <c r="E116" s="55" t="str">
        <f>IFERROR(VLOOKUP(D116,'Recap Dates'!$A$2:$B$99,2,FALSE),"")</f>
        <v/>
      </c>
      <c r="F116" s="74" t="str">
        <f>IFERROR(VLOOKUP(D116,'Recap Dates'!$A$103:$B$216,2,FALSE),"")</f>
        <v/>
      </c>
      <c r="G116" s="55" t="str">
        <f>IFERROR(VLOOKUP(D116,'Recap Dates'!$A$220:$B$284,2,FALSE),"")</f>
        <v/>
      </c>
      <c r="H116" s="55" t="str">
        <f>IFERROR(VLOOKUP(D116,Engin!$F$7:$G$253,2,FALSE),"")</f>
        <v/>
      </c>
    </row>
    <row r="117" spans="1:8" ht="63.95" customHeight="1" x14ac:dyDescent="0.25">
      <c r="A117" s="59">
        <f t="shared" si="3"/>
        <v>6</v>
      </c>
      <c r="B117" s="61">
        <f t="shared" si="4"/>
        <v>24</v>
      </c>
      <c r="C117" s="59" t="str">
        <f t="shared" si="5"/>
        <v>lun</v>
      </c>
      <c r="D117" s="63">
        <f>WORKDAY(D116,1,JoursFeries!$B$3:$CH$15)</f>
        <v>42898</v>
      </c>
      <c r="E117" s="55" t="str">
        <f>IFERROR(VLOOKUP(D117,'Recap Dates'!$A$2:$B$99,2,FALSE),"")</f>
        <v/>
      </c>
      <c r="F117" s="74" t="str">
        <f>IFERROR(VLOOKUP(D117,'Recap Dates'!$A$103:$B$216,2,FALSE),"")</f>
        <v/>
      </c>
      <c r="G117" s="55" t="str">
        <f>IFERROR(VLOOKUP(D117,'Recap Dates'!$A$220:$B$284,2,FALSE),"")</f>
        <v/>
      </c>
      <c r="H117" s="55" t="str">
        <f>IFERROR(VLOOKUP(D117,Engin!$F$7:$G$253,2,FALSE),"")</f>
        <v/>
      </c>
    </row>
    <row r="118" spans="1:8" ht="63.95" customHeight="1" x14ac:dyDescent="0.25">
      <c r="A118" s="59">
        <f t="shared" si="3"/>
        <v>6</v>
      </c>
      <c r="B118" s="61">
        <f t="shared" si="4"/>
        <v>24</v>
      </c>
      <c r="C118" s="59" t="str">
        <f t="shared" si="5"/>
        <v>mar</v>
      </c>
      <c r="D118" s="63">
        <f>WORKDAY(D117,1,JoursFeries!$B$3:$CH$15)</f>
        <v>42899</v>
      </c>
      <c r="E118" s="55" t="str">
        <f>IFERROR(VLOOKUP(D118,'Recap Dates'!$A$2:$B$99,2,FALSE),"")</f>
        <v/>
      </c>
      <c r="F118" s="74" t="str">
        <f>IFERROR(VLOOKUP(D118,'Recap Dates'!$A$103:$B$216,2,FALSE),"")</f>
        <v/>
      </c>
      <c r="G118" s="55" t="str">
        <f>IFERROR(VLOOKUP(D118,'Recap Dates'!$A$220:$B$284,2,FALSE),"")</f>
        <v/>
      </c>
      <c r="H118" s="55" t="str">
        <f>IFERROR(VLOOKUP(D118,Engin!$F$7:$G$253,2,FALSE),"")</f>
        <v/>
      </c>
    </row>
    <row r="119" spans="1:8" ht="63.95" customHeight="1" x14ac:dyDescent="0.25">
      <c r="A119" s="59">
        <f t="shared" si="3"/>
        <v>6</v>
      </c>
      <c r="B119" s="61">
        <f t="shared" si="4"/>
        <v>24</v>
      </c>
      <c r="C119" s="59" t="str">
        <f t="shared" si="5"/>
        <v>mer</v>
      </c>
      <c r="D119" s="63">
        <f>WORKDAY(D118,1,JoursFeries!$B$3:$CH$15)</f>
        <v>42900</v>
      </c>
      <c r="E119" s="55" t="str">
        <f>IFERROR(VLOOKUP(D119,'Recap Dates'!$A$2:$B$99,2,FALSE),"")</f>
        <v/>
      </c>
      <c r="F119" s="74" t="str">
        <f>IFERROR(VLOOKUP(D119,'Recap Dates'!$A$103:$B$216,2,FALSE),"")</f>
        <v/>
      </c>
      <c r="G119" s="55" t="str">
        <f>IFERROR(VLOOKUP(D119,'Recap Dates'!$A$220:$B$284,2,FALSE),"")</f>
        <v/>
      </c>
      <c r="H119" s="55" t="str">
        <f>IFERROR(VLOOKUP(D119,Engin!$F$7:$G$253,2,FALSE),"")</f>
        <v/>
      </c>
    </row>
    <row r="120" spans="1:8" ht="63.95" customHeight="1" x14ac:dyDescent="0.25">
      <c r="A120" s="59">
        <f t="shared" si="3"/>
        <v>6</v>
      </c>
      <c r="B120" s="61">
        <f t="shared" si="4"/>
        <v>24</v>
      </c>
      <c r="C120" s="59" t="str">
        <f t="shared" si="5"/>
        <v>jeu</v>
      </c>
      <c r="D120" s="63">
        <f>WORKDAY(D119,1,JoursFeries!$B$3:$CH$15)</f>
        <v>42901</v>
      </c>
      <c r="E120" s="55" t="str">
        <f>IFERROR(VLOOKUP(D120,'Recap Dates'!$A$2:$B$99,2,FALSE),"")</f>
        <v/>
      </c>
      <c r="F120" s="74" t="str">
        <f>IFERROR(VLOOKUP(D120,'Recap Dates'!$A$103:$B$216,2,FALSE),"")</f>
        <v/>
      </c>
      <c r="G120" s="55" t="str">
        <f>IFERROR(VLOOKUP(D120,'Recap Dates'!$A$220:$B$284,2,FALSE),"")</f>
        <v/>
      </c>
      <c r="H120" s="55" t="str">
        <f>IFERROR(VLOOKUP(D120,Engin!$F$7:$G$253,2,FALSE),"")</f>
        <v/>
      </c>
    </row>
    <row r="121" spans="1:8" ht="63.95" customHeight="1" x14ac:dyDescent="0.25">
      <c r="A121" s="59">
        <f t="shared" si="3"/>
        <v>6</v>
      </c>
      <c r="B121" s="61">
        <f t="shared" si="4"/>
        <v>24</v>
      </c>
      <c r="C121" s="59" t="str">
        <f t="shared" si="5"/>
        <v>ven</v>
      </c>
      <c r="D121" s="63">
        <f>WORKDAY(D120,1,JoursFeries!$B$3:$CH$15)</f>
        <v>42902</v>
      </c>
      <c r="E121" s="55" t="str">
        <f>IFERROR(VLOOKUP(D121,'Recap Dates'!$A$2:$B$99,2,FALSE),"")</f>
        <v/>
      </c>
      <c r="F121" s="74" t="str">
        <f>IFERROR(VLOOKUP(D121,'Recap Dates'!$A$103:$B$216,2,FALSE),"")</f>
        <v/>
      </c>
      <c r="G121" s="55" t="str">
        <f>IFERROR(VLOOKUP(D121,'Recap Dates'!$A$220:$B$284,2,FALSE),"")</f>
        <v/>
      </c>
      <c r="H121" s="55" t="str">
        <f>IFERROR(VLOOKUP(D121,Engin!$F$7:$G$253,2,FALSE),"")</f>
        <v/>
      </c>
    </row>
    <row r="122" spans="1:8" ht="63.95" customHeight="1" x14ac:dyDescent="0.25">
      <c r="A122" s="59">
        <f t="shared" si="3"/>
        <v>6</v>
      </c>
      <c r="B122" s="61">
        <f t="shared" si="4"/>
        <v>25</v>
      </c>
      <c r="C122" s="59" t="str">
        <f t="shared" si="5"/>
        <v>lun</v>
      </c>
      <c r="D122" s="63">
        <f>WORKDAY(D121,1,JoursFeries!$B$3:$CH$15)</f>
        <v>42905</v>
      </c>
      <c r="E122" s="55" t="str">
        <f>IFERROR(VLOOKUP(D122,'Recap Dates'!$A$2:$B$99,2,FALSE),"")</f>
        <v/>
      </c>
      <c r="F122" s="74" t="str">
        <f>IFERROR(VLOOKUP(D122,'Recap Dates'!$A$103:$B$216,2,FALSE),"")</f>
        <v/>
      </c>
      <c r="G122" s="55" t="str">
        <f>IFERROR(VLOOKUP(D122,'Recap Dates'!$A$220:$B$284,2,FALSE),"")</f>
        <v/>
      </c>
      <c r="H122" s="55" t="str">
        <f>IFERROR(VLOOKUP(D122,Engin!$F$7:$G$253,2,FALSE),"")</f>
        <v/>
      </c>
    </row>
    <row r="123" spans="1:8" ht="63.95" customHeight="1" x14ac:dyDescent="0.25">
      <c r="A123" s="59">
        <f t="shared" si="3"/>
        <v>6</v>
      </c>
      <c r="B123" s="61">
        <f t="shared" si="4"/>
        <v>25</v>
      </c>
      <c r="C123" s="59" t="str">
        <f t="shared" si="5"/>
        <v>mar</v>
      </c>
      <c r="D123" s="63">
        <f>WORKDAY(D122,1,JoursFeries!$B$3:$CH$15)</f>
        <v>42906</v>
      </c>
      <c r="E123" s="55" t="str">
        <f>IFERROR(VLOOKUP(D123,'Recap Dates'!$A$2:$B$99,2,FALSE),"")</f>
        <v/>
      </c>
      <c r="F123" s="74" t="str">
        <f>IFERROR(VLOOKUP(D123,'Recap Dates'!$A$103:$B$216,2,FALSE),"")</f>
        <v/>
      </c>
      <c r="G123" s="55" t="str">
        <f>IFERROR(VLOOKUP(D123,'Recap Dates'!$A$220:$B$284,2,FALSE),"")</f>
        <v/>
      </c>
      <c r="H123" s="55" t="str">
        <f>IFERROR(VLOOKUP(D123,Engin!$F$7:$G$253,2,FALSE),"")</f>
        <v/>
      </c>
    </row>
    <row r="124" spans="1:8" ht="63.95" customHeight="1" x14ac:dyDescent="0.25">
      <c r="A124" s="59">
        <f t="shared" si="3"/>
        <v>6</v>
      </c>
      <c r="B124" s="61">
        <f t="shared" si="4"/>
        <v>25</v>
      </c>
      <c r="C124" s="59" t="str">
        <f t="shared" si="5"/>
        <v>mer</v>
      </c>
      <c r="D124" s="63">
        <f>WORKDAY(D123,1,JoursFeries!$B$3:$CH$15)</f>
        <v>42907</v>
      </c>
      <c r="E124" s="55" t="str">
        <f>IFERROR(VLOOKUP(D124,'Recap Dates'!$A$2:$B$99,2,FALSE),"")</f>
        <v/>
      </c>
      <c r="F124" s="74" t="str">
        <f>IFERROR(VLOOKUP(D124,'Recap Dates'!$A$103:$B$216,2,FALSE),"")</f>
        <v/>
      </c>
      <c r="G124" s="55" t="str">
        <f>IFERROR(VLOOKUP(D124,'Recap Dates'!$A$220:$B$284,2,FALSE),"")</f>
        <v/>
      </c>
      <c r="H124" s="55" t="str">
        <f>IFERROR(VLOOKUP(D124,Engin!$F$7:$G$253,2,FALSE),"")</f>
        <v/>
      </c>
    </row>
    <row r="125" spans="1:8" ht="63.95" customHeight="1" x14ac:dyDescent="0.25">
      <c r="A125" s="59">
        <f t="shared" si="3"/>
        <v>6</v>
      </c>
      <c r="B125" s="61">
        <f t="shared" si="4"/>
        <v>25</v>
      </c>
      <c r="C125" s="59" t="str">
        <f t="shared" si="5"/>
        <v>jeu</v>
      </c>
      <c r="D125" s="63">
        <f>WORKDAY(D124,1,JoursFeries!$B$3:$CH$15)</f>
        <v>42908</v>
      </c>
      <c r="E125" s="55" t="str">
        <f>IFERROR(VLOOKUP(D125,'Recap Dates'!$A$2:$B$99,2,FALSE),"")</f>
        <v/>
      </c>
      <c r="F125" s="74" t="str">
        <f>IFERROR(VLOOKUP(D125,'Recap Dates'!$A$103:$B$216,2,FALSE),"")</f>
        <v/>
      </c>
      <c r="G125" s="55" t="str">
        <f>IFERROR(VLOOKUP(D125,'Recap Dates'!$A$220:$B$284,2,FALSE),"")</f>
        <v/>
      </c>
      <c r="H125" s="55" t="str">
        <f>IFERROR(VLOOKUP(D125,Engin!$F$7:$G$253,2,FALSE),"")</f>
        <v>Entretien 11100h (100h)</v>
      </c>
    </row>
    <row r="126" spans="1:8" ht="63.95" customHeight="1" x14ac:dyDescent="0.25">
      <c r="A126" s="59">
        <f t="shared" si="3"/>
        <v>6</v>
      </c>
      <c r="B126" s="61">
        <f t="shared" si="4"/>
        <v>25</v>
      </c>
      <c r="C126" s="59" t="str">
        <f t="shared" si="5"/>
        <v>ven</v>
      </c>
      <c r="D126" s="63">
        <f>WORKDAY(D125,1,JoursFeries!$B$3:$CH$15)</f>
        <v>42909</v>
      </c>
      <c r="E126" s="55" t="str">
        <f>IFERROR(VLOOKUP(D126,'Recap Dates'!$A$2:$B$99,2,FALSE),"")</f>
        <v/>
      </c>
      <c r="F126" s="74" t="str">
        <f>IFERROR(VLOOKUP(D126,'Recap Dates'!$A$103:$B$216,2,FALSE),"")</f>
        <v/>
      </c>
      <c r="G126" s="55" t="str">
        <f>IFERROR(VLOOKUP(D126,'Recap Dates'!$A$220:$B$284,2,FALSE),"")</f>
        <v/>
      </c>
      <c r="H126" s="55" t="str">
        <f>IFERROR(VLOOKUP(D126,Engin!$F$7:$G$253,2,FALSE),"")</f>
        <v/>
      </c>
    </row>
    <row r="127" spans="1:8" ht="63.95" customHeight="1" x14ac:dyDescent="0.25">
      <c r="A127" s="59">
        <f t="shared" si="3"/>
        <v>6</v>
      </c>
      <c r="B127" s="61">
        <f t="shared" si="4"/>
        <v>26</v>
      </c>
      <c r="C127" s="59" t="str">
        <f t="shared" si="5"/>
        <v>lun</v>
      </c>
      <c r="D127" s="63">
        <f>WORKDAY(D126,1,JoursFeries!$B$3:$CH$15)</f>
        <v>42912</v>
      </c>
      <c r="E127" s="55" t="str">
        <f>IFERROR(VLOOKUP(D127,'Recap Dates'!$A$2:$B$99,2,FALSE),"")</f>
        <v/>
      </c>
      <c r="F127" s="74" t="str">
        <f>IFERROR(VLOOKUP(D127,'Recap Dates'!$A$103:$B$216,2,FALSE),"")</f>
        <v/>
      </c>
      <c r="G127" s="55" t="str">
        <f>IFERROR(VLOOKUP(D127,'Recap Dates'!$A$220:$B$284,2,FALSE),"")</f>
        <v/>
      </c>
      <c r="H127" s="55" t="str">
        <f>IFERROR(VLOOKUP(D127,Engin!$F$7:$G$253,2,FALSE),"")</f>
        <v/>
      </c>
    </row>
    <row r="128" spans="1:8" ht="63.95" customHeight="1" x14ac:dyDescent="0.25">
      <c r="A128" s="59">
        <f t="shared" si="3"/>
        <v>6</v>
      </c>
      <c r="B128" s="61">
        <f t="shared" si="4"/>
        <v>26</v>
      </c>
      <c r="C128" s="59" t="str">
        <f t="shared" si="5"/>
        <v>mar</v>
      </c>
      <c r="D128" s="63">
        <f>WORKDAY(D127,1,JoursFeries!$B$3:$CH$15)</f>
        <v>42913</v>
      </c>
      <c r="E128" s="55" t="str">
        <f>IFERROR(VLOOKUP(D128,'Recap Dates'!$A$2:$B$99,2,FALSE),"")</f>
        <v/>
      </c>
      <c r="F128" s="74" t="str">
        <f>IFERROR(VLOOKUP(D128,'Recap Dates'!$A$103:$B$216,2,FALSE),"")</f>
        <v/>
      </c>
      <c r="G128" s="55" t="str">
        <f>IFERROR(VLOOKUP(D128,'Recap Dates'!$A$220:$B$284,2,FALSE),"")</f>
        <v/>
      </c>
      <c r="H128" s="55" t="str">
        <f>IFERROR(VLOOKUP(D128,Engin!$F$7:$G$253,2,FALSE),"")</f>
        <v/>
      </c>
    </row>
    <row r="129" spans="1:8" ht="63.95" customHeight="1" x14ac:dyDescent="0.25">
      <c r="A129" s="59">
        <f t="shared" si="3"/>
        <v>6</v>
      </c>
      <c r="B129" s="61">
        <f t="shared" si="4"/>
        <v>26</v>
      </c>
      <c r="C129" s="59" t="str">
        <f t="shared" si="5"/>
        <v>mer</v>
      </c>
      <c r="D129" s="63">
        <f>WORKDAY(D128,1,JoursFeries!$B$3:$CH$15)</f>
        <v>42914</v>
      </c>
      <c r="E129" s="55" t="str">
        <f>IFERROR(VLOOKUP(D129,'Recap Dates'!$A$2:$B$99,2,FALSE),"")</f>
        <v/>
      </c>
      <c r="F129" s="74" t="str">
        <f>IFERROR(VLOOKUP(D129,'Recap Dates'!$A$103:$B$216,2,FALSE),"")</f>
        <v/>
      </c>
      <c r="G129" s="55" t="str">
        <f>IFERROR(VLOOKUP(D129,'Recap Dates'!$A$220:$B$284,2,FALSE),"")</f>
        <v/>
      </c>
      <c r="H129" s="55" t="str">
        <f>IFERROR(VLOOKUP(D129,Engin!$F$7:$G$253,2,FALSE),"")</f>
        <v/>
      </c>
    </row>
    <row r="130" spans="1:8" ht="63.95" customHeight="1" x14ac:dyDescent="0.25">
      <c r="A130" s="59">
        <f t="shared" si="3"/>
        <v>6</v>
      </c>
      <c r="B130" s="61">
        <f t="shared" si="4"/>
        <v>26</v>
      </c>
      <c r="C130" s="59" t="str">
        <f t="shared" si="5"/>
        <v>jeu</v>
      </c>
      <c r="D130" s="63">
        <f>WORKDAY(D129,1,JoursFeries!$B$3:$CH$15)</f>
        <v>42915</v>
      </c>
      <c r="E130" s="55" t="str">
        <f>IFERROR(VLOOKUP(D130,'Recap Dates'!$A$2:$B$99,2,FALSE),"")</f>
        <v/>
      </c>
      <c r="F130" s="74" t="str">
        <f>IFERROR(VLOOKUP(D130,'Recap Dates'!$A$103:$B$216,2,FALSE),"")</f>
        <v/>
      </c>
      <c r="G130" s="55" t="str">
        <f>IFERROR(VLOOKUP(D130,'Recap Dates'!$A$220:$B$284,2,FALSE),"")</f>
        <v/>
      </c>
      <c r="H130" s="55" t="str">
        <f>IFERROR(VLOOKUP(D130,Engin!$F$7:$G$253,2,FALSE),"")</f>
        <v/>
      </c>
    </row>
    <row r="131" spans="1:8" ht="63.95" customHeight="1" x14ac:dyDescent="0.25">
      <c r="A131" s="59">
        <f t="shared" si="3"/>
        <v>6</v>
      </c>
      <c r="B131" s="61">
        <f t="shared" si="4"/>
        <v>26</v>
      </c>
      <c r="C131" s="59" t="str">
        <f t="shared" si="5"/>
        <v>ven</v>
      </c>
      <c r="D131" s="63">
        <f>WORKDAY(D130,1,JoursFeries!$B$3:$CH$15)</f>
        <v>42916</v>
      </c>
      <c r="E131" s="55" t="str">
        <f>IFERROR(VLOOKUP(D131,'Recap Dates'!$A$2:$B$99,2,FALSE),"")</f>
        <v/>
      </c>
      <c r="F131" s="74" t="str">
        <f>IFERROR(VLOOKUP(D131,'Recap Dates'!$A$103:$B$216,2,FALSE),"")</f>
        <v/>
      </c>
      <c r="G131" s="55" t="str">
        <f>IFERROR(VLOOKUP(D131,'Recap Dates'!$A$220:$B$284,2,FALSE),"")</f>
        <v/>
      </c>
      <c r="H131" s="55" t="str">
        <f>IFERROR(VLOOKUP(D131,Engin!$F$7:$G$253,2,FALSE),"")</f>
        <v/>
      </c>
    </row>
    <row r="132" spans="1:8" ht="63.95" customHeight="1" x14ac:dyDescent="0.25">
      <c r="A132" s="59">
        <f t="shared" si="3"/>
        <v>7</v>
      </c>
      <c r="B132" s="61">
        <f t="shared" si="4"/>
        <v>27</v>
      </c>
      <c r="C132" s="59" t="str">
        <f t="shared" si="5"/>
        <v>lun</v>
      </c>
      <c r="D132" s="63">
        <f>WORKDAY(D131,1,JoursFeries!$B$3:$CH$15)</f>
        <v>42919</v>
      </c>
      <c r="E132" s="55" t="str">
        <f>IFERROR(VLOOKUP(D132,'Recap Dates'!$A$2:$B$99,2,FALSE),"")</f>
        <v/>
      </c>
      <c r="F132" s="74" t="str">
        <f>IFERROR(VLOOKUP(D132,'Recap Dates'!$A$103:$B$216,2,FALSE),"")</f>
        <v/>
      </c>
      <c r="G132" s="55" t="str">
        <f>IFERROR(VLOOKUP(D132,'Recap Dates'!$A$220:$B$284,2,FALSE),"")</f>
        <v/>
      </c>
      <c r="H132" s="55" t="str">
        <f>IFERROR(VLOOKUP(D132,Engin!$F$7:$G$253,2,FALSE),"")</f>
        <v/>
      </c>
    </row>
    <row r="133" spans="1:8" ht="63.95" customHeight="1" x14ac:dyDescent="0.25">
      <c r="A133" s="59">
        <f t="shared" si="3"/>
        <v>7</v>
      </c>
      <c r="B133" s="61">
        <f t="shared" si="4"/>
        <v>27</v>
      </c>
      <c r="C133" s="59" t="str">
        <f t="shared" si="5"/>
        <v>mar</v>
      </c>
      <c r="D133" s="63">
        <f>WORKDAY(D132,1,JoursFeries!$B$3:$CH$15)</f>
        <v>42920</v>
      </c>
      <c r="E133" s="55" t="str">
        <f>IFERROR(VLOOKUP(D133,'Recap Dates'!$A$2:$B$99,2,FALSE),"")</f>
        <v/>
      </c>
      <c r="F133" s="74" t="str">
        <f>IFERROR(VLOOKUP(D133,'Recap Dates'!$A$103:$B$216,2,FALSE),"")</f>
        <v/>
      </c>
      <c r="G133" s="55" t="str">
        <f>IFERROR(VLOOKUP(D133,'Recap Dates'!$A$220:$B$284,2,FALSE),"")</f>
        <v/>
      </c>
      <c r="H133" s="55" t="str">
        <f>IFERROR(VLOOKUP(D133,Engin!$F$7:$G$253,2,FALSE),"")</f>
        <v/>
      </c>
    </row>
    <row r="134" spans="1:8" ht="63.95" customHeight="1" x14ac:dyDescent="0.25">
      <c r="A134" s="59">
        <f t="shared" si="3"/>
        <v>7</v>
      </c>
      <c r="B134" s="61">
        <f t="shared" si="4"/>
        <v>27</v>
      </c>
      <c r="C134" s="59" t="str">
        <f t="shared" si="5"/>
        <v>mer</v>
      </c>
      <c r="D134" s="63">
        <f>WORKDAY(D133,1,JoursFeries!$B$3:$CH$15)</f>
        <v>42921</v>
      </c>
      <c r="E134" s="55" t="str">
        <f>IFERROR(VLOOKUP(D134,'Recap Dates'!$A$2:$B$99,2,FALSE),"")</f>
        <v/>
      </c>
      <c r="F134" s="74" t="str">
        <f>IFERROR(VLOOKUP(D134,'Recap Dates'!$A$103:$B$216,2,FALSE),"")</f>
        <v>Remplacement machoires fixe et mobile</v>
      </c>
      <c r="G134" s="55" t="str">
        <f>IFERROR(VLOOKUP(D134,'Recap Dates'!$A$220:$B$284,2,FALSE),"")</f>
        <v/>
      </c>
      <c r="H134" s="55" t="str">
        <f>IFERROR(VLOOKUP(D134,Engin!$F$7:$G$253,2,FALSE),"")</f>
        <v>Entretien 11200h (100h)</v>
      </c>
    </row>
    <row r="135" spans="1:8" ht="63.95" customHeight="1" x14ac:dyDescent="0.25">
      <c r="A135" s="59">
        <f t="shared" ref="A135:A198" si="6">MONTH(D135)</f>
        <v>7</v>
      </c>
      <c r="B135" s="61">
        <f t="shared" ref="B135:B198" si="7">WEEKNUM(D135,1)</f>
        <v>27</v>
      </c>
      <c r="C135" s="59" t="str">
        <f t="shared" ref="C135:C198" si="8">TEXT(D135,"jjj")</f>
        <v>jeu</v>
      </c>
      <c r="D135" s="63">
        <f>WORKDAY(D134,1,JoursFeries!$B$3:$CH$15)</f>
        <v>42922</v>
      </c>
      <c r="E135" s="55" t="str">
        <f>IFERROR(VLOOKUP(D135,'Recap Dates'!$A$2:$B$99,2,FALSE),"")</f>
        <v/>
      </c>
      <c r="F135" s="74" t="str">
        <f>IFERROR(VLOOKUP(D135,'Recap Dates'!$A$103:$B$216,2,FALSE),"")</f>
        <v/>
      </c>
      <c r="G135" s="55" t="str">
        <f>IFERROR(VLOOKUP(D135,'Recap Dates'!$A$220:$B$284,2,FALSE),"")</f>
        <v/>
      </c>
      <c r="H135" s="55" t="str">
        <f>IFERROR(VLOOKUP(D135,Engin!$F$7:$G$253,2,FALSE),"")</f>
        <v/>
      </c>
    </row>
    <row r="136" spans="1:8" ht="63.95" customHeight="1" x14ac:dyDescent="0.25">
      <c r="A136" s="59">
        <f t="shared" si="6"/>
        <v>7</v>
      </c>
      <c r="B136" s="61">
        <f t="shared" si="7"/>
        <v>27</v>
      </c>
      <c r="C136" s="59" t="str">
        <f t="shared" si="8"/>
        <v>ven</v>
      </c>
      <c r="D136" s="63">
        <f>WORKDAY(D135,1,JoursFeries!$B$3:$CH$15)</f>
        <v>42923</v>
      </c>
      <c r="E136" s="55" t="str">
        <f>IFERROR(VLOOKUP(D136,'Recap Dates'!$A$2:$B$99,2,FALSE),"")</f>
        <v/>
      </c>
      <c r="F136" s="74" t="str">
        <f>IFERROR(VLOOKUP(D136,'Recap Dates'!$A$103:$B$216,2,FALSE),"")</f>
        <v/>
      </c>
      <c r="G136" s="55" t="str">
        <f>IFERROR(VLOOKUP(D136,'Recap Dates'!$A$220:$B$284,2,FALSE),"")</f>
        <v/>
      </c>
      <c r="H136" s="55" t="str">
        <f>IFERROR(VLOOKUP(D136,Engin!$F$7:$G$253,2,FALSE),"")</f>
        <v/>
      </c>
    </row>
    <row r="137" spans="1:8" ht="63.95" customHeight="1" x14ac:dyDescent="0.25">
      <c r="A137" s="59">
        <f t="shared" si="6"/>
        <v>7</v>
      </c>
      <c r="B137" s="61">
        <f t="shared" si="7"/>
        <v>28</v>
      </c>
      <c r="C137" s="59" t="str">
        <f t="shared" si="8"/>
        <v>lun</v>
      </c>
      <c r="D137" s="63">
        <f>WORKDAY(D136,1,JoursFeries!$B$3:$CH$15)</f>
        <v>42926</v>
      </c>
      <c r="E137" s="55" t="str">
        <f>IFERROR(VLOOKUP(D137,'Recap Dates'!$A$2:$B$99,2,FALSE),"")</f>
        <v/>
      </c>
      <c r="F137" s="74" t="str">
        <f>IFERROR(VLOOKUP(D137,'Recap Dates'!$A$103:$B$216,2,FALSE),"")</f>
        <v/>
      </c>
      <c r="G137" s="55" t="str">
        <f>IFERROR(VLOOKUP(D137,'Recap Dates'!$A$220:$B$284,2,FALSE),"")</f>
        <v/>
      </c>
      <c r="H137" s="55" t="str">
        <f>IFERROR(VLOOKUP(D137,Engin!$F$7:$G$253,2,FALSE),"")</f>
        <v/>
      </c>
    </row>
    <row r="138" spans="1:8" ht="63.95" customHeight="1" x14ac:dyDescent="0.25">
      <c r="A138" s="59">
        <f t="shared" si="6"/>
        <v>7</v>
      </c>
      <c r="B138" s="61">
        <f t="shared" si="7"/>
        <v>28</v>
      </c>
      <c r="C138" s="59" t="str">
        <f t="shared" si="8"/>
        <v>mar</v>
      </c>
      <c r="D138" s="63">
        <f>WORKDAY(D137,1,JoursFeries!$B$3:$CH$15)</f>
        <v>42927</v>
      </c>
      <c r="E138" s="55" t="str">
        <f>IFERROR(VLOOKUP(D138,'Recap Dates'!$A$2:$B$99,2,FALSE),"")</f>
        <v/>
      </c>
      <c r="F138" s="74" t="str">
        <f>IFERROR(VLOOKUP(D138,'Recap Dates'!$A$103:$B$216,2,FALSE),"")</f>
        <v>Remplacement blindage balourd</v>
      </c>
      <c r="G138" s="55" t="str">
        <f>IFERROR(VLOOKUP(D138,'Recap Dates'!$A$220:$B$284,2,FALSE),"")</f>
        <v/>
      </c>
      <c r="H138" s="55" t="str">
        <f>IFERROR(VLOOKUP(D138,Engin!$F$7:$G$253,2,FALSE),"")</f>
        <v/>
      </c>
    </row>
    <row r="139" spans="1:8" ht="63.95" customHeight="1" x14ac:dyDescent="0.25">
      <c r="A139" s="59">
        <f t="shared" si="6"/>
        <v>7</v>
      </c>
      <c r="B139" s="61">
        <f t="shared" si="7"/>
        <v>28</v>
      </c>
      <c r="C139" s="59" t="str">
        <f t="shared" si="8"/>
        <v>mer</v>
      </c>
      <c r="D139" s="63">
        <f>WORKDAY(D138,1,JoursFeries!$B$3:$CH$15)</f>
        <v>42928</v>
      </c>
      <c r="E139" s="55" t="str">
        <f>IFERROR(VLOOKUP(D139,'Recap Dates'!$A$2:$B$99,2,FALSE),"")</f>
        <v/>
      </c>
      <c r="F139" s="74" t="str">
        <f>IFERROR(VLOOKUP(D139,'Recap Dates'!$A$103:$B$216,2,FALSE),"")</f>
        <v/>
      </c>
      <c r="G139" s="55" t="str">
        <f>IFERROR(VLOOKUP(D139,'Recap Dates'!$A$220:$B$284,2,FALSE),"")</f>
        <v/>
      </c>
      <c r="H139" s="55" t="str">
        <f>IFERROR(VLOOKUP(D139,Engin!$F$7:$G$253,2,FALSE),"")</f>
        <v>Entretien 11250h (250h)</v>
      </c>
    </row>
    <row r="140" spans="1:8" ht="63.95" customHeight="1" x14ac:dyDescent="0.25">
      <c r="A140" s="59">
        <f t="shared" si="6"/>
        <v>7</v>
      </c>
      <c r="B140" s="61">
        <f t="shared" si="7"/>
        <v>28</v>
      </c>
      <c r="C140" s="59" t="str">
        <f t="shared" si="8"/>
        <v>jeu</v>
      </c>
      <c r="D140" s="63">
        <f>WORKDAY(D139,1,JoursFeries!$B$3:$CH$15)</f>
        <v>42929</v>
      </c>
      <c r="E140" s="55" t="str">
        <f>IFERROR(VLOOKUP(D140,'Recap Dates'!$A$2:$B$99,2,FALSE),"")</f>
        <v/>
      </c>
      <c r="F140" s="74" t="str">
        <f>IFERROR(VLOOKUP(D140,'Recap Dates'!$A$103:$B$216,2,FALSE),"")</f>
        <v/>
      </c>
      <c r="G140" s="55" t="str">
        <f>IFERROR(VLOOKUP(D140,'Recap Dates'!$A$220:$B$284,2,FALSE),"")</f>
        <v/>
      </c>
      <c r="H140" s="55" t="str">
        <f>IFERROR(VLOOKUP(D140,Engin!$F$7:$G$253,2,FALSE),"")</f>
        <v/>
      </c>
    </row>
    <row r="141" spans="1:8" ht="63.95" customHeight="1" x14ac:dyDescent="0.25">
      <c r="A141" s="59">
        <f t="shared" si="6"/>
        <v>7</v>
      </c>
      <c r="B141" s="61">
        <f t="shared" si="7"/>
        <v>29</v>
      </c>
      <c r="C141" s="59" t="str">
        <f t="shared" si="8"/>
        <v>lun</v>
      </c>
      <c r="D141" s="63">
        <f>WORKDAY(D140,1,JoursFeries!$B$3:$CH$15)</f>
        <v>42933</v>
      </c>
      <c r="E141" s="55" t="str">
        <f>IFERROR(VLOOKUP(D141,'Recap Dates'!$A$2:$B$99,2,FALSE),"")</f>
        <v/>
      </c>
      <c r="F141" s="74" t="str">
        <f>IFERROR(VLOOKUP(D141,'Recap Dates'!$A$103:$B$216,2,FALSE),"")</f>
        <v/>
      </c>
      <c r="G141" s="55" t="str">
        <f>IFERROR(VLOOKUP(D141,'Recap Dates'!$A$220:$B$284,2,FALSE),"")</f>
        <v/>
      </c>
      <c r="H141" s="55" t="str">
        <f>IFERROR(VLOOKUP(D141,Engin!$F$7:$G$253,2,FALSE),"")</f>
        <v/>
      </c>
    </row>
    <row r="142" spans="1:8" ht="63.95" customHeight="1" x14ac:dyDescent="0.25">
      <c r="A142" s="59">
        <f t="shared" si="6"/>
        <v>7</v>
      </c>
      <c r="B142" s="61">
        <f t="shared" si="7"/>
        <v>29</v>
      </c>
      <c r="C142" s="59" t="str">
        <f t="shared" si="8"/>
        <v>mar</v>
      </c>
      <c r="D142" s="63">
        <f>WORKDAY(D141,1,JoursFeries!$B$3:$CH$15)</f>
        <v>42934</v>
      </c>
      <c r="E142" s="55" t="str">
        <f>IFERROR(VLOOKUP(D142,'Recap Dates'!$A$2:$B$99,2,FALSE),"")</f>
        <v/>
      </c>
      <c r="F142" s="74" t="str">
        <f>IFERROR(VLOOKUP(D142,'Recap Dates'!$A$103:$B$216,2,FALSE),"")</f>
        <v/>
      </c>
      <c r="G142" s="55" t="str">
        <f>IFERROR(VLOOKUP(D142,'Recap Dates'!$A$220:$B$284,2,FALSE),"")</f>
        <v/>
      </c>
      <c r="H142" s="55" t="str">
        <f>IFERROR(VLOOKUP(D142,Engin!$F$7:$G$253,2,FALSE),"")</f>
        <v/>
      </c>
    </row>
    <row r="143" spans="1:8" ht="63.95" customHeight="1" x14ac:dyDescent="0.25">
      <c r="A143" s="59">
        <f t="shared" si="6"/>
        <v>7</v>
      </c>
      <c r="B143" s="61">
        <f t="shared" si="7"/>
        <v>29</v>
      </c>
      <c r="C143" s="59" t="str">
        <f t="shared" si="8"/>
        <v>mer</v>
      </c>
      <c r="D143" s="63">
        <f>WORKDAY(D142,1,JoursFeries!$B$3:$CH$15)</f>
        <v>42935</v>
      </c>
      <c r="E143" s="55" t="str">
        <f>IFERROR(VLOOKUP(D143,'Recap Dates'!$A$2:$B$99,2,FALSE),"")</f>
        <v/>
      </c>
      <c r="F143" s="74" t="str">
        <f>IFERROR(VLOOKUP(D143,'Recap Dates'!$A$103:$B$216,2,FALSE),"")</f>
        <v/>
      </c>
      <c r="G143" s="55" t="str">
        <f>IFERROR(VLOOKUP(D143,'Recap Dates'!$A$220:$B$284,2,FALSE),"")</f>
        <v/>
      </c>
      <c r="H143" s="55" t="str">
        <f>IFERROR(VLOOKUP(D143,Engin!$F$7:$G$253,2,FALSE),"")</f>
        <v/>
      </c>
    </row>
    <row r="144" spans="1:8" ht="63.95" customHeight="1" x14ac:dyDescent="0.25">
      <c r="A144" s="59">
        <f t="shared" si="6"/>
        <v>7</v>
      </c>
      <c r="B144" s="61">
        <f t="shared" si="7"/>
        <v>29</v>
      </c>
      <c r="C144" s="59" t="str">
        <f t="shared" si="8"/>
        <v>jeu</v>
      </c>
      <c r="D144" s="63">
        <f>WORKDAY(D143,1,JoursFeries!$B$3:$CH$15)</f>
        <v>42936</v>
      </c>
      <c r="E144" s="55" t="str">
        <f>IFERROR(VLOOKUP(D144,'Recap Dates'!$A$2:$B$99,2,FALSE),"")</f>
        <v/>
      </c>
      <c r="F144" s="74" t="str">
        <f>IFERROR(VLOOKUP(D144,'Recap Dates'!$A$103:$B$216,2,FALSE),"")</f>
        <v/>
      </c>
      <c r="G144" s="55" t="str">
        <f>IFERROR(VLOOKUP(D144,'Recap Dates'!$A$220:$B$284,2,FALSE),"")</f>
        <v/>
      </c>
      <c r="H144" s="55" t="str">
        <f>IFERROR(VLOOKUP(D144,Engin!$F$7:$G$253,2,FALSE),"")</f>
        <v>Entretien 11300h (100h)</v>
      </c>
    </row>
    <row r="145" spans="1:8" ht="63.95" customHeight="1" x14ac:dyDescent="0.25">
      <c r="A145" s="59">
        <f t="shared" si="6"/>
        <v>7</v>
      </c>
      <c r="B145" s="61">
        <f t="shared" si="7"/>
        <v>29</v>
      </c>
      <c r="C145" s="59" t="str">
        <f t="shared" si="8"/>
        <v>ven</v>
      </c>
      <c r="D145" s="63">
        <f>WORKDAY(D144,1,JoursFeries!$B$3:$CH$15)</f>
        <v>42937</v>
      </c>
      <c r="E145" s="55" t="str">
        <f>IFERROR(VLOOKUP(D145,'Recap Dates'!$A$2:$B$99,2,FALSE),"")</f>
        <v/>
      </c>
      <c r="F145" s="74" t="str">
        <f>IFERROR(VLOOKUP(D145,'Recap Dates'!$A$103:$B$216,2,FALSE),"")</f>
        <v/>
      </c>
      <c r="G145" s="55" t="str">
        <f>IFERROR(VLOOKUP(D145,'Recap Dates'!$A$220:$B$284,2,FALSE),"")</f>
        <v/>
      </c>
      <c r="H145" s="55" t="str">
        <f>IFERROR(VLOOKUP(D145,Engin!$F$7:$G$253,2,FALSE),"")</f>
        <v/>
      </c>
    </row>
    <row r="146" spans="1:8" ht="63.95" customHeight="1" x14ac:dyDescent="0.25">
      <c r="A146" s="59">
        <f t="shared" si="6"/>
        <v>7</v>
      </c>
      <c r="B146" s="61">
        <f t="shared" si="7"/>
        <v>30</v>
      </c>
      <c r="C146" s="59" t="str">
        <f t="shared" si="8"/>
        <v>lun</v>
      </c>
      <c r="D146" s="63">
        <f>WORKDAY(D145,1,JoursFeries!$B$3:$CH$15)</f>
        <v>42940</v>
      </c>
      <c r="E146" s="55" t="str">
        <f>IFERROR(VLOOKUP(D146,'Recap Dates'!$A$2:$B$99,2,FALSE),"")</f>
        <v/>
      </c>
      <c r="F146" s="74" t="str">
        <f>IFERROR(VLOOKUP(D146,'Recap Dates'!$A$103:$B$216,2,FALSE),"")</f>
        <v/>
      </c>
      <c r="G146" s="55" t="str">
        <f>IFERROR(VLOOKUP(D146,'Recap Dates'!$A$220:$B$284,2,FALSE),"")</f>
        <v/>
      </c>
      <c r="H146" s="55" t="str">
        <f>IFERROR(VLOOKUP(D146,Engin!$F$7:$G$253,2,FALSE),"")</f>
        <v/>
      </c>
    </row>
    <row r="147" spans="1:8" ht="63.95" customHeight="1" x14ac:dyDescent="0.25">
      <c r="A147" s="59">
        <f t="shared" si="6"/>
        <v>7</v>
      </c>
      <c r="B147" s="61">
        <f t="shared" si="7"/>
        <v>30</v>
      </c>
      <c r="C147" s="59" t="str">
        <f t="shared" si="8"/>
        <v>mar</v>
      </c>
      <c r="D147" s="63">
        <f>WORKDAY(D146,1,JoursFeries!$B$3:$CH$15)</f>
        <v>42941</v>
      </c>
      <c r="E147" s="55" t="str">
        <f>IFERROR(VLOOKUP(D147,'Recap Dates'!$A$2:$B$99,2,FALSE),"")</f>
        <v/>
      </c>
      <c r="F147" s="74" t="str">
        <f>IFERROR(VLOOKUP(D147,'Recap Dates'!$A$103:$B$216,2,FALSE),"")</f>
        <v/>
      </c>
      <c r="G147" s="55" t="str">
        <f>IFERROR(VLOOKUP(D147,'Recap Dates'!$A$220:$B$284,2,FALSE),"")</f>
        <v/>
      </c>
      <c r="H147" s="55" t="str">
        <f>IFERROR(VLOOKUP(D147,Engin!$F$7:$G$253,2,FALSE),"")</f>
        <v/>
      </c>
    </row>
    <row r="148" spans="1:8" ht="63.95" customHeight="1" x14ac:dyDescent="0.25">
      <c r="A148" s="59">
        <f t="shared" si="6"/>
        <v>7</v>
      </c>
      <c r="B148" s="61">
        <f t="shared" si="7"/>
        <v>30</v>
      </c>
      <c r="C148" s="59" t="str">
        <f t="shared" si="8"/>
        <v>mer</v>
      </c>
      <c r="D148" s="63">
        <f>WORKDAY(D147,1,JoursFeries!$B$3:$CH$15)</f>
        <v>42942</v>
      </c>
      <c r="E148" s="55" t="str">
        <f>IFERROR(VLOOKUP(D148,'Recap Dates'!$A$2:$B$99,2,FALSE),"")</f>
        <v/>
      </c>
      <c r="F148" s="74" t="str">
        <f>IFERROR(VLOOKUP(D148,'Recap Dates'!$A$103:$B$216,2,FALSE),"")</f>
        <v/>
      </c>
      <c r="G148" s="55" t="str">
        <f>IFERROR(VLOOKUP(D148,'Recap Dates'!$A$220:$B$284,2,FALSE),"")</f>
        <v/>
      </c>
      <c r="H148" s="55" t="str">
        <f>IFERROR(VLOOKUP(D148,Engin!$F$7:$G$253,2,FALSE),"")</f>
        <v/>
      </c>
    </row>
    <row r="149" spans="1:8" ht="63.95" customHeight="1" x14ac:dyDescent="0.25">
      <c r="A149" s="59">
        <f t="shared" si="6"/>
        <v>7</v>
      </c>
      <c r="B149" s="61">
        <f t="shared" si="7"/>
        <v>30</v>
      </c>
      <c r="C149" s="59" t="str">
        <f t="shared" si="8"/>
        <v>jeu</v>
      </c>
      <c r="D149" s="63">
        <f>WORKDAY(D148,1,JoursFeries!$B$3:$CH$15)</f>
        <v>42943</v>
      </c>
      <c r="E149" s="55" t="str">
        <f>IFERROR(VLOOKUP(D149,'Recap Dates'!$A$2:$B$99,2,FALSE),"")</f>
        <v/>
      </c>
      <c r="F149" s="74" t="str">
        <f>IFERROR(VLOOKUP(D149,'Recap Dates'!$A$103:$B$216,2,FALSE),"")</f>
        <v/>
      </c>
      <c r="G149" s="55" t="str">
        <f>IFERROR(VLOOKUP(D149,'Recap Dates'!$A$220:$B$284,2,FALSE),"")</f>
        <v/>
      </c>
      <c r="H149" s="55" t="str">
        <f>IFERROR(VLOOKUP(D149,Engin!$F$7:$G$253,2,FALSE),"")</f>
        <v/>
      </c>
    </row>
    <row r="150" spans="1:8" ht="63.95" customHeight="1" x14ac:dyDescent="0.25">
      <c r="A150" s="59">
        <f t="shared" si="6"/>
        <v>7</v>
      </c>
      <c r="B150" s="61">
        <f t="shared" si="7"/>
        <v>30</v>
      </c>
      <c r="C150" s="59" t="str">
        <f t="shared" si="8"/>
        <v>ven</v>
      </c>
      <c r="D150" s="63">
        <f>WORKDAY(D149,1,JoursFeries!$B$3:$CH$15)</f>
        <v>42944</v>
      </c>
      <c r="E150" s="55" t="str">
        <f>IFERROR(VLOOKUP(D150,'Recap Dates'!$A$2:$B$99,2,FALSE),"")</f>
        <v/>
      </c>
      <c r="F150" s="74" t="str">
        <f>IFERROR(VLOOKUP(D150,'Recap Dates'!$A$103:$B$216,2,FALSE),"")</f>
        <v/>
      </c>
      <c r="G150" s="55" t="str">
        <f>IFERROR(VLOOKUP(D150,'Recap Dates'!$A$220:$B$284,2,FALSE),"")</f>
        <v/>
      </c>
      <c r="H150" s="55" t="str">
        <f>IFERROR(VLOOKUP(D150,Engin!$F$7:$G$253,2,FALSE),"")</f>
        <v/>
      </c>
    </row>
    <row r="151" spans="1:8" ht="63.95" customHeight="1" x14ac:dyDescent="0.25">
      <c r="A151" s="59">
        <f t="shared" si="6"/>
        <v>7</v>
      </c>
      <c r="B151" s="61">
        <f t="shared" si="7"/>
        <v>31</v>
      </c>
      <c r="C151" s="59" t="str">
        <f t="shared" si="8"/>
        <v>lun</v>
      </c>
      <c r="D151" s="63">
        <f>WORKDAY(D150,1,JoursFeries!$B$3:$CH$15)</f>
        <v>42947</v>
      </c>
      <c r="E151" s="55" t="str">
        <f>IFERROR(VLOOKUP(D151,'Recap Dates'!$A$2:$B$99,2,FALSE),"")</f>
        <v/>
      </c>
      <c r="F151" s="74" t="str">
        <f>IFERROR(VLOOKUP(D151,'Recap Dates'!$A$103:$B$216,2,FALSE),"")</f>
        <v/>
      </c>
      <c r="G151" s="55" t="str">
        <f>IFERROR(VLOOKUP(D151,'Recap Dates'!$A$220:$B$284,2,FALSE),"")</f>
        <v/>
      </c>
      <c r="H151" s="55" t="str">
        <f>IFERROR(VLOOKUP(D151,Engin!$F$7:$G$253,2,FALSE),"")</f>
        <v/>
      </c>
    </row>
    <row r="152" spans="1:8" ht="63.95" customHeight="1" x14ac:dyDescent="0.25">
      <c r="A152" s="59">
        <f t="shared" si="6"/>
        <v>8</v>
      </c>
      <c r="B152" s="61">
        <f t="shared" si="7"/>
        <v>31</v>
      </c>
      <c r="C152" s="59" t="str">
        <f t="shared" si="8"/>
        <v>mar</v>
      </c>
      <c r="D152" s="63">
        <f>WORKDAY(D151,1,JoursFeries!$B$3:$CH$15)</f>
        <v>42948</v>
      </c>
      <c r="E152" s="55" t="str">
        <f>IFERROR(VLOOKUP(D152,'Recap Dates'!$A$2:$B$99,2,FALSE),"")</f>
        <v/>
      </c>
      <c r="F152" s="74" t="str">
        <f>IFERROR(VLOOKUP(D152,'Recap Dates'!$A$103:$B$216,2,FALSE),"")</f>
        <v/>
      </c>
      <c r="G152" s="55" t="str">
        <f>IFERROR(VLOOKUP(D152,'Recap Dates'!$A$220:$B$284,2,FALSE),"")</f>
        <v/>
      </c>
      <c r="H152" s="55" t="str">
        <f>IFERROR(VLOOKUP(D152,Engin!$F$7:$G$253,2,FALSE),"")</f>
        <v/>
      </c>
    </row>
    <row r="153" spans="1:8" ht="63.95" customHeight="1" x14ac:dyDescent="0.25">
      <c r="A153" s="59">
        <f t="shared" si="6"/>
        <v>8</v>
      </c>
      <c r="B153" s="61">
        <f t="shared" si="7"/>
        <v>31</v>
      </c>
      <c r="C153" s="59" t="str">
        <f t="shared" si="8"/>
        <v>mer</v>
      </c>
      <c r="D153" s="63">
        <f>WORKDAY(D152,1,JoursFeries!$B$3:$CH$15)</f>
        <v>42949</v>
      </c>
      <c r="E153" s="55" t="str">
        <f>IFERROR(VLOOKUP(D153,'Recap Dates'!$A$2:$B$99,2,FALSE),"")</f>
        <v/>
      </c>
      <c r="F153" s="74" t="str">
        <f>IFERROR(VLOOKUP(D153,'Recap Dates'!$A$103:$B$216,2,FALSE),"")</f>
        <v/>
      </c>
      <c r="G153" s="55" t="str">
        <f>IFERROR(VLOOKUP(D153,'Recap Dates'!$A$220:$B$284,2,FALSE),"")</f>
        <v/>
      </c>
      <c r="H153" s="55" t="str">
        <f>IFERROR(VLOOKUP(D153,Engin!$F$7:$G$253,2,FALSE),"")</f>
        <v/>
      </c>
    </row>
    <row r="154" spans="1:8" ht="63.95" customHeight="1" x14ac:dyDescent="0.25">
      <c r="A154" s="59">
        <f t="shared" si="6"/>
        <v>8</v>
      </c>
      <c r="B154" s="61">
        <f t="shared" si="7"/>
        <v>31</v>
      </c>
      <c r="C154" s="59" t="str">
        <f t="shared" si="8"/>
        <v>jeu</v>
      </c>
      <c r="D154" s="63">
        <f>WORKDAY(D153,1,JoursFeries!$B$3:$CH$15)</f>
        <v>42950</v>
      </c>
      <c r="E154" s="55" t="str">
        <f>IFERROR(VLOOKUP(D154,'Recap Dates'!$A$2:$B$99,2,FALSE),"")</f>
        <v/>
      </c>
      <c r="F154" s="74" t="str">
        <f>IFERROR(VLOOKUP(D154,'Recap Dates'!$A$103:$B$216,2,FALSE),"")</f>
        <v/>
      </c>
      <c r="G154" s="55" t="str">
        <f>IFERROR(VLOOKUP(D154,'Recap Dates'!$A$220:$B$284,2,FALSE),"")</f>
        <v/>
      </c>
      <c r="H154" s="55" t="str">
        <f>IFERROR(VLOOKUP(D154,Engin!$F$7:$G$253,2,FALSE),"")</f>
        <v>Entretien 11400h (100h)</v>
      </c>
    </row>
    <row r="155" spans="1:8" ht="63.95" customHeight="1" x14ac:dyDescent="0.25">
      <c r="A155" s="59">
        <f t="shared" si="6"/>
        <v>8</v>
      </c>
      <c r="B155" s="61">
        <f t="shared" si="7"/>
        <v>31</v>
      </c>
      <c r="C155" s="59" t="str">
        <f t="shared" si="8"/>
        <v>ven</v>
      </c>
      <c r="D155" s="63">
        <f>WORKDAY(D154,1,JoursFeries!$B$3:$CH$15)</f>
        <v>42951</v>
      </c>
      <c r="E155" s="55" t="str">
        <f>IFERROR(VLOOKUP(D155,'Recap Dates'!$A$2:$B$99,2,FALSE),"")</f>
        <v/>
      </c>
      <c r="F155" s="74" t="str">
        <f>IFERROR(VLOOKUP(D155,'Recap Dates'!$A$103:$B$216,2,FALSE),"")</f>
        <v/>
      </c>
      <c r="G155" s="55" t="str">
        <f>IFERROR(VLOOKUP(D155,'Recap Dates'!$A$220:$B$284,2,FALSE),"")</f>
        <v/>
      </c>
      <c r="H155" s="55" t="str">
        <f>IFERROR(VLOOKUP(D155,Engin!$F$7:$G$253,2,FALSE),"")</f>
        <v/>
      </c>
    </row>
    <row r="156" spans="1:8" ht="63.95" customHeight="1" x14ac:dyDescent="0.25">
      <c r="A156" s="59">
        <f t="shared" si="6"/>
        <v>8</v>
      </c>
      <c r="B156" s="61">
        <f t="shared" si="7"/>
        <v>32</v>
      </c>
      <c r="C156" s="59" t="str">
        <f t="shared" si="8"/>
        <v>lun</v>
      </c>
      <c r="D156" s="63">
        <f>WORKDAY(D155,1,JoursFeries!$B$3:$CH$15)</f>
        <v>42954</v>
      </c>
      <c r="E156" s="55" t="str">
        <f>IFERROR(VLOOKUP(D156,'Recap Dates'!$A$2:$B$99,2,FALSE),"")</f>
        <v/>
      </c>
      <c r="F156" s="74" t="str">
        <f>IFERROR(VLOOKUP(D156,'Recap Dates'!$A$103:$B$216,2,FALSE),"")</f>
        <v/>
      </c>
      <c r="G156" s="55" t="str">
        <f>IFERROR(VLOOKUP(D156,'Recap Dates'!$A$220:$B$284,2,FALSE),"")</f>
        <v/>
      </c>
      <c r="H156" s="55" t="str">
        <f>IFERROR(VLOOKUP(D156,Engin!$F$7:$G$253,2,FALSE),"")</f>
        <v/>
      </c>
    </row>
    <row r="157" spans="1:8" ht="63.95" customHeight="1" x14ac:dyDescent="0.25">
      <c r="A157" s="59">
        <f t="shared" si="6"/>
        <v>8</v>
      </c>
      <c r="B157" s="61">
        <f t="shared" si="7"/>
        <v>32</v>
      </c>
      <c r="C157" s="59" t="str">
        <f t="shared" si="8"/>
        <v>mar</v>
      </c>
      <c r="D157" s="63">
        <f>WORKDAY(D156,1,JoursFeries!$B$3:$CH$15)</f>
        <v>42955</v>
      </c>
      <c r="E157" s="55" t="str">
        <f>IFERROR(VLOOKUP(D157,'Recap Dates'!$A$2:$B$99,2,FALSE),"")</f>
        <v/>
      </c>
      <c r="F157" s="74" t="str">
        <f>IFERROR(VLOOKUP(D157,'Recap Dates'!$A$103:$B$216,2,FALSE),"")</f>
        <v/>
      </c>
      <c r="G157" s="55" t="str">
        <f>IFERROR(VLOOKUP(D157,'Recap Dates'!$A$220:$B$284,2,FALSE),"")</f>
        <v/>
      </c>
      <c r="H157" s="55" t="str">
        <f>IFERROR(VLOOKUP(D157,Engin!$F$7:$G$253,2,FALSE),"")</f>
        <v/>
      </c>
    </row>
    <row r="158" spans="1:8" ht="63.95" customHeight="1" x14ac:dyDescent="0.25">
      <c r="A158" s="59">
        <f t="shared" si="6"/>
        <v>8</v>
      </c>
      <c r="B158" s="61">
        <f t="shared" si="7"/>
        <v>32</v>
      </c>
      <c r="C158" s="59" t="str">
        <f t="shared" si="8"/>
        <v>mer</v>
      </c>
      <c r="D158" s="63">
        <f>WORKDAY(D157,1,JoursFeries!$B$3:$CH$15)</f>
        <v>42956</v>
      </c>
      <c r="E158" s="55" t="str">
        <f>IFERROR(VLOOKUP(D158,'Recap Dates'!$A$2:$B$99,2,FALSE),"")</f>
        <v>Remplacement fond alimentateur</v>
      </c>
      <c r="F158" s="74" t="str">
        <f>IFERROR(VLOOKUP(D158,'Recap Dates'!$A$103:$B$216,2,FALSE),"")</f>
        <v/>
      </c>
      <c r="G158" s="55" t="str">
        <f>IFERROR(VLOOKUP(D158,'Recap Dates'!$A$220:$B$284,2,FALSE),"")</f>
        <v/>
      </c>
      <c r="H158" s="55" t="str">
        <f>IFERROR(VLOOKUP(D158,Engin!$F$7:$G$253,2,FALSE),"")</f>
        <v/>
      </c>
    </row>
    <row r="159" spans="1:8" ht="63.95" customHeight="1" x14ac:dyDescent="0.25">
      <c r="A159" s="59">
        <f t="shared" si="6"/>
        <v>8</v>
      </c>
      <c r="B159" s="61">
        <f t="shared" si="7"/>
        <v>32</v>
      </c>
      <c r="C159" s="59" t="str">
        <f t="shared" si="8"/>
        <v>jeu</v>
      </c>
      <c r="D159" s="63">
        <f>WORKDAY(D158,1,JoursFeries!$B$3:$CH$15)</f>
        <v>42957</v>
      </c>
      <c r="E159" s="55" t="str">
        <f>IFERROR(VLOOKUP(D159,'Recap Dates'!$A$2:$B$99,2,FALSE),"")</f>
        <v/>
      </c>
      <c r="F159" s="74" t="str">
        <f>IFERROR(VLOOKUP(D159,'Recap Dates'!$A$103:$B$216,2,FALSE),"")</f>
        <v/>
      </c>
      <c r="G159" s="55" t="str">
        <f>IFERROR(VLOOKUP(D159,'Recap Dates'!$A$220:$B$284,2,FALSE),"")</f>
        <v/>
      </c>
      <c r="H159" s="55" t="str">
        <f>IFERROR(VLOOKUP(D159,Engin!$F$7:$G$253,2,FALSE),"")</f>
        <v/>
      </c>
    </row>
    <row r="160" spans="1:8" ht="63.95" customHeight="1" x14ac:dyDescent="0.25">
      <c r="A160" s="59">
        <f t="shared" si="6"/>
        <v>8</v>
      </c>
      <c r="B160" s="61">
        <f t="shared" si="7"/>
        <v>32</v>
      </c>
      <c r="C160" s="59" t="str">
        <f t="shared" si="8"/>
        <v>ven</v>
      </c>
      <c r="D160" s="63">
        <f>WORKDAY(D159,1,JoursFeries!$B$3:$CH$15)</f>
        <v>42958</v>
      </c>
      <c r="E160" s="55" t="str">
        <f>IFERROR(VLOOKUP(D160,'Recap Dates'!$A$2:$B$99,2,FALSE),"")</f>
        <v/>
      </c>
      <c r="F160" s="74" t="str">
        <f>IFERROR(VLOOKUP(D160,'Recap Dates'!$A$103:$B$216,2,FALSE),"")</f>
        <v/>
      </c>
      <c r="G160" s="55" t="str">
        <f>IFERROR(VLOOKUP(D160,'Recap Dates'!$A$220:$B$284,2,FALSE),"")</f>
        <v/>
      </c>
      <c r="H160" s="55" t="str">
        <f>IFERROR(VLOOKUP(D160,Engin!$F$7:$G$253,2,FALSE),"")</f>
        <v/>
      </c>
    </row>
    <row r="161" spans="1:8" ht="63.95" customHeight="1" x14ac:dyDescent="0.25">
      <c r="A161" s="59">
        <f t="shared" si="6"/>
        <v>8</v>
      </c>
      <c r="B161" s="61">
        <f t="shared" si="7"/>
        <v>33</v>
      </c>
      <c r="C161" s="59" t="str">
        <f t="shared" si="8"/>
        <v>lun</v>
      </c>
      <c r="D161" s="63">
        <f>WORKDAY(D160,1,JoursFeries!$B$3:$CH$15)</f>
        <v>42961</v>
      </c>
      <c r="E161" s="55" t="str">
        <f>IFERROR(VLOOKUP(D161,'Recap Dates'!$A$2:$B$99,2,FALSE),"")</f>
        <v>Remplacement machoires fixe et mobile</v>
      </c>
      <c r="F161" s="74" t="str">
        <f>IFERROR(VLOOKUP(D161,'Recap Dates'!$A$103:$B$216,2,FALSE),"")</f>
        <v/>
      </c>
      <c r="G161" s="55" t="str">
        <f>IFERROR(VLOOKUP(D161,'Recap Dates'!$A$220:$B$284,2,FALSE),"")</f>
        <v/>
      </c>
      <c r="H161" s="55" t="str">
        <f>IFERROR(VLOOKUP(D161,Engin!$F$7:$G$253,2,FALSE),"")</f>
        <v/>
      </c>
    </row>
    <row r="162" spans="1:8" ht="63.95" customHeight="1" x14ac:dyDescent="0.25">
      <c r="A162" s="59">
        <f t="shared" si="6"/>
        <v>8</v>
      </c>
      <c r="B162" s="61">
        <f t="shared" si="7"/>
        <v>33</v>
      </c>
      <c r="C162" s="59" t="str">
        <f t="shared" si="8"/>
        <v>mer</v>
      </c>
      <c r="D162" s="63">
        <f>WORKDAY(D161,1,JoursFeries!$B$3:$CH$15)</f>
        <v>42963</v>
      </c>
      <c r="E162" s="55" t="str">
        <f>IFERROR(VLOOKUP(D162,'Recap Dates'!$A$2:$B$99,2,FALSE),"")</f>
        <v/>
      </c>
      <c r="F162" s="74" t="str">
        <f>IFERROR(VLOOKUP(D162,'Recap Dates'!$A$103:$B$216,2,FALSE),"")</f>
        <v/>
      </c>
      <c r="G162" s="55" t="str">
        <f>IFERROR(VLOOKUP(D162,'Recap Dates'!$A$220:$B$284,2,FALSE),"")</f>
        <v/>
      </c>
      <c r="H162" s="55" t="str">
        <f>IFERROR(VLOOKUP(D162,Engin!$F$7:$G$253,2,FALSE),"")</f>
        <v/>
      </c>
    </row>
    <row r="163" spans="1:8" ht="63.95" customHeight="1" x14ac:dyDescent="0.25">
      <c r="A163" s="59">
        <f t="shared" si="6"/>
        <v>8</v>
      </c>
      <c r="B163" s="61">
        <f t="shared" si="7"/>
        <v>33</v>
      </c>
      <c r="C163" s="59" t="str">
        <f t="shared" si="8"/>
        <v>jeu</v>
      </c>
      <c r="D163" s="63">
        <f>WORKDAY(D162,1,JoursFeries!$B$3:$CH$15)</f>
        <v>42964</v>
      </c>
      <c r="E163" s="55" t="str">
        <f>IFERROR(VLOOKUP(D163,'Recap Dates'!$A$2:$B$99,2,FALSE),"")</f>
        <v/>
      </c>
      <c r="F163" s="74" t="str">
        <f>IFERROR(VLOOKUP(D163,'Recap Dates'!$A$103:$B$216,2,FALSE),"")</f>
        <v/>
      </c>
      <c r="G163" s="55" t="str">
        <f>IFERROR(VLOOKUP(D163,'Recap Dates'!$A$220:$B$284,2,FALSE),"")</f>
        <v/>
      </c>
      <c r="H163" s="55" t="str">
        <f>IFERROR(VLOOKUP(D163,Engin!$F$7:$G$253,2,FALSE),"")</f>
        <v/>
      </c>
    </row>
    <row r="164" spans="1:8" ht="63.95" customHeight="1" x14ac:dyDescent="0.25">
      <c r="A164" s="59">
        <f t="shared" si="6"/>
        <v>8</v>
      </c>
      <c r="B164" s="61">
        <f t="shared" si="7"/>
        <v>33</v>
      </c>
      <c r="C164" s="59" t="str">
        <f t="shared" si="8"/>
        <v>ven</v>
      </c>
      <c r="D164" s="63">
        <f>WORKDAY(D163,1,JoursFeries!$B$3:$CH$15)</f>
        <v>42965</v>
      </c>
      <c r="E164" s="55" t="str">
        <f>IFERROR(VLOOKUP(D164,'Recap Dates'!$A$2:$B$99,2,FALSE),"")</f>
        <v/>
      </c>
      <c r="F164" s="74" t="str">
        <f>IFERROR(VLOOKUP(D164,'Recap Dates'!$A$103:$B$216,2,FALSE),"")</f>
        <v/>
      </c>
      <c r="G164" s="55" t="str">
        <f>IFERROR(VLOOKUP(D164,'Recap Dates'!$A$220:$B$284,2,FALSE),"")</f>
        <v/>
      </c>
      <c r="H164" s="55" t="str">
        <f>IFERROR(VLOOKUP(D164,Engin!$F$7:$G$253,2,FALSE),"")</f>
        <v>Entretien 11500h (500h + 250h + 100h)</v>
      </c>
    </row>
    <row r="165" spans="1:8" ht="63.95" customHeight="1" x14ac:dyDescent="0.25">
      <c r="A165" s="59">
        <f t="shared" si="6"/>
        <v>8</v>
      </c>
      <c r="B165" s="61">
        <f t="shared" si="7"/>
        <v>34</v>
      </c>
      <c r="C165" s="59" t="str">
        <f t="shared" si="8"/>
        <v>lun</v>
      </c>
      <c r="D165" s="63">
        <f>WORKDAY(D164,1,JoursFeries!$B$3:$CH$15)</f>
        <v>42968</v>
      </c>
      <c r="E165" s="55" t="str">
        <f>IFERROR(VLOOKUP(D165,'Recap Dates'!$A$2:$B$99,2,FALSE),"")</f>
        <v/>
      </c>
      <c r="F165" s="74" t="str">
        <f>IFERROR(VLOOKUP(D165,'Recap Dates'!$A$103:$B$216,2,FALSE),"")</f>
        <v/>
      </c>
      <c r="G165" s="55" t="str">
        <f>IFERROR(VLOOKUP(D165,'Recap Dates'!$A$220:$B$284,2,FALSE),"")</f>
        <v/>
      </c>
      <c r="H165" s="55" t="str">
        <f>IFERROR(VLOOKUP(D165,Engin!$F$7:$G$253,2,FALSE),"")</f>
        <v/>
      </c>
    </row>
    <row r="166" spans="1:8" ht="63.95" customHeight="1" x14ac:dyDescent="0.25">
      <c r="A166" s="59">
        <f t="shared" si="6"/>
        <v>8</v>
      </c>
      <c r="B166" s="61">
        <f t="shared" si="7"/>
        <v>34</v>
      </c>
      <c r="C166" s="59" t="str">
        <f t="shared" si="8"/>
        <v>mar</v>
      </c>
      <c r="D166" s="63">
        <f>WORKDAY(D165,1,JoursFeries!$B$3:$CH$15)</f>
        <v>42969</v>
      </c>
      <c r="E166" s="55" t="str">
        <f>IFERROR(VLOOKUP(D166,'Recap Dates'!$A$2:$B$99,2,FALSE),"")</f>
        <v/>
      </c>
      <c r="F166" s="74" t="str">
        <f>IFERROR(VLOOKUP(D166,'Recap Dates'!$A$103:$B$216,2,FALSE),"")</f>
        <v/>
      </c>
      <c r="G166" s="55" t="str">
        <f>IFERROR(VLOOKUP(D166,'Recap Dates'!$A$220:$B$284,2,FALSE),"")</f>
        <v/>
      </c>
      <c r="H166" s="55" t="str">
        <f>IFERROR(VLOOKUP(D166,Engin!$F$7:$G$253,2,FALSE),"")</f>
        <v/>
      </c>
    </row>
    <row r="167" spans="1:8" ht="63.95" customHeight="1" x14ac:dyDescent="0.25">
      <c r="A167" s="59">
        <f t="shared" si="6"/>
        <v>8</v>
      </c>
      <c r="B167" s="61">
        <f t="shared" si="7"/>
        <v>34</v>
      </c>
      <c r="C167" s="59" t="str">
        <f t="shared" si="8"/>
        <v>mer</v>
      </c>
      <c r="D167" s="63">
        <f>WORKDAY(D166,1,JoursFeries!$B$3:$CH$15)</f>
        <v>42970</v>
      </c>
      <c r="E167" s="55" t="str">
        <f>IFERROR(VLOOKUP(D167,'Recap Dates'!$A$2:$B$99,2,FALSE),"")</f>
        <v/>
      </c>
      <c r="F167" s="74" t="str">
        <f>IFERROR(VLOOKUP(D167,'Recap Dates'!$A$103:$B$216,2,FALSE),"")</f>
        <v/>
      </c>
      <c r="G167" s="55" t="str">
        <f>IFERROR(VLOOKUP(D167,'Recap Dates'!$A$220:$B$284,2,FALSE),"")</f>
        <v>Remplacement machoires fixe et mobile + collier d'arbre + plateau distributeur + anneau martyre</v>
      </c>
      <c r="H167" s="55" t="str">
        <f>IFERROR(VLOOKUP(D167,Engin!$F$7:$G$253,2,FALSE),"")</f>
        <v/>
      </c>
    </row>
    <row r="168" spans="1:8" ht="63.95" customHeight="1" x14ac:dyDescent="0.25">
      <c r="A168" s="59">
        <f t="shared" si="6"/>
        <v>8</v>
      </c>
      <c r="B168" s="61">
        <f t="shared" si="7"/>
        <v>34</v>
      </c>
      <c r="C168" s="59" t="str">
        <f t="shared" si="8"/>
        <v>jeu</v>
      </c>
      <c r="D168" s="63">
        <f>WORKDAY(D167,1,JoursFeries!$B$3:$CH$15)</f>
        <v>42971</v>
      </c>
      <c r="E168" s="55" t="str">
        <f>IFERROR(VLOOKUP(D168,'Recap Dates'!$A$2:$B$99,2,FALSE),"")</f>
        <v/>
      </c>
      <c r="F168" s="74" t="str">
        <f>IFERROR(VLOOKUP(D168,'Recap Dates'!$A$103:$B$216,2,FALSE),"")</f>
        <v/>
      </c>
      <c r="G168" s="55" t="str">
        <f>IFERROR(VLOOKUP(D168,'Recap Dates'!$A$220:$B$284,2,FALSE),"")</f>
        <v/>
      </c>
      <c r="H168" s="55" t="str">
        <f>IFERROR(VLOOKUP(D168,Engin!$F$7:$G$253,2,FALSE),"")</f>
        <v/>
      </c>
    </row>
    <row r="169" spans="1:8" ht="63.95" customHeight="1" x14ac:dyDescent="0.25">
      <c r="A169" s="59">
        <f t="shared" si="6"/>
        <v>8</v>
      </c>
      <c r="B169" s="61">
        <f t="shared" si="7"/>
        <v>34</v>
      </c>
      <c r="C169" s="59" t="str">
        <f t="shared" si="8"/>
        <v>ven</v>
      </c>
      <c r="D169" s="63">
        <f>WORKDAY(D168,1,JoursFeries!$B$3:$CH$15)</f>
        <v>42972</v>
      </c>
      <c r="E169" s="55" t="str">
        <f>IFERROR(VLOOKUP(D169,'Recap Dates'!$A$2:$B$99,2,FALSE),"")</f>
        <v/>
      </c>
      <c r="F169" s="74" t="str">
        <f>IFERROR(VLOOKUP(D169,'Recap Dates'!$A$103:$B$216,2,FALSE),"")</f>
        <v/>
      </c>
      <c r="G169" s="55" t="str">
        <f>IFERROR(VLOOKUP(D169,'Recap Dates'!$A$220:$B$284,2,FALSE),"")</f>
        <v/>
      </c>
      <c r="H169" s="55" t="str">
        <f>IFERROR(VLOOKUP(D169,Engin!$F$7:$G$253,2,FALSE),"")</f>
        <v/>
      </c>
    </row>
    <row r="170" spans="1:8" ht="63.95" customHeight="1" x14ac:dyDescent="0.25">
      <c r="A170" s="59">
        <f t="shared" si="6"/>
        <v>8</v>
      </c>
      <c r="B170" s="61">
        <f t="shared" si="7"/>
        <v>35</v>
      </c>
      <c r="C170" s="59" t="str">
        <f t="shared" si="8"/>
        <v>lun</v>
      </c>
      <c r="D170" s="63">
        <f>WORKDAY(D169,1,JoursFeries!$B$3:$CH$15)</f>
        <v>42975</v>
      </c>
      <c r="E170" s="55" t="str">
        <f>IFERROR(VLOOKUP(D170,'Recap Dates'!$A$2:$B$99,2,FALSE),"")</f>
        <v/>
      </c>
      <c r="F170" s="74" t="str">
        <f>IFERROR(VLOOKUP(D170,'Recap Dates'!$A$103:$B$216,2,FALSE),"")</f>
        <v/>
      </c>
      <c r="G170" s="55" t="str">
        <f>IFERROR(VLOOKUP(D170,'Recap Dates'!$A$220:$B$284,2,FALSE),"")</f>
        <v/>
      </c>
      <c r="H170" s="55" t="str">
        <f>IFERROR(VLOOKUP(D170,Engin!$F$7:$G$253,2,FALSE),"")</f>
        <v/>
      </c>
    </row>
    <row r="171" spans="1:8" ht="63.95" customHeight="1" x14ac:dyDescent="0.25">
      <c r="A171" s="59">
        <f t="shared" si="6"/>
        <v>8</v>
      </c>
      <c r="B171" s="61">
        <f t="shared" si="7"/>
        <v>35</v>
      </c>
      <c r="C171" s="59" t="str">
        <f t="shared" si="8"/>
        <v>mar</v>
      </c>
      <c r="D171" s="63">
        <f>WORKDAY(D170,1,JoursFeries!$B$3:$CH$15)</f>
        <v>42976</v>
      </c>
      <c r="E171" s="55" t="str">
        <f>IFERROR(VLOOKUP(D171,'Recap Dates'!$A$2:$B$99,2,FALSE),"")</f>
        <v/>
      </c>
      <c r="F171" s="74" t="str">
        <f>IFERROR(VLOOKUP(D171,'Recap Dates'!$A$103:$B$216,2,FALSE),"")</f>
        <v/>
      </c>
      <c r="G171" s="55" t="str">
        <f>IFERROR(VLOOKUP(D171,'Recap Dates'!$A$220:$B$284,2,FALSE),"")</f>
        <v/>
      </c>
      <c r="H171" s="55" t="str">
        <f>IFERROR(VLOOKUP(D171,Engin!$F$7:$G$253,2,FALSE),"")</f>
        <v/>
      </c>
    </row>
    <row r="172" spans="1:8" ht="63.95" customHeight="1" x14ac:dyDescent="0.25">
      <c r="A172" s="59">
        <f t="shared" si="6"/>
        <v>8</v>
      </c>
      <c r="B172" s="61">
        <f t="shared" si="7"/>
        <v>35</v>
      </c>
      <c r="C172" s="59" t="str">
        <f t="shared" si="8"/>
        <v>mer</v>
      </c>
      <c r="D172" s="63">
        <f>WORKDAY(D171,1,JoursFeries!$B$3:$CH$15)</f>
        <v>42977</v>
      </c>
      <c r="E172" s="55" t="str">
        <f>IFERROR(VLOOKUP(D172,'Recap Dates'!$A$2:$B$99,2,FALSE),"")</f>
        <v/>
      </c>
      <c r="F172" s="74" t="str">
        <f>IFERROR(VLOOKUP(D172,'Recap Dates'!$A$103:$B$216,2,FALSE),"")</f>
        <v/>
      </c>
      <c r="G172" s="55" t="str">
        <f>IFERROR(VLOOKUP(D172,'Recap Dates'!$A$220:$B$284,2,FALSE),"")</f>
        <v/>
      </c>
      <c r="H172" s="55" t="str">
        <f>IFERROR(VLOOKUP(D172,Engin!$F$7:$G$253,2,FALSE),"")</f>
        <v/>
      </c>
    </row>
    <row r="173" spans="1:8" ht="63.95" customHeight="1" x14ac:dyDescent="0.25">
      <c r="A173" s="59">
        <f t="shared" si="6"/>
        <v>8</v>
      </c>
      <c r="B173" s="61">
        <f t="shared" si="7"/>
        <v>35</v>
      </c>
      <c r="C173" s="59" t="str">
        <f t="shared" si="8"/>
        <v>jeu</v>
      </c>
      <c r="D173" s="63">
        <f>WORKDAY(D172,1,JoursFeries!$B$3:$CH$15)</f>
        <v>42978</v>
      </c>
      <c r="E173" s="55" t="str">
        <f>IFERROR(VLOOKUP(D173,'Recap Dates'!$A$2:$B$99,2,FALSE),"")</f>
        <v/>
      </c>
      <c r="F173" s="74" t="str">
        <f>IFERROR(VLOOKUP(D173,'Recap Dates'!$A$103:$B$216,2,FALSE),"")</f>
        <v/>
      </c>
      <c r="G173" s="55" t="str">
        <f>IFERROR(VLOOKUP(D173,'Recap Dates'!$A$220:$B$284,2,FALSE),"")</f>
        <v/>
      </c>
      <c r="H173" s="55" t="str">
        <f>IFERROR(VLOOKUP(D173,Engin!$F$7:$G$253,2,FALSE),"")</f>
        <v/>
      </c>
    </row>
    <row r="174" spans="1:8" ht="63.95" customHeight="1" x14ac:dyDescent="0.25">
      <c r="A174" s="59">
        <f t="shared" si="6"/>
        <v>9</v>
      </c>
      <c r="B174" s="61">
        <f t="shared" si="7"/>
        <v>35</v>
      </c>
      <c r="C174" s="59" t="str">
        <f t="shared" si="8"/>
        <v>ven</v>
      </c>
      <c r="D174" s="63">
        <f>WORKDAY(D173,1,JoursFeries!$B$3:$CH$15)</f>
        <v>42979</v>
      </c>
      <c r="E174" s="55" t="str">
        <f>IFERROR(VLOOKUP(D174,'Recap Dates'!$A$2:$B$99,2,FALSE),"")</f>
        <v/>
      </c>
      <c r="F174" s="74" t="str">
        <f>IFERROR(VLOOKUP(D174,'Recap Dates'!$A$103:$B$216,2,FALSE),"")</f>
        <v>Remplacement machoires fixe et mobile</v>
      </c>
      <c r="G174" s="55" t="str">
        <f>IFERROR(VLOOKUP(D174,'Recap Dates'!$A$220:$B$284,2,FALSE),"")</f>
        <v/>
      </c>
      <c r="H174" s="55" t="str">
        <f>IFERROR(VLOOKUP(D174,Engin!$F$7:$G$253,2,FALSE),"")</f>
        <v>Entretien 11600h (100h)</v>
      </c>
    </row>
    <row r="175" spans="1:8" ht="63.95" customHeight="1" x14ac:dyDescent="0.25">
      <c r="A175" s="59">
        <f t="shared" si="6"/>
        <v>9</v>
      </c>
      <c r="B175" s="61">
        <f t="shared" si="7"/>
        <v>36</v>
      </c>
      <c r="C175" s="59" t="str">
        <f t="shared" si="8"/>
        <v>lun</v>
      </c>
      <c r="D175" s="63">
        <f>WORKDAY(D174,1,JoursFeries!$B$3:$CH$15)</f>
        <v>42982</v>
      </c>
      <c r="E175" s="55" t="str">
        <f>IFERROR(VLOOKUP(D175,'Recap Dates'!$A$2:$B$99,2,FALSE),"")</f>
        <v/>
      </c>
      <c r="F175" s="74" t="str">
        <f>IFERROR(VLOOKUP(D175,'Recap Dates'!$A$103:$B$216,2,FALSE),"")</f>
        <v/>
      </c>
      <c r="G175" s="55" t="str">
        <f>IFERROR(VLOOKUP(D175,'Recap Dates'!$A$220:$B$284,2,FALSE),"")</f>
        <v/>
      </c>
      <c r="H175" s="55" t="str">
        <f>IFERROR(VLOOKUP(D175,Engin!$F$7:$G$253,2,FALSE),"")</f>
        <v/>
      </c>
    </row>
    <row r="176" spans="1:8" ht="63.95" customHeight="1" x14ac:dyDescent="0.25">
      <c r="A176" s="59">
        <f t="shared" si="6"/>
        <v>9</v>
      </c>
      <c r="B176" s="61">
        <f t="shared" si="7"/>
        <v>36</v>
      </c>
      <c r="C176" s="59" t="str">
        <f t="shared" si="8"/>
        <v>mar</v>
      </c>
      <c r="D176" s="63">
        <f>WORKDAY(D175,1,JoursFeries!$B$3:$CH$15)</f>
        <v>42983</v>
      </c>
      <c r="E176" s="55" t="str">
        <f>IFERROR(VLOOKUP(D176,'Recap Dates'!$A$2:$B$99,2,FALSE),"")</f>
        <v/>
      </c>
      <c r="F176" s="74" t="str">
        <f>IFERROR(VLOOKUP(D176,'Recap Dates'!$A$103:$B$216,2,FALSE),"")</f>
        <v/>
      </c>
      <c r="G176" s="55" t="str">
        <f>IFERROR(VLOOKUP(D176,'Recap Dates'!$A$220:$B$284,2,FALSE),"")</f>
        <v/>
      </c>
      <c r="H176" s="55" t="str">
        <f>IFERROR(VLOOKUP(D176,Engin!$F$7:$G$253,2,FALSE),"")</f>
        <v/>
      </c>
    </row>
    <row r="177" spans="1:8" ht="63.95" customHeight="1" x14ac:dyDescent="0.25">
      <c r="A177" s="59">
        <f t="shared" si="6"/>
        <v>9</v>
      </c>
      <c r="B177" s="61">
        <f t="shared" si="7"/>
        <v>36</v>
      </c>
      <c r="C177" s="59" t="str">
        <f t="shared" si="8"/>
        <v>mer</v>
      </c>
      <c r="D177" s="63">
        <f>WORKDAY(D176,1,JoursFeries!$B$3:$CH$15)</f>
        <v>42984</v>
      </c>
      <c r="E177" s="55" t="str">
        <f>IFERROR(VLOOKUP(D177,'Recap Dates'!$A$2:$B$99,2,FALSE),"")</f>
        <v/>
      </c>
      <c r="F177" s="74" t="str">
        <f>IFERROR(VLOOKUP(D177,'Recap Dates'!$A$103:$B$216,2,FALSE),"")</f>
        <v/>
      </c>
      <c r="G177" s="55" t="str">
        <f>IFERROR(VLOOKUP(D177,'Recap Dates'!$A$220:$B$284,2,FALSE),"")</f>
        <v/>
      </c>
      <c r="H177" s="55" t="str">
        <f>IFERROR(VLOOKUP(D177,Engin!$F$7:$G$253,2,FALSE),"")</f>
        <v/>
      </c>
    </row>
    <row r="178" spans="1:8" ht="63.95" customHeight="1" x14ac:dyDescent="0.25">
      <c r="A178" s="59">
        <f t="shared" si="6"/>
        <v>9</v>
      </c>
      <c r="B178" s="61">
        <f t="shared" si="7"/>
        <v>36</v>
      </c>
      <c r="C178" s="59" t="str">
        <f t="shared" si="8"/>
        <v>jeu</v>
      </c>
      <c r="D178" s="63">
        <f>WORKDAY(D177,1,JoursFeries!$B$3:$CH$15)</f>
        <v>42985</v>
      </c>
      <c r="E178" s="55" t="str">
        <f>IFERROR(VLOOKUP(D178,'Recap Dates'!$A$2:$B$99,2,FALSE),"")</f>
        <v/>
      </c>
      <c r="F178" s="74" t="str">
        <f>IFERROR(VLOOKUP(D178,'Recap Dates'!$A$103:$B$216,2,FALSE),"")</f>
        <v>Remplacement blindage balourd</v>
      </c>
      <c r="G178" s="55" t="str">
        <f>IFERROR(VLOOKUP(D178,'Recap Dates'!$A$220:$B$284,2,FALSE),"")</f>
        <v/>
      </c>
      <c r="H178" s="55" t="str">
        <f>IFERROR(VLOOKUP(D178,Engin!$F$7:$G$253,2,FALSE),"")</f>
        <v/>
      </c>
    </row>
    <row r="179" spans="1:8" ht="63.95" customHeight="1" x14ac:dyDescent="0.25">
      <c r="A179" s="59">
        <f t="shared" si="6"/>
        <v>9</v>
      </c>
      <c r="B179" s="61">
        <f t="shared" si="7"/>
        <v>36</v>
      </c>
      <c r="C179" s="59" t="str">
        <f t="shared" si="8"/>
        <v>ven</v>
      </c>
      <c r="D179" s="63">
        <f>WORKDAY(D178,1,JoursFeries!$B$3:$CH$15)</f>
        <v>42986</v>
      </c>
      <c r="E179" s="55" t="str">
        <f>IFERROR(VLOOKUP(D179,'Recap Dates'!$A$2:$B$99,2,FALSE),"")</f>
        <v/>
      </c>
      <c r="F179" s="74" t="str">
        <f>IFERROR(VLOOKUP(D179,'Recap Dates'!$A$103:$B$216,2,FALSE),"")</f>
        <v/>
      </c>
      <c r="G179" s="55" t="str">
        <f>IFERROR(VLOOKUP(D179,'Recap Dates'!$A$220:$B$284,2,FALSE),"")</f>
        <v/>
      </c>
      <c r="H179" s="55" t="str">
        <f>IFERROR(VLOOKUP(D179,Engin!$F$7:$G$253,2,FALSE),"")</f>
        <v/>
      </c>
    </row>
    <row r="180" spans="1:8" ht="63.95" customHeight="1" x14ac:dyDescent="0.25">
      <c r="A180" s="59">
        <f t="shared" si="6"/>
        <v>9</v>
      </c>
      <c r="B180" s="61">
        <f t="shared" si="7"/>
        <v>37</v>
      </c>
      <c r="C180" s="59" t="str">
        <f t="shared" si="8"/>
        <v>lun</v>
      </c>
      <c r="D180" s="63">
        <f>WORKDAY(D179,1,JoursFeries!$B$3:$CH$15)</f>
        <v>42989</v>
      </c>
      <c r="E180" s="55" t="str">
        <f>IFERROR(VLOOKUP(D180,'Recap Dates'!$A$2:$B$99,2,FALSE),"")</f>
        <v/>
      </c>
      <c r="F180" s="74" t="str">
        <f>IFERROR(VLOOKUP(D180,'Recap Dates'!$A$103:$B$216,2,FALSE),"")</f>
        <v/>
      </c>
      <c r="G180" s="55" t="str">
        <f>IFERROR(VLOOKUP(D180,'Recap Dates'!$A$220:$B$284,2,FALSE),"")</f>
        <v/>
      </c>
      <c r="H180" s="55" t="str">
        <f>IFERROR(VLOOKUP(D180,Engin!$F$7:$G$253,2,FALSE),"")</f>
        <v/>
      </c>
    </row>
    <row r="181" spans="1:8" ht="63.95" customHeight="1" x14ac:dyDescent="0.25">
      <c r="A181" s="59">
        <f t="shared" si="6"/>
        <v>9</v>
      </c>
      <c r="B181" s="61">
        <f t="shared" si="7"/>
        <v>37</v>
      </c>
      <c r="C181" s="59" t="str">
        <f t="shared" si="8"/>
        <v>mar</v>
      </c>
      <c r="D181" s="63">
        <f>WORKDAY(D180,1,JoursFeries!$B$3:$CH$15)</f>
        <v>42990</v>
      </c>
      <c r="E181" s="55" t="str">
        <f>IFERROR(VLOOKUP(D181,'Recap Dates'!$A$2:$B$99,2,FALSE),"")</f>
        <v/>
      </c>
      <c r="F181" s="74" t="str">
        <f>IFERROR(VLOOKUP(D181,'Recap Dates'!$A$103:$B$216,2,FALSE),"")</f>
        <v/>
      </c>
      <c r="G181" s="55" t="str">
        <f>IFERROR(VLOOKUP(D181,'Recap Dates'!$A$220:$B$284,2,FALSE),"")</f>
        <v/>
      </c>
      <c r="H181" s="55" t="str">
        <f>IFERROR(VLOOKUP(D181,Engin!$F$7:$G$253,2,FALSE),"")</f>
        <v/>
      </c>
    </row>
    <row r="182" spans="1:8" ht="63.95" customHeight="1" x14ac:dyDescent="0.25">
      <c r="A182" s="59">
        <f t="shared" si="6"/>
        <v>9</v>
      </c>
      <c r="B182" s="61">
        <f t="shared" si="7"/>
        <v>37</v>
      </c>
      <c r="C182" s="59" t="str">
        <f t="shared" si="8"/>
        <v>mer</v>
      </c>
      <c r="D182" s="63">
        <f>WORKDAY(D181,1,JoursFeries!$B$3:$CH$15)</f>
        <v>42991</v>
      </c>
      <c r="E182" s="55" t="str">
        <f>IFERROR(VLOOKUP(D182,'Recap Dates'!$A$2:$B$99,2,FALSE),"")</f>
        <v/>
      </c>
      <c r="F182" s="74" t="str">
        <f>IFERROR(VLOOKUP(D182,'Recap Dates'!$A$103:$B$216,2,FALSE),"")</f>
        <v/>
      </c>
      <c r="G182" s="55" t="str">
        <f>IFERROR(VLOOKUP(D182,'Recap Dates'!$A$220:$B$284,2,FALSE),"")</f>
        <v/>
      </c>
      <c r="H182" s="55" t="str">
        <f>IFERROR(VLOOKUP(D182,Engin!$F$7:$G$253,2,FALSE),"")</f>
        <v/>
      </c>
    </row>
    <row r="183" spans="1:8" ht="63.95" customHeight="1" x14ac:dyDescent="0.25">
      <c r="A183" s="59">
        <f t="shared" si="6"/>
        <v>9</v>
      </c>
      <c r="B183" s="61">
        <f t="shared" si="7"/>
        <v>37</v>
      </c>
      <c r="C183" s="59" t="str">
        <f t="shared" si="8"/>
        <v>jeu</v>
      </c>
      <c r="D183" s="63">
        <f>WORKDAY(D182,1,JoursFeries!$B$3:$CH$15)</f>
        <v>42992</v>
      </c>
      <c r="E183" s="55" t="str">
        <f>IFERROR(VLOOKUP(D183,'Recap Dates'!$A$2:$B$99,2,FALSE),"")</f>
        <v/>
      </c>
      <c r="F183" s="74" t="str">
        <f>IFERROR(VLOOKUP(D183,'Recap Dates'!$A$103:$B$216,2,FALSE),"")</f>
        <v/>
      </c>
      <c r="G183" s="55" t="str">
        <f>IFERROR(VLOOKUP(D183,'Recap Dates'!$A$220:$B$284,2,FALSE),"")</f>
        <v/>
      </c>
      <c r="H183" s="55" t="str">
        <f>IFERROR(VLOOKUP(D183,Engin!$F$7:$G$253,2,FALSE),"")</f>
        <v/>
      </c>
    </row>
    <row r="184" spans="1:8" ht="63.95" customHeight="1" x14ac:dyDescent="0.25">
      <c r="A184" s="59">
        <f t="shared" si="6"/>
        <v>9</v>
      </c>
      <c r="B184" s="61">
        <f t="shared" si="7"/>
        <v>37</v>
      </c>
      <c r="C184" s="59" t="str">
        <f t="shared" si="8"/>
        <v>ven</v>
      </c>
      <c r="D184" s="63">
        <f>WORKDAY(D183,1,JoursFeries!$B$3:$CH$15)</f>
        <v>42993</v>
      </c>
      <c r="E184" s="55" t="str">
        <f>IFERROR(VLOOKUP(D184,'Recap Dates'!$A$2:$B$99,2,FALSE),"")</f>
        <v/>
      </c>
      <c r="F184" s="74" t="str">
        <f>IFERROR(VLOOKUP(D184,'Recap Dates'!$A$103:$B$216,2,FALSE),"")</f>
        <v/>
      </c>
      <c r="G184" s="55" t="str">
        <f>IFERROR(VLOOKUP(D184,'Recap Dates'!$A$220:$B$284,2,FALSE),"")</f>
        <v/>
      </c>
      <c r="H184" s="55" t="str">
        <f>IFERROR(VLOOKUP(D184,Engin!$F$7:$G$253,2,FALSE),"")</f>
        <v>Entretien 11700h (100h)</v>
      </c>
    </row>
    <row r="185" spans="1:8" ht="63.95" customHeight="1" x14ac:dyDescent="0.25">
      <c r="A185" s="59">
        <f t="shared" si="6"/>
        <v>9</v>
      </c>
      <c r="B185" s="61">
        <f t="shared" si="7"/>
        <v>38</v>
      </c>
      <c r="C185" s="59" t="str">
        <f t="shared" si="8"/>
        <v>lun</v>
      </c>
      <c r="D185" s="63">
        <f>WORKDAY(D184,1,JoursFeries!$B$3:$CH$15)</f>
        <v>42996</v>
      </c>
      <c r="E185" s="55" t="str">
        <f>IFERROR(VLOOKUP(D185,'Recap Dates'!$A$2:$B$99,2,FALSE),"")</f>
        <v/>
      </c>
      <c r="F185" s="74" t="str">
        <f>IFERROR(VLOOKUP(D185,'Recap Dates'!$A$103:$B$216,2,FALSE),"")</f>
        <v/>
      </c>
      <c r="G185" s="55" t="str">
        <f>IFERROR(VLOOKUP(D185,'Recap Dates'!$A$220:$B$284,2,FALSE),"")</f>
        <v/>
      </c>
      <c r="H185" s="55" t="str">
        <f>IFERROR(VLOOKUP(D185,Engin!$F$7:$G$253,2,FALSE),"")</f>
        <v/>
      </c>
    </row>
    <row r="186" spans="1:8" ht="63.95" customHeight="1" x14ac:dyDescent="0.25">
      <c r="A186" s="59">
        <f t="shared" si="6"/>
        <v>9</v>
      </c>
      <c r="B186" s="61">
        <f t="shared" si="7"/>
        <v>38</v>
      </c>
      <c r="C186" s="59" t="str">
        <f t="shared" si="8"/>
        <v>mar</v>
      </c>
      <c r="D186" s="63">
        <f>WORKDAY(D185,1,JoursFeries!$B$3:$CH$15)</f>
        <v>42997</v>
      </c>
      <c r="E186" s="55" t="str">
        <f>IFERROR(VLOOKUP(D186,'Recap Dates'!$A$2:$B$99,2,FALSE),"")</f>
        <v/>
      </c>
      <c r="F186" s="74" t="str">
        <f>IFERROR(VLOOKUP(D186,'Recap Dates'!$A$103:$B$216,2,FALSE),"")</f>
        <v/>
      </c>
      <c r="G186" s="55" t="str">
        <f>IFERROR(VLOOKUP(D186,'Recap Dates'!$A$220:$B$284,2,FALSE),"")</f>
        <v/>
      </c>
      <c r="H186" s="55" t="str">
        <f>IFERROR(VLOOKUP(D186,Engin!$F$7:$G$253,2,FALSE),"")</f>
        <v/>
      </c>
    </row>
    <row r="187" spans="1:8" ht="63.95" customHeight="1" x14ac:dyDescent="0.25">
      <c r="A187" s="59">
        <f t="shared" si="6"/>
        <v>9</v>
      </c>
      <c r="B187" s="61">
        <f t="shared" si="7"/>
        <v>38</v>
      </c>
      <c r="C187" s="59" t="str">
        <f t="shared" si="8"/>
        <v>mer</v>
      </c>
      <c r="D187" s="63">
        <f>WORKDAY(D186,1,JoursFeries!$B$3:$CH$15)</f>
        <v>42998</v>
      </c>
      <c r="E187" s="55" t="str">
        <f>IFERROR(VLOOKUP(D187,'Recap Dates'!$A$2:$B$99,2,FALSE),"")</f>
        <v/>
      </c>
      <c r="F187" s="74" t="str">
        <f>IFERROR(VLOOKUP(D187,'Recap Dates'!$A$103:$B$216,2,FALSE),"")</f>
        <v/>
      </c>
      <c r="G187" s="55" t="str">
        <f>IFERROR(VLOOKUP(D187,'Recap Dates'!$A$220:$B$284,2,FALSE),"")</f>
        <v/>
      </c>
      <c r="H187" s="55" t="str">
        <f>IFERROR(VLOOKUP(D187,Engin!$F$7:$G$253,2,FALSE),"")</f>
        <v/>
      </c>
    </row>
    <row r="188" spans="1:8" ht="63.95" customHeight="1" x14ac:dyDescent="0.25">
      <c r="A188" s="59">
        <f t="shared" si="6"/>
        <v>9</v>
      </c>
      <c r="B188" s="61">
        <f t="shared" si="7"/>
        <v>38</v>
      </c>
      <c r="C188" s="59" t="str">
        <f t="shared" si="8"/>
        <v>jeu</v>
      </c>
      <c r="D188" s="63">
        <f>WORKDAY(D187,1,JoursFeries!$B$3:$CH$15)</f>
        <v>42999</v>
      </c>
      <c r="E188" s="55" t="str">
        <f>IFERROR(VLOOKUP(D188,'Recap Dates'!$A$2:$B$99,2,FALSE),"")</f>
        <v/>
      </c>
      <c r="F188" s="74" t="str">
        <f>IFERROR(VLOOKUP(D188,'Recap Dates'!$A$103:$B$216,2,FALSE),"")</f>
        <v/>
      </c>
      <c r="G188" s="55" t="str">
        <f>IFERROR(VLOOKUP(D188,'Recap Dates'!$A$220:$B$284,2,FALSE),"")</f>
        <v/>
      </c>
      <c r="H188" s="55" t="str">
        <f>IFERROR(VLOOKUP(D188,Engin!$F$7:$G$253,2,FALSE),"")</f>
        <v/>
      </c>
    </row>
    <row r="189" spans="1:8" ht="63.95" customHeight="1" x14ac:dyDescent="0.25">
      <c r="A189" s="59">
        <f t="shared" si="6"/>
        <v>9</v>
      </c>
      <c r="B189" s="61">
        <f t="shared" si="7"/>
        <v>38</v>
      </c>
      <c r="C189" s="59" t="str">
        <f t="shared" si="8"/>
        <v>ven</v>
      </c>
      <c r="D189" s="63">
        <f>WORKDAY(D188,1,JoursFeries!$B$3:$CH$15)</f>
        <v>43000</v>
      </c>
      <c r="E189" s="55" t="str">
        <f>IFERROR(VLOOKUP(D189,'Recap Dates'!$A$2:$B$99,2,FALSE),"")</f>
        <v/>
      </c>
      <c r="F189" s="74" t="str">
        <f>IFERROR(VLOOKUP(D189,'Recap Dates'!$A$103:$B$216,2,FALSE),"")</f>
        <v/>
      </c>
      <c r="G189" s="55" t="str">
        <f>IFERROR(VLOOKUP(D189,'Recap Dates'!$A$220:$B$284,2,FALSE),"")</f>
        <v/>
      </c>
      <c r="H189" s="55" t="str">
        <f>IFERROR(VLOOKUP(D189,Engin!$F$7:$G$253,2,FALSE),"")</f>
        <v>Entretien 11750h (250h)</v>
      </c>
    </row>
    <row r="190" spans="1:8" ht="63.95" customHeight="1" x14ac:dyDescent="0.25">
      <c r="A190" s="59">
        <f t="shared" si="6"/>
        <v>9</v>
      </c>
      <c r="B190" s="61">
        <f t="shared" si="7"/>
        <v>39</v>
      </c>
      <c r="C190" s="59" t="str">
        <f t="shared" si="8"/>
        <v>lun</v>
      </c>
      <c r="D190" s="63">
        <f>WORKDAY(D189,1,JoursFeries!$B$3:$CH$15)</f>
        <v>43003</v>
      </c>
      <c r="E190" s="55" t="str">
        <f>IFERROR(VLOOKUP(D190,'Recap Dates'!$A$2:$B$99,2,FALSE),"")</f>
        <v/>
      </c>
      <c r="F190" s="74" t="str">
        <f>IFERROR(VLOOKUP(D190,'Recap Dates'!$A$103:$B$216,2,FALSE),"")</f>
        <v/>
      </c>
      <c r="G190" s="55" t="str">
        <f>IFERROR(VLOOKUP(D190,'Recap Dates'!$A$220:$B$284,2,FALSE),"")</f>
        <v/>
      </c>
      <c r="H190" s="55" t="str">
        <f>IFERROR(VLOOKUP(D190,Engin!$F$7:$G$253,2,FALSE),"")</f>
        <v/>
      </c>
    </row>
    <row r="191" spans="1:8" ht="63.95" customHeight="1" x14ac:dyDescent="0.25">
      <c r="A191" s="59">
        <f t="shared" si="6"/>
        <v>9</v>
      </c>
      <c r="B191" s="61">
        <f t="shared" si="7"/>
        <v>39</v>
      </c>
      <c r="C191" s="59" t="str">
        <f t="shared" si="8"/>
        <v>mar</v>
      </c>
      <c r="D191" s="63">
        <f>WORKDAY(D190,1,JoursFeries!$B$3:$CH$15)</f>
        <v>43004</v>
      </c>
      <c r="E191" s="55" t="str">
        <f>IFERROR(VLOOKUP(D191,'Recap Dates'!$A$2:$B$99,2,FALSE),"")</f>
        <v/>
      </c>
      <c r="F191" s="74" t="str">
        <f>IFERROR(VLOOKUP(D191,'Recap Dates'!$A$103:$B$216,2,FALSE),"")</f>
        <v/>
      </c>
      <c r="G191" s="55" t="str">
        <f>IFERROR(VLOOKUP(D191,'Recap Dates'!$A$220:$B$284,2,FALSE),"")</f>
        <v/>
      </c>
      <c r="H191" s="55" t="str">
        <f>IFERROR(VLOOKUP(D191,Engin!$F$7:$G$253,2,FALSE),"")</f>
        <v/>
      </c>
    </row>
    <row r="192" spans="1:8" ht="63.95" customHeight="1" x14ac:dyDescent="0.25">
      <c r="A192" s="59">
        <f t="shared" si="6"/>
        <v>9</v>
      </c>
      <c r="B192" s="61">
        <f t="shared" si="7"/>
        <v>39</v>
      </c>
      <c r="C192" s="59" t="str">
        <f t="shared" si="8"/>
        <v>mer</v>
      </c>
      <c r="D192" s="63">
        <f>WORKDAY(D191,1,JoursFeries!$B$3:$CH$15)</f>
        <v>43005</v>
      </c>
      <c r="E192" s="55" t="str">
        <f>IFERROR(VLOOKUP(D192,'Recap Dates'!$A$2:$B$99,2,FALSE),"")</f>
        <v/>
      </c>
      <c r="F192" s="74" t="str">
        <f>IFERROR(VLOOKUP(D192,'Recap Dates'!$A$103:$B$216,2,FALSE),"")</f>
        <v/>
      </c>
      <c r="G192" s="55" t="str">
        <f>IFERROR(VLOOKUP(D192,'Recap Dates'!$A$220:$B$284,2,FALSE),"")</f>
        <v/>
      </c>
      <c r="H192" s="55" t="str">
        <f>IFERROR(VLOOKUP(D192,Engin!$F$7:$G$253,2,FALSE),"")</f>
        <v/>
      </c>
    </row>
    <row r="193" spans="1:8" ht="63.95" customHeight="1" x14ac:dyDescent="0.25">
      <c r="A193" s="59">
        <f t="shared" si="6"/>
        <v>9</v>
      </c>
      <c r="B193" s="61">
        <f t="shared" si="7"/>
        <v>39</v>
      </c>
      <c r="C193" s="59" t="str">
        <f t="shared" si="8"/>
        <v>jeu</v>
      </c>
      <c r="D193" s="63">
        <f>WORKDAY(D192,1,JoursFeries!$B$3:$CH$15)</f>
        <v>43006</v>
      </c>
      <c r="E193" s="55" t="str">
        <f>IFERROR(VLOOKUP(D193,'Recap Dates'!$A$2:$B$99,2,FALSE),"")</f>
        <v/>
      </c>
      <c r="F193" s="74" t="str">
        <f>IFERROR(VLOOKUP(D193,'Recap Dates'!$A$103:$B$216,2,FALSE),"")</f>
        <v/>
      </c>
      <c r="G193" s="55" t="str">
        <f>IFERROR(VLOOKUP(D193,'Recap Dates'!$A$220:$B$284,2,FALSE),"")</f>
        <v/>
      </c>
      <c r="H193" s="55" t="str">
        <f>IFERROR(VLOOKUP(D193,Engin!$F$7:$G$253,2,FALSE),"")</f>
        <v/>
      </c>
    </row>
    <row r="194" spans="1:8" ht="63.95" customHeight="1" x14ac:dyDescent="0.25">
      <c r="A194" s="59">
        <f t="shared" si="6"/>
        <v>9</v>
      </c>
      <c r="B194" s="61">
        <f t="shared" si="7"/>
        <v>39</v>
      </c>
      <c r="C194" s="59" t="str">
        <f t="shared" si="8"/>
        <v>ven</v>
      </c>
      <c r="D194" s="63">
        <f>WORKDAY(D193,1,JoursFeries!$B$3:$CH$15)</f>
        <v>43007</v>
      </c>
      <c r="E194" s="55" t="str">
        <f>IFERROR(VLOOKUP(D194,'Recap Dates'!$A$2:$B$99,2,FALSE),"")</f>
        <v/>
      </c>
      <c r="F194" s="74" t="str">
        <f>IFERROR(VLOOKUP(D194,'Recap Dates'!$A$103:$B$216,2,FALSE),"")</f>
        <v/>
      </c>
      <c r="G194" s="55" t="str">
        <f>IFERROR(VLOOKUP(D194,'Recap Dates'!$A$220:$B$284,2,FALSE),"")</f>
        <v/>
      </c>
      <c r="H194" s="55" t="str">
        <f>IFERROR(VLOOKUP(D194,Engin!$F$7:$G$253,2,FALSE),"")</f>
        <v>Entretien 11800h (100h)</v>
      </c>
    </row>
    <row r="195" spans="1:8" ht="63.95" customHeight="1" x14ac:dyDescent="0.25">
      <c r="A195" s="59">
        <f t="shared" si="6"/>
        <v>10</v>
      </c>
      <c r="B195" s="61">
        <f t="shared" si="7"/>
        <v>40</v>
      </c>
      <c r="C195" s="59" t="str">
        <f t="shared" si="8"/>
        <v>lun</v>
      </c>
      <c r="D195" s="63">
        <f>WORKDAY(D194,1,JoursFeries!$B$3:$CH$15)</f>
        <v>43010</v>
      </c>
      <c r="E195" s="55" t="str">
        <f>IFERROR(VLOOKUP(D195,'Recap Dates'!$A$2:$B$99,2,FALSE),"")</f>
        <v/>
      </c>
      <c r="F195" s="74" t="str">
        <f>IFERROR(VLOOKUP(D195,'Recap Dates'!$A$103:$B$216,2,FALSE),"")</f>
        <v/>
      </c>
      <c r="G195" s="55" t="str">
        <f>IFERROR(VLOOKUP(D195,'Recap Dates'!$A$220:$B$284,2,FALSE),"")</f>
        <v/>
      </c>
      <c r="H195" s="55" t="str">
        <f>IFERROR(VLOOKUP(D195,Engin!$F$7:$G$253,2,FALSE),"")</f>
        <v/>
      </c>
    </row>
    <row r="196" spans="1:8" ht="63.95" customHeight="1" x14ac:dyDescent="0.25">
      <c r="A196" s="59">
        <f t="shared" si="6"/>
        <v>10</v>
      </c>
      <c r="B196" s="61">
        <f t="shared" si="7"/>
        <v>40</v>
      </c>
      <c r="C196" s="59" t="str">
        <f t="shared" si="8"/>
        <v>mar</v>
      </c>
      <c r="D196" s="63">
        <f>WORKDAY(D195,1,JoursFeries!$B$3:$CH$15)</f>
        <v>43011</v>
      </c>
      <c r="E196" s="55" t="str">
        <f>IFERROR(VLOOKUP(D196,'Recap Dates'!$A$2:$B$99,2,FALSE),"")</f>
        <v/>
      </c>
      <c r="F196" s="74" t="str">
        <f>IFERROR(VLOOKUP(D196,'Recap Dates'!$A$103:$B$216,2,FALSE),"")</f>
        <v/>
      </c>
      <c r="G196" s="55" t="str">
        <f>IFERROR(VLOOKUP(D196,'Recap Dates'!$A$220:$B$284,2,FALSE),"")</f>
        <v/>
      </c>
      <c r="H196" s="55" t="str">
        <f>IFERROR(VLOOKUP(D196,Engin!$F$7:$G$253,2,FALSE),"")</f>
        <v/>
      </c>
    </row>
    <row r="197" spans="1:8" ht="63.95" customHeight="1" x14ac:dyDescent="0.25">
      <c r="A197" s="59">
        <f t="shared" si="6"/>
        <v>10</v>
      </c>
      <c r="B197" s="61">
        <f t="shared" si="7"/>
        <v>40</v>
      </c>
      <c r="C197" s="59" t="str">
        <f t="shared" si="8"/>
        <v>mer</v>
      </c>
      <c r="D197" s="63">
        <f>WORKDAY(D196,1,JoursFeries!$B$3:$CH$15)</f>
        <v>43012</v>
      </c>
      <c r="E197" s="55" t="str">
        <f>IFERROR(VLOOKUP(D197,'Recap Dates'!$A$2:$B$99,2,FALSE),"")</f>
        <v/>
      </c>
      <c r="F197" s="74" t="str">
        <f>IFERROR(VLOOKUP(D197,'Recap Dates'!$A$103:$B$216,2,FALSE),"")</f>
        <v/>
      </c>
      <c r="G197" s="55" t="str">
        <f>IFERROR(VLOOKUP(D197,'Recap Dates'!$A$220:$B$284,2,FALSE),"")</f>
        <v/>
      </c>
      <c r="H197" s="55" t="str">
        <f>IFERROR(VLOOKUP(D197,Engin!$F$7:$G$253,2,FALSE),"")</f>
        <v/>
      </c>
    </row>
    <row r="198" spans="1:8" ht="63.95" customHeight="1" x14ac:dyDescent="0.25">
      <c r="A198" s="59">
        <f t="shared" si="6"/>
        <v>10</v>
      </c>
      <c r="B198" s="61">
        <f t="shared" si="7"/>
        <v>40</v>
      </c>
      <c r="C198" s="59" t="str">
        <f t="shared" si="8"/>
        <v>jeu</v>
      </c>
      <c r="D198" s="63">
        <f>WORKDAY(D197,1,JoursFeries!$B$3:$CH$15)</f>
        <v>43013</v>
      </c>
      <c r="E198" s="55" t="str">
        <f>IFERROR(VLOOKUP(D198,'Recap Dates'!$A$2:$B$99,2,FALSE),"")</f>
        <v/>
      </c>
      <c r="F198" s="74" t="str">
        <f>IFERROR(VLOOKUP(D198,'Recap Dates'!$A$103:$B$216,2,FALSE),"")</f>
        <v/>
      </c>
      <c r="G198" s="55" t="str">
        <f>IFERROR(VLOOKUP(D198,'Recap Dates'!$A$220:$B$284,2,FALSE),"")</f>
        <v/>
      </c>
      <c r="H198" s="55" t="str">
        <f>IFERROR(VLOOKUP(D198,Engin!$F$7:$G$253,2,FALSE),"")</f>
        <v/>
      </c>
    </row>
    <row r="199" spans="1:8" ht="63.95" customHeight="1" x14ac:dyDescent="0.25">
      <c r="A199" s="59">
        <f t="shared" ref="A199:A257" si="9">MONTH(D199)</f>
        <v>10</v>
      </c>
      <c r="B199" s="61">
        <f t="shared" ref="B199:B257" si="10">WEEKNUM(D199,1)</f>
        <v>40</v>
      </c>
      <c r="C199" s="59" t="str">
        <f t="shared" ref="C199:C257" si="11">TEXT(D199,"jjj")</f>
        <v>ven</v>
      </c>
      <c r="D199" s="63">
        <f>WORKDAY(D198,1,JoursFeries!$B$3:$CH$15)</f>
        <v>43014</v>
      </c>
      <c r="E199" s="55" t="str">
        <f>IFERROR(VLOOKUP(D199,'Recap Dates'!$A$2:$B$99,2,FALSE),"")</f>
        <v/>
      </c>
      <c r="F199" s="74" t="str">
        <f>IFERROR(VLOOKUP(D199,'Recap Dates'!$A$103:$B$216,2,FALSE),"")</f>
        <v/>
      </c>
      <c r="G199" s="55" t="str">
        <f>IFERROR(VLOOKUP(D199,'Recap Dates'!$A$220:$B$284,2,FALSE),"")</f>
        <v/>
      </c>
      <c r="H199" s="55" t="str">
        <f>IFERROR(VLOOKUP(D199,Engin!$F$7:$G$253,2,FALSE),"")</f>
        <v/>
      </c>
    </row>
    <row r="200" spans="1:8" ht="63.95" customHeight="1" x14ac:dyDescent="0.25">
      <c r="A200" s="59">
        <f t="shared" si="9"/>
        <v>10</v>
      </c>
      <c r="B200" s="61">
        <f t="shared" si="10"/>
        <v>41</v>
      </c>
      <c r="C200" s="59" t="str">
        <f t="shared" si="11"/>
        <v>lun</v>
      </c>
      <c r="D200" s="63">
        <f>WORKDAY(D199,1,JoursFeries!$B$3:$CH$15)</f>
        <v>43017</v>
      </c>
      <c r="E200" s="55" t="str">
        <f>IFERROR(VLOOKUP(D200,'Recap Dates'!$A$2:$B$99,2,FALSE),"")</f>
        <v/>
      </c>
      <c r="F200" s="74" t="str">
        <f>IFERROR(VLOOKUP(D200,'Recap Dates'!$A$103:$B$216,2,FALSE),"")</f>
        <v/>
      </c>
      <c r="G200" s="55" t="str">
        <f>IFERROR(VLOOKUP(D200,'Recap Dates'!$A$220:$B$284,2,FALSE),"")</f>
        <v/>
      </c>
      <c r="H200" s="55" t="str">
        <f>IFERROR(VLOOKUP(D200,Engin!$F$7:$G$253,2,FALSE),"")</f>
        <v/>
      </c>
    </row>
    <row r="201" spans="1:8" ht="63.95" customHeight="1" x14ac:dyDescent="0.25">
      <c r="A201" s="59">
        <f t="shared" si="9"/>
        <v>10</v>
      </c>
      <c r="B201" s="61">
        <f t="shared" si="10"/>
        <v>41</v>
      </c>
      <c r="C201" s="59" t="str">
        <f t="shared" si="11"/>
        <v>mar</v>
      </c>
      <c r="D201" s="63">
        <f>WORKDAY(D200,1,JoursFeries!$B$3:$CH$15)</f>
        <v>43018</v>
      </c>
      <c r="E201" s="55" t="str">
        <f>IFERROR(VLOOKUP(D201,'Recap Dates'!$A$2:$B$99,2,FALSE),"")</f>
        <v>Remplacement machoires fixe et mobile</v>
      </c>
      <c r="F201" s="74" t="str">
        <f>IFERROR(VLOOKUP(D201,'Recap Dates'!$A$103:$B$216,2,FALSE),"")</f>
        <v/>
      </c>
      <c r="G201" s="55" t="str">
        <f>IFERROR(VLOOKUP(D201,'Recap Dates'!$A$220:$B$284,2,FALSE),"")</f>
        <v/>
      </c>
      <c r="H201" s="55" t="str">
        <f>IFERROR(VLOOKUP(D201,Engin!$F$7:$G$253,2,FALSE),"")</f>
        <v/>
      </c>
    </row>
    <row r="202" spans="1:8" ht="63.95" customHeight="1" x14ac:dyDescent="0.25">
      <c r="A202" s="59">
        <f t="shared" si="9"/>
        <v>10</v>
      </c>
      <c r="B202" s="61">
        <f t="shared" si="10"/>
        <v>41</v>
      </c>
      <c r="C202" s="59" t="str">
        <f t="shared" si="11"/>
        <v>mer</v>
      </c>
      <c r="D202" s="63">
        <f>WORKDAY(D201,1,JoursFeries!$B$3:$CH$15)</f>
        <v>43019</v>
      </c>
      <c r="E202" s="55" t="str">
        <f>IFERROR(VLOOKUP(D202,'Recap Dates'!$A$2:$B$99,2,FALSE),"")</f>
        <v/>
      </c>
      <c r="F202" s="74" t="str">
        <f>IFERROR(VLOOKUP(D202,'Recap Dates'!$A$103:$B$216,2,FALSE),"")</f>
        <v/>
      </c>
      <c r="G202" s="55" t="str">
        <f>IFERROR(VLOOKUP(D202,'Recap Dates'!$A$220:$B$284,2,FALSE),"")</f>
        <v/>
      </c>
      <c r="H202" s="55" t="str">
        <f>IFERROR(VLOOKUP(D202,Engin!$F$7:$G$253,2,FALSE),"")</f>
        <v/>
      </c>
    </row>
    <row r="203" spans="1:8" ht="63.95" customHeight="1" x14ac:dyDescent="0.25">
      <c r="A203" s="59">
        <f t="shared" si="9"/>
        <v>10</v>
      </c>
      <c r="B203" s="61">
        <f t="shared" si="10"/>
        <v>41</v>
      </c>
      <c r="C203" s="59" t="str">
        <f t="shared" si="11"/>
        <v>jeu</v>
      </c>
      <c r="D203" s="63">
        <f>WORKDAY(D202,1,JoursFeries!$B$3:$CH$15)</f>
        <v>43020</v>
      </c>
      <c r="E203" s="55" t="str">
        <f>IFERROR(VLOOKUP(D203,'Recap Dates'!$A$2:$B$99,2,FALSE),"")</f>
        <v/>
      </c>
      <c r="F203" s="74" t="str">
        <f>IFERROR(VLOOKUP(D203,'Recap Dates'!$A$103:$B$216,2,FALSE),"")</f>
        <v/>
      </c>
      <c r="G203" s="55" t="str">
        <f>IFERROR(VLOOKUP(D203,'Recap Dates'!$A$220:$B$284,2,FALSE),"")</f>
        <v/>
      </c>
      <c r="H203" s="55" t="str">
        <f>IFERROR(VLOOKUP(D203,Engin!$F$7:$G$253,2,FALSE),"")</f>
        <v/>
      </c>
    </row>
    <row r="204" spans="1:8" ht="63.95" customHeight="1" x14ac:dyDescent="0.25">
      <c r="A204" s="59">
        <f t="shared" si="9"/>
        <v>10</v>
      </c>
      <c r="B204" s="61">
        <f t="shared" si="10"/>
        <v>41</v>
      </c>
      <c r="C204" s="59" t="str">
        <f t="shared" si="11"/>
        <v>ven</v>
      </c>
      <c r="D204" s="63">
        <f>WORKDAY(D203,1,JoursFeries!$B$3:$CH$15)</f>
        <v>43021</v>
      </c>
      <c r="E204" s="55" t="str">
        <f>IFERROR(VLOOKUP(D204,'Recap Dates'!$A$2:$B$99,2,FALSE),"")</f>
        <v/>
      </c>
      <c r="F204" s="74" t="str">
        <f>IFERROR(VLOOKUP(D204,'Recap Dates'!$A$103:$B$216,2,FALSE),"")</f>
        <v/>
      </c>
      <c r="G204" s="55" t="str">
        <f>IFERROR(VLOOKUP(D204,'Recap Dates'!$A$220:$B$284,2,FALSE),"")</f>
        <v/>
      </c>
      <c r="H204" s="55" t="str">
        <f>IFERROR(VLOOKUP(D204,Engin!$F$7:$G$253,2,FALSE),"")</f>
        <v>Entretien 11900h (100h)</v>
      </c>
    </row>
    <row r="205" spans="1:8" ht="63.95" customHeight="1" x14ac:dyDescent="0.25">
      <c r="A205" s="59">
        <f t="shared" si="9"/>
        <v>10</v>
      </c>
      <c r="B205" s="61">
        <f t="shared" si="10"/>
        <v>42</v>
      </c>
      <c r="C205" s="59" t="str">
        <f t="shared" si="11"/>
        <v>lun</v>
      </c>
      <c r="D205" s="63">
        <f>WORKDAY(D204,1,JoursFeries!$B$3:$CH$15)</f>
        <v>43024</v>
      </c>
      <c r="E205" s="55" t="str">
        <f>IFERROR(VLOOKUP(D205,'Recap Dates'!$A$2:$B$99,2,FALSE),"")</f>
        <v/>
      </c>
      <c r="F205" s="74" t="str">
        <f>IFERROR(VLOOKUP(D205,'Recap Dates'!$A$103:$B$216,2,FALSE),"")</f>
        <v>Vidange</v>
      </c>
      <c r="G205" s="55" t="str">
        <f>IFERROR(VLOOKUP(D205,'Recap Dates'!$A$220:$B$284,2,FALSE),"")</f>
        <v/>
      </c>
      <c r="H205" s="55" t="str">
        <f>IFERROR(VLOOKUP(D205,Engin!$F$7:$G$253,2,FALSE),"")</f>
        <v/>
      </c>
    </row>
    <row r="206" spans="1:8" ht="63.95" customHeight="1" x14ac:dyDescent="0.25">
      <c r="A206" s="59">
        <f t="shared" si="9"/>
        <v>10</v>
      </c>
      <c r="B206" s="61">
        <f t="shared" si="10"/>
        <v>42</v>
      </c>
      <c r="C206" s="59" t="str">
        <f t="shared" si="11"/>
        <v>mar</v>
      </c>
      <c r="D206" s="63">
        <f>WORKDAY(D205,1,JoursFeries!$B$3:$CH$15)</f>
        <v>43025</v>
      </c>
      <c r="E206" s="55" t="str">
        <f>IFERROR(VLOOKUP(D206,'Recap Dates'!$A$2:$B$99,2,FALSE),"")</f>
        <v>Remplacement accus</v>
      </c>
      <c r="F206" s="74" t="str">
        <f>IFERROR(VLOOKUP(D206,'Recap Dates'!$A$103:$B$216,2,FALSE),"")</f>
        <v/>
      </c>
      <c r="G206" s="55" t="str">
        <f>IFERROR(VLOOKUP(D206,'Recap Dates'!$A$220:$B$284,2,FALSE),"")</f>
        <v/>
      </c>
      <c r="H206" s="55" t="str">
        <f>IFERROR(VLOOKUP(D206,Engin!$F$7:$G$253,2,FALSE),"")</f>
        <v/>
      </c>
    </row>
    <row r="207" spans="1:8" ht="63.95" customHeight="1" x14ac:dyDescent="0.25">
      <c r="A207" s="59">
        <f t="shared" si="9"/>
        <v>10</v>
      </c>
      <c r="B207" s="61">
        <f t="shared" si="10"/>
        <v>42</v>
      </c>
      <c r="C207" s="59" t="str">
        <f t="shared" si="11"/>
        <v>mer</v>
      </c>
      <c r="D207" s="63">
        <f>WORKDAY(D206,1,JoursFeries!$B$3:$CH$15)</f>
        <v>43026</v>
      </c>
      <c r="E207" s="55" t="str">
        <f>IFERROR(VLOOKUP(D207,'Recap Dates'!$A$2:$B$99,2,FALSE),"")</f>
        <v/>
      </c>
      <c r="F207" s="74" t="str">
        <f>IFERROR(VLOOKUP(D207,'Recap Dates'!$A$103:$B$216,2,FALSE),"")</f>
        <v/>
      </c>
      <c r="G207" s="55" t="str">
        <f>IFERROR(VLOOKUP(D207,'Recap Dates'!$A$220:$B$284,2,FALSE),"")</f>
        <v/>
      </c>
      <c r="H207" s="55" t="str">
        <f>IFERROR(VLOOKUP(D207,Engin!$F$7:$G$253,2,FALSE),"")</f>
        <v/>
      </c>
    </row>
    <row r="208" spans="1:8" ht="63.95" customHeight="1" x14ac:dyDescent="0.25">
      <c r="A208" s="59">
        <f t="shared" si="9"/>
        <v>10</v>
      </c>
      <c r="B208" s="61">
        <f t="shared" si="10"/>
        <v>42</v>
      </c>
      <c r="C208" s="59" t="str">
        <f t="shared" si="11"/>
        <v>jeu</v>
      </c>
      <c r="D208" s="63">
        <f>WORKDAY(D207,1,JoursFeries!$B$3:$CH$15)</f>
        <v>43027</v>
      </c>
      <c r="E208" s="55" t="str">
        <f>IFERROR(VLOOKUP(D208,'Recap Dates'!$A$2:$B$99,2,FALSE),"")</f>
        <v/>
      </c>
      <c r="F208" s="74" t="str">
        <f>IFERROR(VLOOKUP(D208,'Recap Dates'!$A$103:$B$216,2,FALSE),"")</f>
        <v/>
      </c>
      <c r="G208" s="55" t="str">
        <f>IFERROR(VLOOKUP(D208,'Recap Dates'!$A$220:$B$284,2,FALSE),"")</f>
        <v/>
      </c>
      <c r="H208" s="55" t="str">
        <f>IFERROR(VLOOKUP(D208,Engin!$F$7:$G$253,2,FALSE),"")</f>
        <v/>
      </c>
    </row>
    <row r="209" spans="1:8" ht="63.95" customHeight="1" x14ac:dyDescent="0.25">
      <c r="A209" s="59">
        <f t="shared" si="9"/>
        <v>10</v>
      </c>
      <c r="B209" s="61">
        <f t="shared" si="10"/>
        <v>42</v>
      </c>
      <c r="C209" s="59" t="str">
        <f t="shared" si="11"/>
        <v>ven</v>
      </c>
      <c r="D209" s="63">
        <f>WORKDAY(D208,1,JoursFeries!$B$3:$CH$15)</f>
        <v>43028</v>
      </c>
      <c r="E209" s="55" t="str">
        <f>IFERROR(VLOOKUP(D209,'Recap Dates'!$A$2:$B$99,2,FALSE),"")</f>
        <v/>
      </c>
      <c r="F209" s="74" t="str">
        <f>IFERROR(VLOOKUP(D209,'Recap Dates'!$A$103:$B$216,2,FALSE),"")</f>
        <v/>
      </c>
      <c r="G209" s="55" t="str">
        <f>IFERROR(VLOOKUP(D209,'Recap Dates'!$A$220:$B$284,2,FALSE),"")</f>
        <v/>
      </c>
      <c r="H209" s="55" t="str">
        <f>IFERROR(VLOOKUP(D209,Engin!$F$7:$G$253,2,FALSE),"")</f>
        <v/>
      </c>
    </row>
    <row r="210" spans="1:8" ht="63.95" customHeight="1" x14ac:dyDescent="0.25">
      <c r="A210" s="59">
        <f t="shared" si="9"/>
        <v>10</v>
      </c>
      <c r="B210" s="61">
        <f t="shared" si="10"/>
        <v>43</v>
      </c>
      <c r="C210" s="59" t="str">
        <f t="shared" si="11"/>
        <v>lun</v>
      </c>
      <c r="D210" s="63">
        <f>WORKDAY(D209,1,JoursFeries!$B$3:$CH$15)</f>
        <v>43031</v>
      </c>
      <c r="E210" s="55" t="str">
        <f>IFERROR(VLOOKUP(D210,'Recap Dates'!$A$2:$B$99,2,FALSE),"")</f>
        <v/>
      </c>
      <c r="F210" s="74" t="str">
        <f>IFERROR(VLOOKUP(D210,'Recap Dates'!$A$103:$B$216,2,FALSE),"")</f>
        <v/>
      </c>
      <c r="G210" s="55" t="str">
        <f>IFERROR(VLOOKUP(D210,'Recap Dates'!$A$220:$B$284,2,FALSE),"")</f>
        <v/>
      </c>
      <c r="H210" s="55" t="str">
        <f>IFERROR(VLOOKUP(D210,Engin!$F$7:$G$253,2,FALSE),"")</f>
        <v/>
      </c>
    </row>
    <row r="211" spans="1:8" ht="63.95" customHeight="1" x14ac:dyDescent="0.25">
      <c r="A211" s="59">
        <f t="shared" si="9"/>
        <v>10</v>
      </c>
      <c r="B211" s="61">
        <f t="shared" si="10"/>
        <v>43</v>
      </c>
      <c r="C211" s="59" t="str">
        <f t="shared" si="11"/>
        <v>mar</v>
      </c>
      <c r="D211" s="63">
        <f>WORKDAY(D210,1,JoursFeries!$B$3:$CH$15)</f>
        <v>43032</v>
      </c>
      <c r="E211" s="55" t="str">
        <f>IFERROR(VLOOKUP(D211,'Recap Dates'!$A$2:$B$99,2,FALSE),"")</f>
        <v/>
      </c>
      <c r="F211" s="74" t="str">
        <f>IFERROR(VLOOKUP(D211,'Recap Dates'!$A$103:$B$216,2,FALSE),"")</f>
        <v/>
      </c>
      <c r="G211" s="55" t="str">
        <f>IFERROR(VLOOKUP(D211,'Recap Dates'!$A$220:$B$284,2,FALSE),"")</f>
        <v/>
      </c>
      <c r="H211" s="55" t="str">
        <f>IFERROR(VLOOKUP(D211,Engin!$F$7:$G$253,2,FALSE),"")</f>
        <v/>
      </c>
    </row>
    <row r="212" spans="1:8" ht="63.95" customHeight="1" x14ac:dyDescent="0.25">
      <c r="A212" s="59">
        <f t="shared" si="9"/>
        <v>10</v>
      </c>
      <c r="B212" s="61">
        <f t="shared" si="10"/>
        <v>43</v>
      </c>
      <c r="C212" s="59" t="str">
        <f t="shared" si="11"/>
        <v>mer</v>
      </c>
      <c r="D212" s="63">
        <f>WORKDAY(D211,1,JoursFeries!$B$3:$CH$15)</f>
        <v>43033</v>
      </c>
      <c r="E212" s="55" t="str">
        <f>IFERROR(VLOOKUP(D212,'Recap Dates'!$A$2:$B$99,2,FALSE),"")</f>
        <v/>
      </c>
      <c r="F212" s="74" t="str">
        <f>IFERROR(VLOOKUP(D212,'Recap Dates'!$A$103:$B$216,2,FALSE),"")</f>
        <v/>
      </c>
      <c r="G212" s="55" t="str">
        <f>IFERROR(VLOOKUP(D212,'Recap Dates'!$A$220:$B$284,2,FALSE),"")</f>
        <v/>
      </c>
      <c r="H212" s="55" t="str">
        <f>IFERROR(VLOOKUP(D212,Engin!$F$7:$G$253,2,FALSE),"")</f>
        <v/>
      </c>
    </row>
    <row r="213" spans="1:8" ht="63.95" customHeight="1" x14ac:dyDescent="0.25">
      <c r="A213" s="59">
        <f t="shared" si="9"/>
        <v>10</v>
      </c>
      <c r="B213" s="61">
        <f t="shared" si="10"/>
        <v>43</v>
      </c>
      <c r="C213" s="59" t="str">
        <f t="shared" si="11"/>
        <v>jeu</v>
      </c>
      <c r="D213" s="63">
        <f>WORKDAY(D212,1,JoursFeries!$B$3:$CH$15)</f>
        <v>43034</v>
      </c>
      <c r="E213" s="55" t="str">
        <f>IFERROR(VLOOKUP(D213,'Recap Dates'!$A$2:$B$99,2,FALSE),"")</f>
        <v/>
      </c>
      <c r="F213" s="74" t="str">
        <f>IFERROR(VLOOKUP(D213,'Recap Dates'!$A$103:$B$216,2,FALSE),"")</f>
        <v/>
      </c>
      <c r="G213" s="55" t="str">
        <f>IFERROR(VLOOKUP(D213,'Recap Dates'!$A$220:$B$284,2,FALSE),"")</f>
        <v/>
      </c>
      <c r="H213" s="55" t="str">
        <f>IFERROR(VLOOKUP(D213,Engin!$F$7:$G$253,2,FALSE),"")</f>
        <v/>
      </c>
    </row>
    <row r="214" spans="1:8" ht="63.95" customHeight="1" x14ac:dyDescent="0.25">
      <c r="A214" s="59">
        <f t="shared" si="9"/>
        <v>10</v>
      </c>
      <c r="B214" s="61">
        <f t="shared" si="10"/>
        <v>43</v>
      </c>
      <c r="C214" s="59" t="str">
        <f t="shared" si="11"/>
        <v>ven</v>
      </c>
      <c r="D214" s="63">
        <f>WORKDAY(D213,1,JoursFeries!$B$3:$CH$15)</f>
        <v>43035</v>
      </c>
      <c r="E214" s="55" t="str">
        <f>IFERROR(VLOOKUP(D214,'Recap Dates'!$A$2:$B$99,2,FALSE),"")</f>
        <v/>
      </c>
      <c r="F214" s="74" t="str">
        <f>IFERROR(VLOOKUP(D214,'Recap Dates'!$A$103:$B$216,2,FALSE),"")</f>
        <v>Remplacement machoires fixe et mobile</v>
      </c>
      <c r="G214" s="55" t="str">
        <f>IFERROR(VLOOKUP(D214,'Recap Dates'!$A$220:$B$284,2,FALSE),"")</f>
        <v/>
      </c>
      <c r="H214" s="55" t="str">
        <f>IFERROR(VLOOKUP(D214,Engin!$F$7:$G$253,2,FALSE),"")</f>
        <v>Entretien 12000h (12000h + 6000h + 3000h + 2000h + 1000h + 500h + 250h + 100h)</v>
      </c>
    </row>
    <row r="215" spans="1:8" ht="63.95" customHeight="1" x14ac:dyDescent="0.25">
      <c r="A215" s="59">
        <f t="shared" si="9"/>
        <v>10</v>
      </c>
      <c r="B215" s="61">
        <f t="shared" si="10"/>
        <v>44</v>
      </c>
      <c r="C215" s="59" t="str">
        <f t="shared" si="11"/>
        <v>lun</v>
      </c>
      <c r="D215" s="63">
        <f>WORKDAY(D214,1,JoursFeries!$B$3:$CH$15)</f>
        <v>43038</v>
      </c>
      <c r="E215" s="55" t="str">
        <f>IFERROR(VLOOKUP(D215,'Recap Dates'!$A$2:$B$99,2,FALSE),"")</f>
        <v/>
      </c>
      <c r="F215" s="74" t="str">
        <f>IFERROR(VLOOKUP(D215,'Recap Dates'!$A$103:$B$216,2,FALSE),"")</f>
        <v/>
      </c>
      <c r="G215" s="55" t="str">
        <f>IFERROR(VLOOKUP(D215,'Recap Dates'!$A$220:$B$284,2,FALSE),"")</f>
        <v/>
      </c>
      <c r="H215" s="55" t="str">
        <f>IFERROR(VLOOKUP(D215,Engin!$F$7:$G$253,2,FALSE),"")</f>
        <v/>
      </c>
    </row>
    <row r="216" spans="1:8" ht="63.95" customHeight="1" x14ac:dyDescent="0.25">
      <c r="A216" s="59">
        <f t="shared" si="9"/>
        <v>10</v>
      </c>
      <c r="B216" s="61">
        <f t="shared" si="10"/>
        <v>44</v>
      </c>
      <c r="C216" s="59" t="str">
        <f t="shared" si="11"/>
        <v>mar</v>
      </c>
      <c r="D216" s="63">
        <f>WORKDAY(D215,1,JoursFeries!$B$3:$CH$15)</f>
        <v>43039</v>
      </c>
      <c r="E216" s="55" t="str">
        <f>IFERROR(VLOOKUP(D216,'Recap Dates'!$A$2:$B$99,2,FALSE),"")</f>
        <v/>
      </c>
      <c r="F216" s="74" t="str">
        <f>IFERROR(VLOOKUP(D216,'Recap Dates'!$A$103:$B$216,2,FALSE),"")</f>
        <v/>
      </c>
      <c r="G216" s="55" t="str">
        <f>IFERROR(VLOOKUP(D216,'Recap Dates'!$A$220:$B$284,2,FALSE),"")</f>
        <v/>
      </c>
      <c r="H216" s="55" t="str">
        <f>IFERROR(VLOOKUP(D216,Engin!$F$7:$G$253,2,FALSE),"")</f>
        <v/>
      </c>
    </row>
    <row r="217" spans="1:8" ht="63.95" customHeight="1" x14ac:dyDescent="0.25">
      <c r="A217" s="59">
        <f t="shared" si="9"/>
        <v>11</v>
      </c>
      <c r="B217" s="61">
        <f t="shared" si="10"/>
        <v>44</v>
      </c>
      <c r="C217" s="59" t="str">
        <f t="shared" si="11"/>
        <v>mer</v>
      </c>
      <c r="D217" s="63">
        <f>WORKDAY(D216,1,JoursFeries!$B$3:$CH$15)</f>
        <v>43040</v>
      </c>
      <c r="E217" s="55" t="str">
        <f>IFERROR(VLOOKUP(D217,'Recap Dates'!$A$2:$B$99,2,FALSE),"")</f>
        <v/>
      </c>
      <c r="F217" s="74" t="str">
        <f>IFERROR(VLOOKUP(D217,'Recap Dates'!$A$103:$B$216,2,FALSE),"")</f>
        <v/>
      </c>
      <c r="G217" s="55" t="str">
        <f>IFERROR(VLOOKUP(D217,'Recap Dates'!$A$220:$B$284,2,FALSE),"")</f>
        <v/>
      </c>
      <c r="H217" s="55" t="str">
        <f>IFERROR(VLOOKUP(D217,Engin!$F$7:$G$253,2,FALSE),"")</f>
        <v/>
      </c>
    </row>
    <row r="218" spans="1:8" ht="63.95" customHeight="1" x14ac:dyDescent="0.25">
      <c r="A218" s="59">
        <f t="shared" si="9"/>
        <v>11</v>
      </c>
      <c r="B218" s="61">
        <f t="shared" si="10"/>
        <v>44</v>
      </c>
      <c r="C218" s="59" t="str">
        <f t="shared" si="11"/>
        <v>jeu</v>
      </c>
      <c r="D218" s="63">
        <f>WORKDAY(D217,1,JoursFeries!$B$3:$CH$15)</f>
        <v>43041</v>
      </c>
      <c r="E218" s="55" t="str">
        <f>IFERROR(VLOOKUP(D218,'Recap Dates'!$A$2:$B$99,2,FALSE),"")</f>
        <v/>
      </c>
      <c r="F218" s="74" t="str">
        <f>IFERROR(VLOOKUP(D218,'Recap Dates'!$A$103:$B$216,2,FALSE),"")</f>
        <v/>
      </c>
      <c r="G218" s="55" t="str">
        <f>IFERROR(VLOOKUP(D218,'Recap Dates'!$A$220:$B$284,2,FALSE),"")</f>
        <v/>
      </c>
      <c r="H218" s="55" t="str">
        <f>IFERROR(VLOOKUP(D218,Engin!$F$7:$G$253,2,FALSE),"")</f>
        <v/>
      </c>
    </row>
    <row r="219" spans="1:8" ht="63.95" customHeight="1" x14ac:dyDescent="0.25">
      <c r="A219" s="59">
        <f t="shared" si="9"/>
        <v>11</v>
      </c>
      <c r="B219" s="61">
        <f t="shared" si="10"/>
        <v>44</v>
      </c>
      <c r="C219" s="59" t="str">
        <f t="shared" si="11"/>
        <v>ven</v>
      </c>
      <c r="D219" s="63">
        <f>WORKDAY(D218,1,JoursFeries!$B$3:$CH$15)</f>
        <v>43042</v>
      </c>
      <c r="E219" s="55" t="str">
        <f>IFERROR(VLOOKUP(D219,'Recap Dates'!$A$2:$B$99,2,FALSE),"")</f>
        <v/>
      </c>
      <c r="F219" s="74" t="str">
        <f>IFERROR(VLOOKUP(D219,'Recap Dates'!$A$103:$B$216,2,FALSE),"")</f>
        <v/>
      </c>
      <c r="G219" s="55" t="str">
        <f>IFERROR(VLOOKUP(D219,'Recap Dates'!$A$220:$B$284,2,FALSE),"")</f>
        <v/>
      </c>
      <c r="H219" s="55" t="str">
        <f>IFERROR(VLOOKUP(D219,Engin!$F$7:$G$253,2,FALSE),"")</f>
        <v/>
      </c>
    </row>
    <row r="220" spans="1:8" ht="63.95" customHeight="1" x14ac:dyDescent="0.25">
      <c r="A220" s="59">
        <f t="shared" si="9"/>
        <v>11</v>
      </c>
      <c r="B220" s="61">
        <f t="shared" si="10"/>
        <v>45</v>
      </c>
      <c r="C220" s="59" t="str">
        <f t="shared" si="11"/>
        <v>lun</v>
      </c>
      <c r="D220" s="63">
        <f>WORKDAY(D219,1,JoursFeries!$B$3:$CH$15)</f>
        <v>43045</v>
      </c>
      <c r="E220" s="55" t="str">
        <f>IFERROR(VLOOKUP(D220,'Recap Dates'!$A$2:$B$99,2,FALSE),"")</f>
        <v/>
      </c>
      <c r="F220" s="74" t="str">
        <f>IFERROR(VLOOKUP(D220,'Recap Dates'!$A$103:$B$216,2,FALSE),"")</f>
        <v/>
      </c>
      <c r="G220" s="55" t="str">
        <f>IFERROR(VLOOKUP(D220,'Recap Dates'!$A$220:$B$284,2,FALSE),"")</f>
        <v/>
      </c>
      <c r="H220" s="55" t="str">
        <f>IFERROR(VLOOKUP(D220,Engin!$F$7:$G$253,2,FALSE),"")</f>
        <v/>
      </c>
    </row>
    <row r="221" spans="1:8" ht="63.95" customHeight="1" x14ac:dyDescent="0.25">
      <c r="A221" s="59">
        <f t="shared" si="9"/>
        <v>11</v>
      </c>
      <c r="B221" s="61">
        <f t="shared" si="10"/>
        <v>45</v>
      </c>
      <c r="C221" s="59" t="str">
        <f t="shared" si="11"/>
        <v>mar</v>
      </c>
      <c r="D221" s="63">
        <f>WORKDAY(D220,1,JoursFeries!$B$3:$CH$15)</f>
        <v>43046</v>
      </c>
      <c r="E221" s="55" t="str">
        <f>IFERROR(VLOOKUP(D221,'Recap Dates'!$A$2:$B$99,2,FALSE),"")</f>
        <v/>
      </c>
      <c r="F221" s="74" t="str">
        <f>IFERROR(VLOOKUP(D221,'Recap Dates'!$A$103:$B$216,2,FALSE),"")</f>
        <v/>
      </c>
      <c r="G221" s="55" t="str">
        <f>IFERROR(VLOOKUP(D221,'Recap Dates'!$A$220:$B$284,2,FALSE),"")</f>
        <v/>
      </c>
      <c r="H221" s="55" t="str">
        <f>IFERROR(VLOOKUP(D221,Engin!$F$7:$G$253,2,FALSE),"")</f>
        <v/>
      </c>
    </row>
    <row r="222" spans="1:8" ht="63.95" customHeight="1" x14ac:dyDescent="0.25">
      <c r="A222" s="59">
        <f t="shared" si="9"/>
        <v>11</v>
      </c>
      <c r="B222" s="61">
        <f t="shared" si="10"/>
        <v>45</v>
      </c>
      <c r="C222" s="59" t="str">
        <f t="shared" si="11"/>
        <v>mer</v>
      </c>
      <c r="D222" s="63">
        <f>WORKDAY(D221,1,JoursFeries!$B$3:$CH$15)</f>
        <v>43047</v>
      </c>
      <c r="E222" s="55" t="str">
        <f>IFERROR(VLOOKUP(D222,'Recap Dates'!$A$2:$B$99,2,FALSE),"")</f>
        <v/>
      </c>
      <c r="F222" s="74" t="str">
        <f>IFERROR(VLOOKUP(D222,'Recap Dates'!$A$103:$B$216,2,FALSE),"")</f>
        <v/>
      </c>
      <c r="G222" s="55" t="str">
        <f>IFERROR(VLOOKUP(D222,'Recap Dates'!$A$220:$B$284,2,FALSE),"")</f>
        <v/>
      </c>
      <c r="H222" s="55" t="str">
        <f>IFERROR(VLOOKUP(D222,Engin!$F$7:$G$253,2,FALSE),"")</f>
        <v/>
      </c>
    </row>
    <row r="223" spans="1:8" ht="63.95" customHeight="1" x14ac:dyDescent="0.25">
      <c r="A223" s="59">
        <f t="shared" si="9"/>
        <v>11</v>
      </c>
      <c r="B223" s="61">
        <f t="shared" si="10"/>
        <v>45</v>
      </c>
      <c r="C223" s="59" t="str">
        <f t="shared" si="11"/>
        <v>jeu</v>
      </c>
      <c r="D223" s="63">
        <f>WORKDAY(D222,1,JoursFeries!$B$3:$CH$15)</f>
        <v>43048</v>
      </c>
      <c r="E223" s="55" t="str">
        <f>IFERROR(VLOOKUP(D223,'Recap Dates'!$A$2:$B$99,2,FALSE),"")</f>
        <v/>
      </c>
      <c r="F223" s="74" t="str">
        <f>IFERROR(VLOOKUP(D223,'Recap Dates'!$A$103:$B$216,2,FALSE),"")</f>
        <v/>
      </c>
      <c r="G223" s="55" t="str">
        <f>IFERROR(VLOOKUP(D223,'Recap Dates'!$A$220:$B$284,2,FALSE),"")</f>
        <v/>
      </c>
      <c r="H223" s="55" t="str">
        <f>IFERROR(VLOOKUP(D223,Engin!$F$7:$G$253,2,FALSE),"")</f>
        <v/>
      </c>
    </row>
    <row r="224" spans="1:8" ht="63.95" customHeight="1" x14ac:dyDescent="0.25">
      <c r="A224" s="59">
        <f t="shared" si="9"/>
        <v>11</v>
      </c>
      <c r="B224" s="61">
        <f t="shared" si="10"/>
        <v>45</v>
      </c>
      <c r="C224" s="59" t="str">
        <f t="shared" si="11"/>
        <v>ven</v>
      </c>
      <c r="D224" s="63">
        <f>WORKDAY(D223,1,JoursFeries!$B$3:$CH$15)</f>
        <v>43049</v>
      </c>
      <c r="E224" s="55" t="str">
        <f>IFERROR(VLOOKUP(D224,'Recap Dates'!$A$2:$B$99,2,FALSE),"")</f>
        <v/>
      </c>
      <c r="F224" s="74" t="str">
        <f>IFERROR(VLOOKUP(D224,'Recap Dates'!$A$103:$B$216,2,FALSE),"")</f>
        <v/>
      </c>
      <c r="G224" s="55" t="str">
        <f>IFERROR(VLOOKUP(D224,'Recap Dates'!$A$220:$B$284,2,FALSE),"")</f>
        <v/>
      </c>
      <c r="H224" s="55" t="str">
        <f>IFERROR(VLOOKUP(D224,Engin!$F$7:$G$253,2,FALSE),"")</f>
        <v/>
      </c>
    </row>
    <row r="225" spans="1:8" ht="63.95" customHeight="1" x14ac:dyDescent="0.25">
      <c r="A225" s="59">
        <f t="shared" si="9"/>
        <v>11</v>
      </c>
      <c r="B225" s="61">
        <f t="shared" si="10"/>
        <v>46</v>
      </c>
      <c r="C225" s="59" t="str">
        <f t="shared" si="11"/>
        <v>lun</v>
      </c>
      <c r="D225" s="63">
        <f>WORKDAY(D224,1,JoursFeries!$B$3:$CH$15)</f>
        <v>43052</v>
      </c>
      <c r="E225" s="55" t="str">
        <f>IFERROR(VLOOKUP(D225,'Recap Dates'!$A$2:$B$99,2,FALSE),"")</f>
        <v/>
      </c>
      <c r="F225" s="74" t="str">
        <f>IFERROR(VLOOKUP(D225,'Recap Dates'!$A$103:$B$216,2,FALSE),"")</f>
        <v/>
      </c>
      <c r="G225" s="55" t="str">
        <f>IFERROR(VLOOKUP(D225,'Recap Dates'!$A$220:$B$284,2,FALSE),"")</f>
        <v/>
      </c>
      <c r="H225" s="55" t="str">
        <f>IFERROR(VLOOKUP(D225,Engin!$F$7:$G$253,2,FALSE),"")</f>
        <v>Entretien 12100h (100h)</v>
      </c>
    </row>
    <row r="226" spans="1:8" ht="63.95" customHeight="1" x14ac:dyDescent="0.25">
      <c r="A226" s="59">
        <f t="shared" si="9"/>
        <v>11</v>
      </c>
      <c r="B226" s="61">
        <f t="shared" si="10"/>
        <v>46</v>
      </c>
      <c r="C226" s="59" t="str">
        <f t="shared" si="11"/>
        <v>mar</v>
      </c>
      <c r="D226" s="63">
        <f>WORKDAY(D225,1,JoursFeries!$B$3:$CH$15)</f>
        <v>43053</v>
      </c>
      <c r="E226" s="55" t="str">
        <f>IFERROR(VLOOKUP(D226,'Recap Dates'!$A$2:$B$99,2,FALSE),"")</f>
        <v/>
      </c>
      <c r="F226" s="74" t="str">
        <f>IFERROR(VLOOKUP(D226,'Recap Dates'!$A$103:$B$216,2,FALSE),"")</f>
        <v/>
      </c>
      <c r="G226" s="55" t="str">
        <f>IFERROR(VLOOKUP(D226,'Recap Dates'!$A$220:$B$284,2,FALSE),"")</f>
        <v/>
      </c>
      <c r="H226" s="55" t="str">
        <f>IFERROR(VLOOKUP(D226,Engin!$F$7:$G$253,2,FALSE),"")</f>
        <v/>
      </c>
    </row>
    <row r="227" spans="1:8" ht="63.95" customHeight="1" x14ac:dyDescent="0.25">
      <c r="A227" s="59">
        <f t="shared" si="9"/>
        <v>11</v>
      </c>
      <c r="B227" s="61">
        <f t="shared" si="10"/>
        <v>46</v>
      </c>
      <c r="C227" s="59" t="str">
        <f t="shared" si="11"/>
        <v>mer</v>
      </c>
      <c r="D227" s="63">
        <f>WORKDAY(D226,1,JoursFeries!$B$3:$CH$15)</f>
        <v>43054</v>
      </c>
      <c r="E227" s="55" t="str">
        <f>IFERROR(VLOOKUP(D227,'Recap Dates'!$A$2:$B$99,2,FALSE),"")</f>
        <v/>
      </c>
      <c r="F227" s="74" t="str">
        <f>IFERROR(VLOOKUP(D227,'Recap Dates'!$A$103:$B$216,2,FALSE),"")</f>
        <v/>
      </c>
      <c r="G227" s="55" t="str">
        <f>IFERROR(VLOOKUP(D227,'Recap Dates'!$A$220:$B$284,2,FALSE),"")</f>
        <v/>
      </c>
      <c r="H227" s="55" t="str">
        <f>IFERROR(VLOOKUP(D227,Engin!$F$7:$G$253,2,FALSE),"")</f>
        <v/>
      </c>
    </row>
    <row r="228" spans="1:8" ht="63.95" customHeight="1" x14ac:dyDescent="0.25">
      <c r="A228" s="59">
        <f t="shared" si="9"/>
        <v>11</v>
      </c>
      <c r="B228" s="61">
        <f t="shared" si="10"/>
        <v>46</v>
      </c>
      <c r="C228" s="59" t="str">
        <f t="shared" si="11"/>
        <v>jeu</v>
      </c>
      <c r="D228" s="63">
        <f>WORKDAY(D227,1,JoursFeries!$B$3:$CH$15)</f>
        <v>43055</v>
      </c>
      <c r="E228" s="55" t="str">
        <f>IFERROR(VLOOKUP(D228,'Recap Dates'!$A$2:$B$99,2,FALSE),"")</f>
        <v/>
      </c>
      <c r="F228" s="74" t="str">
        <f>IFERROR(VLOOKUP(D228,'Recap Dates'!$A$103:$B$216,2,FALSE),"")</f>
        <v/>
      </c>
      <c r="G228" s="55" t="str">
        <f>IFERROR(VLOOKUP(D228,'Recap Dates'!$A$220:$B$284,2,FALSE),"")</f>
        <v/>
      </c>
      <c r="H228" s="55" t="str">
        <f>IFERROR(VLOOKUP(D228,Engin!$F$7:$G$253,2,FALSE),"")</f>
        <v/>
      </c>
    </row>
    <row r="229" spans="1:8" ht="63.95" customHeight="1" x14ac:dyDescent="0.25">
      <c r="A229" s="59">
        <f t="shared" si="9"/>
        <v>11</v>
      </c>
      <c r="B229" s="61">
        <f t="shared" si="10"/>
        <v>46</v>
      </c>
      <c r="C229" s="59" t="str">
        <f t="shared" si="11"/>
        <v>ven</v>
      </c>
      <c r="D229" s="63">
        <f>WORKDAY(D228,1,JoursFeries!$B$3:$CH$15)</f>
        <v>43056</v>
      </c>
      <c r="E229" s="55" t="str">
        <f>IFERROR(VLOOKUP(D229,'Recap Dates'!$A$2:$B$99,2,FALSE),"")</f>
        <v/>
      </c>
      <c r="F229" s="74" t="str">
        <f>IFERROR(VLOOKUP(D229,'Recap Dates'!$A$103:$B$216,2,FALSE),"")</f>
        <v/>
      </c>
      <c r="G229" s="55" t="str">
        <f>IFERROR(VLOOKUP(D229,'Recap Dates'!$A$220:$B$284,2,FALSE),"")</f>
        <v/>
      </c>
      <c r="H229" s="55" t="str">
        <f>IFERROR(VLOOKUP(D229,Engin!$F$7:$G$253,2,FALSE),"")</f>
        <v/>
      </c>
    </row>
    <row r="230" spans="1:8" ht="63.95" customHeight="1" x14ac:dyDescent="0.25">
      <c r="A230" s="59">
        <f t="shared" si="9"/>
        <v>11</v>
      </c>
      <c r="B230" s="61">
        <f t="shared" si="10"/>
        <v>47</v>
      </c>
      <c r="C230" s="59" t="str">
        <f t="shared" si="11"/>
        <v>lun</v>
      </c>
      <c r="D230" s="63">
        <f>WORKDAY(D229,1,JoursFeries!$B$3:$CH$15)</f>
        <v>43059</v>
      </c>
      <c r="E230" s="55" t="str">
        <f>IFERROR(VLOOKUP(D230,'Recap Dates'!$A$2:$B$99,2,FALSE),"")</f>
        <v/>
      </c>
      <c r="F230" s="74" t="str">
        <f>IFERROR(VLOOKUP(D230,'Recap Dates'!$A$103:$B$216,2,FALSE),"")</f>
        <v/>
      </c>
      <c r="G230" s="55" t="str">
        <f>IFERROR(VLOOKUP(D230,'Recap Dates'!$A$220:$B$284,2,FALSE),"")</f>
        <v/>
      </c>
      <c r="H230" s="55" t="str">
        <f>IFERROR(VLOOKUP(D230,Engin!$F$7:$G$253,2,FALSE),"")</f>
        <v/>
      </c>
    </row>
    <row r="231" spans="1:8" ht="63.95" customHeight="1" x14ac:dyDescent="0.25">
      <c r="A231" s="59">
        <f t="shared" si="9"/>
        <v>11</v>
      </c>
      <c r="B231" s="61">
        <f t="shared" si="10"/>
        <v>47</v>
      </c>
      <c r="C231" s="59" t="str">
        <f t="shared" si="11"/>
        <v>mar</v>
      </c>
      <c r="D231" s="63">
        <f>WORKDAY(D230,1,JoursFeries!$B$3:$CH$15)</f>
        <v>43060</v>
      </c>
      <c r="E231" s="55" t="str">
        <f>IFERROR(VLOOKUP(D231,'Recap Dates'!$A$2:$B$99,2,FALSE),"")</f>
        <v/>
      </c>
      <c r="F231" s="74" t="str">
        <f>IFERROR(VLOOKUP(D231,'Recap Dates'!$A$103:$B$216,2,FALSE),"")</f>
        <v/>
      </c>
      <c r="G231" s="55" t="str">
        <f>IFERROR(VLOOKUP(D231,'Recap Dates'!$A$220:$B$284,2,FALSE),"")</f>
        <v/>
      </c>
      <c r="H231" s="55" t="str">
        <f>IFERROR(VLOOKUP(D231,Engin!$F$7:$G$253,2,FALSE),"")</f>
        <v/>
      </c>
    </row>
    <row r="232" spans="1:8" ht="63.95" customHeight="1" x14ac:dyDescent="0.25">
      <c r="A232" s="59">
        <f t="shared" si="9"/>
        <v>11</v>
      </c>
      <c r="B232" s="61">
        <f t="shared" si="10"/>
        <v>47</v>
      </c>
      <c r="C232" s="59" t="str">
        <f t="shared" si="11"/>
        <v>mer</v>
      </c>
      <c r="D232" s="63">
        <f>WORKDAY(D231,1,JoursFeries!$B$3:$CH$15)</f>
        <v>43061</v>
      </c>
      <c r="E232" s="55" t="str">
        <f>IFERROR(VLOOKUP(D232,'Recap Dates'!$A$2:$B$99,2,FALSE),"")</f>
        <v/>
      </c>
      <c r="F232" s="74" t="str">
        <f>IFERROR(VLOOKUP(D232,'Recap Dates'!$A$103:$B$216,2,FALSE),"")</f>
        <v/>
      </c>
      <c r="G232" s="55" t="str">
        <f>IFERROR(VLOOKUP(D232,'Recap Dates'!$A$220:$B$284,2,FALSE),"")</f>
        <v/>
      </c>
      <c r="H232" s="55" t="str">
        <f>IFERROR(VLOOKUP(D232,Engin!$F$7:$G$253,2,FALSE),"")</f>
        <v/>
      </c>
    </row>
    <row r="233" spans="1:8" ht="63.95" customHeight="1" x14ac:dyDescent="0.25">
      <c r="A233" s="59">
        <f t="shared" si="9"/>
        <v>11</v>
      </c>
      <c r="B233" s="61">
        <f t="shared" si="10"/>
        <v>47</v>
      </c>
      <c r="C233" s="59" t="str">
        <f t="shared" si="11"/>
        <v>jeu</v>
      </c>
      <c r="D233" s="63">
        <f>WORKDAY(D232,1,JoursFeries!$B$3:$CH$15)</f>
        <v>43062</v>
      </c>
      <c r="E233" s="55" t="str">
        <f>IFERROR(VLOOKUP(D233,'Recap Dates'!$A$2:$B$99,2,FALSE),"")</f>
        <v/>
      </c>
      <c r="F233" s="74" t="str">
        <f>IFERROR(VLOOKUP(D233,'Recap Dates'!$A$103:$B$216,2,FALSE),"")</f>
        <v/>
      </c>
      <c r="G233" s="55" t="str">
        <f>IFERROR(VLOOKUP(D233,'Recap Dates'!$A$220:$B$284,2,FALSE),"")</f>
        <v/>
      </c>
      <c r="H233" s="55" t="str">
        <f>IFERROR(VLOOKUP(D233,Engin!$F$7:$G$253,2,FALSE),"")</f>
        <v/>
      </c>
    </row>
    <row r="234" spans="1:8" ht="63.95" customHeight="1" x14ac:dyDescent="0.25">
      <c r="A234" s="59">
        <f t="shared" si="9"/>
        <v>11</v>
      </c>
      <c r="B234" s="61">
        <f t="shared" si="10"/>
        <v>47</v>
      </c>
      <c r="C234" s="59" t="str">
        <f t="shared" si="11"/>
        <v>ven</v>
      </c>
      <c r="D234" s="63">
        <f>WORKDAY(D233,1,JoursFeries!$B$3:$CH$15)</f>
        <v>43063</v>
      </c>
      <c r="E234" s="55" t="str">
        <f>IFERROR(VLOOKUP(D234,'Recap Dates'!$A$2:$B$99,2,FALSE),"")</f>
        <v/>
      </c>
      <c r="F234" s="74" t="str">
        <f>IFERROR(VLOOKUP(D234,'Recap Dates'!$A$103:$B$216,2,FALSE),"")</f>
        <v/>
      </c>
      <c r="G234" s="55" t="str">
        <f>IFERROR(VLOOKUP(D234,'Recap Dates'!$A$220:$B$284,2,FALSE),"")</f>
        <v/>
      </c>
      <c r="H234" s="55" t="str">
        <f>IFERROR(VLOOKUP(D234,Engin!$F$7:$G$253,2,FALSE),"")</f>
        <v>Entretien 12200h (100h)</v>
      </c>
    </row>
    <row r="235" spans="1:8" ht="63.95" customHeight="1" x14ac:dyDescent="0.25">
      <c r="A235" s="59">
        <f t="shared" si="9"/>
        <v>11</v>
      </c>
      <c r="B235" s="61">
        <f t="shared" si="10"/>
        <v>48</v>
      </c>
      <c r="C235" s="59" t="str">
        <f t="shared" si="11"/>
        <v>lun</v>
      </c>
      <c r="D235" s="63">
        <f>WORKDAY(D234,1,JoursFeries!$B$3:$CH$15)</f>
        <v>43066</v>
      </c>
      <c r="E235" s="55" t="str">
        <f>IFERROR(VLOOKUP(D235,'Recap Dates'!$A$2:$B$99,2,FALSE),"")</f>
        <v/>
      </c>
      <c r="F235" s="74" t="str">
        <f>IFERROR(VLOOKUP(D235,'Recap Dates'!$A$103:$B$216,2,FALSE),"")</f>
        <v/>
      </c>
      <c r="G235" s="55" t="str">
        <f>IFERROR(VLOOKUP(D235,'Recap Dates'!$A$220:$B$284,2,FALSE),"")</f>
        <v/>
      </c>
      <c r="H235" s="55" t="str">
        <f>IFERROR(VLOOKUP(D235,Engin!$F$7:$G$253,2,FALSE),"")</f>
        <v/>
      </c>
    </row>
    <row r="236" spans="1:8" ht="63.95" customHeight="1" x14ac:dyDescent="0.25">
      <c r="A236" s="59">
        <f t="shared" si="9"/>
        <v>11</v>
      </c>
      <c r="B236" s="61">
        <f t="shared" si="10"/>
        <v>48</v>
      </c>
      <c r="C236" s="59" t="str">
        <f t="shared" si="11"/>
        <v>mar</v>
      </c>
      <c r="D236" s="63">
        <f>WORKDAY(D235,1,JoursFeries!$B$3:$CH$15)</f>
        <v>43067</v>
      </c>
      <c r="E236" s="55" t="str">
        <f>IFERROR(VLOOKUP(D236,'Recap Dates'!$A$2:$B$99,2,FALSE),"")</f>
        <v/>
      </c>
      <c r="F236" s="74" t="str">
        <f>IFERROR(VLOOKUP(D236,'Recap Dates'!$A$103:$B$216,2,FALSE),"")</f>
        <v/>
      </c>
      <c r="G236" s="55" t="str">
        <f>IFERROR(VLOOKUP(D236,'Recap Dates'!$A$220:$B$284,2,FALSE),"")</f>
        <v/>
      </c>
      <c r="H236" s="55" t="str">
        <f>IFERROR(VLOOKUP(D236,Engin!$F$7:$G$253,2,FALSE),"")</f>
        <v/>
      </c>
    </row>
    <row r="237" spans="1:8" ht="63.95" customHeight="1" x14ac:dyDescent="0.25">
      <c r="A237" s="59">
        <f t="shared" si="9"/>
        <v>11</v>
      </c>
      <c r="B237" s="61">
        <f t="shared" si="10"/>
        <v>48</v>
      </c>
      <c r="C237" s="59" t="str">
        <f t="shared" si="11"/>
        <v>mer</v>
      </c>
      <c r="D237" s="63">
        <f>WORKDAY(D236,1,JoursFeries!$B$3:$CH$15)</f>
        <v>43068</v>
      </c>
      <c r="E237" s="55" t="str">
        <f>IFERROR(VLOOKUP(D237,'Recap Dates'!$A$2:$B$99,2,FALSE),"")</f>
        <v>Remplacement moteur électrique 4kW</v>
      </c>
      <c r="F237" s="74" t="str">
        <f>IFERROR(VLOOKUP(D237,'Recap Dates'!$A$103:$B$216,2,FALSE),"")</f>
        <v/>
      </c>
      <c r="G237" s="55" t="str">
        <f>IFERROR(VLOOKUP(D237,'Recap Dates'!$A$220:$B$284,2,FALSE),"")</f>
        <v/>
      </c>
      <c r="H237" s="55" t="str">
        <f>IFERROR(VLOOKUP(D237,Engin!$F$7:$G$253,2,FALSE),"")</f>
        <v/>
      </c>
    </row>
    <row r="238" spans="1:8" ht="63.95" customHeight="1" x14ac:dyDescent="0.25">
      <c r="A238" s="59">
        <f t="shared" si="9"/>
        <v>11</v>
      </c>
      <c r="B238" s="61">
        <f t="shared" si="10"/>
        <v>48</v>
      </c>
      <c r="C238" s="59" t="str">
        <f t="shared" si="11"/>
        <v>jeu</v>
      </c>
      <c r="D238" s="63">
        <f>WORKDAY(D237,1,JoursFeries!$B$3:$CH$15)</f>
        <v>43069</v>
      </c>
      <c r="E238" s="55" t="str">
        <f>IFERROR(VLOOKUP(D238,'Recap Dates'!$A$2:$B$99,2,FALSE),"")</f>
        <v/>
      </c>
      <c r="F238" s="74" t="str">
        <f>IFERROR(VLOOKUP(D238,'Recap Dates'!$A$103:$B$216,2,FALSE),"")</f>
        <v/>
      </c>
      <c r="G238" s="55" t="str">
        <f>IFERROR(VLOOKUP(D238,'Recap Dates'!$A$220:$B$284,2,FALSE),"")</f>
        <v/>
      </c>
      <c r="H238" s="55" t="str">
        <f>IFERROR(VLOOKUP(D238,Engin!$F$7:$G$253,2,FALSE),"")</f>
        <v/>
      </c>
    </row>
    <row r="239" spans="1:8" ht="63.95" customHeight="1" x14ac:dyDescent="0.25">
      <c r="A239" s="59">
        <f t="shared" si="9"/>
        <v>12</v>
      </c>
      <c r="B239" s="61">
        <f t="shared" si="10"/>
        <v>48</v>
      </c>
      <c r="C239" s="59" t="str">
        <f t="shared" si="11"/>
        <v>ven</v>
      </c>
      <c r="D239" s="63">
        <f>WORKDAY(D238,1,JoursFeries!$B$3:$CH$15)</f>
        <v>43070</v>
      </c>
      <c r="E239" s="55" t="str">
        <f>IFERROR(VLOOKUP(D239,'Recap Dates'!$A$2:$B$99,2,FALSE),"")</f>
        <v/>
      </c>
      <c r="F239" s="74" t="str">
        <f>IFERROR(VLOOKUP(D239,'Recap Dates'!$A$103:$B$216,2,FALSE),"")</f>
        <v/>
      </c>
      <c r="G239" s="55" t="str">
        <f>IFERROR(VLOOKUP(D239,'Recap Dates'!$A$220:$B$284,2,FALSE),"")</f>
        <v>Remplacement blindage bati</v>
      </c>
      <c r="H239" s="55" t="str">
        <f>IFERROR(VLOOKUP(D239,Engin!$F$7:$G$253,2,FALSE),"")</f>
        <v>Entretien 12250h (250h)</v>
      </c>
    </row>
    <row r="240" spans="1:8" ht="63.95" customHeight="1" x14ac:dyDescent="0.25">
      <c r="A240" s="59">
        <f t="shared" si="9"/>
        <v>12</v>
      </c>
      <c r="B240" s="61">
        <f t="shared" si="10"/>
        <v>49</v>
      </c>
      <c r="C240" s="59" t="str">
        <f t="shared" si="11"/>
        <v>lun</v>
      </c>
      <c r="D240" s="63">
        <f>WORKDAY(D239,1,JoursFeries!$B$3:$CH$15)</f>
        <v>43073</v>
      </c>
      <c r="E240" s="55" t="str">
        <f>IFERROR(VLOOKUP(D240,'Recap Dates'!$A$2:$B$99,2,FALSE),"")</f>
        <v/>
      </c>
      <c r="F240" s="74" t="str">
        <f>IFERROR(VLOOKUP(D240,'Recap Dates'!$A$103:$B$216,2,FALSE),"")</f>
        <v/>
      </c>
      <c r="G240" s="55" t="str">
        <f>IFERROR(VLOOKUP(D240,'Recap Dates'!$A$220:$B$284,2,FALSE),"")</f>
        <v/>
      </c>
      <c r="H240" s="55" t="str">
        <f>IFERROR(VLOOKUP(D240,Engin!$F$7:$G$253,2,FALSE),"")</f>
        <v/>
      </c>
    </row>
    <row r="241" spans="1:8" ht="63.95" customHeight="1" x14ac:dyDescent="0.25">
      <c r="A241" s="59">
        <f t="shared" si="9"/>
        <v>12</v>
      </c>
      <c r="B241" s="61">
        <f t="shared" si="10"/>
        <v>49</v>
      </c>
      <c r="C241" s="59" t="str">
        <f t="shared" si="11"/>
        <v>mar</v>
      </c>
      <c r="D241" s="63">
        <f>WORKDAY(D240,1,JoursFeries!$B$3:$CH$15)</f>
        <v>43074</v>
      </c>
      <c r="E241" s="55" t="str">
        <f>IFERROR(VLOOKUP(D241,'Recap Dates'!$A$2:$B$99,2,FALSE),"")</f>
        <v>Remplacement machoires fixe et mobile</v>
      </c>
      <c r="F241" s="74" t="str">
        <f>IFERROR(VLOOKUP(D241,'Recap Dates'!$A$103:$B$216,2,FALSE),"")</f>
        <v/>
      </c>
      <c r="G241" s="55" t="str">
        <f>IFERROR(VLOOKUP(D241,'Recap Dates'!$A$220:$B$284,2,FALSE),"")</f>
        <v/>
      </c>
      <c r="H241" s="55" t="str">
        <f>IFERROR(VLOOKUP(D241,Engin!$F$7:$G$253,2,FALSE),"")</f>
        <v/>
      </c>
    </row>
    <row r="242" spans="1:8" ht="63.95" customHeight="1" x14ac:dyDescent="0.25">
      <c r="A242" s="59">
        <f t="shared" si="9"/>
        <v>12</v>
      </c>
      <c r="B242" s="61">
        <f t="shared" si="10"/>
        <v>49</v>
      </c>
      <c r="C242" s="59" t="str">
        <f t="shared" si="11"/>
        <v>mer</v>
      </c>
      <c r="D242" s="63">
        <f>WORKDAY(D241,1,JoursFeries!$B$3:$CH$15)</f>
        <v>43075</v>
      </c>
      <c r="E242" s="55" t="str">
        <f>IFERROR(VLOOKUP(D242,'Recap Dates'!$A$2:$B$99,2,FALSE),"")</f>
        <v/>
      </c>
      <c r="F242" s="74" t="str">
        <f>IFERROR(VLOOKUP(D242,'Recap Dates'!$A$103:$B$216,2,FALSE),"")</f>
        <v/>
      </c>
      <c r="G242" s="55" t="str">
        <f>IFERROR(VLOOKUP(D242,'Recap Dates'!$A$220:$B$284,2,FALSE),"")</f>
        <v/>
      </c>
      <c r="H242" s="55" t="str">
        <f>IFERROR(VLOOKUP(D242,Engin!$F$7:$G$253,2,FALSE),"")</f>
        <v/>
      </c>
    </row>
    <row r="243" spans="1:8" ht="63.95" customHeight="1" x14ac:dyDescent="0.25">
      <c r="A243" s="59">
        <f t="shared" si="9"/>
        <v>12</v>
      </c>
      <c r="B243" s="61">
        <f t="shared" si="10"/>
        <v>49</v>
      </c>
      <c r="C243" s="59" t="str">
        <f t="shared" si="11"/>
        <v>jeu</v>
      </c>
      <c r="D243" s="63">
        <f>WORKDAY(D242,1,JoursFeries!$B$3:$CH$15)</f>
        <v>43076</v>
      </c>
      <c r="E243" s="55" t="str">
        <f>IFERROR(VLOOKUP(D243,'Recap Dates'!$A$2:$B$99,2,FALSE),"")</f>
        <v/>
      </c>
      <c r="F243" s="74" t="str">
        <f>IFERROR(VLOOKUP(D243,'Recap Dates'!$A$103:$B$216,2,FALSE),"")</f>
        <v/>
      </c>
      <c r="G243" s="55" t="str">
        <f>IFERROR(VLOOKUP(D243,'Recap Dates'!$A$220:$B$284,2,FALSE),"")</f>
        <v/>
      </c>
      <c r="H243" s="55" t="str">
        <f>IFERROR(VLOOKUP(D243,Engin!$F$7:$G$253,2,FALSE),"")</f>
        <v/>
      </c>
    </row>
    <row r="244" spans="1:8" ht="63.95" customHeight="1" x14ac:dyDescent="0.25">
      <c r="A244" s="59">
        <f t="shared" si="9"/>
        <v>12</v>
      </c>
      <c r="B244" s="61">
        <f t="shared" si="10"/>
        <v>49</v>
      </c>
      <c r="C244" s="59" t="str">
        <f t="shared" si="11"/>
        <v>ven</v>
      </c>
      <c r="D244" s="63">
        <f>WORKDAY(D243,1,JoursFeries!$B$3:$CH$15)</f>
        <v>43077</v>
      </c>
      <c r="E244" s="55" t="str">
        <f>IFERROR(VLOOKUP(D244,'Recap Dates'!$A$2:$B$99,2,FALSE),"")</f>
        <v/>
      </c>
      <c r="F244" s="74" t="str">
        <f>IFERROR(VLOOKUP(D244,'Recap Dates'!$A$103:$B$216,2,FALSE),"")</f>
        <v/>
      </c>
      <c r="G244" s="55" t="str">
        <f>IFERROR(VLOOKUP(D244,'Recap Dates'!$A$220:$B$284,2,FALSE),"")</f>
        <v/>
      </c>
      <c r="H244" s="55" t="str">
        <f>IFERROR(VLOOKUP(D244,Engin!$F$7:$G$253,2,FALSE),"")</f>
        <v>Entretien 12300h (100h)</v>
      </c>
    </row>
    <row r="245" spans="1:8" ht="63.95" customHeight="1" x14ac:dyDescent="0.25">
      <c r="A245" s="59">
        <f t="shared" si="9"/>
        <v>12</v>
      </c>
      <c r="B245" s="61">
        <f t="shared" si="10"/>
        <v>50</v>
      </c>
      <c r="C245" s="59" t="str">
        <f t="shared" si="11"/>
        <v>lun</v>
      </c>
      <c r="D245" s="63">
        <f>WORKDAY(D244,1,JoursFeries!$B$3:$CH$15)</f>
        <v>43080</v>
      </c>
      <c r="E245" s="55" t="str">
        <f>IFERROR(VLOOKUP(D245,'Recap Dates'!$A$2:$B$99,2,FALSE),"")</f>
        <v/>
      </c>
      <c r="F245" s="74" t="str">
        <f>IFERROR(VLOOKUP(D245,'Recap Dates'!$A$103:$B$216,2,FALSE),"")</f>
        <v/>
      </c>
      <c r="G245" s="55" t="str">
        <f>IFERROR(VLOOKUP(D245,'Recap Dates'!$A$220:$B$284,2,FALSE),"")</f>
        <v/>
      </c>
      <c r="H245" s="55" t="str">
        <f>IFERROR(VLOOKUP(D245,Engin!$F$7:$G$253,2,FALSE),"")</f>
        <v/>
      </c>
    </row>
    <row r="246" spans="1:8" ht="63.95" customHeight="1" x14ac:dyDescent="0.25">
      <c r="A246" s="59">
        <f t="shared" si="9"/>
        <v>12</v>
      </c>
      <c r="B246" s="61">
        <f t="shared" si="10"/>
        <v>50</v>
      </c>
      <c r="C246" s="59" t="str">
        <f t="shared" si="11"/>
        <v>mar</v>
      </c>
      <c r="D246" s="63">
        <f>WORKDAY(D245,1,JoursFeries!$B$3:$CH$15)</f>
        <v>43081</v>
      </c>
      <c r="E246" s="55" t="str">
        <f>IFERROR(VLOOKUP(D246,'Recap Dates'!$A$2:$B$99,2,FALSE),"")</f>
        <v/>
      </c>
      <c r="F246" s="74" t="str">
        <f>IFERROR(VLOOKUP(D246,'Recap Dates'!$A$103:$B$216,2,FALSE),"")</f>
        <v/>
      </c>
      <c r="G246" s="55" t="str">
        <f>IFERROR(VLOOKUP(D246,'Recap Dates'!$A$220:$B$284,2,FALSE),"")</f>
        <v/>
      </c>
      <c r="H246" s="55" t="str">
        <f>IFERROR(VLOOKUP(D246,Engin!$F$7:$G$253,2,FALSE),"")</f>
        <v/>
      </c>
    </row>
    <row r="247" spans="1:8" ht="63.95" customHeight="1" x14ac:dyDescent="0.25">
      <c r="A247" s="59">
        <f t="shared" si="9"/>
        <v>12</v>
      </c>
      <c r="B247" s="61">
        <f t="shared" si="10"/>
        <v>50</v>
      </c>
      <c r="C247" s="59" t="str">
        <f t="shared" si="11"/>
        <v>mer</v>
      </c>
      <c r="D247" s="63">
        <f>WORKDAY(D246,1,JoursFeries!$B$3:$CH$15)</f>
        <v>43082</v>
      </c>
      <c r="E247" s="55" t="str">
        <f>IFERROR(VLOOKUP(D247,'Recap Dates'!$A$2:$B$99,2,FALSE),"")</f>
        <v/>
      </c>
      <c r="F247" s="74" t="str">
        <f>IFERROR(VLOOKUP(D247,'Recap Dates'!$A$103:$B$216,2,FALSE),"")</f>
        <v/>
      </c>
      <c r="G247" s="55" t="str">
        <f>IFERROR(VLOOKUP(D247,'Recap Dates'!$A$220:$B$284,2,FALSE),"")</f>
        <v/>
      </c>
      <c r="H247" s="55" t="str">
        <f>IFERROR(VLOOKUP(D247,Engin!$F$7:$G$253,2,FALSE),"")</f>
        <v/>
      </c>
    </row>
    <row r="248" spans="1:8" ht="63.95" customHeight="1" x14ac:dyDescent="0.25">
      <c r="A248" s="59">
        <f t="shared" si="9"/>
        <v>12</v>
      </c>
      <c r="B248" s="61">
        <f t="shared" si="10"/>
        <v>50</v>
      </c>
      <c r="C248" s="59" t="str">
        <f t="shared" si="11"/>
        <v>jeu</v>
      </c>
      <c r="D248" s="63">
        <f>WORKDAY(D247,1,JoursFeries!$B$3:$CH$15)</f>
        <v>43083</v>
      </c>
      <c r="E248" s="55" t="str">
        <f>IFERROR(VLOOKUP(D248,'Recap Dates'!$A$2:$B$99,2,FALSE),"")</f>
        <v/>
      </c>
      <c r="F248" s="74" t="str">
        <f>IFERROR(VLOOKUP(D248,'Recap Dates'!$A$103:$B$216,2,FALSE),"")</f>
        <v/>
      </c>
      <c r="G248" s="55" t="str">
        <f>IFERROR(VLOOKUP(D248,'Recap Dates'!$A$220:$B$284,2,FALSE),"")</f>
        <v>Remplacement machoires fixe et mobile + collier d'arbre + plateau distributeur + anneau martyre</v>
      </c>
      <c r="H248" s="55" t="str">
        <f>IFERROR(VLOOKUP(D248,Engin!$F$7:$G$253,2,FALSE),"")</f>
        <v/>
      </c>
    </row>
    <row r="249" spans="1:8" ht="63.95" customHeight="1" x14ac:dyDescent="0.25">
      <c r="A249" s="59">
        <f t="shared" si="9"/>
        <v>12</v>
      </c>
      <c r="B249" s="61">
        <f t="shared" si="10"/>
        <v>50</v>
      </c>
      <c r="C249" s="59" t="str">
        <f t="shared" si="11"/>
        <v>ven</v>
      </c>
      <c r="D249" s="63">
        <f>WORKDAY(D248,1,JoursFeries!$B$3:$CH$15)</f>
        <v>43084</v>
      </c>
      <c r="E249" s="55" t="str">
        <f>IFERROR(VLOOKUP(D249,'Recap Dates'!$A$2:$B$99,2,FALSE),"")</f>
        <v/>
      </c>
      <c r="F249" s="74" t="str">
        <f>IFERROR(VLOOKUP(D249,'Recap Dates'!$A$103:$B$216,2,FALSE),"")</f>
        <v/>
      </c>
      <c r="G249" s="55" t="str">
        <f>IFERROR(VLOOKUP(D249,'Recap Dates'!$A$220:$B$284,2,FALSE),"")</f>
        <v/>
      </c>
      <c r="H249" s="55" t="str">
        <f>IFERROR(VLOOKUP(D249,Engin!$F$7:$G$253,2,FALSE),"")</f>
        <v/>
      </c>
    </row>
    <row r="250" spans="1:8" ht="63.95" customHeight="1" x14ac:dyDescent="0.25">
      <c r="A250" s="59">
        <f t="shared" si="9"/>
        <v>12</v>
      </c>
      <c r="B250" s="61">
        <f t="shared" si="10"/>
        <v>51</v>
      </c>
      <c r="C250" s="59" t="str">
        <f t="shared" si="11"/>
        <v>lun</v>
      </c>
      <c r="D250" s="63">
        <f>WORKDAY(D249,1,JoursFeries!$B$3:$CH$15)</f>
        <v>43087</v>
      </c>
      <c r="E250" s="55" t="str">
        <f>IFERROR(VLOOKUP(D250,'Recap Dates'!$A$2:$B$99,2,FALSE),"")</f>
        <v/>
      </c>
      <c r="F250" s="74" t="str">
        <f>IFERROR(VLOOKUP(D250,'Recap Dates'!$A$103:$B$216,2,FALSE),"")</f>
        <v/>
      </c>
      <c r="G250" s="55" t="str">
        <f>IFERROR(VLOOKUP(D250,'Recap Dates'!$A$220:$B$284,2,FALSE),"")</f>
        <v/>
      </c>
      <c r="H250" s="55" t="str">
        <f>IFERROR(VLOOKUP(D250,Engin!$F$7:$G$253,2,FALSE),"")</f>
        <v/>
      </c>
    </row>
    <row r="251" spans="1:8" ht="63.95" customHeight="1" x14ac:dyDescent="0.25">
      <c r="A251" s="59">
        <f t="shared" si="9"/>
        <v>12</v>
      </c>
      <c r="B251" s="61">
        <f t="shared" si="10"/>
        <v>51</v>
      </c>
      <c r="C251" s="59" t="str">
        <f t="shared" si="11"/>
        <v>mar</v>
      </c>
      <c r="D251" s="63">
        <f>WORKDAY(D250,1,JoursFeries!$B$3:$CH$15)</f>
        <v>43088</v>
      </c>
      <c r="E251" s="55" t="str">
        <f>IFERROR(VLOOKUP(D251,'Recap Dates'!$A$2:$B$99,2,FALSE),"")</f>
        <v/>
      </c>
      <c r="F251" s="74" t="str">
        <f>IFERROR(VLOOKUP(D251,'Recap Dates'!$A$103:$B$216,2,FALSE),"")</f>
        <v/>
      </c>
      <c r="G251" s="55" t="str">
        <f>IFERROR(VLOOKUP(D251,'Recap Dates'!$A$220:$B$284,2,FALSE),"")</f>
        <v/>
      </c>
      <c r="H251" s="55" t="str">
        <f>IFERROR(VLOOKUP(D251,Engin!$F$7:$G$253,2,FALSE),"")</f>
        <v/>
      </c>
    </row>
    <row r="252" spans="1:8" ht="63.95" customHeight="1" x14ac:dyDescent="0.25">
      <c r="A252" s="59">
        <f t="shared" si="9"/>
        <v>12</v>
      </c>
      <c r="B252" s="61">
        <f t="shared" si="10"/>
        <v>51</v>
      </c>
      <c r="C252" s="59" t="str">
        <f t="shared" si="11"/>
        <v>mer</v>
      </c>
      <c r="D252" s="63">
        <f>WORKDAY(D251,1,JoursFeries!$B$3:$CH$15)</f>
        <v>43089</v>
      </c>
      <c r="E252" s="55" t="str">
        <f>IFERROR(VLOOKUP(D252,'Recap Dates'!$A$2:$B$99,2,FALSE),"")</f>
        <v/>
      </c>
      <c r="F252" s="74" t="str">
        <f>IFERROR(VLOOKUP(D252,'Recap Dates'!$A$103:$B$216,2,FALSE),"")</f>
        <v/>
      </c>
      <c r="G252" s="55" t="str">
        <f>IFERROR(VLOOKUP(D252,'Recap Dates'!$A$220:$B$284,2,FALSE),"")</f>
        <v/>
      </c>
      <c r="H252" s="55" t="str">
        <f>IFERROR(VLOOKUP(D252,Engin!$F$7:$G$253,2,FALSE),"")</f>
        <v/>
      </c>
    </row>
    <row r="253" spans="1:8" ht="63.95" customHeight="1" x14ac:dyDescent="0.25">
      <c r="A253" s="59">
        <f t="shared" si="9"/>
        <v>12</v>
      </c>
      <c r="B253" s="61">
        <f t="shared" si="10"/>
        <v>51</v>
      </c>
      <c r="C253" s="59" t="str">
        <f t="shared" si="11"/>
        <v>jeu</v>
      </c>
      <c r="D253" s="63">
        <f>WORKDAY(D252,1,JoursFeries!$B$3:$CH$15)</f>
        <v>43090</v>
      </c>
      <c r="E253" s="55" t="str">
        <f>IFERROR(VLOOKUP(D253,'Recap Dates'!$A$2:$B$99,2,FALSE),"")</f>
        <v/>
      </c>
      <c r="F253" s="74" t="str">
        <f>IFERROR(VLOOKUP(D253,'Recap Dates'!$A$103:$B$216,2,FALSE),"")</f>
        <v/>
      </c>
      <c r="G253" s="55" t="str">
        <f>IFERROR(VLOOKUP(D253,'Recap Dates'!$A$220:$B$284,2,FALSE),"")</f>
        <v/>
      </c>
      <c r="H253" s="55" t="str">
        <f>IFERROR(VLOOKUP(D253,Engin!$F$7:$G$253,2,FALSE),"")</f>
        <v/>
      </c>
    </row>
    <row r="254" spans="1:8" ht="63.95" customHeight="1" x14ac:dyDescent="0.25">
      <c r="A254" s="59">
        <f t="shared" si="9"/>
        <v>12</v>
      </c>
      <c r="B254" s="61">
        <f t="shared" si="10"/>
        <v>51</v>
      </c>
      <c r="C254" s="59" t="str">
        <f t="shared" si="11"/>
        <v>ven</v>
      </c>
      <c r="D254" s="63">
        <f>WORKDAY(D253,1,JoursFeries!$B$3:$CH$15)</f>
        <v>43091</v>
      </c>
      <c r="E254" s="55" t="str">
        <f>IFERROR(VLOOKUP(D254,'Recap Dates'!$A$2:$B$99,2,FALSE),"")</f>
        <v/>
      </c>
      <c r="F254" s="74" t="str">
        <f>IFERROR(VLOOKUP(D254,'Recap Dates'!$A$103:$B$216,2,FALSE),"")</f>
        <v>Remplacement machoires fixe et mobile</v>
      </c>
      <c r="G254" s="55" t="str">
        <f>IFERROR(VLOOKUP(D254,'Recap Dates'!$A$220:$B$284,2,FALSE),"")</f>
        <v/>
      </c>
      <c r="H254" s="55" t="str">
        <f>IFERROR(VLOOKUP(D254,Engin!$F$7:$G$253,2,FALSE),"")</f>
        <v>Entretien 12400h (100h)</v>
      </c>
    </row>
    <row r="255" spans="1:8" ht="63.95" customHeight="1" x14ac:dyDescent="0.25">
      <c r="A255" s="59">
        <f t="shared" si="9"/>
        <v>12</v>
      </c>
      <c r="B255" s="61">
        <f t="shared" si="10"/>
        <v>52</v>
      </c>
      <c r="C255" s="59" t="str">
        <f t="shared" si="11"/>
        <v>mar</v>
      </c>
      <c r="D255" s="63">
        <f>WORKDAY(D254,1,JoursFeries!$B$3:$CH$15)</f>
        <v>43095</v>
      </c>
      <c r="E255" s="55" t="str">
        <f>IFERROR(VLOOKUP(D255,'Recap Dates'!$A$2:$B$99,2,FALSE),"")</f>
        <v/>
      </c>
      <c r="F255" s="74" t="str">
        <f>IFERROR(VLOOKUP(D255,'Recap Dates'!$A$103:$B$216,2,FALSE),"")</f>
        <v/>
      </c>
      <c r="G255" s="55" t="str">
        <f>IFERROR(VLOOKUP(D255,'Recap Dates'!$A$220:$B$284,2,FALSE),"")</f>
        <v/>
      </c>
      <c r="H255" s="55" t="str">
        <f>IFERROR(VLOOKUP(D255,Engin!$F$7:$G$253,2,FALSE),"")</f>
        <v/>
      </c>
    </row>
    <row r="256" spans="1:8" ht="63.95" customHeight="1" x14ac:dyDescent="0.25">
      <c r="A256" s="59">
        <f t="shared" si="9"/>
        <v>12</v>
      </c>
      <c r="B256" s="61">
        <f t="shared" si="10"/>
        <v>52</v>
      </c>
      <c r="C256" s="59" t="str">
        <f t="shared" si="11"/>
        <v>mer</v>
      </c>
      <c r="D256" s="63">
        <f>WORKDAY(D255,1,JoursFeries!$B$3:$CH$15)</f>
        <v>43096</v>
      </c>
      <c r="E256" s="55" t="str">
        <f>IFERROR(VLOOKUP(D256,'Recap Dates'!$A$2:$B$99,2,FALSE),"")</f>
        <v/>
      </c>
      <c r="F256" s="74" t="str">
        <f>IFERROR(VLOOKUP(D256,'Recap Dates'!$A$103:$B$216,2,FALSE),"")</f>
        <v/>
      </c>
      <c r="G256" s="55" t="str">
        <f>IFERROR(VLOOKUP(D256,'Recap Dates'!$A$220:$B$284,2,FALSE),"")</f>
        <v>Remplacement joint torrique</v>
      </c>
      <c r="H256" s="55" t="str">
        <f>IFERROR(VLOOKUP(D256,Engin!$F$7:$G$253,2,FALSE),"")</f>
        <v/>
      </c>
    </row>
    <row r="257" spans="1:8" ht="63.95" customHeight="1" x14ac:dyDescent="0.25">
      <c r="A257" s="59">
        <f t="shared" si="9"/>
        <v>12</v>
      </c>
      <c r="B257" s="61">
        <f t="shared" si="10"/>
        <v>52</v>
      </c>
      <c r="C257" s="59" t="str">
        <f t="shared" si="11"/>
        <v>jeu</v>
      </c>
      <c r="D257" s="63">
        <f>WORKDAY(D256,1,JoursFeries!$B$3:$CH$15)</f>
        <v>43097</v>
      </c>
      <c r="E257" s="55" t="str">
        <f>IFERROR(VLOOKUP(D257,'Recap Dates'!$A$2:$B$99,2,FALSE),"")</f>
        <v/>
      </c>
      <c r="F257" s="74" t="str">
        <f>IFERROR(VLOOKUP(D257,'Recap Dates'!$A$103:$B$216,2,FALSE),"")</f>
        <v/>
      </c>
      <c r="G257" s="55" t="str">
        <f>IFERROR(VLOOKUP(D257,'Recap Dates'!$A$220:$B$284,2,FALSE),"")</f>
        <v/>
      </c>
      <c r="H257" s="55" t="str">
        <f>IFERROR(VLOOKUP(D257,Engin!$F$7:$G$253,2,FALSE),"")</f>
        <v/>
      </c>
    </row>
    <row r="258" spans="1:8" ht="39.950000000000003" customHeight="1" x14ac:dyDescent="0.25">
      <c r="D258" s="54"/>
      <c r="E258" s="55" t="str">
        <f>IFERROR(VLOOKUP(D258,Broyeur1!$A$8:$K$53,2,FALSE),"")</f>
        <v/>
      </c>
    </row>
  </sheetData>
  <mergeCells count="4">
    <mergeCell ref="C4:D4"/>
    <mergeCell ref="E1:G1"/>
    <mergeCell ref="H1:J1"/>
    <mergeCell ref="C2:E3"/>
  </mergeCells>
  <conditionalFormatting sqref="E6:H257">
    <cfRule type="notContainsBlanks" dxfId="24" priority="1">
      <formula>LEN(TRIM(E6))&gt;0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H284"/>
  <sheetViews>
    <sheetView workbookViewId="0">
      <selection activeCell="G12" sqref="G12"/>
    </sheetView>
  </sheetViews>
  <sheetFormatPr baseColWidth="10" defaultRowHeight="15" x14ac:dyDescent="0.25"/>
  <cols>
    <col min="1" max="1" width="15" style="73" customWidth="1"/>
    <col min="2" max="2" width="66.28515625" style="76" customWidth="1"/>
    <col min="3" max="16384" width="11.42578125" style="71"/>
  </cols>
  <sheetData>
    <row r="1" spans="1:8" ht="15" customHeight="1" x14ac:dyDescent="0.25">
      <c r="B1" s="77" t="s">
        <v>425</v>
      </c>
    </row>
    <row r="2" spans="1:8" x14ac:dyDescent="0.25">
      <c r="A2" s="69">
        <f>Broyeur1!A8</f>
        <v>42961</v>
      </c>
      <c r="B2" s="67" t="s">
        <v>2</v>
      </c>
      <c r="C2" s="179"/>
      <c r="D2" s="64"/>
    </row>
    <row r="3" spans="1:8" x14ac:dyDescent="0.25">
      <c r="A3" s="69">
        <f>Broyeur1!B8</f>
        <v>43018</v>
      </c>
      <c r="B3" s="67" t="s">
        <v>2</v>
      </c>
      <c r="C3" s="179"/>
      <c r="D3" s="64"/>
    </row>
    <row r="4" spans="1:8" x14ac:dyDescent="0.25">
      <c r="A4" s="69">
        <f>Broyeur1!C8</f>
        <v>43074</v>
      </c>
      <c r="B4" s="67" t="s">
        <v>2</v>
      </c>
      <c r="C4" s="179"/>
      <c r="D4" s="64"/>
      <c r="E4" s="123" t="s">
        <v>437</v>
      </c>
      <c r="F4" s="122"/>
      <c r="G4" s="122"/>
      <c r="H4" s="122"/>
    </row>
    <row r="5" spans="1:8" x14ac:dyDescent="0.25">
      <c r="A5" s="69">
        <f>Broyeur1!D8</f>
        <v>43132</v>
      </c>
      <c r="B5" s="67" t="s">
        <v>2</v>
      </c>
      <c r="C5" s="179"/>
      <c r="D5" s="64"/>
    </row>
    <row r="6" spans="1:8" x14ac:dyDescent="0.25">
      <c r="A6" s="69">
        <f>Broyeur1!E8</f>
        <v>43188</v>
      </c>
      <c r="B6" s="67" t="s">
        <v>2</v>
      </c>
      <c r="C6" s="179"/>
      <c r="D6" s="64"/>
    </row>
    <row r="7" spans="1:8" x14ac:dyDescent="0.25">
      <c r="A7" s="69">
        <f>Broyeur1!F8</f>
        <v>43251</v>
      </c>
      <c r="B7" s="67" t="s">
        <v>2</v>
      </c>
      <c r="C7" s="179"/>
      <c r="D7" s="64"/>
    </row>
    <row r="8" spans="1:8" x14ac:dyDescent="0.25">
      <c r="A8" s="69">
        <f>Broyeur1!G8</f>
        <v>43307</v>
      </c>
      <c r="B8" s="67" t="s">
        <v>2</v>
      </c>
      <c r="C8" s="179"/>
      <c r="D8" s="64"/>
    </row>
    <row r="9" spans="1:8" x14ac:dyDescent="0.25">
      <c r="A9" s="69">
        <f>Broyeur1!H8</f>
        <v>43364</v>
      </c>
      <c r="B9" s="67" t="s">
        <v>2</v>
      </c>
      <c r="C9" s="179"/>
      <c r="D9" s="70"/>
    </row>
    <row r="10" spans="1:8" x14ac:dyDescent="0.25">
      <c r="A10" s="69">
        <f>Broyeur1!I8</f>
        <v>43420</v>
      </c>
      <c r="B10" s="67" t="s">
        <v>2</v>
      </c>
      <c r="C10" s="179"/>
      <c r="D10" s="70"/>
    </row>
    <row r="11" spans="1:8" x14ac:dyDescent="0.25">
      <c r="A11" s="69">
        <f>Broyeur1!J8</f>
        <v>43480</v>
      </c>
      <c r="B11" s="67" t="s">
        <v>2</v>
      </c>
      <c r="C11" s="179"/>
      <c r="D11" s="70"/>
    </row>
    <row r="12" spans="1:8" x14ac:dyDescent="0.25">
      <c r="A12" s="69">
        <f>Broyeur1!A10</f>
        <v>43252</v>
      </c>
      <c r="B12" s="65" t="s">
        <v>3</v>
      </c>
      <c r="C12" s="179"/>
      <c r="D12" s="25"/>
    </row>
    <row r="13" spans="1:8" ht="15" customHeight="1" x14ac:dyDescent="0.25">
      <c r="A13" s="69">
        <f>Broyeur1!B10</f>
        <v>43797</v>
      </c>
      <c r="B13" s="65" t="s">
        <v>3</v>
      </c>
      <c r="C13" s="179"/>
      <c r="D13" s="25"/>
    </row>
    <row r="14" spans="1:8" x14ac:dyDescent="0.25">
      <c r="A14" s="69">
        <f>Broyeur1!C10</f>
        <v>44348</v>
      </c>
      <c r="B14" s="65" t="s">
        <v>3</v>
      </c>
      <c r="C14" s="179"/>
      <c r="D14" s="25"/>
    </row>
    <row r="15" spans="1:8" x14ac:dyDescent="0.25">
      <c r="A15" s="69">
        <f>Broyeur1!D10</f>
        <v>44889</v>
      </c>
      <c r="B15" s="65" t="s">
        <v>3</v>
      </c>
      <c r="C15" s="179"/>
      <c r="D15" s="25"/>
    </row>
    <row r="16" spans="1:8" x14ac:dyDescent="0.25">
      <c r="A16" s="69">
        <f>Broyeur1!E10</f>
        <v>45440</v>
      </c>
      <c r="B16" s="65" t="s">
        <v>3</v>
      </c>
      <c r="C16" s="179"/>
      <c r="D16" s="25"/>
    </row>
    <row r="17" spans="1:4" x14ac:dyDescent="0.25">
      <c r="A17" s="69">
        <f>Broyeur1!A12</f>
        <v>43412</v>
      </c>
      <c r="B17" s="65" t="s">
        <v>4</v>
      </c>
      <c r="C17" s="179"/>
      <c r="D17" s="25"/>
    </row>
    <row r="18" spans="1:4" x14ac:dyDescent="0.25">
      <c r="A18" s="69">
        <f>Broyeur1!B12</f>
        <v>43978</v>
      </c>
      <c r="B18" s="65" t="s">
        <v>4</v>
      </c>
      <c r="C18" s="179"/>
      <c r="D18" s="25"/>
    </row>
    <row r="19" spans="1:4" x14ac:dyDescent="0.25">
      <c r="A19" s="69">
        <f>Broyeur1!C12</f>
        <v>44537</v>
      </c>
      <c r="B19" s="65" t="s">
        <v>4</v>
      </c>
      <c r="C19" s="179"/>
      <c r="D19" s="25"/>
    </row>
    <row r="20" spans="1:4" x14ac:dyDescent="0.25">
      <c r="A20" s="69">
        <f>Broyeur1!D12</f>
        <v>45097</v>
      </c>
      <c r="B20" s="65" t="s">
        <v>4</v>
      </c>
      <c r="C20" s="179"/>
      <c r="D20" s="25"/>
    </row>
    <row r="21" spans="1:4" x14ac:dyDescent="0.25">
      <c r="A21" s="69">
        <f>Broyeur1!A$14</f>
        <v>43475</v>
      </c>
      <c r="B21" s="67" t="s">
        <v>5</v>
      </c>
      <c r="C21" s="179"/>
      <c r="D21" s="25"/>
    </row>
    <row r="22" spans="1:4" x14ac:dyDescent="0.25">
      <c r="A22" s="69">
        <f>Broyeur1!B$14</f>
        <v>44250</v>
      </c>
      <c r="B22" s="67" t="s">
        <v>5</v>
      </c>
      <c r="C22" s="179"/>
      <c r="D22" s="25"/>
    </row>
    <row r="23" spans="1:4" x14ac:dyDescent="0.25">
      <c r="A23" s="69">
        <f>Broyeur1!C$14</f>
        <v>45014</v>
      </c>
      <c r="B23" s="67" t="s">
        <v>5</v>
      </c>
      <c r="C23" s="179"/>
      <c r="D23" s="25"/>
    </row>
    <row r="24" spans="1:4" x14ac:dyDescent="0.25">
      <c r="A24" s="69">
        <f>Broyeur1!D$14</f>
        <v>45792</v>
      </c>
      <c r="B24" s="67" t="s">
        <v>5</v>
      </c>
      <c r="C24" s="179"/>
      <c r="D24" s="25"/>
    </row>
    <row r="25" spans="1:4" x14ac:dyDescent="0.25">
      <c r="A25" s="69">
        <f>Broyeur1!A$16</f>
        <v>43614</v>
      </c>
      <c r="B25" s="67" t="s">
        <v>6</v>
      </c>
      <c r="C25" s="179"/>
      <c r="D25" s="64"/>
    </row>
    <row r="26" spans="1:4" x14ac:dyDescent="0.25">
      <c r="A26" s="69">
        <f>Broyeur1!B$16</f>
        <v>44617</v>
      </c>
      <c r="B26" s="67" t="s">
        <v>6</v>
      </c>
      <c r="C26" s="179"/>
      <c r="D26" s="64"/>
    </row>
    <row r="27" spans="1:4" x14ac:dyDescent="0.25">
      <c r="A27" s="69">
        <f>Broyeur1!C$16</f>
        <v>45624</v>
      </c>
      <c r="B27" s="67" t="s">
        <v>6</v>
      </c>
      <c r="C27" s="179"/>
      <c r="D27" s="64"/>
    </row>
    <row r="28" spans="1:4" x14ac:dyDescent="0.25">
      <c r="A28" s="69">
        <f>Broyeur1!D$16</f>
        <v>46636</v>
      </c>
      <c r="B28" s="67" t="s">
        <v>6</v>
      </c>
      <c r="C28" s="179"/>
      <c r="D28" s="64"/>
    </row>
    <row r="29" spans="1:4" x14ac:dyDescent="0.25">
      <c r="A29" s="69">
        <f>Broyeur1!E$16</f>
        <v>47641</v>
      </c>
      <c r="B29" s="67" t="s">
        <v>6</v>
      </c>
      <c r="C29" s="179"/>
      <c r="D29" s="64"/>
    </row>
    <row r="30" spans="1:4" x14ac:dyDescent="0.25">
      <c r="A30" s="73">
        <f>Broyeur1!A$18</f>
        <v>43367</v>
      </c>
      <c r="B30" s="67" t="s">
        <v>7</v>
      </c>
      <c r="C30" s="179"/>
    </row>
    <row r="31" spans="1:4" x14ac:dyDescent="0.25">
      <c r="A31" s="73">
        <f>Broyeur1!B$18</f>
        <v>44378</v>
      </c>
      <c r="B31" s="67" t="s">
        <v>7</v>
      </c>
      <c r="C31" s="179"/>
    </row>
    <row r="32" spans="1:4" x14ac:dyDescent="0.25">
      <c r="A32" s="73">
        <f>Broyeur1!C$18</f>
        <v>45384</v>
      </c>
      <c r="B32" s="67" t="s">
        <v>7</v>
      </c>
      <c r="C32" s="179"/>
    </row>
    <row r="33" spans="1:3" x14ac:dyDescent="0.25">
      <c r="A33" s="73">
        <f>Broyeur1!D$18</f>
        <v>46401</v>
      </c>
      <c r="B33" s="67" t="s">
        <v>7</v>
      </c>
      <c r="C33" s="179"/>
    </row>
    <row r="34" spans="1:3" x14ac:dyDescent="0.25">
      <c r="A34" s="73">
        <f>Broyeur1!E$18</f>
        <v>47409</v>
      </c>
      <c r="B34" s="67" t="s">
        <v>7</v>
      </c>
      <c r="C34" s="179"/>
    </row>
    <row r="35" spans="1:3" x14ac:dyDescent="0.25">
      <c r="A35" s="73">
        <f>Broyeur1!A$20</f>
        <v>44277</v>
      </c>
      <c r="B35" s="67" t="s">
        <v>8</v>
      </c>
      <c r="C35" s="179"/>
    </row>
    <row r="36" spans="1:3" x14ac:dyDescent="0.25">
      <c r="A36" s="73">
        <f>Broyeur1!B$20</f>
        <v>47191</v>
      </c>
      <c r="B36" s="67" t="s">
        <v>8</v>
      </c>
      <c r="C36" s="179"/>
    </row>
    <row r="37" spans="1:3" x14ac:dyDescent="0.25">
      <c r="A37" s="73">
        <f>Broyeur1!C$20</f>
        <v>50110</v>
      </c>
      <c r="B37" s="67" t="s">
        <v>8</v>
      </c>
      <c r="C37" s="179"/>
    </row>
    <row r="38" spans="1:3" x14ac:dyDescent="0.25">
      <c r="A38" s="73">
        <f>Broyeur1!D$20</f>
        <v>53024</v>
      </c>
      <c r="B38" s="67" t="s">
        <v>8</v>
      </c>
      <c r="C38" s="179"/>
    </row>
    <row r="39" spans="1:3" x14ac:dyDescent="0.25">
      <c r="A39" s="73">
        <f>Broyeur1!E$20</f>
        <v>55942</v>
      </c>
      <c r="B39" s="67" t="s">
        <v>8</v>
      </c>
      <c r="C39" s="179"/>
    </row>
    <row r="40" spans="1:3" x14ac:dyDescent="0.25">
      <c r="A40" s="73">
        <f>Broyeur1!A$22</f>
        <v>43551</v>
      </c>
      <c r="B40" s="67" t="s">
        <v>9</v>
      </c>
      <c r="C40" s="179"/>
    </row>
    <row r="41" spans="1:3" x14ac:dyDescent="0.25">
      <c r="A41" s="73">
        <f>Broyeur1!B$22</f>
        <v>46125</v>
      </c>
      <c r="B41" s="67" t="s">
        <v>9</v>
      </c>
      <c r="C41" s="179"/>
    </row>
    <row r="42" spans="1:3" x14ac:dyDescent="0.25">
      <c r="A42" s="73">
        <f>Broyeur1!C$22</f>
        <v>48694</v>
      </c>
      <c r="B42" s="67" t="s">
        <v>9</v>
      </c>
      <c r="C42" s="179"/>
    </row>
    <row r="43" spans="1:3" x14ac:dyDescent="0.25">
      <c r="A43" s="73">
        <f>Broyeur1!D$22</f>
        <v>51260</v>
      </c>
      <c r="B43" s="67" t="s">
        <v>9</v>
      </c>
      <c r="C43" s="179"/>
    </row>
    <row r="44" spans="1:3" x14ac:dyDescent="0.25">
      <c r="A44" s="73">
        <f>Broyeur1!E$22</f>
        <v>53839</v>
      </c>
      <c r="B44" s="67" t="s">
        <v>9</v>
      </c>
      <c r="C44" s="179"/>
    </row>
    <row r="45" spans="1:3" x14ac:dyDescent="0.25">
      <c r="A45" s="73">
        <f>Broyeur1!A$24</f>
        <v>43025</v>
      </c>
      <c r="B45" s="67" t="s">
        <v>10</v>
      </c>
      <c r="C45" s="179"/>
    </row>
    <row r="46" spans="1:3" ht="15" customHeight="1" x14ac:dyDescent="0.25">
      <c r="A46" s="73">
        <f>Broyeur1!B$24</f>
        <v>45328</v>
      </c>
      <c r="B46" s="67" t="s">
        <v>10</v>
      </c>
      <c r="C46" s="179"/>
    </row>
    <row r="47" spans="1:3" x14ac:dyDescent="0.25">
      <c r="A47" s="73">
        <f>Broyeur1!C$24</f>
        <v>47639</v>
      </c>
      <c r="B47" s="67" t="s">
        <v>10</v>
      </c>
      <c r="C47" s="179"/>
    </row>
    <row r="48" spans="1:3" x14ac:dyDescent="0.25">
      <c r="A48" s="73">
        <f>Broyeur1!D$24</f>
        <v>49944</v>
      </c>
      <c r="B48" s="67" t="s">
        <v>10</v>
      </c>
      <c r="C48" s="179"/>
    </row>
    <row r="49" spans="1:3" x14ac:dyDescent="0.25">
      <c r="A49" s="73">
        <f>Broyeur1!E$24</f>
        <v>52251</v>
      </c>
      <c r="B49" s="67" t="s">
        <v>10</v>
      </c>
      <c r="C49" s="179"/>
    </row>
    <row r="50" spans="1:3" x14ac:dyDescent="0.25">
      <c r="A50" s="73">
        <f>Broyeur1!A$26</f>
        <v>46234</v>
      </c>
      <c r="B50" s="67" t="s">
        <v>11</v>
      </c>
      <c r="C50" s="179"/>
    </row>
    <row r="51" spans="1:3" x14ac:dyDescent="0.25">
      <c r="A51" s="73">
        <f>Broyeur1!B$26</f>
        <v>50140</v>
      </c>
      <c r="B51" s="67" t="s">
        <v>11</v>
      </c>
      <c r="C51" s="179"/>
    </row>
    <row r="52" spans="1:3" x14ac:dyDescent="0.25">
      <c r="A52" s="73">
        <f>Broyeur1!C$26</f>
        <v>54050</v>
      </c>
      <c r="B52" s="67" t="s">
        <v>11</v>
      </c>
      <c r="C52" s="179"/>
    </row>
    <row r="53" spans="1:3" x14ac:dyDescent="0.25">
      <c r="A53" s="73">
        <f>Broyeur1!D$26</f>
        <v>57962</v>
      </c>
      <c r="B53" s="67" t="s">
        <v>11</v>
      </c>
      <c r="C53" s="179"/>
    </row>
    <row r="54" spans="1:3" x14ac:dyDescent="0.25">
      <c r="A54" s="73">
        <f>Broyeur1!E$26</f>
        <v>61864</v>
      </c>
      <c r="B54" s="67" t="s">
        <v>11</v>
      </c>
      <c r="C54" s="179"/>
    </row>
    <row r="55" spans="1:3" x14ac:dyDescent="0.25">
      <c r="A55" s="73">
        <f>Broyeur1!A$28</f>
        <v>41893</v>
      </c>
      <c r="B55" s="67" t="s">
        <v>12</v>
      </c>
      <c r="C55" s="179"/>
    </row>
    <row r="56" spans="1:3" x14ac:dyDescent="0.25">
      <c r="A56" s="73">
        <f>Broyeur1!B$28</f>
        <v>41893</v>
      </c>
      <c r="B56" s="67" t="s">
        <v>12</v>
      </c>
      <c r="C56" s="179"/>
    </row>
    <row r="57" spans="1:3" ht="15" customHeight="1" x14ac:dyDescent="0.25">
      <c r="A57" s="73">
        <f>Broyeur1!C$28</f>
        <v>41893</v>
      </c>
      <c r="B57" s="67" t="s">
        <v>12</v>
      </c>
      <c r="C57" s="179"/>
    </row>
    <row r="58" spans="1:3" x14ac:dyDescent="0.25">
      <c r="A58" s="73">
        <f>Broyeur1!D$28</f>
        <v>41893</v>
      </c>
      <c r="B58" s="67" t="s">
        <v>12</v>
      </c>
      <c r="C58" s="179"/>
    </row>
    <row r="59" spans="1:3" x14ac:dyDescent="0.25">
      <c r="A59" s="73">
        <f>Broyeur1!E$28</f>
        <v>41893</v>
      </c>
      <c r="B59" s="67" t="s">
        <v>12</v>
      </c>
      <c r="C59" s="179"/>
    </row>
    <row r="60" spans="1:3" x14ac:dyDescent="0.25">
      <c r="A60" s="73">
        <f>Broyeur1!A$30</f>
        <v>43025</v>
      </c>
      <c r="B60" s="72" t="s">
        <v>13</v>
      </c>
      <c r="C60" s="179"/>
    </row>
    <row r="61" spans="1:3" x14ac:dyDescent="0.25">
      <c r="A61" s="73">
        <f>Broyeur1!B$30</f>
        <v>45328</v>
      </c>
      <c r="B61" s="72" t="s">
        <v>13</v>
      </c>
      <c r="C61" s="179"/>
    </row>
    <row r="62" spans="1:3" x14ac:dyDescent="0.25">
      <c r="A62" s="73">
        <f>Broyeur1!C$30</f>
        <v>47639</v>
      </c>
      <c r="B62" s="72" t="s">
        <v>13</v>
      </c>
      <c r="C62" s="179"/>
    </row>
    <row r="63" spans="1:3" x14ac:dyDescent="0.25">
      <c r="A63" s="73">
        <f>Broyeur1!D$30</f>
        <v>49944</v>
      </c>
      <c r="B63" s="72" t="s">
        <v>13</v>
      </c>
      <c r="C63" s="179"/>
    </row>
    <row r="64" spans="1:3" x14ac:dyDescent="0.25">
      <c r="A64" s="73">
        <f>Broyeur1!E$30</f>
        <v>52251</v>
      </c>
      <c r="B64" s="72" t="s">
        <v>13</v>
      </c>
      <c r="C64" s="179"/>
    </row>
    <row r="65" spans="1:3" x14ac:dyDescent="0.25">
      <c r="A65" s="73">
        <f>Broyeur1!A$32</f>
        <v>41605</v>
      </c>
      <c r="B65" s="67" t="s">
        <v>14</v>
      </c>
      <c r="C65" s="179"/>
    </row>
    <row r="66" spans="1:3" x14ac:dyDescent="0.25">
      <c r="A66" s="73">
        <f>Broyeur1!B$32</f>
        <v>43147</v>
      </c>
      <c r="B66" s="67" t="s">
        <v>14</v>
      </c>
      <c r="C66" s="179"/>
    </row>
    <row r="67" spans="1:3" x14ac:dyDescent="0.25">
      <c r="A67" s="73">
        <f>Broyeur1!C$32</f>
        <v>44726</v>
      </c>
      <c r="B67" s="67" t="s">
        <v>14</v>
      </c>
      <c r="C67" s="179"/>
    </row>
    <row r="68" spans="1:3" x14ac:dyDescent="0.25">
      <c r="A68" s="73">
        <f>Broyeur1!D$32</f>
        <v>46308</v>
      </c>
      <c r="B68" s="67" t="s">
        <v>14</v>
      </c>
      <c r="C68" s="179"/>
    </row>
    <row r="69" spans="1:3" x14ac:dyDescent="0.25">
      <c r="A69" s="73">
        <f>Broyeur1!E$32</f>
        <v>47885</v>
      </c>
      <c r="B69" s="67" t="s">
        <v>14</v>
      </c>
      <c r="C69" s="179"/>
    </row>
    <row r="70" spans="1:3" x14ac:dyDescent="0.25">
      <c r="A70" s="73">
        <f>Broyeur1!A$34</f>
        <v>41554</v>
      </c>
      <c r="B70" s="67" t="s">
        <v>15</v>
      </c>
      <c r="C70" s="179"/>
    </row>
    <row r="71" spans="1:3" x14ac:dyDescent="0.25">
      <c r="A71" s="73">
        <f>Broyeur1!B$34</f>
        <v>43068</v>
      </c>
      <c r="B71" s="67" t="s">
        <v>15</v>
      </c>
      <c r="C71" s="179"/>
    </row>
    <row r="72" spans="1:3" x14ac:dyDescent="0.25">
      <c r="A72" s="73">
        <f>Broyeur1!C$34</f>
        <v>44620</v>
      </c>
      <c r="B72" s="67" t="s">
        <v>15</v>
      </c>
      <c r="C72" s="179"/>
    </row>
    <row r="73" spans="1:3" x14ac:dyDescent="0.25">
      <c r="A73" s="73">
        <f>Broyeur1!D$34</f>
        <v>46178</v>
      </c>
      <c r="B73" s="67" t="s">
        <v>15</v>
      </c>
      <c r="C73" s="179"/>
    </row>
    <row r="74" spans="1:3" x14ac:dyDescent="0.25">
      <c r="A74" s="73">
        <f>Broyeur1!A$36</f>
        <v>41554</v>
      </c>
      <c r="B74" s="67" t="s">
        <v>16</v>
      </c>
      <c r="C74" s="179"/>
    </row>
    <row r="75" spans="1:3" x14ac:dyDescent="0.25">
      <c r="A75" s="73">
        <f>Broyeur1!B$36</f>
        <v>43068</v>
      </c>
      <c r="B75" s="67" t="s">
        <v>16</v>
      </c>
      <c r="C75" s="179"/>
    </row>
    <row r="76" spans="1:3" x14ac:dyDescent="0.25">
      <c r="A76" s="73">
        <f>Broyeur1!C$36</f>
        <v>44620</v>
      </c>
      <c r="B76" s="67" t="s">
        <v>16</v>
      </c>
      <c r="C76" s="179"/>
    </row>
    <row r="77" spans="1:3" x14ac:dyDescent="0.25">
      <c r="A77" s="73">
        <f>Broyeur1!D$36</f>
        <v>46178</v>
      </c>
      <c r="B77" s="67" t="s">
        <v>16</v>
      </c>
      <c r="C77" s="179"/>
    </row>
    <row r="78" spans="1:3" x14ac:dyDescent="0.25">
      <c r="A78" s="73">
        <f>Broyeur1!A$38</f>
        <v>41554</v>
      </c>
      <c r="B78" s="67" t="s">
        <v>17</v>
      </c>
      <c r="C78" s="179"/>
    </row>
    <row r="79" spans="1:3" x14ac:dyDescent="0.25">
      <c r="A79" s="73">
        <f>Broyeur1!B$38</f>
        <v>43068</v>
      </c>
      <c r="B79" s="67" t="s">
        <v>17</v>
      </c>
      <c r="C79" s="179"/>
    </row>
    <row r="80" spans="1:3" x14ac:dyDescent="0.25">
      <c r="A80" s="73">
        <f>Broyeur1!C$38</f>
        <v>44620</v>
      </c>
      <c r="B80" s="67" t="s">
        <v>17</v>
      </c>
      <c r="C80" s="179"/>
    </row>
    <row r="81" spans="1:3" x14ac:dyDescent="0.25">
      <c r="A81" s="73">
        <f>Broyeur1!D$38</f>
        <v>46178</v>
      </c>
      <c r="B81" s="67" t="s">
        <v>17</v>
      </c>
      <c r="C81" s="179"/>
    </row>
    <row r="82" spans="1:3" x14ac:dyDescent="0.25">
      <c r="A82" s="73">
        <f>Broyeur1!A$40</f>
        <v>46252</v>
      </c>
      <c r="B82" s="67" t="s">
        <v>18</v>
      </c>
      <c r="C82" s="179"/>
    </row>
    <row r="83" spans="1:3" x14ac:dyDescent="0.25">
      <c r="A83" s="73">
        <f>Broyeur1!B$40</f>
        <v>50167</v>
      </c>
      <c r="B83" s="67" t="s">
        <v>18</v>
      </c>
      <c r="C83" s="179"/>
    </row>
    <row r="84" spans="1:3" x14ac:dyDescent="0.25">
      <c r="A84" s="73">
        <f>Broyeur1!C$40</f>
        <v>54086</v>
      </c>
      <c r="B84" s="67" t="s">
        <v>18</v>
      </c>
      <c r="C84" s="179"/>
    </row>
    <row r="85" spans="1:3" x14ac:dyDescent="0.25">
      <c r="A85" s="73">
        <f>Broyeur1!D$40</f>
        <v>58004</v>
      </c>
      <c r="B85" s="67" t="s">
        <v>18</v>
      </c>
      <c r="C85" s="179"/>
    </row>
    <row r="86" spans="1:3" x14ac:dyDescent="0.25">
      <c r="A86" s="73">
        <f>Broyeur1!A$42</f>
        <v>40998</v>
      </c>
      <c r="B86" s="67" t="s">
        <v>19</v>
      </c>
      <c r="C86" s="179"/>
    </row>
    <row r="87" spans="1:3" x14ac:dyDescent="0.25">
      <c r="A87" s="73">
        <f>Broyeur1!B$42</f>
        <v>42227</v>
      </c>
      <c r="B87" s="67" t="s">
        <v>19</v>
      </c>
      <c r="C87" s="179"/>
    </row>
    <row r="88" spans="1:3" x14ac:dyDescent="0.25">
      <c r="A88" s="73">
        <f>Broyeur1!C$42</f>
        <v>43479</v>
      </c>
      <c r="B88" s="67" t="s">
        <v>19</v>
      </c>
      <c r="C88" s="179"/>
    </row>
    <row r="89" spans="1:3" x14ac:dyDescent="0.25">
      <c r="A89" s="73">
        <f>Broyeur1!D$42</f>
        <v>44742</v>
      </c>
      <c r="B89" s="67" t="s">
        <v>19</v>
      </c>
      <c r="C89" s="179"/>
    </row>
    <row r="90" spans="1:3" x14ac:dyDescent="0.25">
      <c r="A90" s="73">
        <f>Broyeur1!A$44</f>
        <v>40305</v>
      </c>
      <c r="B90" s="67" t="s">
        <v>20</v>
      </c>
      <c r="C90" s="179"/>
    </row>
    <row r="91" spans="1:3" x14ac:dyDescent="0.25">
      <c r="A91" s="73">
        <f>Broyeur1!B$44</f>
        <v>41186</v>
      </c>
      <c r="B91" s="67" t="s">
        <v>20</v>
      </c>
      <c r="C91" s="179"/>
    </row>
    <row r="92" spans="1:3" x14ac:dyDescent="0.25">
      <c r="A92" s="73">
        <f>Broyeur1!C$44</f>
        <v>42067</v>
      </c>
      <c r="B92" s="67" t="s">
        <v>20</v>
      </c>
      <c r="C92" s="179"/>
    </row>
    <row r="93" spans="1:3" x14ac:dyDescent="0.25">
      <c r="A93" s="73">
        <f>Broyeur1!D$44</f>
        <v>42956</v>
      </c>
      <c r="B93" s="67" t="s">
        <v>20</v>
      </c>
      <c r="C93" s="179"/>
    </row>
    <row r="94" spans="1:3" x14ac:dyDescent="0.25">
      <c r="A94" s="73">
        <f>Broyeur1!E$44</f>
        <v>43865</v>
      </c>
      <c r="B94" s="67" t="s">
        <v>20</v>
      </c>
      <c r="C94" s="179"/>
    </row>
    <row r="95" spans="1:3" x14ac:dyDescent="0.25">
      <c r="A95" s="73">
        <f>Broyeur1!A$48</f>
        <v>43188</v>
      </c>
      <c r="B95" s="67" t="s">
        <v>22</v>
      </c>
      <c r="C95" s="179"/>
    </row>
    <row r="96" spans="1:3" x14ac:dyDescent="0.25">
      <c r="A96" s="73">
        <f>Broyeur1!B$48</f>
        <v>43480</v>
      </c>
      <c r="B96" s="67" t="s">
        <v>22</v>
      </c>
      <c r="C96" s="179"/>
    </row>
    <row r="97" spans="1:3" x14ac:dyDescent="0.25">
      <c r="A97" s="73">
        <f>Broyeur1!C$48</f>
        <v>43768</v>
      </c>
      <c r="B97" s="67" t="s">
        <v>22</v>
      </c>
      <c r="C97" s="179"/>
    </row>
    <row r="98" spans="1:3" x14ac:dyDescent="0.25">
      <c r="A98" s="73">
        <f>Broyeur1!D$48</f>
        <v>44061</v>
      </c>
      <c r="B98" s="67" t="s">
        <v>22</v>
      </c>
      <c r="C98" s="179"/>
    </row>
    <row r="99" spans="1:3" x14ac:dyDescent="0.25">
      <c r="A99" s="73">
        <f>Broyeur1!E$48</f>
        <v>44349</v>
      </c>
      <c r="B99" s="65" t="s">
        <v>22</v>
      </c>
      <c r="C99" s="179"/>
    </row>
    <row r="102" spans="1:3" x14ac:dyDescent="0.25">
      <c r="B102" s="78" t="s">
        <v>426</v>
      </c>
    </row>
    <row r="103" spans="1:3" ht="15" customHeight="1" x14ac:dyDescent="0.25">
      <c r="A103" s="73">
        <f>Broyeur2!A$8</f>
        <v>42921</v>
      </c>
      <c r="B103" s="67" t="s">
        <v>2</v>
      </c>
      <c r="C103" s="177"/>
    </row>
    <row r="104" spans="1:3" ht="15" customHeight="1" x14ac:dyDescent="0.25">
      <c r="A104" s="73">
        <f>Broyeur2!B$8</f>
        <v>42979</v>
      </c>
      <c r="B104" s="67" t="s">
        <v>2</v>
      </c>
      <c r="C104" s="177"/>
    </row>
    <row r="105" spans="1:3" ht="15" customHeight="1" x14ac:dyDescent="0.25">
      <c r="A105" s="73">
        <f>Broyeur2!C$8</f>
        <v>43035</v>
      </c>
      <c r="B105" s="67" t="s">
        <v>2</v>
      </c>
      <c r="C105" s="177"/>
    </row>
    <row r="106" spans="1:3" ht="15" customHeight="1" x14ac:dyDescent="0.25">
      <c r="A106" s="73">
        <f>Broyeur2!D$8</f>
        <v>43091</v>
      </c>
      <c r="B106" s="67" t="s">
        <v>2</v>
      </c>
      <c r="C106" s="177"/>
    </row>
    <row r="107" spans="1:3" ht="15" customHeight="1" x14ac:dyDescent="0.25">
      <c r="A107" s="73">
        <f>Broyeur2!E$8</f>
        <v>43151</v>
      </c>
      <c r="B107" s="67" t="s">
        <v>2</v>
      </c>
      <c r="C107" s="177"/>
    </row>
    <row r="108" spans="1:3" ht="15" customHeight="1" x14ac:dyDescent="0.25">
      <c r="A108" s="73">
        <f>Broyeur2!F$8</f>
        <v>43208</v>
      </c>
      <c r="B108" s="67" t="s">
        <v>2</v>
      </c>
      <c r="C108" s="177"/>
    </row>
    <row r="109" spans="1:3" x14ac:dyDescent="0.25">
      <c r="A109" s="73">
        <f>Broyeur2!G$8</f>
        <v>43270</v>
      </c>
      <c r="B109" s="67" t="s">
        <v>2</v>
      </c>
      <c r="C109" s="178"/>
    </row>
    <row r="110" spans="1:3" x14ac:dyDescent="0.25">
      <c r="A110" s="73">
        <f>Broyeur2!H$8</f>
        <v>43326</v>
      </c>
      <c r="B110" s="67" t="s">
        <v>2</v>
      </c>
      <c r="C110" s="178"/>
    </row>
    <row r="111" spans="1:3" x14ac:dyDescent="0.25">
      <c r="A111" s="73">
        <f>Broyeur2!I$8</f>
        <v>43383</v>
      </c>
      <c r="B111" s="67" t="s">
        <v>2</v>
      </c>
      <c r="C111" s="178"/>
    </row>
    <row r="112" spans="1:3" x14ac:dyDescent="0.25">
      <c r="A112" s="73">
        <f>Broyeur2!J$8</f>
        <v>43439</v>
      </c>
      <c r="B112" s="67" t="s">
        <v>2</v>
      </c>
      <c r="C112" s="178"/>
    </row>
    <row r="113" spans="1:3" x14ac:dyDescent="0.25">
      <c r="A113" s="73" t="e">
        <f>Broyeur2!A$10</f>
        <v>#VALUE!</v>
      </c>
      <c r="B113" s="67" t="s">
        <v>56</v>
      </c>
      <c r="C113" s="178"/>
    </row>
    <row r="114" spans="1:3" x14ac:dyDescent="0.25">
      <c r="A114" s="73" t="e">
        <f>Broyeur2!B$10</f>
        <v>#VALUE!</v>
      </c>
      <c r="B114" s="67" t="s">
        <v>56</v>
      </c>
      <c r="C114" s="178"/>
    </row>
    <row r="115" spans="1:3" x14ac:dyDescent="0.25">
      <c r="A115" s="73" t="e">
        <f>Broyeur2!C$10</f>
        <v>#VALUE!</v>
      </c>
      <c r="B115" s="67" t="s">
        <v>56</v>
      </c>
      <c r="C115" s="178"/>
    </row>
    <row r="116" spans="1:3" x14ac:dyDescent="0.25">
      <c r="A116" s="73" t="e">
        <f>Broyeur2!D$10</f>
        <v>#VALUE!</v>
      </c>
      <c r="B116" s="67" t="s">
        <v>56</v>
      </c>
      <c r="C116" s="178"/>
    </row>
    <row r="117" spans="1:3" x14ac:dyDescent="0.25">
      <c r="A117" s="73">
        <f>Broyeur2!A$12</f>
        <v>43679</v>
      </c>
      <c r="B117" s="67" t="s">
        <v>57</v>
      </c>
      <c r="C117" s="178"/>
    </row>
    <row r="118" spans="1:3" x14ac:dyDescent="0.25">
      <c r="A118" s="73">
        <f>Broyeur2!B$12</f>
        <v>47606</v>
      </c>
      <c r="B118" s="67" t="s">
        <v>57</v>
      </c>
      <c r="C118" s="178"/>
    </row>
    <row r="119" spans="1:3" x14ac:dyDescent="0.25">
      <c r="A119" s="73">
        <f>Broyeur2!C$12</f>
        <v>51531</v>
      </c>
      <c r="B119" s="67" t="s">
        <v>57</v>
      </c>
      <c r="C119" s="178"/>
    </row>
    <row r="120" spans="1:3" x14ac:dyDescent="0.25">
      <c r="A120" s="73">
        <f>Broyeur2!A$14</f>
        <v>43679</v>
      </c>
      <c r="B120" s="67" t="s">
        <v>58</v>
      </c>
      <c r="C120" s="178"/>
    </row>
    <row r="121" spans="1:3" x14ac:dyDescent="0.25">
      <c r="A121" s="73">
        <f>Broyeur2!B$14</f>
        <v>47606</v>
      </c>
      <c r="B121" s="67" t="s">
        <v>58</v>
      </c>
      <c r="C121" s="178"/>
    </row>
    <row r="122" spans="1:3" x14ac:dyDescent="0.25">
      <c r="A122" s="73">
        <f>Broyeur2!C$14</f>
        <v>51531</v>
      </c>
      <c r="B122" s="67" t="s">
        <v>58</v>
      </c>
      <c r="C122" s="178"/>
    </row>
    <row r="123" spans="1:3" x14ac:dyDescent="0.25">
      <c r="A123" s="73">
        <f>Broyeur2!A$16</f>
        <v>42541</v>
      </c>
      <c r="B123" s="67" t="s">
        <v>5</v>
      </c>
      <c r="C123" s="178"/>
    </row>
    <row r="124" spans="1:3" x14ac:dyDescent="0.25">
      <c r="A124" s="73">
        <f>Broyeur2!B$16</f>
        <v>43112</v>
      </c>
      <c r="B124" s="67" t="s">
        <v>5</v>
      </c>
      <c r="C124" s="178"/>
    </row>
    <row r="125" spans="1:3" x14ac:dyDescent="0.25">
      <c r="A125" s="73">
        <f>Broyeur2!C$16</f>
        <v>43691</v>
      </c>
      <c r="B125" s="67" t="s">
        <v>5</v>
      </c>
      <c r="C125" s="178"/>
    </row>
    <row r="126" spans="1:3" x14ac:dyDescent="0.25">
      <c r="A126" s="73">
        <f>Broyeur2!D$16</f>
        <v>44270</v>
      </c>
      <c r="B126" s="67" t="s">
        <v>5</v>
      </c>
      <c r="C126" s="178"/>
    </row>
    <row r="127" spans="1:3" x14ac:dyDescent="0.25">
      <c r="A127" s="73">
        <f>Broyeur2!A$18</f>
        <v>42808</v>
      </c>
      <c r="B127" s="67" t="s">
        <v>11</v>
      </c>
      <c r="C127" s="178"/>
    </row>
    <row r="128" spans="1:3" x14ac:dyDescent="0.25">
      <c r="A128" s="73">
        <f>Broyeur2!B$18</f>
        <v>42867</v>
      </c>
      <c r="B128" s="67" t="s">
        <v>11</v>
      </c>
      <c r="C128" s="178"/>
    </row>
    <row r="129" spans="1:3" x14ac:dyDescent="0.25">
      <c r="A129" s="73">
        <f>Broyeur2!C$18</f>
        <v>42927</v>
      </c>
      <c r="B129" s="67" t="s">
        <v>11</v>
      </c>
      <c r="C129" s="178"/>
    </row>
    <row r="130" spans="1:3" x14ac:dyDescent="0.25">
      <c r="A130" s="73">
        <f>Broyeur2!D$18</f>
        <v>42985</v>
      </c>
      <c r="B130" s="67" t="s">
        <v>11</v>
      </c>
      <c r="C130" s="178"/>
    </row>
    <row r="131" spans="1:3" x14ac:dyDescent="0.25">
      <c r="A131" s="73">
        <f>Broyeur2!F$18</f>
        <v>43098</v>
      </c>
      <c r="B131" s="67" t="s">
        <v>11</v>
      </c>
      <c r="C131" s="178"/>
    </row>
    <row r="132" spans="1:3" x14ac:dyDescent="0.25">
      <c r="A132" s="73">
        <f>Broyeur2!G$18</f>
        <v>43157</v>
      </c>
      <c r="B132" s="67" t="s">
        <v>11</v>
      </c>
      <c r="C132" s="178"/>
    </row>
    <row r="133" spans="1:3" x14ac:dyDescent="0.25">
      <c r="A133" s="73">
        <f>Broyeur2!H$18</f>
        <v>43214</v>
      </c>
      <c r="B133" s="67" t="s">
        <v>11</v>
      </c>
      <c r="C133" s="178"/>
    </row>
    <row r="134" spans="1:3" x14ac:dyDescent="0.25">
      <c r="A134" s="73">
        <f>Broyeur2!I$18</f>
        <v>43276</v>
      </c>
      <c r="B134" s="67" t="s">
        <v>11</v>
      </c>
      <c r="C134" s="178"/>
    </row>
    <row r="135" spans="1:3" x14ac:dyDescent="0.25">
      <c r="A135" s="73">
        <f>Broyeur2!J$18</f>
        <v>43333</v>
      </c>
      <c r="B135" s="67" t="s">
        <v>11</v>
      </c>
      <c r="C135" s="178"/>
    </row>
    <row r="136" spans="1:3" x14ac:dyDescent="0.25">
      <c r="A136" s="73">
        <f>Broyeur2!K$18</f>
        <v>43389</v>
      </c>
      <c r="B136" s="67" t="s">
        <v>11</v>
      </c>
      <c r="C136" s="178"/>
    </row>
    <row r="137" spans="1:3" x14ac:dyDescent="0.25">
      <c r="A137" s="73">
        <f>Broyeur2!L$18</f>
        <v>43445</v>
      </c>
      <c r="B137" s="67" t="s">
        <v>11</v>
      </c>
      <c r="C137" s="178"/>
    </row>
    <row r="138" spans="1:3" x14ac:dyDescent="0.25">
      <c r="A138" s="73">
        <f>Broyeur2!M$18</f>
        <v>43503</v>
      </c>
      <c r="B138" s="67" t="s">
        <v>11</v>
      </c>
      <c r="C138" s="178"/>
    </row>
    <row r="139" spans="1:3" x14ac:dyDescent="0.25">
      <c r="A139" s="73">
        <f>Broyeur2!A$20</f>
        <v>42611</v>
      </c>
      <c r="B139" s="67" t="s">
        <v>8</v>
      </c>
      <c r="C139" s="178"/>
    </row>
    <row r="140" spans="1:3" x14ac:dyDescent="0.25">
      <c r="A140" s="73">
        <f>Broyeur2!B$20</f>
        <v>43637</v>
      </c>
      <c r="B140" s="67" t="s">
        <v>8</v>
      </c>
      <c r="C140" s="178"/>
    </row>
    <row r="141" spans="1:3" x14ac:dyDescent="0.25">
      <c r="A141" s="73">
        <f>Broyeur2!C$20</f>
        <v>44659</v>
      </c>
      <c r="B141" s="67" t="s">
        <v>8</v>
      </c>
      <c r="C141" s="178"/>
    </row>
    <row r="142" spans="1:3" x14ac:dyDescent="0.25">
      <c r="A142" s="73">
        <f>Broyeur2!A$22</f>
        <v>43024</v>
      </c>
      <c r="B142" s="67" t="s">
        <v>59</v>
      </c>
      <c r="C142" s="178"/>
    </row>
    <row r="143" spans="1:3" x14ac:dyDescent="0.25">
      <c r="A143" s="73">
        <f>Broyeur2!B$22</f>
        <v>44081</v>
      </c>
      <c r="B143" s="67" t="s">
        <v>59</v>
      </c>
      <c r="C143" s="178"/>
    </row>
    <row r="144" spans="1:3" x14ac:dyDescent="0.25">
      <c r="A144" s="73">
        <f>Broyeur2!C$22</f>
        <v>45131</v>
      </c>
      <c r="B144" s="67" t="s">
        <v>59</v>
      </c>
      <c r="C144" s="178"/>
    </row>
    <row r="145" spans="1:3" x14ac:dyDescent="0.25">
      <c r="A145" s="73">
        <f>Broyeur2!D$22</f>
        <v>46190</v>
      </c>
      <c r="B145" s="67" t="s">
        <v>59</v>
      </c>
      <c r="C145" s="178"/>
    </row>
    <row r="146" spans="1:3" x14ac:dyDescent="0.25">
      <c r="A146" s="73">
        <f>Broyeur2!E$22</f>
        <v>47240</v>
      </c>
      <c r="B146" s="67" t="s">
        <v>59</v>
      </c>
      <c r="C146" s="178"/>
    </row>
    <row r="147" spans="1:3" x14ac:dyDescent="0.25">
      <c r="A147" s="73">
        <f>Broyeur2!A$24</f>
        <v>44166</v>
      </c>
      <c r="B147" s="67" t="s">
        <v>60</v>
      </c>
      <c r="C147" s="178"/>
    </row>
    <row r="148" spans="1:3" x14ac:dyDescent="0.25">
      <c r="A148" s="73">
        <f>Broyeur2!B$24</f>
        <v>46945</v>
      </c>
      <c r="B148" s="67" t="s">
        <v>60</v>
      </c>
      <c r="C148" s="178"/>
    </row>
    <row r="149" spans="1:3" x14ac:dyDescent="0.25">
      <c r="A149" s="73">
        <f>Broyeur2!C$24</f>
        <v>49723</v>
      </c>
      <c r="B149" s="67" t="s">
        <v>60</v>
      </c>
      <c r="C149" s="178"/>
    </row>
    <row r="150" spans="1:3" x14ac:dyDescent="0.25">
      <c r="A150" s="73">
        <f>Broyeur2!A$26</f>
        <v>42193</v>
      </c>
      <c r="B150" s="72" t="s">
        <v>61</v>
      </c>
      <c r="C150" s="178"/>
    </row>
    <row r="151" spans="1:3" x14ac:dyDescent="0.25">
      <c r="A151" s="73">
        <f>Broyeur2!B$26</f>
        <v>45110</v>
      </c>
      <c r="B151" s="72" t="s">
        <v>61</v>
      </c>
      <c r="C151" s="178"/>
    </row>
    <row r="152" spans="1:3" x14ac:dyDescent="0.25">
      <c r="A152" s="73">
        <f>Broyeur2!C$26</f>
        <v>48051</v>
      </c>
      <c r="B152" s="72" t="s">
        <v>61</v>
      </c>
      <c r="C152" s="178"/>
    </row>
    <row r="153" spans="1:3" x14ac:dyDescent="0.25">
      <c r="A153" s="73">
        <f>Broyeur2!A$28</f>
        <v>44624</v>
      </c>
      <c r="B153" s="67" t="s">
        <v>62</v>
      </c>
      <c r="C153" s="178"/>
    </row>
    <row r="154" spans="1:3" x14ac:dyDescent="0.25">
      <c r="A154" s="73">
        <f>Broyeur2!B$28</f>
        <v>47561</v>
      </c>
      <c r="B154" s="67" t="s">
        <v>62</v>
      </c>
      <c r="C154" s="178"/>
    </row>
    <row r="155" spans="1:3" x14ac:dyDescent="0.25">
      <c r="A155" s="73">
        <f>Broyeur2!C$28</f>
        <v>50497</v>
      </c>
      <c r="B155" s="67" t="s">
        <v>62</v>
      </c>
      <c r="C155" s="178"/>
    </row>
    <row r="156" spans="1:3" x14ac:dyDescent="0.25">
      <c r="A156" s="73">
        <f>Broyeur2!A$30</f>
        <v>46056</v>
      </c>
      <c r="B156" s="67" t="s">
        <v>63</v>
      </c>
      <c r="C156" s="178"/>
    </row>
    <row r="157" spans="1:3" x14ac:dyDescent="0.25">
      <c r="A157" s="73">
        <f>Broyeur2!B$30</f>
        <v>49467</v>
      </c>
      <c r="B157" s="67" t="s">
        <v>63</v>
      </c>
      <c r="C157" s="178"/>
    </row>
    <row r="158" spans="1:3" x14ac:dyDescent="0.25">
      <c r="A158" s="73">
        <f>Broyeur2!C$30</f>
        <v>52877</v>
      </c>
      <c r="B158" s="67" t="s">
        <v>63</v>
      </c>
      <c r="C158" s="178"/>
    </row>
    <row r="159" spans="1:3" x14ac:dyDescent="0.25">
      <c r="A159" s="73">
        <f>Broyeur2!A$32</f>
        <v>48934</v>
      </c>
      <c r="B159" s="67" t="s">
        <v>64</v>
      </c>
      <c r="C159" s="178"/>
    </row>
    <row r="160" spans="1:3" x14ac:dyDescent="0.25">
      <c r="A160" s="73">
        <f>Broyeur2!B$32</f>
        <v>55488</v>
      </c>
      <c r="B160" s="67" t="s">
        <v>64</v>
      </c>
      <c r="C160" s="178"/>
    </row>
    <row r="161" spans="1:3" x14ac:dyDescent="0.25">
      <c r="A161" s="73">
        <f>Broyeur2!C$32</f>
        <v>62045</v>
      </c>
      <c r="B161" s="67" t="s">
        <v>64</v>
      </c>
      <c r="C161" s="178"/>
    </row>
    <row r="162" spans="1:3" x14ac:dyDescent="0.25">
      <c r="A162" s="73">
        <f>Broyeur2!A$34</f>
        <v>48435</v>
      </c>
      <c r="B162" s="67" t="s">
        <v>65</v>
      </c>
      <c r="C162" s="178"/>
    </row>
    <row r="163" spans="1:3" x14ac:dyDescent="0.25">
      <c r="A163" s="73">
        <f>Broyeur2!B$34</f>
        <v>54757</v>
      </c>
      <c r="B163" s="67" t="s">
        <v>65</v>
      </c>
      <c r="C163" s="178"/>
    </row>
    <row r="164" spans="1:3" x14ac:dyDescent="0.25">
      <c r="A164" s="73">
        <f>Broyeur2!C$34</f>
        <v>61078</v>
      </c>
      <c r="B164" s="67" t="s">
        <v>65</v>
      </c>
      <c r="C164" s="178"/>
    </row>
    <row r="165" spans="1:3" x14ac:dyDescent="0.25">
      <c r="A165" s="73">
        <f>Broyeur2!A$36</f>
        <v>48934</v>
      </c>
      <c r="B165" s="67" t="s">
        <v>66</v>
      </c>
      <c r="C165" s="178"/>
    </row>
    <row r="166" spans="1:3" x14ac:dyDescent="0.25">
      <c r="A166" s="73">
        <f>Broyeur2!B$36</f>
        <v>55488</v>
      </c>
      <c r="B166" s="67" t="s">
        <v>66</v>
      </c>
      <c r="C166" s="178"/>
    </row>
    <row r="167" spans="1:3" x14ac:dyDescent="0.25">
      <c r="A167" s="73" t="e">
        <f>Broyeur2!A$38</f>
        <v>#VALUE!</v>
      </c>
      <c r="B167" s="67" t="s">
        <v>67</v>
      </c>
      <c r="C167" s="178"/>
    </row>
    <row r="168" spans="1:3" x14ac:dyDescent="0.25">
      <c r="A168" s="73" t="e">
        <f>Broyeur2!B$38</f>
        <v>#VALUE!</v>
      </c>
      <c r="B168" s="67" t="s">
        <v>152</v>
      </c>
      <c r="C168" s="178"/>
    </row>
    <row r="169" spans="1:3" x14ac:dyDescent="0.25">
      <c r="A169" s="73" t="e">
        <f>Broyeur2!C$38</f>
        <v>#VALUE!</v>
      </c>
      <c r="B169" s="67" t="s">
        <v>153</v>
      </c>
      <c r="C169" s="178"/>
    </row>
    <row r="170" spans="1:3" x14ac:dyDescent="0.25">
      <c r="A170" s="73" t="e">
        <f>Broyeur2!D$38</f>
        <v>#VALUE!</v>
      </c>
      <c r="B170" s="67" t="s">
        <v>154</v>
      </c>
      <c r="C170" s="178"/>
    </row>
    <row r="171" spans="1:3" x14ac:dyDescent="0.25">
      <c r="A171" s="73">
        <f>Broyeur2!A$40</f>
        <v>45498</v>
      </c>
      <c r="B171" s="67" t="s">
        <v>10</v>
      </c>
      <c r="C171" s="178"/>
    </row>
    <row r="172" spans="1:3" x14ac:dyDescent="0.25">
      <c r="A172" s="73">
        <f>Broyeur2!B$40</f>
        <v>49614</v>
      </c>
      <c r="B172" s="67" t="s">
        <v>10</v>
      </c>
      <c r="C172" s="178"/>
    </row>
    <row r="173" spans="1:3" x14ac:dyDescent="0.25">
      <c r="A173" s="73">
        <f>Broyeur2!C$40</f>
        <v>53731</v>
      </c>
      <c r="B173" s="67" t="s">
        <v>10</v>
      </c>
      <c r="C173" s="178"/>
    </row>
    <row r="174" spans="1:3" x14ac:dyDescent="0.25">
      <c r="A174" s="73" t="e">
        <f>Broyeur2!A$42</f>
        <v>#VALUE!</v>
      </c>
      <c r="B174" s="67" t="s">
        <v>68</v>
      </c>
      <c r="C174" s="178"/>
    </row>
    <row r="175" spans="1:3" x14ac:dyDescent="0.25">
      <c r="A175" s="73" t="e">
        <f>Broyeur2!B$42</f>
        <v>#VALUE!</v>
      </c>
      <c r="B175" s="67" t="s">
        <v>68</v>
      </c>
      <c r="C175" s="178"/>
    </row>
    <row r="176" spans="1:3" x14ac:dyDescent="0.25">
      <c r="A176" s="73" t="e">
        <f>Broyeur2!C$42</f>
        <v>#VALUE!</v>
      </c>
      <c r="B176" s="67" t="s">
        <v>68</v>
      </c>
      <c r="C176" s="178"/>
    </row>
    <row r="177" spans="1:3" x14ac:dyDescent="0.25">
      <c r="A177" s="73" t="e">
        <f>Broyeur2!D$42</f>
        <v>#VALUE!</v>
      </c>
      <c r="B177" s="67" t="s">
        <v>68</v>
      </c>
      <c r="C177" s="178"/>
    </row>
    <row r="178" spans="1:3" x14ac:dyDescent="0.25">
      <c r="A178" s="73" t="e">
        <f>Broyeur2!A$44</f>
        <v>#VALUE!</v>
      </c>
      <c r="B178" s="67" t="s">
        <v>69</v>
      </c>
      <c r="C178" s="178"/>
    </row>
    <row r="179" spans="1:3" x14ac:dyDescent="0.25">
      <c r="A179" s="73" t="e">
        <f>Broyeur2!B$44</f>
        <v>#VALUE!</v>
      </c>
      <c r="B179" s="67" t="s">
        <v>69</v>
      </c>
      <c r="C179" s="178"/>
    </row>
    <row r="180" spans="1:3" x14ac:dyDescent="0.25">
      <c r="A180" s="73" t="e">
        <f>Broyeur2!C$44</f>
        <v>#VALUE!</v>
      </c>
      <c r="B180" s="67" t="s">
        <v>69</v>
      </c>
      <c r="C180" s="178"/>
    </row>
    <row r="181" spans="1:3" x14ac:dyDescent="0.25">
      <c r="A181" s="73">
        <f>Broyeur2!A$46</f>
        <v>45874</v>
      </c>
      <c r="B181" s="67" t="s">
        <v>7</v>
      </c>
      <c r="C181" s="178"/>
    </row>
    <row r="182" spans="1:3" x14ac:dyDescent="0.25">
      <c r="A182" s="73">
        <f>Broyeur2!B$46</f>
        <v>50894</v>
      </c>
      <c r="B182" s="67" t="s">
        <v>7</v>
      </c>
      <c r="C182" s="178"/>
    </row>
    <row r="183" spans="1:3" x14ac:dyDescent="0.25">
      <c r="A183" s="73">
        <f>Broyeur2!C$46</f>
        <v>55920</v>
      </c>
      <c r="B183" s="67" t="s">
        <v>7</v>
      </c>
      <c r="C183" s="178"/>
    </row>
    <row r="184" spans="1:3" x14ac:dyDescent="0.25">
      <c r="A184" s="73" t="e">
        <f>Broyeur2!A$48</f>
        <v>#VALUE!</v>
      </c>
      <c r="B184" s="67" t="s">
        <v>20</v>
      </c>
      <c r="C184" s="178"/>
    </row>
    <row r="185" spans="1:3" x14ac:dyDescent="0.25">
      <c r="A185" s="73" t="e">
        <f>Broyeur2!B$48</f>
        <v>#VALUE!</v>
      </c>
      <c r="B185" s="67" t="s">
        <v>20</v>
      </c>
      <c r="C185" s="178"/>
    </row>
    <row r="186" spans="1:3" x14ac:dyDescent="0.25">
      <c r="A186" s="73" t="e">
        <f>Broyeur2!C$48</f>
        <v>#VALUE!</v>
      </c>
      <c r="B186" s="67" t="s">
        <v>20</v>
      </c>
      <c r="C186" s="178"/>
    </row>
    <row r="187" spans="1:3" x14ac:dyDescent="0.25">
      <c r="A187" s="73">
        <f>Broyeur2!A$50</f>
        <v>45433</v>
      </c>
      <c r="B187" s="67" t="s">
        <v>70</v>
      </c>
      <c r="C187" s="178"/>
    </row>
    <row r="188" spans="1:3" x14ac:dyDescent="0.25">
      <c r="A188" s="73">
        <f>Broyeur2!B50</f>
        <v>50242</v>
      </c>
      <c r="B188" s="67" t="s">
        <v>70</v>
      </c>
      <c r="C188" s="178"/>
    </row>
    <row r="189" spans="1:3" x14ac:dyDescent="0.25">
      <c r="A189" s="73">
        <f>Broyeur2!C50</f>
        <v>55040</v>
      </c>
      <c r="B189" s="67" t="s">
        <v>70</v>
      </c>
      <c r="C189" s="178"/>
    </row>
    <row r="190" spans="1:3" x14ac:dyDescent="0.25">
      <c r="A190" s="73">
        <f>Broyeur2!A52</f>
        <v>42473</v>
      </c>
      <c r="B190" s="67" t="s">
        <v>16</v>
      </c>
      <c r="C190" s="178"/>
    </row>
    <row r="191" spans="1:3" x14ac:dyDescent="0.25">
      <c r="A191" s="73">
        <f>Broyeur2!B52</f>
        <v>45786</v>
      </c>
      <c r="B191" s="67" t="s">
        <v>16</v>
      </c>
      <c r="C191" s="178"/>
    </row>
    <row r="192" spans="1:3" x14ac:dyDescent="0.25">
      <c r="A192" s="73">
        <f>Broyeur2!C52</f>
        <v>49109</v>
      </c>
      <c r="B192" s="67" t="s">
        <v>16</v>
      </c>
      <c r="C192" s="178"/>
    </row>
    <row r="193" spans="1:3" ht="15" customHeight="1" x14ac:dyDescent="0.25">
      <c r="A193" s="73">
        <f>Broyeur2!A54</f>
        <v>45938</v>
      </c>
      <c r="B193" s="67" t="s">
        <v>71</v>
      </c>
      <c r="C193" s="178"/>
    </row>
    <row r="194" spans="1:3" x14ac:dyDescent="0.25">
      <c r="A194" s="73">
        <f>Broyeur2!B54</f>
        <v>50993</v>
      </c>
      <c r="B194" s="67" t="s">
        <v>71</v>
      </c>
      <c r="C194" s="178"/>
    </row>
    <row r="195" spans="1:3" x14ac:dyDescent="0.25">
      <c r="A195" s="73">
        <f>Broyeur2!C54</f>
        <v>56054</v>
      </c>
      <c r="B195" s="67" t="s">
        <v>71</v>
      </c>
      <c r="C195" s="178"/>
    </row>
    <row r="196" spans="1:3" x14ac:dyDescent="0.25">
      <c r="A196" s="73">
        <f>Broyeur2!A$56</f>
        <v>43846</v>
      </c>
      <c r="B196" s="67" t="s">
        <v>72</v>
      </c>
      <c r="C196" s="178"/>
    </row>
    <row r="197" spans="1:3" x14ac:dyDescent="0.25">
      <c r="A197" s="73">
        <f>Broyeur2!B56</f>
        <v>47857</v>
      </c>
      <c r="B197" s="67" t="s">
        <v>72</v>
      </c>
      <c r="C197" s="178"/>
    </row>
    <row r="198" spans="1:3" x14ac:dyDescent="0.25">
      <c r="A198" s="73">
        <f>Broyeur2!C56</f>
        <v>51862</v>
      </c>
      <c r="B198" s="67" t="s">
        <v>72</v>
      </c>
      <c r="C198" s="178"/>
    </row>
    <row r="199" spans="1:3" x14ac:dyDescent="0.25">
      <c r="A199" s="73">
        <f>Broyeur2!A$58</f>
        <v>44769</v>
      </c>
      <c r="B199" s="67" t="s">
        <v>73</v>
      </c>
      <c r="C199" s="178"/>
    </row>
    <row r="200" spans="1:3" x14ac:dyDescent="0.25">
      <c r="A200" s="73">
        <f>Broyeur2!B58</f>
        <v>49243</v>
      </c>
      <c r="B200" s="67" t="s">
        <v>73</v>
      </c>
      <c r="C200" s="178"/>
    </row>
    <row r="201" spans="1:3" x14ac:dyDescent="0.25">
      <c r="A201" s="73">
        <f>Broyeur2!C58</f>
        <v>53720</v>
      </c>
      <c r="B201" s="67" t="s">
        <v>73</v>
      </c>
      <c r="C201" s="178"/>
    </row>
    <row r="202" spans="1:3" x14ac:dyDescent="0.25">
      <c r="A202" s="73">
        <f>Broyeur2!A$60</f>
        <v>44609</v>
      </c>
      <c r="B202" s="67" t="s">
        <v>74</v>
      </c>
      <c r="C202" s="178"/>
    </row>
    <row r="203" spans="1:3" x14ac:dyDescent="0.25">
      <c r="A203" s="73">
        <f>Broyeur2!B60</f>
        <v>49003</v>
      </c>
      <c r="B203" s="67" t="s">
        <v>74</v>
      </c>
      <c r="C203" s="178"/>
    </row>
    <row r="204" spans="1:3" x14ac:dyDescent="0.25">
      <c r="A204" s="73">
        <f>Broyeur2!C60</f>
        <v>53400</v>
      </c>
      <c r="B204" s="67" t="s">
        <v>74</v>
      </c>
      <c r="C204" s="178"/>
    </row>
    <row r="205" spans="1:3" x14ac:dyDescent="0.25">
      <c r="A205" s="73">
        <f>Broyeur2!A$62</f>
        <v>41213</v>
      </c>
      <c r="B205" s="67" t="s">
        <v>75</v>
      </c>
      <c r="C205" s="178"/>
    </row>
    <row r="206" spans="1:3" x14ac:dyDescent="0.25">
      <c r="A206" s="73">
        <f>Broyeur2!B62</f>
        <v>43839</v>
      </c>
      <c r="B206" s="67" t="s">
        <v>75</v>
      </c>
      <c r="C206" s="178"/>
    </row>
    <row r="207" spans="1:3" x14ac:dyDescent="0.25">
      <c r="A207" s="73">
        <f>Broyeur2!C62</f>
        <v>46511</v>
      </c>
      <c r="B207" s="67" t="s">
        <v>75</v>
      </c>
      <c r="C207" s="178"/>
    </row>
    <row r="208" spans="1:3" x14ac:dyDescent="0.25">
      <c r="A208" s="73">
        <f>Broyeur2!A$64</f>
        <v>42843</v>
      </c>
      <c r="B208" s="67" t="s">
        <v>76</v>
      </c>
      <c r="C208" s="178"/>
    </row>
    <row r="209" spans="1:3" x14ac:dyDescent="0.25">
      <c r="A209" s="73">
        <f>Broyeur2!B64</f>
        <v>46358</v>
      </c>
      <c r="B209" s="67" t="s">
        <v>76</v>
      </c>
      <c r="C209" s="178"/>
    </row>
    <row r="210" spans="1:3" x14ac:dyDescent="0.25">
      <c r="A210" s="73">
        <f>Broyeur2!C64</f>
        <v>49867</v>
      </c>
      <c r="B210" s="67" t="s">
        <v>76</v>
      </c>
      <c r="C210" s="178"/>
    </row>
    <row r="211" spans="1:3" x14ac:dyDescent="0.25">
      <c r="A211" s="73">
        <f>Broyeur2!A$66</f>
        <v>41213</v>
      </c>
      <c r="B211" s="67" t="s">
        <v>77</v>
      </c>
      <c r="C211" s="178"/>
    </row>
    <row r="212" spans="1:3" x14ac:dyDescent="0.25">
      <c r="A212" s="73">
        <f>Broyeur2!B66</f>
        <v>43839</v>
      </c>
      <c r="B212" s="67" t="s">
        <v>77</v>
      </c>
      <c r="C212" s="178"/>
    </row>
    <row r="213" spans="1:3" x14ac:dyDescent="0.25">
      <c r="A213" s="73">
        <f>Broyeur2!C66</f>
        <v>46511</v>
      </c>
      <c r="B213" s="67" t="s">
        <v>77</v>
      </c>
      <c r="C213" s="178"/>
    </row>
    <row r="214" spans="1:3" x14ac:dyDescent="0.25">
      <c r="A214" s="73">
        <f>Broyeur2!A$68</f>
        <v>41213</v>
      </c>
      <c r="B214" s="67" t="s">
        <v>151</v>
      </c>
      <c r="C214" s="178"/>
    </row>
    <row r="215" spans="1:3" x14ac:dyDescent="0.25">
      <c r="A215" s="73">
        <f>Broyeur2!B68</f>
        <v>43839</v>
      </c>
      <c r="B215" s="67" t="s">
        <v>151</v>
      </c>
      <c r="C215" s="178"/>
    </row>
    <row r="216" spans="1:3" x14ac:dyDescent="0.25">
      <c r="A216" s="73">
        <f>Broyeur2!C68</f>
        <v>46511</v>
      </c>
      <c r="B216" s="65" t="s">
        <v>151</v>
      </c>
      <c r="C216" s="178"/>
    </row>
    <row r="219" spans="1:3" x14ac:dyDescent="0.25">
      <c r="B219" s="79" t="s">
        <v>427</v>
      </c>
    </row>
    <row r="220" spans="1:3" ht="15" customHeight="1" x14ac:dyDescent="0.25">
      <c r="A220" s="73">
        <f>Broyeur3!A$8</f>
        <v>42970</v>
      </c>
      <c r="B220" s="67" t="s">
        <v>83</v>
      </c>
      <c r="C220" s="176"/>
    </row>
    <row r="221" spans="1:3" ht="15" customHeight="1" x14ac:dyDescent="0.25">
      <c r="A221" s="73">
        <f>Broyeur3!B$8</f>
        <v>43083</v>
      </c>
      <c r="B221" s="67" t="s">
        <v>83</v>
      </c>
      <c r="C221" s="176"/>
    </row>
    <row r="222" spans="1:3" ht="30" x14ac:dyDescent="0.25">
      <c r="A222" s="73">
        <f>Broyeur3!C$8</f>
        <v>43201</v>
      </c>
      <c r="B222" s="67" t="s">
        <v>83</v>
      </c>
      <c r="C222" s="176"/>
    </row>
    <row r="223" spans="1:3" ht="30" x14ac:dyDescent="0.25">
      <c r="A223" s="73">
        <f>Broyeur3!D$8</f>
        <v>43320</v>
      </c>
      <c r="B223" s="67" t="s">
        <v>83</v>
      </c>
      <c r="C223" s="176"/>
    </row>
    <row r="224" spans="1:3" ht="30" x14ac:dyDescent="0.25">
      <c r="A224" s="73">
        <f>Broyeur3!E$8</f>
        <v>43434</v>
      </c>
      <c r="B224" s="67" t="s">
        <v>83</v>
      </c>
      <c r="C224" s="176"/>
    </row>
    <row r="225" spans="1:3" ht="30" x14ac:dyDescent="0.25">
      <c r="A225" s="73">
        <f>Broyeur3!F$8</f>
        <v>43551</v>
      </c>
      <c r="B225" s="67" t="s">
        <v>83</v>
      </c>
      <c r="C225" s="176"/>
    </row>
    <row r="226" spans="1:3" ht="30" x14ac:dyDescent="0.25">
      <c r="A226" s="73">
        <f>Broyeur3!G$8</f>
        <v>43671</v>
      </c>
      <c r="B226" s="67" t="s">
        <v>83</v>
      </c>
      <c r="C226" s="176"/>
    </row>
    <row r="227" spans="1:3" x14ac:dyDescent="0.25">
      <c r="A227" s="75">
        <f>Broyeur3!A10</f>
        <v>43070</v>
      </c>
      <c r="B227" s="67" t="s">
        <v>5</v>
      </c>
      <c r="C227" s="176"/>
    </row>
    <row r="228" spans="1:3" x14ac:dyDescent="0.25">
      <c r="A228" s="75">
        <f>Broyeur3!B10</f>
        <v>43507</v>
      </c>
      <c r="B228" s="67" t="s">
        <v>5</v>
      </c>
      <c r="C228" s="176"/>
    </row>
    <row r="229" spans="1:3" x14ac:dyDescent="0.25">
      <c r="A229" s="75">
        <f>Broyeur3!C10</f>
        <v>43942</v>
      </c>
      <c r="B229" s="67" t="s">
        <v>5</v>
      </c>
      <c r="C229" s="176"/>
    </row>
    <row r="230" spans="1:3" x14ac:dyDescent="0.25">
      <c r="A230" s="75">
        <f>Broyeur3!A12</f>
        <v>42748</v>
      </c>
      <c r="B230" s="72" t="s">
        <v>84</v>
      </c>
      <c r="C230" s="176"/>
    </row>
    <row r="231" spans="1:3" x14ac:dyDescent="0.25">
      <c r="A231" s="75">
        <f>Broyeur3!B12</f>
        <v>43096</v>
      </c>
      <c r="B231" s="72" t="s">
        <v>84</v>
      </c>
      <c r="C231" s="176"/>
    </row>
    <row r="232" spans="1:3" x14ac:dyDescent="0.25">
      <c r="A232" s="75">
        <f>Broyeur3!C12</f>
        <v>43444</v>
      </c>
      <c r="B232" s="72" t="s">
        <v>84</v>
      </c>
      <c r="C232" s="176"/>
    </row>
    <row r="233" spans="1:3" x14ac:dyDescent="0.25">
      <c r="A233" s="75">
        <f>Broyeur3!D12</f>
        <v>43794</v>
      </c>
      <c r="B233" s="72" t="s">
        <v>84</v>
      </c>
      <c r="C233" s="176"/>
    </row>
    <row r="234" spans="1:3" x14ac:dyDescent="0.25">
      <c r="A234" s="75">
        <f>Broyeur3!A14</f>
        <v>43663</v>
      </c>
      <c r="B234" s="67" t="s">
        <v>60</v>
      </c>
      <c r="C234" s="176"/>
    </row>
    <row r="235" spans="1:3" x14ac:dyDescent="0.25">
      <c r="A235" s="75">
        <f>Broyeur3!B14</f>
        <v>44916</v>
      </c>
      <c r="B235" s="67" t="s">
        <v>60</v>
      </c>
      <c r="C235" s="176"/>
    </row>
    <row r="236" spans="1:3" x14ac:dyDescent="0.25">
      <c r="A236" s="75">
        <f>Broyeur3!C14</f>
        <v>46182</v>
      </c>
      <c r="B236" s="67" t="s">
        <v>60</v>
      </c>
      <c r="C236" s="176"/>
    </row>
    <row r="237" spans="1:3" x14ac:dyDescent="0.25">
      <c r="A237" s="75">
        <f>Broyeur3!A16</f>
        <v>42754</v>
      </c>
      <c r="B237" s="67" t="s">
        <v>8</v>
      </c>
      <c r="C237" s="176"/>
    </row>
    <row r="238" spans="1:3" x14ac:dyDescent="0.25">
      <c r="A238" s="75">
        <f>Broyeur3!B16</f>
        <v>43993</v>
      </c>
      <c r="B238" s="67" t="s">
        <v>8</v>
      </c>
      <c r="C238" s="176"/>
    </row>
    <row r="239" spans="1:3" x14ac:dyDescent="0.25">
      <c r="A239" s="75">
        <f>Broyeur3!C16</f>
        <v>45222</v>
      </c>
      <c r="B239" s="67" t="s">
        <v>8</v>
      </c>
      <c r="C239" s="176"/>
    </row>
    <row r="240" spans="1:3" x14ac:dyDescent="0.25">
      <c r="A240" s="75">
        <f>Broyeur3!A20</f>
        <v>44435</v>
      </c>
      <c r="B240" s="67" t="s">
        <v>85</v>
      </c>
      <c r="C240" s="176"/>
    </row>
    <row r="241" spans="1:3" x14ac:dyDescent="0.25">
      <c r="A241" s="75">
        <f>Broyeur3!B20</f>
        <v>46344</v>
      </c>
      <c r="B241" s="67" t="s">
        <v>85</v>
      </c>
      <c r="C241" s="176"/>
    </row>
    <row r="242" spans="1:3" x14ac:dyDescent="0.25">
      <c r="A242" s="75">
        <f>Broyeur3!C20</f>
        <v>48254</v>
      </c>
      <c r="B242" s="67" t="s">
        <v>85</v>
      </c>
      <c r="C242" s="176"/>
    </row>
    <row r="243" spans="1:3" x14ac:dyDescent="0.25">
      <c r="A243" s="75">
        <f>Broyeur3!A22</f>
        <v>46545</v>
      </c>
      <c r="B243" s="67" t="s">
        <v>86</v>
      </c>
      <c r="C243" s="176"/>
    </row>
    <row r="244" spans="1:3" x14ac:dyDescent="0.25">
      <c r="A244" s="75">
        <f>Broyeur3!B22</f>
        <v>51865</v>
      </c>
      <c r="B244" s="67" t="s">
        <v>86</v>
      </c>
      <c r="C244" s="176"/>
    </row>
    <row r="245" spans="1:3" x14ac:dyDescent="0.25">
      <c r="A245" s="75">
        <f>Broyeur3!C22</f>
        <v>57195</v>
      </c>
      <c r="B245" s="67" t="s">
        <v>86</v>
      </c>
      <c r="C245" s="176"/>
    </row>
    <row r="246" spans="1:3" x14ac:dyDescent="0.25">
      <c r="A246" s="75">
        <f>Broyeur3!A24</f>
        <v>43287</v>
      </c>
      <c r="B246" s="67" t="s">
        <v>87</v>
      </c>
      <c r="C246" s="176"/>
    </row>
    <row r="247" spans="1:3" x14ac:dyDescent="0.25">
      <c r="A247" s="75">
        <f>Broyeur3!B24</f>
        <v>44169</v>
      </c>
      <c r="B247" s="67" t="s">
        <v>87</v>
      </c>
      <c r="C247" s="176"/>
    </row>
    <row r="248" spans="1:3" x14ac:dyDescent="0.25">
      <c r="A248" s="75">
        <f>Broyeur3!C24</f>
        <v>45044</v>
      </c>
      <c r="B248" s="67" t="s">
        <v>87</v>
      </c>
      <c r="C248" s="176"/>
    </row>
    <row r="249" spans="1:3" x14ac:dyDescent="0.25">
      <c r="A249" s="75">
        <f>Broyeur3!A26</f>
        <v>47156</v>
      </c>
      <c r="B249" s="67" t="s">
        <v>88</v>
      </c>
      <c r="C249" s="176"/>
    </row>
    <row r="250" spans="1:3" x14ac:dyDescent="0.25">
      <c r="A250" s="75">
        <f>Broyeur3!B26</f>
        <v>52791</v>
      </c>
      <c r="B250" s="67" t="s">
        <v>88</v>
      </c>
      <c r="C250" s="176"/>
    </row>
    <row r="251" spans="1:3" x14ac:dyDescent="0.25">
      <c r="A251" s="75">
        <f>Broyeur3!C26</f>
        <v>58426</v>
      </c>
      <c r="B251" s="67" t="s">
        <v>88</v>
      </c>
      <c r="C251" s="176"/>
    </row>
    <row r="252" spans="1:3" x14ac:dyDescent="0.25">
      <c r="A252" s="75">
        <f>Broyeur3!A28</f>
        <v>43998</v>
      </c>
      <c r="B252" s="67" t="s">
        <v>89</v>
      </c>
      <c r="C252" s="176"/>
    </row>
    <row r="253" spans="1:3" x14ac:dyDescent="0.25">
      <c r="A253" s="75">
        <f>Broyeur3!B28</f>
        <v>46465</v>
      </c>
      <c r="B253" s="67" t="s">
        <v>89</v>
      </c>
      <c r="C253" s="176"/>
    </row>
    <row r="254" spans="1:3" x14ac:dyDescent="0.25">
      <c r="A254" s="75">
        <f>Broyeur3!C28</f>
        <v>48934</v>
      </c>
      <c r="B254" s="67" t="s">
        <v>89</v>
      </c>
      <c r="C254" s="176"/>
    </row>
    <row r="255" spans="1:3" x14ac:dyDescent="0.25">
      <c r="A255" s="75">
        <f>Broyeur3!A30</f>
        <v>46545</v>
      </c>
      <c r="B255" s="67" t="s">
        <v>90</v>
      </c>
      <c r="C255" s="176"/>
    </row>
    <row r="256" spans="1:3" x14ac:dyDescent="0.25">
      <c r="A256" s="75">
        <f>Broyeur3!B30</f>
        <v>51865</v>
      </c>
      <c r="B256" s="67" t="s">
        <v>90</v>
      </c>
      <c r="C256" s="176"/>
    </row>
    <row r="257" spans="1:3" x14ac:dyDescent="0.25">
      <c r="A257" s="75">
        <f>Broyeur3!C30</f>
        <v>57195</v>
      </c>
      <c r="B257" s="67" t="s">
        <v>90</v>
      </c>
      <c r="C257" s="176"/>
    </row>
    <row r="258" spans="1:3" x14ac:dyDescent="0.25">
      <c r="A258" s="75">
        <f>Broyeur3!A32</f>
        <v>46154</v>
      </c>
      <c r="B258" s="67" t="s">
        <v>91</v>
      </c>
      <c r="C258" s="176"/>
    </row>
    <row r="259" spans="1:3" x14ac:dyDescent="0.25">
      <c r="A259" s="75">
        <f>Broyeur3!B32</f>
        <v>51281</v>
      </c>
      <c r="B259" s="67" t="s">
        <v>91</v>
      </c>
      <c r="C259" s="176"/>
    </row>
    <row r="260" spans="1:3" x14ac:dyDescent="0.25">
      <c r="A260" s="75">
        <f>Broyeur3!C32</f>
        <v>56418</v>
      </c>
      <c r="B260" s="67" t="s">
        <v>91</v>
      </c>
      <c r="C260" s="176"/>
    </row>
    <row r="261" spans="1:3" x14ac:dyDescent="0.25">
      <c r="A261" s="75" t="e">
        <f>Broyeur3!A34</f>
        <v>#VALUE!</v>
      </c>
      <c r="B261" s="67" t="s">
        <v>92</v>
      </c>
      <c r="C261" s="176"/>
    </row>
    <row r="262" spans="1:3" x14ac:dyDescent="0.25">
      <c r="A262" s="75" t="e">
        <f>Broyeur3!B34</f>
        <v>#VALUE!</v>
      </c>
      <c r="B262" s="67" t="s">
        <v>92</v>
      </c>
      <c r="C262" s="176"/>
    </row>
    <row r="263" spans="1:3" x14ac:dyDescent="0.25">
      <c r="A263" s="75" t="e">
        <f>Broyeur3!C34</f>
        <v>#VALUE!</v>
      </c>
      <c r="B263" s="67" t="s">
        <v>92</v>
      </c>
      <c r="C263" s="176"/>
    </row>
    <row r="264" spans="1:3" x14ac:dyDescent="0.25">
      <c r="A264" s="75">
        <f>Broyeur3!A36</f>
        <v>42500</v>
      </c>
      <c r="B264" s="67" t="s">
        <v>93</v>
      </c>
      <c r="C264" s="176"/>
    </row>
    <row r="265" spans="1:3" x14ac:dyDescent="0.25">
      <c r="A265" s="75">
        <f>Broyeur3!B36</f>
        <v>43999</v>
      </c>
      <c r="B265" s="67" t="s">
        <v>93</v>
      </c>
      <c r="C265" s="176"/>
    </row>
    <row r="266" spans="1:3" x14ac:dyDescent="0.25">
      <c r="A266" s="75">
        <f>Broyeur3!C36</f>
        <v>45497</v>
      </c>
      <c r="B266" s="67" t="s">
        <v>93</v>
      </c>
      <c r="C266" s="176"/>
    </row>
    <row r="267" spans="1:3" x14ac:dyDescent="0.25">
      <c r="A267" s="75">
        <f>Broyeur3!A38</f>
        <v>43948</v>
      </c>
      <c r="B267" s="67" t="s">
        <v>94</v>
      </c>
      <c r="C267" s="176"/>
    </row>
    <row r="268" spans="1:3" x14ac:dyDescent="0.25">
      <c r="A268" s="75">
        <f>Broyeur3!B38</f>
        <v>47980</v>
      </c>
      <c r="B268" s="67" t="s">
        <v>94</v>
      </c>
      <c r="C268" s="176"/>
    </row>
    <row r="269" spans="1:3" x14ac:dyDescent="0.25">
      <c r="A269" s="75">
        <f>Broyeur3!C38</f>
        <v>52006</v>
      </c>
      <c r="B269" s="67" t="s">
        <v>94</v>
      </c>
      <c r="C269" s="176"/>
    </row>
    <row r="270" spans="1:3" x14ac:dyDescent="0.25">
      <c r="A270" s="75" t="e">
        <f>Broyeur3!A40</f>
        <v>#VALUE!</v>
      </c>
      <c r="B270" s="67" t="s">
        <v>95</v>
      </c>
      <c r="C270" s="176"/>
    </row>
    <row r="271" spans="1:3" x14ac:dyDescent="0.25">
      <c r="A271" s="75" t="e">
        <f>Broyeur3!B40</f>
        <v>#VALUE!</v>
      </c>
      <c r="B271" s="67" t="s">
        <v>95</v>
      </c>
      <c r="C271" s="176"/>
    </row>
    <row r="272" spans="1:3" x14ac:dyDescent="0.25">
      <c r="A272" s="75" t="e">
        <f>Broyeur3!C40</f>
        <v>#VALUE!</v>
      </c>
      <c r="B272" s="67" t="s">
        <v>95</v>
      </c>
      <c r="C272" s="176"/>
    </row>
    <row r="273" spans="1:3" x14ac:dyDescent="0.25">
      <c r="A273" s="75">
        <f>Broyeur3!A42</f>
        <v>44519</v>
      </c>
      <c r="B273" s="67" t="s">
        <v>96</v>
      </c>
      <c r="C273" s="176"/>
    </row>
    <row r="274" spans="1:3" x14ac:dyDescent="0.25">
      <c r="A274" s="75">
        <f>Broyeur3!B42</f>
        <v>48835</v>
      </c>
      <c r="B274" s="67" t="s">
        <v>96</v>
      </c>
      <c r="C274" s="176"/>
    </row>
    <row r="275" spans="1:3" x14ac:dyDescent="0.25">
      <c r="A275" s="75">
        <f>Broyeur3!C42</f>
        <v>53150</v>
      </c>
      <c r="B275" s="67" t="s">
        <v>96</v>
      </c>
      <c r="C275" s="176"/>
    </row>
    <row r="276" spans="1:3" x14ac:dyDescent="0.25">
      <c r="A276" s="75">
        <f>Broyeur3!A44</f>
        <v>45345</v>
      </c>
      <c r="B276" s="67" t="s">
        <v>97</v>
      </c>
      <c r="C276" s="176"/>
    </row>
    <row r="277" spans="1:3" x14ac:dyDescent="0.25">
      <c r="A277" s="75">
        <f>Broyeur3!B44</f>
        <v>50081</v>
      </c>
      <c r="B277" s="67" t="s">
        <v>97</v>
      </c>
      <c r="C277" s="176"/>
    </row>
    <row r="278" spans="1:3" x14ac:dyDescent="0.25">
      <c r="A278" s="75">
        <f>Broyeur3!C44</f>
        <v>54808</v>
      </c>
      <c r="B278" s="67" t="s">
        <v>97</v>
      </c>
      <c r="C278" s="176"/>
    </row>
    <row r="279" spans="1:3" x14ac:dyDescent="0.25">
      <c r="A279" s="75">
        <f>Broyeur3!A46</f>
        <v>44621</v>
      </c>
      <c r="B279" s="67" t="s">
        <v>98</v>
      </c>
      <c r="C279" s="176"/>
    </row>
    <row r="280" spans="1:3" x14ac:dyDescent="0.25">
      <c r="A280" s="75">
        <f>Broyeur3!B46</f>
        <v>49711</v>
      </c>
      <c r="B280" s="67" t="s">
        <v>98</v>
      </c>
      <c r="C280" s="176"/>
    </row>
    <row r="281" spans="1:3" x14ac:dyDescent="0.25">
      <c r="A281" s="75">
        <f>Broyeur3!C46</f>
        <v>54801</v>
      </c>
      <c r="B281" s="67" t="s">
        <v>98</v>
      </c>
      <c r="C281" s="176"/>
    </row>
    <row r="282" spans="1:3" x14ac:dyDescent="0.25">
      <c r="A282" s="75">
        <f>Broyeur3!A18</f>
        <v>43998</v>
      </c>
      <c r="B282" s="67" t="s">
        <v>59</v>
      </c>
      <c r="C282" s="176"/>
    </row>
    <row r="283" spans="1:3" x14ac:dyDescent="0.25">
      <c r="A283" s="75">
        <f>Broyeur3!B18</f>
        <v>46465</v>
      </c>
      <c r="B283" s="67" t="s">
        <v>59</v>
      </c>
      <c r="C283" s="176"/>
    </row>
    <row r="284" spans="1:3" x14ac:dyDescent="0.25">
      <c r="A284" s="75">
        <f>Broyeur3!C18</f>
        <v>48934</v>
      </c>
      <c r="B284" s="65" t="s">
        <v>59</v>
      </c>
      <c r="C284" s="176"/>
    </row>
  </sheetData>
  <mergeCells count="3">
    <mergeCell ref="C220:C284"/>
    <mergeCell ref="C103:C216"/>
    <mergeCell ref="C2:C99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V53"/>
  <sheetViews>
    <sheetView topLeftCell="E1" zoomScale="85" zoomScaleNormal="85" workbookViewId="0">
      <pane ySplit="7" topLeftCell="A8" activePane="bottomLeft" state="frozen"/>
      <selection pane="bottomLeft" activeCell="T1" sqref="T1:V5"/>
    </sheetView>
  </sheetViews>
  <sheetFormatPr baseColWidth="10" defaultRowHeight="15" x14ac:dyDescent="0.25"/>
  <cols>
    <col min="1" max="1" width="11.42578125" style="52" customWidth="1"/>
    <col min="2" max="10" width="11.42578125" style="66" customWidth="1"/>
    <col min="11" max="11" width="26.5703125" style="1" customWidth="1"/>
    <col min="12" max="12" width="26.28515625" style="1" customWidth="1"/>
    <col min="13" max="14" width="19.42578125" style="1" customWidth="1"/>
    <col min="15" max="16" width="11.42578125" style="1"/>
    <col min="17" max="17" width="10.5703125" style="1" customWidth="1"/>
    <col min="18" max="18" width="10.42578125" style="1" customWidth="1"/>
    <col min="19" max="19" width="13.85546875" style="1" customWidth="1"/>
    <col min="20" max="20" width="11.85546875" style="1" customWidth="1"/>
    <col min="21" max="16384" width="11.42578125" style="1"/>
  </cols>
  <sheetData>
    <row r="1" spans="1:22" ht="24" customHeight="1" x14ac:dyDescent="0.25">
      <c r="G1" s="113"/>
      <c r="H1" s="113"/>
      <c r="I1" s="113"/>
      <c r="L1" s="2" t="s">
        <v>166</v>
      </c>
      <c r="M1" s="111" t="s">
        <v>419</v>
      </c>
      <c r="T1" s="146" t="s">
        <v>438</v>
      </c>
      <c r="U1" s="146"/>
      <c r="V1" s="146"/>
    </row>
    <row r="2" spans="1:22" ht="15" customHeight="1" x14ac:dyDescent="0.25">
      <c r="G2" s="113"/>
      <c r="H2" s="113"/>
      <c r="I2" s="113"/>
      <c r="L2" s="2" t="s">
        <v>105</v>
      </c>
      <c r="M2" s="9">
        <v>7155</v>
      </c>
      <c r="N2" s="3" t="s">
        <v>0</v>
      </c>
      <c r="T2" s="146"/>
      <c r="U2" s="146"/>
      <c r="V2" s="146"/>
    </row>
    <row r="3" spans="1:22" ht="15" customHeight="1" x14ac:dyDescent="0.25">
      <c r="G3" s="113"/>
      <c r="H3" s="113"/>
      <c r="I3" s="113"/>
      <c r="L3" s="2" t="s">
        <v>420</v>
      </c>
      <c r="M3" s="9">
        <v>10</v>
      </c>
      <c r="N3" s="3" t="s">
        <v>1</v>
      </c>
      <c r="T3" s="146"/>
      <c r="U3" s="146"/>
      <c r="V3" s="146"/>
    </row>
    <row r="4" spans="1:22" x14ac:dyDescent="0.25">
      <c r="G4" s="104"/>
      <c r="H4" s="104"/>
      <c r="I4" s="104"/>
      <c r="L4" s="90"/>
      <c r="M4" s="19"/>
      <c r="N4" s="90"/>
      <c r="O4" s="19"/>
      <c r="P4" s="110"/>
      <c r="T4" s="146"/>
      <c r="U4" s="146"/>
      <c r="V4" s="146"/>
    </row>
    <row r="5" spans="1:22" x14ac:dyDescent="0.25">
      <c r="G5" s="104"/>
      <c r="H5" s="104"/>
      <c r="I5" s="104"/>
      <c r="T5" s="146"/>
      <c r="U5" s="146"/>
      <c r="V5" s="146"/>
    </row>
    <row r="6" spans="1:22" x14ac:dyDescent="0.25">
      <c r="K6" s="131" t="s">
        <v>423</v>
      </c>
      <c r="L6" s="136" t="s">
        <v>23</v>
      </c>
      <c r="M6" s="136" t="s">
        <v>54</v>
      </c>
      <c r="N6" s="136" t="s">
        <v>55</v>
      </c>
      <c r="O6" s="131" t="s">
        <v>28</v>
      </c>
      <c r="P6" s="131"/>
      <c r="Q6" s="131" t="s">
        <v>24</v>
      </c>
      <c r="R6" s="131"/>
      <c r="S6" s="131"/>
      <c r="T6" s="131"/>
    </row>
    <row r="7" spans="1:22" x14ac:dyDescent="0.25">
      <c r="D7" s="131" t="s">
        <v>432</v>
      </c>
      <c r="E7" s="131"/>
      <c r="F7" s="131"/>
      <c r="G7" s="131"/>
      <c r="H7" s="131"/>
      <c r="I7" s="131"/>
      <c r="J7" s="131"/>
      <c r="K7" s="131"/>
      <c r="L7" s="137"/>
      <c r="M7" s="137"/>
      <c r="N7" s="137"/>
      <c r="O7" s="7" t="s">
        <v>25</v>
      </c>
      <c r="P7" s="7" t="s">
        <v>26</v>
      </c>
      <c r="Q7" s="7" t="s">
        <v>25</v>
      </c>
      <c r="R7" s="7" t="s">
        <v>26</v>
      </c>
      <c r="S7" s="7" t="s">
        <v>29</v>
      </c>
      <c r="T7" s="124" t="s">
        <v>27</v>
      </c>
    </row>
    <row r="8" spans="1:22" x14ac:dyDescent="0.25">
      <c r="A8" s="180">
        <f>WORKDAY(S8,ROUND(SUMIF($S$8:$S$50,"&lt;="&amp;S8,$P$8:$P$50),0),JoursFeries!$C$3:$CH$15)</f>
        <v>42961</v>
      </c>
      <c r="B8" s="184">
        <f>WORKDAY(A8,$L$8/$M$3+ROUND(SUMIF($A$8:$A$50,"&lt;="&amp;A8,$P$8:$P$50),0),JoursFeries!$C$3:$CH$15)</f>
        <v>43018</v>
      </c>
      <c r="C8" s="184">
        <f>WORKDAY(B8,$L$8/$M$3+ROUND(SUMIF(B$8:B$50,"&lt;="&amp;B8,$P$8:$P$50),0),JoursFeries!$C$3:$CH$15)</f>
        <v>43074</v>
      </c>
      <c r="D8" s="184">
        <f>WORKDAY(C8,$L$8/$M$3+ROUND(SUMIF(C$8:C$50,"&lt;="&amp;C8,$P$8:$P$50),0),JoursFeries!$C$3:$CH$15)</f>
        <v>43132</v>
      </c>
      <c r="E8" s="184">
        <f>WORKDAY(D8,$L$8/$M$3+ROUND(SUMIF(D$8:D$50,"&lt;="&amp;D8,$P$8:$P$50),0),JoursFeries!$C$3:$CH$15)</f>
        <v>43188</v>
      </c>
      <c r="F8" s="184">
        <f>WORKDAY(E8,$L$8/$M$3+ROUND(SUMIF(E$8:E$50,"&lt;="&amp;E8,$P$8:$P$50),0),JoursFeries!$C$3:$CH$15)</f>
        <v>43251</v>
      </c>
      <c r="G8" s="184">
        <f>WORKDAY(F8,$L$8/$M$3+ROUND(SUMIF(F$8:F$50,"&lt;="&amp;F8,$P$8:$P$50),0),JoursFeries!$C$3:$CH$15)</f>
        <v>43307</v>
      </c>
      <c r="H8" s="184">
        <f>WORKDAY(G8,$L$8/$M$3+ROUND(SUMIF(G$8:G$50,"&lt;="&amp;G8,$P$8:$P$50),0),JoursFeries!$C$3:$CH$15)</f>
        <v>43364</v>
      </c>
      <c r="I8" s="184">
        <f>WORKDAY(H8,$L$8/$M$3+ROUND(SUMIF(H$8:H$50,"&lt;="&amp;H8,$P$8:$P$50),0),JoursFeries!$C$3:$CH$15)</f>
        <v>43420</v>
      </c>
      <c r="J8" s="184">
        <f>WORKDAY(I8,$L$8/$M$3+ROUND(SUMIF(I$8:I$50,"&lt;="&amp;I8,$P$8:$P$50),0),JoursFeries!$C$3:$CH$15)</f>
        <v>43480</v>
      </c>
      <c r="K8" s="136" t="s">
        <v>2</v>
      </c>
      <c r="L8" s="139">
        <v>400</v>
      </c>
      <c r="M8" s="148">
        <v>7155</v>
      </c>
      <c r="N8" s="131">
        <f>M8+L8</f>
        <v>7555</v>
      </c>
      <c r="O8" s="148"/>
      <c r="P8" s="131">
        <f>O8/$M$3</f>
        <v>0</v>
      </c>
      <c r="Q8" s="131">
        <f>N8-$M$2</f>
        <v>400</v>
      </c>
      <c r="R8" s="131">
        <f>Q8/$M$3</f>
        <v>40</v>
      </c>
      <c r="S8" s="182">
        <f>WORKDAY($M$1,R8,JoursFeries!$C$3:$CH$15)</f>
        <v>42961</v>
      </c>
      <c r="T8" s="182">
        <f>WORKDAY(S8,ROUND(SUMIF($S$8:$S$50,"&lt;="&amp;S8,$P$8:$P$50),0),JoursFeries!$C$3:$CH$15)</f>
        <v>42961</v>
      </c>
    </row>
    <row r="9" spans="1:22" x14ac:dyDescent="0.25">
      <c r="A9" s="181"/>
      <c r="B9" s="184"/>
      <c r="C9" s="184"/>
      <c r="D9" s="184"/>
      <c r="E9" s="184"/>
      <c r="F9" s="184"/>
      <c r="G9" s="184"/>
      <c r="H9" s="184"/>
      <c r="I9" s="184"/>
      <c r="J9" s="184"/>
      <c r="K9" s="136"/>
      <c r="L9" s="139"/>
      <c r="M9" s="148"/>
      <c r="N9" s="131"/>
      <c r="O9" s="148"/>
      <c r="P9" s="131"/>
      <c r="Q9" s="131"/>
      <c r="R9" s="131"/>
      <c r="S9" s="182"/>
      <c r="T9" s="182"/>
    </row>
    <row r="10" spans="1:22" x14ac:dyDescent="0.25">
      <c r="A10" s="180">
        <f t="shared" ref="A10" si="0">T10</f>
        <v>43252</v>
      </c>
      <c r="B10" s="184">
        <f>WORKDAY(A10,$L$10/$M$3+ROUND(SUMIF($A$8:$A$50,"&lt;="&amp;A10,$P$8:$P$50),0),JoursFeries!$C$3:$CH$15)</f>
        <v>43797</v>
      </c>
      <c r="C10" s="184">
        <f>WORKDAY(B10,$L$10/$M$3+ROUND(SUMIF(B$8:B$50,"&lt;="&amp;B10,$P$8:$P$50),0),JoursFeries!$C$3:$CH$15)</f>
        <v>44348</v>
      </c>
      <c r="D10" s="184">
        <f>WORKDAY(C10,$L$10/$M$3+ROUND(SUMIF(C$8:C$50,"&lt;="&amp;C10,$P$8:$P$50),0),JoursFeries!$C$3:$CH$15)</f>
        <v>44889</v>
      </c>
      <c r="E10" s="184">
        <f>WORKDAY(D10,$L$10/$M$3+ROUND(SUMIF(D$8:D$50,"&lt;="&amp;D10,$P$8:$P$50),0),JoursFeries!$C$3:$CH$15)</f>
        <v>45440</v>
      </c>
      <c r="F10" s="184">
        <f>WORKDAY(E10,$L$10/$M$3+ROUND(SUMIF(E$8:E$50,"&lt;="&amp;E10,$P$8:$P$50),0),JoursFeries!$C$3:$CH$15)</f>
        <v>45987</v>
      </c>
      <c r="G10" s="184">
        <f>WORKDAY(F10,$L$10/$M$3+ROUND(SUMIF(F$8:F$50,"&lt;="&amp;F10,$P$8:$P$50),0),JoursFeries!$C$3:$CH$15)</f>
        <v>46538</v>
      </c>
      <c r="H10" s="184">
        <f>WORKDAY(G10,$L$10/$M$3+ROUND(SUMIF(G$8:G$50,"&lt;="&amp;G10,$P$8:$P$50),0),JoursFeries!$C$3:$CH$15)</f>
        <v>47080</v>
      </c>
      <c r="I10" s="184">
        <f>WORKDAY(H10,$L$10/$M$3+ROUND(SUMIF(H$8:H$50,"&lt;="&amp;H10,$P$8:$P$50),0),JoursFeries!$C$3:$CH$15)</f>
        <v>47630</v>
      </c>
      <c r="J10" s="184">
        <f>WORKDAY(I10,$L$10/$M$3+ROUND(SUMIF(I$8:I$50,"&lt;="&amp;I10,$P$8:$P$50),0),JoursFeries!$C$3:$CH$15)</f>
        <v>48179</v>
      </c>
      <c r="K10" s="136" t="s">
        <v>3</v>
      </c>
      <c r="L10" s="139">
        <v>3790</v>
      </c>
      <c r="M10" s="148">
        <v>5782</v>
      </c>
      <c r="N10" s="131">
        <f t="shared" ref="N10" si="1">M10+L10</f>
        <v>9572</v>
      </c>
      <c r="O10" s="148"/>
      <c r="P10" s="131">
        <f t="shared" ref="P10" si="2">O10/$M$3</f>
        <v>0</v>
      </c>
      <c r="Q10" s="131">
        <f t="shared" ref="Q10" si="3">N10-$M$2</f>
        <v>2417</v>
      </c>
      <c r="R10" s="131">
        <f t="shared" ref="R10" si="4">Q10/$M$3</f>
        <v>241.7</v>
      </c>
      <c r="S10" s="182">
        <f>WORKDAY($M$1,R10,JoursFeries!$C$3:$CH$15)</f>
        <v>43252</v>
      </c>
      <c r="T10" s="182">
        <f>WORKDAY(S10,ROUND(SUMIF($S$8:$S$50,"&lt;="&amp;S10,$P$8:$P$50),0),JoursFeries!$C$3:$CH$15)</f>
        <v>43252</v>
      </c>
    </row>
    <row r="11" spans="1:22" x14ac:dyDescent="0.25">
      <c r="A11" s="181"/>
      <c r="B11" s="184"/>
      <c r="C11" s="184"/>
      <c r="D11" s="184"/>
      <c r="E11" s="184"/>
      <c r="F11" s="184"/>
      <c r="G11" s="184"/>
      <c r="H11" s="184"/>
      <c r="I11" s="184"/>
      <c r="J11" s="184"/>
      <c r="K11" s="136"/>
      <c r="L11" s="139"/>
      <c r="M11" s="148"/>
      <c r="N11" s="131"/>
      <c r="O11" s="148"/>
      <c r="P11" s="131"/>
      <c r="Q11" s="131"/>
      <c r="R11" s="131"/>
      <c r="S11" s="182"/>
      <c r="T11" s="182"/>
    </row>
    <row r="12" spans="1:22" x14ac:dyDescent="0.25">
      <c r="A12" s="180">
        <f t="shared" ref="A12" si="5">T12</f>
        <v>43412</v>
      </c>
      <c r="B12" s="184">
        <f>WORKDAY(A12,$L$12/$M$3+ROUND(SUMIF(A$8:A$50,"&lt;="&amp;A12,$P$8:$P$50),0),JoursFeries!$C$3:$CH$15)</f>
        <v>43978</v>
      </c>
      <c r="C12" s="184">
        <f>WORKDAY(B12,$L$12/$M$3+ROUND(SUMIF(B$8:B$50,"&lt;="&amp;B12,$P$8:$P$50),0),JoursFeries!$C$3:$CH$15)</f>
        <v>44537</v>
      </c>
      <c r="D12" s="184">
        <f>WORKDAY(C12,$L$12/$M$3+ROUND(SUMIF(C$8:C$50,"&lt;="&amp;C12,$P$8:$P$50),0),JoursFeries!$C$3:$CH$15)</f>
        <v>45097</v>
      </c>
      <c r="E12" s="184">
        <f>WORKDAY(D12,$L$12/$M$3+ROUND(SUMIF(D$8:D$50,"&lt;="&amp;D12,$P$8:$P$50),0),JoursFeries!$C$3:$CH$15)</f>
        <v>45659</v>
      </c>
      <c r="F12" s="184">
        <f>WORKDAY(E12,$L$12/$M$3+ROUND(SUMIF(E$8:E$50,"&lt;="&amp;E12,$P$8:$P$50),0),JoursFeries!$C$3:$CH$15)</f>
        <v>46226</v>
      </c>
      <c r="G12" s="184">
        <f>WORKDAY(F12,$L$12/$M$3+ROUND(SUMIF(F$8:F$50,"&lt;="&amp;F12,$P$8:$P$50),0),JoursFeries!$C$3:$CH$15)</f>
        <v>46783</v>
      </c>
      <c r="H12" s="184">
        <f>WORKDAY(G12,$L$12/$M$3+ROUND(SUMIF(G$8:G$50,"&lt;="&amp;G12,$P$8:$P$50),0),JoursFeries!$C$3:$CH$15)</f>
        <v>47347</v>
      </c>
      <c r="I12" s="184">
        <f>WORKDAY(H12,$L$12/$M$3+ROUND(SUMIF(H$8:H$50,"&lt;="&amp;H12,$P$8:$P$50),0),JoursFeries!$C$3:$CH$15)</f>
        <v>47907</v>
      </c>
      <c r="J12" s="184">
        <f>WORKDAY(I12,$L$12/$M$3+ROUND(SUMIF(I$8:I$50,"&lt;="&amp;I12,$P$8:$P$50),0),JoursFeries!$C$3:$CH$15)</f>
        <v>48472</v>
      </c>
      <c r="K12" s="136" t="s">
        <v>4</v>
      </c>
      <c r="L12" s="131">
        <v>3890</v>
      </c>
      <c r="M12" s="148">
        <v>6806</v>
      </c>
      <c r="N12" s="131">
        <f t="shared" ref="N12" si="6">M12+L12</f>
        <v>10696</v>
      </c>
      <c r="O12" s="148"/>
      <c r="P12" s="131">
        <f t="shared" ref="P12" si="7">O12/$M$3</f>
        <v>0</v>
      </c>
      <c r="Q12" s="131">
        <f t="shared" ref="Q12" si="8">N12-$M$2</f>
        <v>3541</v>
      </c>
      <c r="R12" s="131">
        <f t="shared" ref="R12" si="9">Q12/$M$3</f>
        <v>354.1</v>
      </c>
      <c r="S12" s="182">
        <f>WORKDAY($M$1,R12,JoursFeries!$C$3:$CH$15)</f>
        <v>43412</v>
      </c>
      <c r="T12" s="182">
        <f>WORKDAY(S12,ROUND(SUMIF($S$8:$S$50,"&lt;="&amp;S12,$P$8:$P$50),0),JoursFeries!$C$3:$CH$15)</f>
        <v>43412</v>
      </c>
    </row>
    <row r="13" spans="1:22" x14ac:dyDescent="0.25">
      <c r="A13" s="181"/>
      <c r="B13" s="184"/>
      <c r="C13" s="184"/>
      <c r="D13" s="184"/>
      <c r="E13" s="184"/>
      <c r="F13" s="184"/>
      <c r="G13" s="184"/>
      <c r="H13" s="184"/>
      <c r="I13" s="184"/>
      <c r="J13" s="184"/>
      <c r="K13" s="136"/>
      <c r="L13" s="131"/>
      <c r="M13" s="148"/>
      <c r="N13" s="131"/>
      <c r="O13" s="148"/>
      <c r="P13" s="131"/>
      <c r="Q13" s="131"/>
      <c r="R13" s="131"/>
      <c r="S13" s="182"/>
      <c r="T13" s="182"/>
    </row>
    <row r="14" spans="1:22" x14ac:dyDescent="0.25">
      <c r="A14" s="180">
        <f t="shared" ref="A14" si="10">T14</f>
        <v>43475</v>
      </c>
      <c r="B14" s="184">
        <f>WORKDAY(A14,$L$14/$M$3+ROUND(SUMIF(A$8:A$50,"&lt;="&amp;A14,$P$8:$P$50),0),JoursFeries!$C$3:$CH$15)</f>
        <v>44250</v>
      </c>
      <c r="C14" s="184">
        <f>WORKDAY(B14,$L$14/$M$3+ROUND(SUMIF(B$8:B$50,"&lt;="&amp;B14,$P$8:$P$50),0),JoursFeries!$C$3:$CH$15)</f>
        <v>45014</v>
      </c>
      <c r="D14" s="184">
        <f>WORKDAY(C14,$L$14/$M$3+ROUND(SUMIF(C$8:C$50,"&lt;="&amp;C14,$P$8:$P$50),0),JoursFeries!$C$3:$CH$15)</f>
        <v>45792</v>
      </c>
      <c r="E14" s="184">
        <f>WORKDAY(D14,$L$14/$M$3+ROUND(SUMIF(D$8:D$50,"&lt;="&amp;D14,$P$8:$P$50),0),JoursFeries!$C$3:$CH$15)</f>
        <v>46568</v>
      </c>
      <c r="F14" s="184">
        <f>WORKDAY(E14,$L$14/$M$3+ROUND(SUMIF(E$8:E$50,"&lt;="&amp;E14,$P$8:$P$50),0),JoursFeries!$C$3:$CH$15)</f>
        <v>47339</v>
      </c>
      <c r="G14" s="184">
        <f>WORKDAY(F14,$L$14/$M$3+ROUND(SUMIF(F$8:F$50,"&lt;="&amp;F14,$P$8:$P$50),0),JoursFeries!$C$3:$CH$15)</f>
        <v>48115</v>
      </c>
      <c r="H14" s="184">
        <f>WORKDAY(G14,$L$14/$M$3+ROUND(SUMIF(G$8:G$50,"&lt;="&amp;G14,$P$8:$P$50),0),JoursFeries!$C$3:$CH$15)</f>
        <v>48883</v>
      </c>
      <c r="I14" s="184">
        <f>WORKDAY(H14,$L$14/$M$3+ROUND(SUMIF(H$8:H$50,"&lt;="&amp;H14,$P$8:$P$50),0),JoursFeries!$C$3:$CH$15)</f>
        <v>49654</v>
      </c>
      <c r="J14" s="184">
        <f>WORKDAY(I14,$L$14/$M$3+ROUND(SUMIF(I$8:I$50,"&lt;="&amp;I14,$P$8:$P$50),0),JoursFeries!$C$3:$CH$15)</f>
        <v>50432</v>
      </c>
      <c r="K14" s="136" t="s">
        <v>5</v>
      </c>
      <c r="L14" s="139">
        <v>5350</v>
      </c>
      <c r="M14" s="148">
        <v>5782</v>
      </c>
      <c r="N14" s="131">
        <f t="shared" ref="N14" si="11">M14+L14</f>
        <v>11132</v>
      </c>
      <c r="O14" s="148"/>
      <c r="P14" s="131">
        <f t="shared" ref="P14" si="12">O14/$M$3</f>
        <v>0</v>
      </c>
      <c r="Q14" s="131">
        <f t="shared" ref="Q14" si="13">N14-$M$2</f>
        <v>3977</v>
      </c>
      <c r="R14" s="131">
        <f t="shared" ref="R14" si="14">Q14/$M$3</f>
        <v>397.7</v>
      </c>
      <c r="S14" s="182">
        <f>WORKDAY($M$1,R14,JoursFeries!$C$3:$CH$15)</f>
        <v>43475</v>
      </c>
      <c r="T14" s="182">
        <f>WORKDAY(S14,ROUND(SUMIF($S$8:$S$50,"&lt;="&amp;S14,$P$8:$P$50),0),JoursFeries!$C$3:$CH$15)</f>
        <v>43475</v>
      </c>
    </row>
    <row r="15" spans="1:22" x14ac:dyDescent="0.25">
      <c r="A15" s="181"/>
      <c r="B15" s="184"/>
      <c r="C15" s="184"/>
      <c r="D15" s="184"/>
      <c r="E15" s="184"/>
      <c r="F15" s="184"/>
      <c r="G15" s="184"/>
      <c r="H15" s="184"/>
      <c r="I15" s="184"/>
      <c r="J15" s="184"/>
      <c r="K15" s="136"/>
      <c r="L15" s="139"/>
      <c r="M15" s="148"/>
      <c r="N15" s="131"/>
      <c r="O15" s="148"/>
      <c r="P15" s="131"/>
      <c r="Q15" s="131"/>
      <c r="R15" s="131"/>
      <c r="S15" s="182"/>
      <c r="T15" s="182"/>
    </row>
    <row r="16" spans="1:22" x14ac:dyDescent="0.25">
      <c r="A16" s="180">
        <f t="shared" ref="A16" si="15">T16</f>
        <v>43614</v>
      </c>
      <c r="B16" s="184">
        <f>WORKDAY(A16,$L$16/$M$3+ROUND(SUMIF(A$8:A$50,"&lt;="&amp;A16,$P$8:$P$50),0),JoursFeries!$C$3:$CH$15)</f>
        <v>44617</v>
      </c>
      <c r="C16" s="184">
        <f>WORKDAY(B16,$L$16/$M$3+ROUND(SUMIF(B$8:B$50,"&lt;="&amp;B16,$P$8:$P$50),0),JoursFeries!$C$3:$CH$15)</f>
        <v>45624</v>
      </c>
      <c r="D16" s="184">
        <f>WORKDAY(C16,$L$16/$M$3+ROUND(SUMIF(C$8:C$50,"&lt;="&amp;C16,$P$8:$P$50),0),JoursFeries!$C$3:$CH$15)</f>
        <v>46636</v>
      </c>
      <c r="E16" s="184">
        <f>WORKDAY(D16,$L$16/$M$3+ROUND(SUMIF(D$8:D$50,"&lt;="&amp;D16,$P$8:$P$50),0),JoursFeries!$C$3:$CH$15)</f>
        <v>47641</v>
      </c>
      <c r="F16" s="184">
        <f>WORKDAY(E16,$L$16/$M$3+ROUND(SUMIF(E$8:E$50,"&lt;="&amp;E16,$P$8:$P$50),0),JoursFeries!$C$3:$CH$15)</f>
        <v>48646</v>
      </c>
      <c r="G16" s="184">
        <f>WORKDAY(F16,$L$16/$M$3+ROUND(SUMIF(F$8:F$50,"&lt;="&amp;F16,$P$8:$P$50),0),JoursFeries!$C$3:$CH$15)</f>
        <v>49650</v>
      </c>
      <c r="H16" s="184">
        <f>WORKDAY(G16,$L$16/$M$3+ROUND(SUMIF(G$8:G$50,"&lt;="&amp;G16,$P$8:$P$50),0),JoursFeries!$C$3:$CH$15)</f>
        <v>50662</v>
      </c>
      <c r="I16" s="184">
        <f>WORKDAY(H16,$L$16/$M$3+ROUND(SUMIF(H$8:H$50,"&lt;="&amp;H16,$P$8:$P$50),0),JoursFeries!$C$3:$CH$15)</f>
        <v>51665</v>
      </c>
      <c r="J16" s="184">
        <f>WORKDAY(I16,$L$16/$M$3+ROUND(SUMIF(I$8:I$50,"&lt;="&amp;I16,$P$8:$P$50),0),JoursFeries!$C$3:$CH$15)</f>
        <v>52673</v>
      </c>
      <c r="K16" s="136" t="s">
        <v>6</v>
      </c>
      <c r="L16" s="131">
        <v>6975</v>
      </c>
      <c r="M16" s="148">
        <v>5114</v>
      </c>
      <c r="N16" s="131">
        <f t="shared" ref="N16" si="16">M16+L16</f>
        <v>12089</v>
      </c>
      <c r="O16" s="148"/>
      <c r="P16" s="131">
        <f t="shared" ref="P16" si="17">O16/$M$3</f>
        <v>0</v>
      </c>
      <c r="Q16" s="131">
        <f t="shared" ref="Q16" si="18">N16-$M$2</f>
        <v>4934</v>
      </c>
      <c r="R16" s="131">
        <f t="shared" ref="R16" si="19">Q16/$M$3</f>
        <v>493.4</v>
      </c>
      <c r="S16" s="182">
        <f>WORKDAY($M$1,R16,JoursFeries!$C$3:$CH$15)</f>
        <v>43614</v>
      </c>
      <c r="T16" s="182">
        <f>WORKDAY(S16,ROUND(SUMIF($S$8:$S$50,"&lt;="&amp;S16,$P$8:$P$50),0),JoursFeries!$C$3:$CH$15)</f>
        <v>43614</v>
      </c>
    </row>
    <row r="17" spans="1:20" x14ac:dyDescent="0.25">
      <c r="A17" s="181"/>
      <c r="B17" s="184"/>
      <c r="C17" s="184"/>
      <c r="D17" s="184"/>
      <c r="E17" s="184"/>
      <c r="F17" s="184"/>
      <c r="G17" s="184"/>
      <c r="H17" s="184"/>
      <c r="I17" s="184"/>
      <c r="J17" s="184"/>
      <c r="K17" s="136"/>
      <c r="L17" s="131"/>
      <c r="M17" s="148"/>
      <c r="N17" s="131"/>
      <c r="O17" s="148"/>
      <c r="P17" s="131"/>
      <c r="Q17" s="131"/>
      <c r="R17" s="131"/>
      <c r="S17" s="182"/>
      <c r="T17" s="182"/>
    </row>
    <row r="18" spans="1:20" x14ac:dyDescent="0.25">
      <c r="A18" s="180">
        <f t="shared" ref="A18" si="20">T18</f>
        <v>43367</v>
      </c>
      <c r="B18" s="184">
        <f>WORKDAY(A18,$L$18/$M$3+ROUND(SUMIF(A$8:A$50,"&lt;="&amp;A18,$P$8:$P$50),0),JoursFeries!$C$3:$CH$15)</f>
        <v>44378</v>
      </c>
      <c r="C18" s="184">
        <f>WORKDAY(B18,$L$18/$M$3+ROUND(SUMIF(B$8:B$50,"&lt;="&amp;B18,$P$8:$P$50),0),JoursFeries!$C$3:$CH$15)</f>
        <v>45384</v>
      </c>
      <c r="D18" s="184">
        <f>WORKDAY(C18,$L$18/$M$3+ROUND(SUMIF(C$8:C$50,"&lt;="&amp;C18,$P$8:$P$50),0),JoursFeries!$C$3:$CH$15)</f>
        <v>46401</v>
      </c>
      <c r="E18" s="184">
        <f>WORKDAY(D18,$L$18/$M$3+ROUND(SUMIF(D$8:D$50,"&lt;="&amp;D18,$P$8:$P$50),0),JoursFeries!$C$3:$CH$15)</f>
        <v>47409</v>
      </c>
      <c r="F18" s="184">
        <f>WORKDAY(E18,$L$18/$M$3+ROUND(SUMIF(E$8:E$50,"&lt;="&amp;E18,$P$8:$P$50),0),JoursFeries!$C$3:$CH$15)</f>
        <v>48424</v>
      </c>
      <c r="G18" s="184">
        <f>WORKDAY(F18,$L$18/$M$3+ROUND(SUMIF(F$8:F$50,"&lt;="&amp;F18,$P$8:$P$50),0),JoursFeries!$C$3:$CH$15)</f>
        <v>49429</v>
      </c>
      <c r="H18" s="184">
        <f>WORKDAY(G18,$L$18/$M$3+ROUND(SUMIF(G$8:G$50,"&lt;="&amp;G18,$P$8:$P$50),0),JoursFeries!$C$3:$CH$15)</f>
        <v>50445</v>
      </c>
      <c r="I18" s="184">
        <f>WORKDAY(H18,$L$18/$M$3+ROUND(SUMIF(H$8:H$50,"&lt;="&amp;H18,$P$8:$P$50),0),JoursFeries!$C$3:$CH$15)</f>
        <v>51448</v>
      </c>
      <c r="J18" s="184">
        <f>WORKDAY(I18,$L$18/$M$3+ROUND(SUMIF(I$8:I$50,"&lt;="&amp;I18,$P$8:$P$50),0),JoursFeries!$C$3:$CH$15)</f>
        <v>52467</v>
      </c>
      <c r="K18" s="136" t="s">
        <v>7</v>
      </c>
      <c r="L18" s="139">
        <v>7000</v>
      </c>
      <c r="M18" s="148">
        <v>3368</v>
      </c>
      <c r="N18" s="131">
        <f t="shared" ref="N18" si="21">M18+L18</f>
        <v>10368</v>
      </c>
      <c r="O18" s="148"/>
      <c r="P18" s="131">
        <f t="shared" ref="P18" si="22">O18/$M$3</f>
        <v>0</v>
      </c>
      <c r="Q18" s="131">
        <f t="shared" ref="Q18" si="23">N18-$M$2</f>
        <v>3213</v>
      </c>
      <c r="R18" s="131">
        <f t="shared" ref="R18" si="24">Q18/$M$3</f>
        <v>321.3</v>
      </c>
      <c r="S18" s="182">
        <f>WORKDAY($M$1,R18,JoursFeries!$C$3:$CH$15)</f>
        <v>43367</v>
      </c>
      <c r="T18" s="182">
        <f>WORKDAY(S18,ROUND(SUMIF($S$8:$S$50,"&lt;="&amp;S18,$P$8:$P$50),0),JoursFeries!$C$3:$CH$15)</f>
        <v>43367</v>
      </c>
    </row>
    <row r="19" spans="1:20" x14ac:dyDescent="0.25">
      <c r="A19" s="181"/>
      <c r="B19" s="184"/>
      <c r="C19" s="184"/>
      <c r="D19" s="184"/>
      <c r="E19" s="184"/>
      <c r="F19" s="184"/>
      <c r="G19" s="184"/>
      <c r="H19" s="184"/>
      <c r="I19" s="184"/>
      <c r="J19" s="184"/>
      <c r="K19" s="136"/>
      <c r="L19" s="139"/>
      <c r="M19" s="148"/>
      <c r="N19" s="131"/>
      <c r="O19" s="148"/>
      <c r="P19" s="131"/>
      <c r="Q19" s="131"/>
      <c r="R19" s="131"/>
      <c r="S19" s="182"/>
      <c r="T19" s="182"/>
    </row>
    <row r="20" spans="1:20" x14ac:dyDescent="0.25">
      <c r="A20" s="180">
        <f t="shared" ref="A20" si="25">T20</f>
        <v>44277</v>
      </c>
      <c r="B20" s="184">
        <f>WORKDAY(A20,$L$20/$M$3+ROUND(SUMIF(A$8:A$50,"&lt;="&amp;A20,$P$8:$P$50),0),JoursFeries!$C$3:$CH$15)</f>
        <v>47191</v>
      </c>
      <c r="C20" s="184">
        <f>WORKDAY(B20,$L$20/$M$3+ROUND(SUMIF(B$8:B$50,"&lt;="&amp;B20,$P$8:$P$50),0),JoursFeries!$C$3:$CH$15)</f>
        <v>50110</v>
      </c>
      <c r="D20" s="184">
        <f>WORKDAY(C20,$L$20/$M$3+ROUND(SUMIF(C$8:C$50,"&lt;="&amp;C20,$P$8:$P$50),0),JoursFeries!$C$3:$CH$15)</f>
        <v>53024</v>
      </c>
      <c r="E20" s="184">
        <f>WORKDAY(D20,$L$20/$M$3+ROUND(SUMIF(D$8:D$50,"&lt;="&amp;D20,$P$8:$P$50),0),JoursFeries!$C$3:$CH$15)</f>
        <v>55942</v>
      </c>
      <c r="F20" s="184">
        <f>WORKDAY(E20,$L$20/$M$3+ROUND(SUMIF(E$8:E$50,"&lt;="&amp;E20,$P$8:$P$50),0),JoursFeries!$C$3:$CH$15)</f>
        <v>58860</v>
      </c>
      <c r="G20" s="184">
        <f>WORKDAY(F20,$L$20/$M$3+ROUND(SUMIF(F$8:F$50,"&lt;="&amp;F20,$P$8:$P$50),0),JoursFeries!$C$3:$CH$15)</f>
        <v>61773</v>
      </c>
      <c r="H20" s="184">
        <f>WORKDAY(G20,$L$20/$M$3+ROUND(SUMIF(G$8:G$50,"&lt;="&amp;G20,$P$8:$P$50),0),JoursFeries!$C$3:$CH$15)</f>
        <v>64697</v>
      </c>
      <c r="I20" s="184">
        <f>WORKDAY(H20,$L$20/$M$3+ROUND(SUMIF(H$8:H$50,"&lt;="&amp;H20,$P$8:$P$50),0),JoursFeries!$C$3:$CH$15)</f>
        <v>67610</v>
      </c>
      <c r="J20" s="184">
        <f>WORKDAY(I20,$L$20/$M$3+ROUND(SUMIF(I$8:I$50,"&lt;="&amp;I20,$P$8:$P$50),0),JoursFeries!$C$3:$CH$15)</f>
        <v>70528</v>
      </c>
      <c r="K20" s="136" t="s">
        <v>8</v>
      </c>
      <c r="L20" s="139">
        <v>20200</v>
      </c>
      <c r="M20" s="148">
        <v>-3530</v>
      </c>
      <c r="N20" s="131">
        <f t="shared" ref="N20" si="26">M20+L20</f>
        <v>16670</v>
      </c>
      <c r="O20" s="148"/>
      <c r="P20" s="131">
        <f t="shared" ref="P20" si="27">O20/$M$3</f>
        <v>0</v>
      </c>
      <c r="Q20" s="131">
        <f t="shared" ref="Q20" si="28">N20-$M$2</f>
        <v>9515</v>
      </c>
      <c r="R20" s="131">
        <f t="shared" ref="R20" si="29">Q20/$M$3</f>
        <v>951.5</v>
      </c>
      <c r="S20" s="182">
        <f>WORKDAY($M$1,R20,JoursFeries!$C$3:$CH$15)</f>
        <v>44277</v>
      </c>
      <c r="T20" s="182">
        <f>WORKDAY(S20,ROUND(SUMIF($S$8:$S$50,"&lt;="&amp;S20,$P$8:$P$50),0),JoursFeries!$C$3:$CH$15)</f>
        <v>44277</v>
      </c>
    </row>
    <row r="21" spans="1:20" x14ac:dyDescent="0.25">
      <c r="A21" s="181"/>
      <c r="B21" s="184"/>
      <c r="C21" s="184"/>
      <c r="D21" s="184"/>
      <c r="E21" s="184"/>
      <c r="F21" s="184"/>
      <c r="G21" s="184"/>
      <c r="H21" s="184"/>
      <c r="I21" s="184"/>
      <c r="J21" s="184"/>
      <c r="K21" s="136"/>
      <c r="L21" s="139"/>
      <c r="M21" s="148"/>
      <c r="N21" s="131"/>
      <c r="O21" s="148"/>
      <c r="P21" s="131"/>
      <c r="Q21" s="131"/>
      <c r="R21" s="131"/>
      <c r="S21" s="182"/>
      <c r="T21" s="182"/>
    </row>
    <row r="22" spans="1:20" x14ac:dyDescent="0.25">
      <c r="A22" s="180">
        <f t="shared" ref="A22" si="30">T22</f>
        <v>43551</v>
      </c>
      <c r="B22" s="184">
        <f>WORKDAY(A22,$L$22/$M$3+ROUND(SUMIF(A$8:A$50,"&lt;="&amp;A22,$P$8:$P$50),0),JoursFeries!$C$3:$CH$15)</f>
        <v>46125</v>
      </c>
      <c r="C22" s="184">
        <f>WORKDAY(B22,$L$22/$M$3+ROUND(SUMIF(B$8:B$50,"&lt;="&amp;B22,$P$8:$P$50),0),JoursFeries!$C$3:$CH$15)</f>
        <v>48694</v>
      </c>
      <c r="D22" s="184">
        <f>WORKDAY(C22,$L$22/$M$3+ROUND(SUMIF(C$8:C$50,"&lt;="&amp;C22,$P$8:$P$50),0),JoursFeries!$C$3:$CH$15)</f>
        <v>51260</v>
      </c>
      <c r="E22" s="184">
        <f>WORKDAY(D22,$L$22/$M$3+ROUND(SUMIF(D$8:D$50,"&lt;="&amp;D22,$P$8:$P$50),0),JoursFeries!$C$3:$CH$15)</f>
        <v>53839</v>
      </c>
      <c r="F22" s="184">
        <f>WORKDAY(E22,$L$22/$M$3+ROUND(SUMIF(E$8:E$50,"&lt;="&amp;E22,$P$8:$P$50),0),JoursFeries!$C$3:$CH$15)</f>
        <v>56411</v>
      </c>
      <c r="G22" s="184">
        <f>WORKDAY(F22,$L$22/$M$3+ROUND(SUMIF(F$8:F$50,"&lt;="&amp;F22,$P$8:$P$50),0),JoursFeries!$C$3:$CH$15)</f>
        <v>58977</v>
      </c>
      <c r="H22" s="184">
        <f>WORKDAY(G22,$L$22/$M$3+ROUND(SUMIF(G$8:G$50,"&lt;="&amp;G22,$P$8:$P$50),0),JoursFeries!$C$3:$CH$15)</f>
        <v>61546</v>
      </c>
      <c r="I22" s="184">
        <f>WORKDAY(H22,$L$22/$M$3+ROUND(SUMIF(H$8:H$50,"&lt;="&amp;H22,$P$8:$P$50),0),JoursFeries!$C$3:$CH$15)</f>
        <v>64118</v>
      </c>
      <c r="J22" s="184">
        <f>WORKDAY(I22,$L$22/$M$3+ROUND(SUMIF(I$8:I$50,"&lt;="&amp;I22,$P$8:$P$50),0),JoursFeries!$C$3:$CH$15)</f>
        <v>66691</v>
      </c>
      <c r="K22" s="136" t="s">
        <v>9</v>
      </c>
      <c r="L22" s="139">
        <v>17800</v>
      </c>
      <c r="M22" s="148">
        <v>-6129</v>
      </c>
      <c r="N22" s="131">
        <f t="shared" ref="N22" si="31">M22+L22</f>
        <v>11671</v>
      </c>
      <c r="O22" s="148"/>
      <c r="P22" s="131">
        <f t="shared" ref="P22" si="32">O22/$M$3</f>
        <v>0</v>
      </c>
      <c r="Q22" s="131">
        <f t="shared" ref="Q22" si="33">N22-$M$2</f>
        <v>4516</v>
      </c>
      <c r="R22" s="131">
        <f t="shared" ref="R22" si="34">Q22/$M$3</f>
        <v>451.6</v>
      </c>
      <c r="S22" s="182">
        <f>WORKDAY($M$1,R22,JoursFeries!$C$3:$CH$15)</f>
        <v>43551</v>
      </c>
      <c r="T22" s="182">
        <f>WORKDAY(S22,ROUND(SUMIF($S$8:$S$50,"&lt;="&amp;S22,$P$8:$P$50),0),JoursFeries!$C$3:$CH$15)</f>
        <v>43551</v>
      </c>
    </row>
    <row r="23" spans="1:20" x14ac:dyDescent="0.25">
      <c r="A23" s="181"/>
      <c r="B23" s="184"/>
      <c r="C23" s="184"/>
      <c r="D23" s="184"/>
      <c r="E23" s="184"/>
      <c r="F23" s="184"/>
      <c r="G23" s="184"/>
      <c r="H23" s="184"/>
      <c r="I23" s="184"/>
      <c r="J23" s="184"/>
      <c r="K23" s="136"/>
      <c r="L23" s="139"/>
      <c r="M23" s="148"/>
      <c r="N23" s="131"/>
      <c r="O23" s="148"/>
      <c r="P23" s="131"/>
      <c r="Q23" s="131"/>
      <c r="R23" s="131"/>
      <c r="S23" s="182"/>
      <c r="T23" s="182"/>
    </row>
    <row r="24" spans="1:20" x14ac:dyDescent="0.25">
      <c r="A24" s="180">
        <f t="shared" ref="A24" si="35">T24</f>
        <v>43025</v>
      </c>
      <c r="B24" s="184">
        <f>WORKDAY(A24,$L$24/$M$3+ROUND(SUMIF(A$8:A$50,"&lt;="&amp;A24,$P$8:$P$50),0),JoursFeries!$C$3:$CH$15)</f>
        <v>45328</v>
      </c>
      <c r="C24" s="184">
        <f>WORKDAY(B24,$L$24/$M$3+ROUND(SUMIF(B$8:B$50,"&lt;="&amp;B24,$P$8:$P$50),0),JoursFeries!$C$3:$CH$15)</f>
        <v>47639</v>
      </c>
      <c r="D24" s="184">
        <f>WORKDAY(C24,$L$24/$M$3+ROUND(SUMIF(C$8:C$50,"&lt;="&amp;C24,$P$8:$P$50),0),JoursFeries!$C$3:$CH$15)</f>
        <v>49944</v>
      </c>
      <c r="E24" s="184">
        <f>WORKDAY(D24,$L$24/$M$3+ROUND(SUMIF(D$8:D$50,"&lt;="&amp;D24,$P$8:$P$50),0),JoursFeries!$C$3:$CH$15)</f>
        <v>52251</v>
      </c>
      <c r="F24" s="184">
        <f>WORKDAY(E24,$L$24/$M$3+ROUND(SUMIF(E$8:E$50,"&lt;="&amp;E24,$P$8:$P$50),0),JoursFeries!$C$3:$CH$15)</f>
        <v>54557</v>
      </c>
      <c r="G24" s="184">
        <f>WORKDAY(F24,$L$24/$M$3+ROUND(SUMIF(F$8:F$50,"&lt;="&amp;F24,$P$8:$P$50),0),JoursFeries!$C$3:$CH$15)</f>
        <v>56865</v>
      </c>
      <c r="H24" s="184">
        <f>WORKDAY(G24,$L$24/$M$3+ROUND(SUMIF(G$8:G$50,"&lt;="&amp;G24,$P$8:$P$50),0),JoursFeries!$C$3:$CH$15)</f>
        <v>59167</v>
      </c>
      <c r="I24" s="184">
        <f>WORKDAY(H24,$L$24/$M$3+ROUND(SUMIF(H$8:H$50,"&lt;="&amp;H24,$P$8:$P$50),0),JoursFeries!$C$3:$CH$15)</f>
        <v>61469</v>
      </c>
      <c r="J24" s="184">
        <f>WORKDAY(I24,$L$24/$M$3+ROUND(SUMIF(I$8:I$50,"&lt;="&amp;I24,$P$8:$P$50),0),JoursFeries!$C$3:$CH$15)</f>
        <v>63782</v>
      </c>
      <c r="K24" s="136" t="s">
        <v>10</v>
      </c>
      <c r="L24" s="139">
        <v>15970</v>
      </c>
      <c r="M24" s="148">
        <v>-7959</v>
      </c>
      <c r="N24" s="131">
        <f t="shared" ref="N24" si="36">M24+L24</f>
        <v>8011</v>
      </c>
      <c r="O24" s="148"/>
      <c r="P24" s="131">
        <f t="shared" ref="P24" si="37">O24/$M$3</f>
        <v>0</v>
      </c>
      <c r="Q24" s="131">
        <f t="shared" ref="Q24" si="38">N24-$M$2</f>
        <v>856</v>
      </c>
      <c r="R24" s="131">
        <f t="shared" ref="R24" si="39">Q24/$M$3</f>
        <v>85.6</v>
      </c>
      <c r="S24" s="182">
        <f>WORKDAY($M$1,R24,JoursFeries!$C$3:$CH$15)</f>
        <v>43025</v>
      </c>
      <c r="T24" s="182">
        <f>WORKDAY(S24,ROUND(SUMIF($S$8:$S$50,"&lt;="&amp;S24,$P$8:$P$50),0),JoursFeries!$C$3:$CH$15)</f>
        <v>43025</v>
      </c>
    </row>
    <row r="25" spans="1:20" x14ac:dyDescent="0.25">
      <c r="A25" s="181"/>
      <c r="B25" s="184"/>
      <c r="C25" s="184"/>
      <c r="D25" s="184"/>
      <c r="E25" s="184"/>
      <c r="F25" s="184"/>
      <c r="G25" s="184"/>
      <c r="H25" s="184"/>
      <c r="I25" s="184"/>
      <c r="J25" s="184"/>
      <c r="K25" s="136"/>
      <c r="L25" s="139"/>
      <c r="M25" s="148"/>
      <c r="N25" s="131"/>
      <c r="O25" s="148"/>
      <c r="P25" s="131"/>
      <c r="Q25" s="131"/>
      <c r="R25" s="131"/>
      <c r="S25" s="182"/>
      <c r="T25" s="182"/>
    </row>
    <row r="26" spans="1:20" x14ac:dyDescent="0.25">
      <c r="A26" s="180">
        <f t="shared" ref="A26" si="40">T26</f>
        <v>46234</v>
      </c>
      <c r="B26" s="184">
        <f>WORKDAY(A26,$L$26/$M$3+ROUND(SUMIF(A$8:A$50,"&lt;="&amp;A26,$P$8:$P$50),0),JoursFeries!$C$3:$CH$15)</f>
        <v>50140</v>
      </c>
      <c r="C26" s="184">
        <f>WORKDAY(B26,$L$26/$M$3+ROUND(SUMIF(B$8:B$50,"&lt;="&amp;B26,$P$8:$P$50),0),JoursFeries!$C$3:$CH$15)</f>
        <v>54050</v>
      </c>
      <c r="D26" s="184">
        <f>WORKDAY(C26,$L$26/$M$3+ROUND(SUMIF(C$8:C$50,"&lt;="&amp;C26,$P$8:$P$50),0),JoursFeries!$C$3:$CH$15)</f>
        <v>57962</v>
      </c>
      <c r="E26" s="184">
        <f>WORKDAY(D26,$L$26/$M$3+ROUND(SUMIF(D$8:D$50,"&lt;="&amp;D26,$P$8:$P$50),0),JoursFeries!$C$3:$CH$15)</f>
        <v>61864</v>
      </c>
      <c r="F26" s="184">
        <f>WORKDAY(E26,$L$26/$M$3+ROUND(SUMIF(E$8:E$50,"&lt;="&amp;E26,$P$8:$P$50),0),JoursFeries!$C$3:$CH$15)</f>
        <v>65774</v>
      </c>
      <c r="G26" s="184">
        <f>WORKDAY(F26,$L$26/$M$3+ROUND(SUMIF(F$8:F$50,"&lt;="&amp;F26,$P$8:$P$50),0),JoursFeries!$C$3:$CH$15)</f>
        <v>69683</v>
      </c>
      <c r="H26" s="184">
        <f>WORKDAY(G26,$L$26/$M$3+ROUND(SUMIF(G$8:G$50,"&lt;="&amp;G26,$P$8:$P$50),0),JoursFeries!$C$3:$CH$15)</f>
        <v>73586</v>
      </c>
      <c r="I26" s="184">
        <f>WORKDAY(H26,$L$26/$M$3+ROUND(SUMIF(H$8:H$50,"&lt;="&amp;H26,$P$8:$P$50),0),JoursFeries!$C$3:$CH$15)</f>
        <v>77375</v>
      </c>
      <c r="J26" s="184">
        <f>WORKDAY(I26,$L$26/$M$3+ROUND(SUMIF(I$8:I$50,"&lt;="&amp;I26,$P$8:$P$50),0),JoursFeries!$C$3:$CH$15)</f>
        <v>81164</v>
      </c>
      <c r="K26" s="136" t="s">
        <v>11</v>
      </c>
      <c r="L26" s="139">
        <v>27070</v>
      </c>
      <c r="M26" s="148">
        <v>3140</v>
      </c>
      <c r="N26" s="131">
        <f t="shared" ref="N26" si="41">M26+L26</f>
        <v>30210</v>
      </c>
      <c r="O26" s="148"/>
      <c r="P26" s="131">
        <f t="shared" ref="P26" si="42">O26/$M$3</f>
        <v>0</v>
      </c>
      <c r="Q26" s="131">
        <f t="shared" ref="Q26" si="43">N26-$M$2</f>
        <v>23055</v>
      </c>
      <c r="R26" s="131">
        <f t="shared" ref="R26" si="44">Q26/$M$3</f>
        <v>2305.5</v>
      </c>
      <c r="S26" s="182">
        <f>WORKDAY($M$1,R26,JoursFeries!$C$3:$CH$15)</f>
        <v>46234</v>
      </c>
      <c r="T26" s="182">
        <f>WORKDAY(S26,ROUND(SUMIF($S$8:$S$50,"&lt;="&amp;S26,$P$8:$P$50),0),JoursFeries!$C$3:$CH$15)</f>
        <v>46234</v>
      </c>
    </row>
    <row r="27" spans="1:20" x14ac:dyDescent="0.25">
      <c r="A27" s="181"/>
      <c r="B27" s="184"/>
      <c r="C27" s="184"/>
      <c r="D27" s="184"/>
      <c r="E27" s="184"/>
      <c r="F27" s="184"/>
      <c r="G27" s="184"/>
      <c r="H27" s="184"/>
      <c r="I27" s="184"/>
      <c r="J27" s="184"/>
      <c r="K27" s="136"/>
      <c r="L27" s="139"/>
      <c r="M27" s="148"/>
      <c r="N27" s="131"/>
      <c r="O27" s="148"/>
      <c r="P27" s="131"/>
      <c r="Q27" s="131"/>
      <c r="R27" s="131"/>
      <c r="S27" s="182"/>
      <c r="T27" s="182"/>
    </row>
    <row r="28" spans="1:20" x14ac:dyDescent="0.25">
      <c r="A28" s="180">
        <f t="shared" ref="A28" si="45">T28</f>
        <v>41893</v>
      </c>
      <c r="B28" s="184">
        <f>WORKDAY(A28,$L$28/$M$3+ROUND(SUMIF(A$8:A$50,"&lt;="&amp;A28,$P$8:$P$50),0),JoursFeries!$C$3:$CH$15)</f>
        <v>41893</v>
      </c>
      <c r="C28" s="184">
        <f>WORKDAY(B28,$L$28/$M$3+ROUND(SUMIF(B$8:B$50,"&lt;="&amp;B28,$P$8:$P$50),0),JoursFeries!$C$3:$CH$15)</f>
        <v>41893</v>
      </c>
      <c r="D28" s="184">
        <f>WORKDAY(C28,$L$28/$M$3+ROUND(SUMIF(C$8:C$50,"&lt;="&amp;C28,$P$8:$P$50),0),JoursFeries!$C$3:$CH$15)</f>
        <v>41893</v>
      </c>
      <c r="E28" s="184">
        <f>WORKDAY(D28,$L$28/$M$3+ROUND(SUMIF(D$8:D$50,"&lt;="&amp;D28,$P$8:$P$50),0),JoursFeries!$C$3:$CH$15)</f>
        <v>41893</v>
      </c>
      <c r="F28" s="184">
        <f>WORKDAY(E28,$L$28/$M$3+ROUND(SUMIF(E$8:E$50,"&lt;="&amp;E28,$P$8:$P$50),0),JoursFeries!$C$3:$CH$15)</f>
        <v>41893</v>
      </c>
      <c r="G28" s="184">
        <f>WORKDAY(F28,$L$28/$M$3+ROUND(SUMIF(F$8:F$50,"&lt;="&amp;F28,$P$8:$P$50),0),JoursFeries!$C$3:$CH$15)</f>
        <v>41893</v>
      </c>
      <c r="H28" s="184">
        <f>WORKDAY(G28,$L$28/$M$3+ROUND(SUMIF(G$8:G$50,"&lt;="&amp;G28,$P$8:$P$50),0),JoursFeries!$C$3:$CH$15)</f>
        <v>41893</v>
      </c>
      <c r="I28" s="184">
        <f>WORKDAY(H28,$L$28/$M$3+ROUND(SUMIF(H$8:H$50,"&lt;="&amp;H28,$P$8:$P$50),0),JoursFeries!$C$3:$CH$15)</f>
        <v>41893</v>
      </c>
      <c r="J28" s="184">
        <f>WORKDAY(I28,$L$28/$M$3+ROUND(SUMIF(I$8:I$50,"&lt;="&amp;I28,$P$8:$P$50),0),JoursFeries!$C$3:$CH$15)</f>
        <v>41893</v>
      </c>
      <c r="K28" s="136" t="s">
        <v>12</v>
      </c>
      <c r="L28" s="139"/>
      <c r="M28" s="148"/>
      <c r="N28" s="131">
        <f t="shared" ref="N28" si="46">M28+L28</f>
        <v>0</v>
      </c>
      <c r="O28" s="148"/>
      <c r="P28" s="131">
        <f t="shared" ref="P28" si="47">O28/$M$3</f>
        <v>0</v>
      </c>
      <c r="Q28" s="131">
        <f t="shared" ref="Q28" si="48">N28-$M$2</f>
        <v>-7155</v>
      </c>
      <c r="R28" s="131">
        <f t="shared" ref="R28" si="49">Q28/$M$3</f>
        <v>-715.5</v>
      </c>
      <c r="S28" s="182">
        <f>WORKDAY($M$1,R28,JoursFeries!$C$3:$CH$15)</f>
        <v>41893</v>
      </c>
      <c r="T28" s="182">
        <f>WORKDAY(S28,ROUND(SUMIF($S$8:$S$50,"&lt;="&amp;S28,$P$8:$P$50),0),JoursFeries!$C$3:$CH$15)</f>
        <v>41893</v>
      </c>
    </row>
    <row r="29" spans="1:20" x14ac:dyDescent="0.25">
      <c r="A29" s="181"/>
      <c r="B29" s="184"/>
      <c r="C29" s="184"/>
      <c r="D29" s="184"/>
      <c r="E29" s="184"/>
      <c r="F29" s="184"/>
      <c r="G29" s="184"/>
      <c r="H29" s="184"/>
      <c r="I29" s="184"/>
      <c r="J29" s="184"/>
      <c r="K29" s="136"/>
      <c r="L29" s="139"/>
      <c r="M29" s="148"/>
      <c r="N29" s="131"/>
      <c r="O29" s="148"/>
      <c r="P29" s="131"/>
      <c r="Q29" s="131"/>
      <c r="R29" s="131"/>
      <c r="S29" s="182"/>
      <c r="T29" s="182"/>
    </row>
    <row r="30" spans="1:20" x14ac:dyDescent="0.25">
      <c r="A30" s="180">
        <f t="shared" ref="A30" si="50">T30</f>
        <v>43025</v>
      </c>
      <c r="B30" s="184">
        <f>WORKDAY(A30,$L$30/$M$3+ROUND(SUMIF(A$8:A$50,"&lt;="&amp;A30,$P$8:$P$50),0),JoursFeries!$C$3:$CH$15)</f>
        <v>45328</v>
      </c>
      <c r="C30" s="184">
        <f>WORKDAY(B30,$L$30/$M$3+ROUND(SUMIF(B$8:B$50,"&lt;="&amp;B30,$P$8:$P$50),0),JoursFeries!$C$3:$CH$15)</f>
        <v>47639</v>
      </c>
      <c r="D30" s="184">
        <f>WORKDAY(C30,$L$30/$M$3+ROUND(SUMIF(C$8:C$50,"&lt;="&amp;C30,$P$8:$P$50),0),JoursFeries!$C$3:$CH$15)</f>
        <v>49944</v>
      </c>
      <c r="E30" s="184">
        <f>WORKDAY(D30,$L$30/$M$3+ROUND(SUMIF(D$8:D$50,"&lt;="&amp;D30,$P$8:$P$50),0),JoursFeries!$C$3:$CH$15)</f>
        <v>52251</v>
      </c>
      <c r="F30" s="184">
        <f>WORKDAY(E30,$L$30/$M$3+ROUND(SUMIF(E$8:E$50,"&lt;="&amp;E30,$P$8:$P$50),0),JoursFeries!$C$3:$CH$15)</f>
        <v>54557</v>
      </c>
      <c r="G30" s="184">
        <f>WORKDAY(F30,$L$30/$M$3+ROUND(SUMIF(F$8:F$50,"&lt;="&amp;F30,$P$8:$P$50),0),JoursFeries!$C$3:$CH$15)</f>
        <v>56865</v>
      </c>
      <c r="H30" s="184">
        <f>WORKDAY(G30,$L$30/$M$3+ROUND(SUMIF(G$8:G$50,"&lt;="&amp;G30,$P$8:$P$50),0),JoursFeries!$C$3:$CH$15)</f>
        <v>59167</v>
      </c>
      <c r="I30" s="184">
        <f>WORKDAY(H30,$L$30/$M$3+ROUND(SUMIF(H$8:H$50,"&lt;="&amp;H30,$P$8:$P$50),0),JoursFeries!$C$3:$CH$15)</f>
        <v>61469</v>
      </c>
      <c r="J30" s="184">
        <f>WORKDAY(I30,$L$30/$M$3+ROUND(SUMIF(I$8:I$50,"&lt;="&amp;I30,$P$8:$P$50),0),JoursFeries!$C$3:$CH$15)</f>
        <v>63782</v>
      </c>
      <c r="K30" s="183" t="s">
        <v>13</v>
      </c>
      <c r="L30" s="139">
        <v>15970</v>
      </c>
      <c r="M30" s="148">
        <v>-7959</v>
      </c>
      <c r="N30" s="131">
        <f t="shared" ref="N30" si="51">M30+L30</f>
        <v>8011</v>
      </c>
      <c r="O30" s="148"/>
      <c r="P30" s="131">
        <f t="shared" ref="P30" si="52">O30/$M$3</f>
        <v>0</v>
      </c>
      <c r="Q30" s="131">
        <f t="shared" ref="Q30" si="53">N30-$M$2</f>
        <v>856</v>
      </c>
      <c r="R30" s="131">
        <f t="shared" ref="R30" si="54">Q30/$M$3</f>
        <v>85.6</v>
      </c>
      <c r="S30" s="182">
        <f>WORKDAY($M$1,R30,JoursFeries!$C$3:$CH$15)</f>
        <v>43025</v>
      </c>
      <c r="T30" s="182">
        <f>WORKDAY(S30,ROUND(SUMIF($S$8:$S$50,"&lt;="&amp;S30,$P$8:$P$50),0),JoursFeries!$C$3:$CH$15)</f>
        <v>43025</v>
      </c>
    </row>
    <row r="31" spans="1:20" x14ac:dyDescent="0.25">
      <c r="A31" s="181"/>
      <c r="B31" s="184"/>
      <c r="C31" s="184"/>
      <c r="D31" s="184"/>
      <c r="E31" s="184"/>
      <c r="F31" s="184"/>
      <c r="G31" s="184"/>
      <c r="H31" s="184"/>
      <c r="I31" s="184"/>
      <c r="J31" s="184"/>
      <c r="K31" s="183"/>
      <c r="L31" s="139"/>
      <c r="M31" s="148"/>
      <c r="N31" s="131"/>
      <c r="O31" s="148"/>
      <c r="P31" s="131"/>
      <c r="Q31" s="131"/>
      <c r="R31" s="131"/>
      <c r="S31" s="182"/>
      <c r="T31" s="182"/>
    </row>
    <row r="32" spans="1:20" x14ac:dyDescent="0.25">
      <c r="A32" s="180">
        <f t="shared" ref="A32" si="55">T32</f>
        <v>41605</v>
      </c>
      <c r="B32" s="184">
        <f>WORKDAY(A32,$L$32/$M$3+ROUND(SUMIF(A$8:A$50,"&lt;="&amp;A32,$P$8:$P$50),0),JoursFeries!$C$3:$CH$15)</f>
        <v>43147</v>
      </c>
      <c r="C32" s="184">
        <f>WORKDAY(B32,$L$32/$M$3+ROUND(SUMIF(B$8:B$50,"&lt;="&amp;B32,$P$8:$P$50),0),JoursFeries!$C$3:$CH$15)</f>
        <v>44726</v>
      </c>
      <c r="D32" s="184">
        <f>WORKDAY(C32,$L$32/$M$3+ROUND(SUMIF(C$8:C$50,"&lt;="&amp;C32,$P$8:$P$50),0),JoursFeries!$C$3:$CH$15)</f>
        <v>46308</v>
      </c>
      <c r="E32" s="184">
        <f>WORKDAY(D32,$L$32/$M$3+ROUND(SUMIF(D$8:D$50,"&lt;="&amp;D32,$P$8:$P$50),0),JoursFeries!$C$3:$CH$15)</f>
        <v>47885</v>
      </c>
      <c r="F32" s="184">
        <f>WORKDAY(E32,$L$32/$M$3+ROUND(SUMIF(E$8:E$50,"&lt;="&amp;E32,$P$8:$P$50),0),JoursFeries!$C$3:$CH$15)</f>
        <v>49465</v>
      </c>
      <c r="G32" s="184">
        <f>WORKDAY(F32,$L$32/$M$3+ROUND(SUMIF(F$8:F$50,"&lt;="&amp;F32,$P$8:$P$50),0),JoursFeries!$C$3:$CH$15)</f>
        <v>51040</v>
      </c>
      <c r="H32" s="184">
        <f>WORKDAY(G32,$L$32/$M$3+ROUND(SUMIF(G$8:G$50,"&lt;="&amp;G32,$P$8:$P$50),0),JoursFeries!$C$3:$CH$15)</f>
        <v>52622</v>
      </c>
      <c r="I32" s="184">
        <f>WORKDAY(H32,$L$32/$M$3+ROUND(SUMIF(H$8:H$50,"&lt;="&amp;H32,$P$8:$P$50),0),JoursFeries!$C$3:$CH$15)</f>
        <v>54204</v>
      </c>
      <c r="J32" s="184">
        <f>WORKDAY(I32,$L$32/$M$3+ROUND(SUMIF(I$8:I$50,"&lt;="&amp;I32,$P$8:$P$50),0),JoursFeries!$C$3:$CH$15)</f>
        <v>55775</v>
      </c>
      <c r="K32" s="136" t="s">
        <v>14</v>
      </c>
      <c r="L32" s="139">
        <v>10934</v>
      </c>
      <c r="M32" s="148">
        <v>-12995</v>
      </c>
      <c r="N32" s="131">
        <f t="shared" ref="N32" si="56">M32+L32</f>
        <v>-2061</v>
      </c>
      <c r="O32" s="148"/>
      <c r="P32" s="131">
        <f t="shared" ref="P32" si="57">O32/$M$3</f>
        <v>0</v>
      </c>
      <c r="Q32" s="131">
        <f t="shared" ref="Q32" si="58">N32-$M$2</f>
        <v>-9216</v>
      </c>
      <c r="R32" s="131">
        <f t="shared" ref="R32" si="59">Q32/$M$3</f>
        <v>-921.6</v>
      </c>
      <c r="S32" s="182">
        <f>WORKDAY($M$1,R32,JoursFeries!$C$3:$CH$15)</f>
        <v>41605</v>
      </c>
      <c r="T32" s="182">
        <f>WORKDAY(S32,ROUND(SUMIF($S$8:$S$50,"&lt;="&amp;S32,$P$8:$P$50),0),JoursFeries!$C$3:$CH$15)</f>
        <v>41605</v>
      </c>
    </row>
    <row r="33" spans="1:20" x14ac:dyDescent="0.25">
      <c r="A33" s="181"/>
      <c r="B33" s="184"/>
      <c r="C33" s="184"/>
      <c r="D33" s="184"/>
      <c r="E33" s="184"/>
      <c r="F33" s="184"/>
      <c r="G33" s="184"/>
      <c r="H33" s="184"/>
      <c r="I33" s="184"/>
      <c r="J33" s="184"/>
      <c r="K33" s="136"/>
      <c r="L33" s="139"/>
      <c r="M33" s="148"/>
      <c r="N33" s="131"/>
      <c r="O33" s="148"/>
      <c r="P33" s="131"/>
      <c r="Q33" s="131"/>
      <c r="R33" s="131"/>
      <c r="S33" s="182"/>
      <c r="T33" s="182"/>
    </row>
    <row r="34" spans="1:20" x14ac:dyDescent="0.25">
      <c r="A34" s="180">
        <f t="shared" ref="A34" si="60">T34</f>
        <v>41554</v>
      </c>
      <c r="B34" s="184">
        <f>WORKDAY(A34,$L$34/$M$3+ROUND(SUMIF(A$8:A$50,"&lt;="&amp;A34,$P$8:$P$50),0),JoursFeries!$C$3:$CH$15)</f>
        <v>43068</v>
      </c>
      <c r="C34" s="184">
        <f>WORKDAY(B34,$L$34/$M$3+ROUND(SUMIF(B$8:B$50,"&lt;="&amp;B34,$P$8:$P$50),0),JoursFeries!$C$3:$CH$15)</f>
        <v>44620</v>
      </c>
      <c r="D34" s="184">
        <f>WORKDAY(C34,$L$34/$M$3+ROUND(SUMIF(C$8:C$50,"&lt;="&amp;C34,$P$8:$P$50),0),JoursFeries!$C$3:$CH$15)</f>
        <v>46178</v>
      </c>
      <c r="E34" s="184">
        <f>WORKDAY(D34,$L$34/$M$3+ROUND(SUMIF(D$8:D$50,"&lt;="&amp;D34,$P$8:$P$50),0),JoursFeries!$C$3:$CH$15)</f>
        <v>47729</v>
      </c>
      <c r="F34" s="184">
        <f>WORKDAY(E34,$L$34/$M$3+ROUND(SUMIF(E$8:E$50,"&lt;="&amp;E34,$P$8:$P$50),0),JoursFeries!$C$3:$CH$15)</f>
        <v>49277</v>
      </c>
      <c r="G34" s="184">
        <f>WORKDAY(F34,$L$34/$M$3+ROUND(SUMIF(F$8:F$50,"&lt;="&amp;F34,$P$8:$P$50),0),JoursFeries!$C$3:$CH$15)</f>
        <v>50830</v>
      </c>
      <c r="H34" s="184">
        <f>WORKDAY(G34,$L$34/$M$3+ROUND(SUMIF(G$8:G$50,"&lt;="&amp;G34,$P$8:$P$50),0),JoursFeries!$C$3:$CH$15)</f>
        <v>52387</v>
      </c>
      <c r="I34" s="184">
        <f>WORKDAY(H34,$L$34/$M$3+ROUND(SUMIF(H$8:H$50,"&lt;="&amp;H34,$P$8:$P$50),0),JoursFeries!$C$3:$CH$15)</f>
        <v>53939</v>
      </c>
      <c r="J34" s="184">
        <f>WORKDAY(I34,$L$34/$M$3+ROUND(SUMIF(I$8:I$50,"&lt;="&amp;I34,$P$8:$P$50),0),JoursFeries!$C$3:$CH$15)</f>
        <v>55486</v>
      </c>
      <c r="K34" s="136" t="s">
        <v>15</v>
      </c>
      <c r="L34" s="139">
        <v>10750</v>
      </c>
      <c r="M34" s="148">
        <v>-13179</v>
      </c>
      <c r="N34" s="131">
        <f t="shared" ref="N34" si="61">M34+L34</f>
        <v>-2429</v>
      </c>
      <c r="O34" s="148"/>
      <c r="P34" s="131">
        <f t="shared" ref="P34" si="62">O34/$M$3</f>
        <v>0</v>
      </c>
      <c r="Q34" s="131">
        <f t="shared" ref="Q34" si="63">N34-$M$2</f>
        <v>-9584</v>
      </c>
      <c r="R34" s="131">
        <f t="shared" ref="R34" si="64">Q34/$M$3</f>
        <v>-958.4</v>
      </c>
      <c r="S34" s="182">
        <f>WORKDAY($M$1,R34,JoursFeries!$C$3:$CH$15)</f>
        <v>41554</v>
      </c>
      <c r="T34" s="182">
        <f>WORKDAY(S34,ROUND(SUMIF($S$8:$S$50,"&lt;="&amp;S34,$P$8:$P$50),0),JoursFeries!$C$3:$CH$15)</f>
        <v>41554</v>
      </c>
    </row>
    <row r="35" spans="1:20" x14ac:dyDescent="0.25">
      <c r="A35" s="181"/>
      <c r="B35" s="184"/>
      <c r="C35" s="184"/>
      <c r="D35" s="184"/>
      <c r="E35" s="184"/>
      <c r="F35" s="184"/>
      <c r="G35" s="184"/>
      <c r="H35" s="184"/>
      <c r="I35" s="184"/>
      <c r="J35" s="184"/>
      <c r="K35" s="136"/>
      <c r="L35" s="139"/>
      <c r="M35" s="148"/>
      <c r="N35" s="131"/>
      <c r="O35" s="148"/>
      <c r="P35" s="131"/>
      <c r="Q35" s="131"/>
      <c r="R35" s="131"/>
      <c r="S35" s="182"/>
      <c r="T35" s="182"/>
    </row>
    <row r="36" spans="1:20" x14ac:dyDescent="0.25">
      <c r="A36" s="180">
        <f t="shared" ref="A36" si="65">T36</f>
        <v>41554</v>
      </c>
      <c r="B36" s="184">
        <f>WORKDAY(A36,$L$36/$M$3+ROUND(SUMIF(A$8:A$50,"&lt;="&amp;A36,$P$8:$P$50),0),JoursFeries!$C$3:$CH$15)</f>
        <v>43068</v>
      </c>
      <c r="C36" s="184">
        <f>WORKDAY(B36,$L$36/$M$3+ROUND(SUMIF(B$8:B$50,"&lt;="&amp;B36,$P$8:$P$50),0),JoursFeries!$C$3:$CH$15)</f>
        <v>44620</v>
      </c>
      <c r="D36" s="184">
        <f>WORKDAY(C36,$L$36/$M$3+ROUND(SUMIF(C$8:C$50,"&lt;="&amp;C36,$P$8:$P$50),0),JoursFeries!$C$3:$CH$15)</f>
        <v>46178</v>
      </c>
      <c r="E36" s="184">
        <f>WORKDAY(D36,$L$36/$M$3+ROUND(SUMIF(D$8:D$50,"&lt;="&amp;D36,$P$8:$P$50),0),JoursFeries!$C$3:$CH$15)</f>
        <v>47729</v>
      </c>
      <c r="F36" s="184">
        <f>WORKDAY(E36,$L$36/$M$3+ROUND(SUMIF(E$8:E$50,"&lt;="&amp;E36,$P$8:$P$50),0),JoursFeries!$C$3:$CH$15)</f>
        <v>49277</v>
      </c>
      <c r="G36" s="184">
        <f>WORKDAY(F36,$L$36/$M$3+ROUND(SUMIF(F$8:F$50,"&lt;="&amp;F36,$P$8:$P$50),0),JoursFeries!$C$3:$CH$15)</f>
        <v>50830</v>
      </c>
      <c r="H36" s="184">
        <f>WORKDAY(G36,$L$36/$M$3+ROUND(SUMIF(G$8:G$50,"&lt;="&amp;G36,$P$8:$P$50),0),JoursFeries!$C$3:$CH$15)</f>
        <v>52387</v>
      </c>
      <c r="I36" s="184">
        <f>WORKDAY(H36,$L$36/$M$3+ROUND(SUMIF(H$8:H$50,"&lt;="&amp;H36,$P$8:$P$50),0),JoursFeries!$C$3:$CH$15)</f>
        <v>53939</v>
      </c>
      <c r="J36" s="184">
        <f>WORKDAY(I36,$L$36/$M$3+ROUND(SUMIF(I$8:I$50,"&lt;="&amp;I36,$P$8:$P$50),0),JoursFeries!$C$3:$CH$15)</f>
        <v>55486</v>
      </c>
      <c r="K36" s="136" t="s">
        <v>16</v>
      </c>
      <c r="L36" s="139">
        <v>10750</v>
      </c>
      <c r="M36" s="148">
        <v>-13179</v>
      </c>
      <c r="N36" s="131">
        <f t="shared" ref="N36" si="66">M36+L36</f>
        <v>-2429</v>
      </c>
      <c r="O36" s="148"/>
      <c r="P36" s="131">
        <f t="shared" ref="P36" si="67">O36/$M$3</f>
        <v>0</v>
      </c>
      <c r="Q36" s="131">
        <f t="shared" ref="Q36" si="68">N36-$M$2</f>
        <v>-9584</v>
      </c>
      <c r="R36" s="131">
        <f t="shared" ref="R36" si="69">Q36/$M$3</f>
        <v>-958.4</v>
      </c>
      <c r="S36" s="182">
        <f>WORKDAY($M$1,R36,JoursFeries!$C$3:$CH$15)</f>
        <v>41554</v>
      </c>
      <c r="T36" s="182">
        <f>WORKDAY(S36,ROUND(SUMIF($S$8:$S$50,"&lt;="&amp;S36,$P$8:$P$50),0),JoursFeries!$C$3:$CH$15)</f>
        <v>41554</v>
      </c>
    </row>
    <row r="37" spans="1:20" x14ac:dyDescent="0.25">
      <c r="A37" s="181"/>
      <c r="B37" s="184"/>
      <c r="C37" s="184"/>
      <c r="D37" s="184"/>
      <c r="E37" s="184"/>
      <c r="F37" s="184"/>
      <c r="G37" s="184"/>
      <c r="H37" s="184"/>
      <c r="I37" s="184"/>
      <c r="J37" s="184"/>
      <c r="K37" s="136"/>
      <c r="L37" s="139"/>
      <c r="M37" s="148"/>
      <c r="N37" s="131"/>
      <c r="O37" s="148"/>
      <c r="P37" s="131"/>
      <c r="Q37" s="131"/>
      <c r="R37" s="131"/>
      <c r="S37" s="182"/>
      <c r="T37" s="182"/>
    </row>
    <row r="38" spans="1:20" x14ac:dyDescent="0.25">
      <c r="A38" s="180">
        <f t="shared" ref="A38" si="70">T38</f>
        <v>41554</v>
      </c>
      <c r="B38" s="184">
        <f>WORKDAY(A38,$L$38/$M$3+ROUND(SUMIF(A$8:A$50,"&lt;="&amp;A38,$P$8:$P$50),0),JoursFeries!$C$3:$CH$15)</f>
        <v>43068</v>
      </c>
      <c r="C38" s="184">
        <f>WORKDAY(B38,$L$38/$M$3+ROUND(SUMIF(B$8:B$50,"&lt;="&amp;B38,$P$8:$P$50),0),JoursFeries!$C$3:$CH$15)</f>
        <v>44620</v>
      </c>
      <c r="D38" s="184">
        <f>WORKDAY(C38,$L$38/$M$3+ROUND(SUMIF(C$8:C$50,"&lt;="&amp;C38,$P$8:$P$50),0),JoursFeries!$C$3:$CH$15)</f>
        <v>46178</v>
      </c>
      <c r="E38" s="184">
        <f>WORKDAY(D38,$L$38/$M$3+ROUND(SUMIF(D$8:D$50,"&lt;="&amp;D38,$P$8:$P$50),0),JoursFeries!$C$3:$CH$15)</f>
        <v>47729</v>
      </c>
      <c r="F38" s="184">
        <f>WORKDAY(E38,$L$38/$M$3+ROUND(SUMIF(E$8:E$50,"&lt;="&amp;E38,$P$8:$P$50),0),JoursFeries!$C$3:$CH$15)</f>
        <v>49277</v>
      </c>
      <c r="G38" s="184">
        <f>WORKDAY(F38,$L$38/$M$3+ROUND(SUMIF(F$8:F$50,"&lt;="&amp;F38,$P$8:$P$50),0),JoursFeries!$C$3:$CH$15)</f>
        <v>50830</v>
      </c>
      <c r="H38" s="184">
        <f>WORKDAY(G38,$L$38/$M$3+ROUND(SUMIF(G$8:G$50,"&lt;="&amp;G38,$P$8:$P$50),0),JoursFeries!$C$3:$CH$15)</f>
        <v>52387</v>
      </c>
      <c r="I38" s="184">
        <f>WORKDAY(H38,$L$38/$M$3+ROUND(SUMIF(H$8:H$50,"&lt;="&amp;H38,$P$8:$P$50),0),JoursFeries!$C$3:$CH$15)</f>
        <v>53939</v>
      </c>
      <c r="J38" s="184">
        <f>WORKDAY(I38,$L$38/$M$3+ROUND(SUMIF(I$8:I$50,"&lt;="&amp;I38,$P$8:$P$50),0),JoursFeries!$C$3:$CH$15)</f>
        <v>55486</v>
      </c>
      <c r="K38" s="136" t="s">
        <v>17</v>
      </c>
      <c r="L38" s="139">
        <v>10750</v>
      </c>
      <c r="M38" s="148">
        <v>-13179</v>
      </c>
      <c r="N38" s="131">
        <f t="shared" ref="N38" si="71">M38+L38</f>
        <v>-2429</v>
      </c>
      <c r="O38" s="148"/>
      <c r="P38" s="131">
        <f t="shared" ref="P38" si="72">O38/$M$3</f>
        <v>0</v>
      </c>
      <c r="Q38" s="131">
        <f t="shared" ref="Q38" si="73">N38-$M$2</f>
        <v>-9584</v>
      </c>
      <c r="R38" s="131">
        <f t="shared" ref="R38" si="74">Q38/$M$3</f>
        <v>-958.4</v>
      </c>
      <c r="S38" s="182">
        <f>WORKDAY($M$1,R38,JoursFeries!$C$3:$CH$15)</f>
        <v>41554</v>
      </c>
      <c r="T38" s="182">
        <f>WORKDAY(S38,ROUND(SUMIF($S$8:$S$50,"&lt;="&amp;S38,$P$8:$P$50),0),JoursFeries!$C$3:$CH$15)</f>
        <v>41554</v>
      </c>
    </row>
    <row r="39" spans="1:20" x14ac:dyDescent="0.25">
      <c r="A39" s="181"/>
      <c r="B39" s="184"/>
      <c r="C39" s="184"/>
      <c r="D39" s="184"/>
      <c r="E39" s="184"/>
      <c r="F39" s="184"/>
      <c r="G39" s="184"/>
      <c r="H39" s="184"/>
      <c r="I39" s="184"/>
      <c r="J39" s="184"/>
      <c r="K39" s="136"/>
      <c r="L39" s="139"/>
      <c r="M39" s="148"/>
      <c r="N39" s="131"/>
      <c r="O39" s="148"/>
      <c r="P39" s="131"/>
      <c r="Q39" s="131"/>
      <c r="R39" s="131"/>
      <c r="S39" s="182"/>
      <c r="T39" s="182"/>
    </row>
    <row r="40" spans="1:20" x14ac:dyDescent="0.25">
      <c r="A40" s="180">
        <f t="shared" ref="A40" si="75">T40</f>
        <v>46252</v>
      </c>
      <c r="B40" s="184">
        <f>WORKDAY(A40,$L$40/$M$3+ROUND(SUMIF(A$8:A$50,"&lt;="&amp;A40,$P$8:$P$50),0),JoursFeries!$C$3:$CH$15)</f>
        <v>50167</v>
      </c>
      <c r="C40" s="184">
        <f>WORKDAY(B40,$L$40/$M$3+ROUND(SUMIF(B$8:B$50,"&lt;="&amp;B40,$P$8:$P$50),0),JoursFeries!$C$3:$CH$15)</f>
        <v>54086</v>
      </c>
      <c r="D40" s="184">
        <f>WORKDAY(C40,$L$40/$M$3+ROUND(SUMIF(C$8:C$50,"&lt;="&amp;C40,$P$8:$P$50),0),JoursFeries!$C$3:$CH$15)</f>
        <v>58004</v>
      </c>
      <c r="E40" s="184">
        <f>WORKDAY(D40,$L$40/$M$3+ROUND(SUMIF(D$8:D$50,"&lt;="&amp;D40,$P$8:$P$50),0),JoursFeries!$C$3:$CH$15)</f>
        <v>61918</v>
      </c>
      <c r="F40" s="184">
        <f>WORKDAY(E40,$L$40/$M$3+ROUND(SUMIF(E$8:E$50,"&lt;="&amp;E40,$P$8:$P$50),0),JoursFeries!$C$3:$CH$15)</f>
        <v>65832</v>
      </c>
      <c r="G40" s="184">
        <f>WORKDAY(F40,$L$40/$M$3+ROUND(SUMIF(F$8:F$50,"&lt;="&amp;F40,$P$8:$P$50),0),JoursFeries!$C$3:$CH$15)</f>
        <v>69751</v>
      </c>
      <c r="H40" s="184">
        <f>WORKDAY(G40,$L$40/$M$3+ROUND(SUMIF(G$8:G$50,"&lt;="&amp;G40,$P$8:$P$50),0),JoursFeries!$C$3:$CH$15)</f>
        <v>73660</v>
      </c>
      <c r="I40" s="184">
        <f>WORKDAY(H40,$L$40/$M$3+ROUND(SUMIF(H$8:H$50,"&lt;="&amp;H40,$P$8:$P$50),0),JoursFeries!$C$3:$CH$15)</f>
        <v>77459</v>
      </c>
      <c r="J40" s="184">
        <f>WORKDAY(I40,$L$40/$M$3+ROUND(SUMIF(I$8:I$50,"&lt;="&amp;I40,$P$8:$P$50),0),JoursFeries!$C$3:$CH$15)</f>
        <v>81258</v>
      </c>
      <c r="K40" s="136" t="s">
        <v>18</v>
      </c>
      <c r="L40" s="139">
        <v>27130</v>
      </c>
      <c r="M40" s="148">
        <v>3200</v>
      </c>
      <c r="N40" s="131">
        <f t="shared" ref="N40" si="76">M40+L40</f>
        <v>30330</v>
      </c>
      <c r="O40" s="148"/>
      <c r="P40" s="131">
        <f t="shared" ref="P40" si="77">O40/$M$3</f>
        <v>0</v>
      </c>
      <c r="Q40" s="131">
        <f t="shared" ref="Q40" si="78">N40-$M$2</f>
        <v>23175</v>
      </c>
      <c r="R40" s="131">
        <f t="shared" ref="R40" si="79">Q40/$M$3</f>
        <v>2317.5</v>
      </c>
      <c r="S40" s="182">
        <f>WORKDAY($M$1,R40,JoursFeries!$C$3:$CH$15)</f>
        <v>46252</v>
      </c>
      <c r="T40" s="182">
        <f>WORKDAY(S40,ROUND(SUMIF($S$8:$S$50,"&lt;="&amp;S40,$P$8:$P$50),0),JoursFeries!$C$3:$CH$15)</f>
        <v>46252</v>
      </c>
    </row>
    <row r="41" spans="1:20" x14ac:dyDescent="0.25">
      <c r="A41" s="181"/>
      <c r="B41" s="184"/>
      <c r="C41" s="184"/>
      <c r="D41" s="184"/>
      <c r="E41" s="184"/>
      <c r="F41" s="184"/>
      <c r="G41" s="184"/>
      <c r="H41" s="184"/>
      <c r="I41" s="184"/>
      <c r="J41" s="184"/>
      <c r="K41" s="136"/>
      <c r="L41" s="139"/>
      <c r="M41" s="148"/>
      <c r="N41" s="131"/>
      <c r="O41" s="148"/>
      <c r="P41" s="131"/>
      <c r="Q41" s="131"/>
      <c r="R41" s="131"/>
      <c r="S41" s="182"/>
      <c r="T41" s="182"/>
    </row>
    <row r="42" spans="1:20" x14ac:dyDescent="0.25">
      <c r="A42" s="180">
        <f t="shared" ref="A42" si="80">T42</f>
        <v>40998</v>
      </c>
      <c r="B42" s="184">
        <f>WORKDAY(A42,$L$42/$M$3+ROUND(SUMIF(A$8:A$50,"&lt;="&amp;A42,$P$8:$P$50),0),JoursFeries!$C$3:$CH$15)</f>
        <v>42227</v>
      </c>
      <c r="C42" s="184">
        <f>WORKDAY(B42,$L$42/$M$3+ROUND(SUMIF(B$8:B$50,"&lt;="&amp;B42,$P$8:$P$50),0),JoursFeries!$C$3:$CH$15)</f>
        <v>43479</v>
      </c>
      <c r="D42" s="184">
        <f>WORKDAY(C42,$L$42/$M$3+ROUND(SUMIF(C$8:C$50,"&lt;="&amp;C42,$P$8:$P$50),0),JoursFeries!$C$3:$CH$15)</f>
        <v>44742</v>
      </c>
      <c r="E42" s="184">
        <f>WORKDAY(D42,$L$42/$M$3+ROUND(SUMIF(D$8:D$50,"&lt;="&amp;D42,$P$8:$P$50),0),JoursFeries!$C$3:$CH$15)</f>
        <v>46010</v>
      </c>
      <c r="F42" s="184">
        <f>WORKDAY(E42,$L$42/$M$3+ROUND(SUMIF(E$8:E$50,"&lt;="&amp;E42,$P$8:$P$50),0),JoursFeries!$C$3:$CH$15)</f>
        <v>47281</v>
      </c>
      <c r="G42" s="184">
        <f>WORKDAY(F42,$L$42/$M$3+ROUND(SUMIF(F$8:F$50,"&lt;="&amp;F42,$P$8:$P$50),0),JoursFeries!$C$3:$CH$15)</f>
        <v>48547</v>
      </c>
      <c r="H42" s="184">
        <f>WORKDAY(G42,$L$42/$M$3+ROUND(SUMIF(G$8:G$50,"&lt;="&amp;G42,$P$8:$P$50),0),JoursFeries!$C$3:$CH$15)</f>
        <v>49810</v>
      </c>
      <c r="I42" s="184">
        <f>WORKDAY(H42,$L$42/$M$3+ROUND(SUMIF(H$8:H$50,"&lt;="&amp;H42,$P$8:$P$50),0),JoursFeries!$C$3:$CH$15)</f>
        <v>51075</v>
      </c>
      <c r="J42" s="184">
        <f>WORKDAY(I42,$L$42/$M$3+ROUND(SUMIF(I$8:I$50,"&lt;="&amp;I42,$P$8:$P$50),0),JoursFeries!$C$3:$CH$15)</f>
        <v>52343</v>
      </c>
      <c r="K42" s="136" t="s">
        <v>19</v>
      </c>
      <c r="L42" s="139">
        <v>8770</v>
      </c>
      <c r="M42" s="148">
        <v>-15160</v>
      </c>
      <c r="N42" s="131">
        <f t="shared" ref="N42" si="81">M42+L42</f>
        <v>-6390</v>
      </c>
      <c r="O42" s="148"/>
      <c r="P42" s="131">
        <f t="shared" ref="P42" si="82">O42/$M$3</f>
        <v>0</v>
      </c>
      <c r="Q42" s="131">
        <f t="shared" ref="Q42" si="83">N42-$M$2</f>
        <v>-13545</v>
      </c>
      <c r="R42" s="131">
        <f t="shared" ref="R42" si="84">Q42/$M$3</f>
        <v>-1354.5</v>
      </c>
      <c r="S42" s="182">
        <f>WORKDAY($M$1,R42,JoursFeries!$C$3:$CH$15)</f>
        <v>40998</v>
      </c>
      <c r="T42" s="182">
        <f>WORKDAY(S42,ROUND(SUMIF($S$8:$S$50,"&lt;="&amp;S42,$P$8:$P$50),0),JoursFeries!$C$3:$CH$15)</f>
        <v>40998</v>
      </c>
    </row>
    <row r="43" spans="1:20" x14ac:dyDescent="0.25">
      <c r="A43" s="181"/>
      <c r="B43" s="184"/>
      <c r="C43" s="184"/>
      <c r="D43" s="184"/>
      <c r="E43" s="184"/>
      <c r="F43" s="184"/>
      <c r="G43" s="184"/>
      <c r="H43" s="184"/>
      <c r="I43" s="184"/>
      <c r="J43" s="184"/>
      <c r="K43" s="136"/>
      <c r="L43" s="139"/>
      <c r="M43" s="148"/>
      <c r="N43" s="131"/>
      <c r="O43" s="148"/>
      <c r="P43" s="131"/>
      <c r="Q43" s="131"/>
      <c r="R43" s="131"/>
      <c r="S43" s="182"/>
      <c r="T43" s="182"/>
    </row>
    <row r="44" spans="1:20" x14ac:dyDescent="0.25">
      <c r="A44" s="180">
        <f t="shared" ref="A44" si="85">T44</f>
        <v>40305</v>
      </c>
      <c r="B44" s="184">
        <f>WORKDAY(A44,$L$44/$M$3+ROUND(SUMIF(A$8:A$50,"&lt;="&amp;A44,$P$8:$P$50),0),JoursFeries!$C$3:$CH$15)</f>
        <v>41186</v>
      </c>
      <c r="C44" s="184">
        <f>WORKDAY(B44,$L$44/$M$3+ROUND(SUMIF(B$8:B$50,"&lt;="&amp;B44,$P$8:$P$50),0),JoursFeries!$C$3:$CH$15)</f>
        <v>42067</v>
      </c>
      <c r="D44" s="184">
        <f>WORKDAY(C44,$L$44/$M$3+ROUND(SUMIF(C$8:C$50,"&lt;="&amp;C44,$P$8:$P$50),0),JoursFeries!$C$3:$CH$15)</f>
        <v>42956</v>
      </c>
      <c r="E44" s="184">
        <f>WORKDAY(D44,$L$44/$M$3+ROUND(SUMIF(D$8:D$50,"&lt;="&amp;D44,$P$8:$P$50),0),JoursFeries!$C$3:$CH$15)</f>
        <v>43865</v>
      </c>
      <c r="F44" s="184">
        <f>WORKDAY(E44,$L$44/$M$3+ROUND(SUMIF(E$8:E$50,"&lt;="&amp;E44,$P$8:$P$50),0),JoursFeries!$C$3:$CH$15)</f>
        <v>44770</v>
      </c>
      <c r="G44" s="184">
        <f>WORKDAY(F44,$L$44/$M$3+ROUND(SUMIF(F$8:F$50,"&lt;="&amp;F44,$P$8:$P$50),0),JoursFeries!$C$3:$CH$15)</f>
        <v>45679</v>
      </c>
      <c r="H44" s="184">
        <f>WORKDAY(G44,$L$44/$M$3+ROUND(SUMIF(G$8:G$50,"&lt;="&amp;G44,$P$8:$P$50),0),JoursFeries!$C$3:$CH$15)</f>
        <v>46591</v>
      </c>
      <c r="I44" s="184">
        <f>WORKDAY(H44,$L$44/$M$3+ROUND(SUMIF(H$8:H$50,"&lt;="&amp;H44,$P$8:$P$50),0),JoursFeries!$C$3:$CH$15)</f>
        <v>47498</v>
      </c>
      <c r="J44" s="184">
        <f>WORKDAY(I44,$L$44/$M$3+ROUND(SUMIF(I$8:I$50,"&lt;="&amp;I44,$P$8:$P$50),0),JoursFeries!$C$3:$CH$15)</f>
        <v>48410</v>
      </c>
      <c r="K44" s="136" t="s">
        <v>20</v>
      </c>
      <c r="L44" s="139">
        <v>6293</v>
      </c>
      <c r="M44" s="148">
        <v>-17636</v>
      </c>
      <c r="N44" s="131">
        <f t="shared" ref="N44" si="86">M44+L44</f>
        <v>-11343</v>
      </c>
      <c r="O44" s="148"/>
      <c r="P44" s="131">
        <f t="shared" ref="P44" si="87">O44/$M$3</f>
        <v>0</v>
      </c>
      <c r="Q44" s="131">
        <f t="shared" ref="Q44" si="88">N44-$M$2</f>
        <v>-18498</v>
      </c>
      <c r="R44" s="131">
        <f t="shared" ref="R44" si="89">Q44/$M$3</f>
        <v>-1849.8</v>
      </c>
      <c r="S44" s="182">
        <f>WORKDAY($M$1,R44,JoursFeries!$C$3:$CH$15)</f>
        <v>40305</v>
      </c>
      <c r="T44" s="182">
        <f>WORKDAY(S44,ROUND(SUMIF($S$8:$S$50,"&lt;="&amp;S44,$P$8:$P$50),0),JoursFeries!$C$3:$CH$15)</f>
        <v>40305</v>
      </c>
    </row>
    <row r="45" spans="1:20" x14ac:dyDescent="0.25">
      <c r="A45" s="181"/>
      <c r="B45" s="184"/>
      <c r="C45" s="184"/>
      <c r="D45" s="184"/>
      <c r="E45" s="184"/>
      <c r="F45" s="184"/>
      <c r="G45" s="184"/>
      <c r="H45" s="184"/>
      <c r="I45" s="184"/>
      <c r="J45" s="184"/>
      <c r="K45" s="136"/>
      <c r="L45" s="139"/>
      <c r="M45" s="148"/>
      <c r="N45" s="131"/>
      <c r="O45" s="148"/>
      <c r="P45" s="131"/>
      <c r="Q45" s="131"/>
      <c r="R45" s="131"/>
      <c r="S45" s="182"/>
      <c r="T45" s="182"/>
    </row>
    <row r="46" spans="1:20" x14ac:dyDescent="0.25">
      <c r="A46" s="180">
        <f t="shared" ref="A46" si="90">T46</f>
        <v>39279</v>
      </c>
      <c r="B46" s="184">
        <f>WORKDAY(A46,$L$46/$M$3+ROUND(SUMIF(A$8:A$50,"&lt;="&amp;A46,$P$8:$P$50),0),JoursFeries!$C$3:$CH$15)</f>
        <v>39645</v>
      </c>
      <c r="C46" s="184">
        <f>WORKDAY(B46,$L$46/$M$3+ROUND(SUMIF(B$8:B$50,"&lt;="&amp;B46,$P$8:$P$50),0),JoursFeries!$C$3:$CH$15)</f>
        <v>40011</v>
      </c>
      <c r="D46" s="184">
        <f>WORKDAY(C46,$L$46/$M$3+ROUND(SUMIF(C$8:C$50,"&lt;="&amp;C46,$P$8:$P$50),0),JoursFeries!$C$3:$CH$15)</f>
        <v>40379</v>
      </c>
      <c r="E46" s="184">
        <f>WORKDAY(D46,$L$46/$M$3+ROUND(SUMIF(D$8:D$50,"&lt;="&amp;D46,$P$8:$P$50),0),JoursFeries!$C$3:$CH$15)</f>
        <v>40745</v>
      </c>
      <c r="F46" s="184">
        <f>WORKDAY(E46,$L$46/$M$3+ROUND(SUMIF(E$8:E$50,"&lt;="&amp;E46,$P$8:$P$50),0),JoursFeries!$C$3:$CH$15)</f>
        <v>41113</v>
      </c>
      <c r="G46" s="184">
        <f>WORKDAY(F46,$L$46/$M$3+ROUND(SUMIF(F$8:F$50,"&lt;="&amp;F46,$P$8:$P$50),0),JoursFeries!$C$3:$CH$15)</f>
        <v>41479</v>
      </c>
      <c r="H46" s="184">
        <f>WORKDAY(G46,$L$46/$M$3+ROUND(SUMIF(G$8:G$50,"&lt;="&amp;G46,$P$8:$P$50),0),JoursFeries!$C$3:$CH$15)</f>
        <v>41845</v>
      </c>
      <c r="I46" s="184">
        <f>WORKDAY(H46,$L$46/$M$3+ROUND(SUMIF(H$8:H$50,"&lt;="&amp;H46,$P$8:$P$50),0),JoursFeries!$C$3:$CH$15)</f>
        <v>42213</v>
      </c>
      <c r="J46" s="184">
        <f>WORKDAY(I46,$L$46/$M$3+ROUND(SUMIF(I$8:I$50,"&lt;="&amp;I46,$P$8:$P$50),0),JoursFeries!$C$3:$CH$15)</f>
        <v>42579</v>
      </c>
      <c r="K46" s="136" t="s">
        <v>21</v>
      </c>
      <c r="L46" s="139">
        <v>2626</v>
      </c>
      <c r="M46" s="148">
        <f>-21303</f>
        <v>-21303</v>
      </c>
      <c r="N46" s="131">
        <f t="shared" ref="N46" si="91">M46+L46</f>
        <v>-18677</v>
      </c>
      <c r="O46" s="148"/>
      <c r="P46" s="131">
        <f t="shared" ref="P46" si="92">O46/$M$3</f>
        <v>0</v>
      </c>
      <c r="Q46" s="131">
        <f t="shared" ref="Q46" si="93">N46-$M$2</f>
        <v>-25832</v>
      </c>
      <c r="R46" s="131">
        <f t="shared" ref="R46" si="94">Q46/$M$3</f>
        <v>-2583.1999999999998</v>
      </c>
      <c r="S46" s="182">
        <f>WORKDAY($M$1,R46,JoursFeries!$C$3:$CH$15)</f>
        <v>39279</v>
      </c>
      <c r="T46" s="182">
        <f>WORKDAY(S46,ROUND(SUMIF($S$8:$S$50,"&lt;="&amp;S46,$P$8:$P$50),0),JoursFeries!$C$3:$CH$15)</f>
        <v>39279</v>
      </c>
    </row>
    <row r="47" spans="1:20" x14ac:dyDescent="0.25">
      <c r="A47" s="181"/>
      <c r="B47" s="184"/>
      <c r="C47" s="184"/>
      <c r="D47" s="184"/>
      <c r="E47" s="184"/>
      <c r="F47" s="184"/>
      <c r="G47" s="184"/>
      <c r="H47" s="184"/>
      <c r="I47" s="184"/>
      <c r="J47" s="184"/>
      <c r="K47" s="136"/>
      <c r="L47" s="139"/>
      <c r="M47" s="148"/>
      <c r="N47" s="131"/>
      <c r="O47" s="148"/>
      <c r="P47" s="131"/>
      <c r="Q47" s="131"/>
      <c r="R47" s="131"/>
      <c r="S47" s="182"/>
      <c r="T47" s="182"/>
    </row>
    <row r="48" spans="1:20" x14ac:dyDescent="0.25">
      <c r="A48" s="180">
        <f t="shared" ref="A48" si="95">T48</f>
        <v>43188</v>
      </c>
      <c r="B48" s="184">
        <f>WORKDAY(A48,$L$48/$M$3+ROUND(SUMIF(A$8:A$50,"&lt;="&amp;A48,$P$8:$P$50),0),JoursFeries!$C$3:$CH$15)</f>
        <v>43480</v>
      </c>
      <c r="C48" s="184">
        <f>WORKDAY(B48,$L$48/$M$3+ROUND(SUMIF(B$8:B$50,"&lt;="&amp;B48,$P$8:$P$50),0),JoursFeries!$C$3:$CH$15)</f>
        <v>43768</v>
      </c>
      <c r="D48" s="184">
        <f>WORKDAY(C48,$L$48/$M$3+ROUND(SUMIF(C$8:C$50,"&lt;="&amp;C48,$P$8:$P$50),0),JoursFeries!$C$3:$CH$15)</f>
        <v>44061</v>
      </c>
      <c r="E48" s="184">
        <f>WORKDAY(D48,$L$48/$M$3+ROUND(SUMIF(D$8:D$50,"&lt;="&amp;D48,$P$8:$P$50),0),JoursFeries!$C$3:$CH$15)</f>
        <v>44349</v>
      </c>
      <c r="F48" s="184">
        <f>WORKDAY(E48,$L$48/$M$3+ROUND(SUMIF(E$8:E$50,"&lt;="&amp;E48,$P$8:$P$50),0),JoursFeries!$C$3:$CH$15)</f>
        <v>44631</v>
      </c>
      <c r="G48" s="184">
        <f>WORKDAY(F48,$L$48/$M$3+ROUND(SUMIF(F$8:F$50,"&lt;="&amp;F48,$P$8:$P$50),0),JoursFeries!$C$3:$CH$15)</f>
        <v>44921</v>
      </c>
      <c r="H48" s="184">
        <f>WORKDAY(G48,$L$48/$M$3+ROUND(SUMIF(G$8:G$50,"&lt;="&amp;G48,$P$8:$P$50),0),JoursFeries!$C$3:$CH$15)</f>
        <v>45210</v>
      </c>
      <c r="I48" s="184">
        <f>WORKDAY(H48,$L$48/$M$3+ROUND(SUMIF(H$8:H$50,"&lt;="&amp;H48,$P$8:$P$50),0),JoursFeries!$C$3:$CH$15)</f>
        <v>45499</v>
      </c>
      <c r="J48" s="184">
        <f>WORKDAY(I48,$L$48/$M$3+ROUND(SUMIF(I$8:I$50,"&lt;="&amp;I48,$P$8:$P$50),0),JoursFeries!$C$3:$CH$15)</f>
        <v>45790</v>
      </c>
      <c r="K48" s="136" t="s">
        <v>22</v>
      </c>
      <c r="L48" s="139">
        <v>2000</v>
      </c>
      <c r="M48" s="148">
        <v>7155</v>
      </c>
      <c r="N48" s="131">
        <f t="shared" ref="N48" si="96">M48+L48</f>
        <v>9155</v>
      </c>
      <c r="O48" s="148"/>
      <c r="P48" s="131">
        <f t="shared" ref="P48" si="97">O48/$M$3</f>
        <v>0</v>
      </c>
      <c r="Q48" s="131">
        <f t="shared" ref="Q48" si="98">N48-$M$2</f>
        <v>2000</v>
      </c>
      <c r="R48" s="131">
        <f t="shared" ref="R48" si="99">Q48/$M$3</f>
        <v>200</v>
      </c>
      <c r="S48" s="182">
        <f>WORKDAY($M$1,R48,JoursFeries!$C$3:$CH$15)</f>
        <v>43188</v>
      </c>
      <c r="T48" s="182">
        <f>WORKDAY(S48,ROUND(SUMIF($S$8:$S$50,"&lt;="&amp;S48,$P$8:$P$50),0),JoursFeries!$C$3:$CH$15)</f>
        <v>43188</v>
      </c>
    </row>
    <row r="49" spans="1:20" x14ac:dyDescent="0.25">
      <c r="A49" s="181"/>
      <c r="B49" s="184"/>
      <c r="C49" s="184"/>
      <c r="D49" s="184"/>
      <c r="E49" s="184"/>
      <c r="F49" s="184"/>
      <c r="G49" s="184"/>
      <c r="H49" s="184"/>
      <c r="I49" s="184"/>
      <c r="J49" s="184"/>
      <c r="K49" s="136"/>
      <c r="L49" s="139"/>
      <c r="M49" s="148"/>
      <c r="N49" s="131"/>
      <c r="O49" s="148"/>
      <c r="P49" s="131"/>
      <c r="Q49" s="131"/>
      <c r="R49" s="131"/>
      <c r="S49" s="182"/>
      <c r="T49" s="182"/>
    </row>
    <row r="50" spans="1:20" x14ac:dyDescent="0.25">
      <c r="A50" s="180">
        <f t="shared" ref="A50" si="100">T50</f>
        <v>41893</v>
      </c>
      <c r="B50" s="184">
        <f>WORKDAY(A50,$L$50/$M$3+ROUND(SUMIF(A$8:A$50,"&lt;="&amp;A50,$P$8:$P$50),0),JoursFeries!$C$3:$CH$15)</f>
        <v>41893</v>
      </c>
      <c r="C50" s="184">
        <f>WORKDAY(B50,$L$50/$M$3+ROUND(SUMIF(B$8:B$50,"&lt;="&amp;B50,$P$8:$P$50),0),JoursFeries!$C$3:$CH$15)</f>
        <v>41893</v>
      </c>
      <c r="D50" s="184">
        <f>WORKDAY(C50,$L$50/$M$3+ROUND(SUMIF(C$8:C$50,"&lt;="&amp;C50,$P$8:$P$50),0),JoursFeries!$C$3:$CH$15)</f>
        <v>41893</v>
      </c>
      <c r="E50" s="184">
        <f>WORKDAY(D50,$L$50/$M$3+ROUND(SUMIF(D$8:D$50,"&lt;="&amp;D50,$P$8:$P$50),0),JoursFeries!$C$3:$CH$15)</f>
        <v>41893</v>
      </c>
      <c r="F50" s="184">
        <f>WORKDAY(E50,$L$50/$M$3+ROUND(SUMIF(E$8:E$50,"&lt;="&amp;E50,$P$8:$P$50),0),JoursFeries!$C$3:$CH$15)</f>
        <v>41893</v>
      </c>
      <c r="G50" s="184">
        <f>WORKDAY(F50,$L$50/$M$3+ROUND(SUMIF(F$8:F$50,"&lt;="&amp;F50,$P$8:$P$50),0),JoursFeries!$C$3:$CH$15)</f>
        <v>41893</v>
      </c>
      <c r="H50" s="184">
        <f>WORKDAY(G50,$L$50/$M$3+ROUND(SUMIF(G$8:G$50,"&lt;="&amp;G50,$P$8:$P$50),0),JoursFeries!$C$3:$CH$15)</f>
        <v>41893</v>
      </c>
      <c r="I50" s="184">
        <f>WORKDAY(H50,$L$50/$M$3+ROUND(SUMIF(H$8:H$50,"&lt;="&amp;H50,$P$8:$P$50),0),JoursFeries!$C$3:$CH$15)</f>
        <v>41893</v>
      </c>
      <c r="J50" s="184">
        <f>WORKDAY(I50,$L$50/$M$3+ROUND(SUMIF(I$8:I$50,"&lt;="&amp;I50,$P$8:$P$50),0),JoursFeries!$C$3:$CH$15)</f>
        <v>41893</v>
      </c>
      <c r="K50" s="131"/>
      <c r="L50" s="131"/>
      <c r="M50" s="148"/>
      <c r="N50" s="131">
        <f t="shared" ref="N50" si="101">M50+L50</f>
        <v>0</v>
      </c>
      <c r="O50" s="148"/>
      <c r="P50" s="131">
        <f t="shared" ref="P50" si="102">O50/$M$3</f>
        <v>0</v>
      </c>
      <c r="Q50" s="131">
        <f t="shared" ref="Q50" si="103">N50-$M$2</f>
        <v>-7155</v>
      </c>
      <c r="R50" s="131">
        <f t="shared" ref="R50" si="104">Q50/$M$3</f>
        <v>-715.5</v>
      </c>
      <c r="S50" s="182">
        <f>WORKDAY($M$1,R50,JoursFeries!$C$3:$CH$15)</f>
        <v>41893</v>
      </c>
      <c r="T50" s="182">
        <f>WORKDAY(S50,ROUND(SUMIF($S$8:$S$50,"&lt;="&amp;S50,$P$8:$P$50),0),JoursFeries!$C$3:$CH$15)</f>
        <v>41893</v>
      </c>
    </row>
    <row r="51" spans="1:20" x14ac:dyDescent="0.25">
      <c r="A51" s="181"/>
      <c r="B51" s="184"/>
      <c r="C51" s="184"/>
      <c r="D51" s="184"/>
      <c r="E51" s="184"/>
      <c r="F51" s="184"/>
      <c r="G51" s="184"/>
      <c r="H51" s="184"/>
      <c r="I51" s="184"/>
      <c r="J51" s="184"/>
      <c r="K51" s="131"/>
      <c r="L51" s="131"/>
      <c r="M51" s="148"/>
      <c r="N51" s="131"/>
      <c r="O51" s="148"/>
      <c r="P51" s="131"/>
      <c r="Q51" s="131"/>
      <c r="R51" s="131"/>
      <c r="S51" s="182"/>
      <c r="T51" s="182"/>
    </row>
    <row r="52" spans="1:20" x14ac:dyDescent="0.25">
      <c r="A52" s="180">
        <f t="shared" ref="A52" si="105">T52</f>
        <v>41893</v>
      </c>
      <c r="B52" s="184">
        <f>WORKDAY(A52,$L$50/$M$3+ROUND(SUMIF(A$8:A$50,"&lt;="&amp;A52,$P$8:$P$50),0),JoursFeries!$C$3:$CH$15)</f>
        <v>41893</v>
      </c>
      <c r="C52" s="184">
        <f>WORKDAY(B52,$L$50/$M$3+ROUND(SUMIF(B$8:B$50,"&lt;="&amp;B52,$P$8:$P$50),0),JoursFeries!$C$3:$CH$15)</f>
        <v>41893</v>
      </c>
      <c r="D52" s="184">
        <f>WORKDAY(C52,$L$50/$M$3+ROUND(SUMIF(C$8:C$50,"&lt;="&amp;C52,$P$8:$P$50),0),JoursFeries!$C$3:$CH$15)</f>
        <v>41893</v>
      </c>
      <c r="E52" s="184">
        <f>WORKDAY(D52,$L$50/$M$3+ROUND(SUMIF(D$8:D$50,"&lt;="&amp;D52,$P$8:$P$50),0),JoursFeries!$C$3:$CH$15)</f>
        <v>41893</v>
      </c>
      <c r="F52" s="184">
        <f>WORKDAY(E52,$L$50/$M$3+ROUND(SUMIF(E$8:E$50,"&lt;="&amp;E52,$P$8:$P$50),0),JoursFeries!$C$3:$CH$15)</f>
        <v>41893</v>
      </c>
      <c r="G52" s="184">
        <f>WORKDAY(F52,$L$50/$M$3+ROUND(SUMIF(F$8:F$50,"&lt;="&amp;F52,$P$8:$P$50),0),JoursFeries!$C$3:$CH$15)</f>
        <v>41893</v>
      </c>
      <c r="H52" s="184">
        <f>WORKDAY(G52,$L$50/$M$3+ROUND(SUMIF(G$8:G$50,"&lt;="&amp;G52,$P$8:$P$50),0),JoursFeries!$C$3:$CH$15)</f>
        <v>41893</v>
      </c>
      <c r="I52" s="184">
        <f>WORKDAY(H52,$L$50/$M$3+ROUND(SUMIF(H$8:H$50,"&lt;="&amp;H52,$P$8:$P$50),0),JoursFeries!$C$3:$CH$15)</f>
        <v>41893</v>
      </c>
      <c r="J52" s="184">
        <f>WORKDAY(I52,$L$50/$M$3+ROUND(SUMIF(I$8:I$50,"&lt;="&amp;I52,$P$8:$P$50),0),JoursFeries!$C$3:$CH$15)</f>
        <v>41893</v>
      </c>
      <c r="K52" s="131"/>
      <c r="L52" s="131"/>
      <c r="M52" s="148"/>
      <c r="N52" s="131">
        <f t="shared" ref="N52" si="106">M52+L52</f>
        <v>0</v>
      </c>
      <c r="O52" s="148"/>
      <c r="P52" s="131">
        <f t="shared" ref="P52" si="107">O52/$M$3</f>
        <v>0</v>
      </c>
      <c r="Q52" s="131">
        <f t="shared" ref="Q52" si="108">N52-$M$2</f>
        <v>-7155</v>
      </c>
      <c r="R52" s="131">
        <f t="shared" ref="R52" si="109">Q52/$M$3</f>
        <v>-715.5</v>
      </c>
      <c r="S52" s="182">
        <f>WORKDAY($M$1,R52,JoursFeries!$C$3:$CH$15)</f>
        <v>41893</v>
      </c>
      <c r="T52" s="182">
        <f>WORKDAY(S52,ROUND(SUMIF($S$8:$S$50,"&lt;="&amp;S52,$P$8:$P$50),0),JoursFeries!$C$3:$CH$15)</f>
        <v>41893</v>
      </c>
    </row>
    <row r="53" spans="1:20" x14ac:dyDescent="0.25">
      <c r="A53" s="181"/>
      <c r="B53" s="184"/>
      <c r="C53" s="184"/>
      <c r="D53" s="184"/>
      <c r="E53" s="184"/>
      <c r="F53" s="184"/>
      <c r="G53" s="184"/>
      <c r="H53" s="184"/>
      <c r="I53" s="184"/>
      <c r="J53" s="184"/>
      <c r="K53" s="131"/>
      <c r="L53" s="131"/>
      <c r="M53" s="148"/>
      <c r="N53" s="131"/>
      <c r="O53" s="148"/>
      <c r="P53" s="131"/>
      <c r="Q53" s="131"/>
      <c r="R53" s="131"/>
      <c r="S53" s="182"/>
      <c r="T53" s="182"/>
    </row>
  </sheetData>
  <mergeCells count="468">
    <mergeCell ref="D7:J7"/>
    <mergeCell ref="T1:V5"/>
    <mergeCell ref="C52:C53"/>
    <mergeCell ref="D52:D53"/>
    <mergeCell ref="E52:E53"/>
    <mergeCell ref="F52:F53"/>
    <mergeCell ref="G52:G53"/>
    <mergeCell ref="H52:H53"/>
    <mergeCell ref="I52:I53"/>
    <mergeCell ref="J52:J53"/>
    <mergeCell ref="C48:C49"/>
    <mergeCell ref="D48:D49"/>
    <mergeCell ref="E48:E49"/>
    <mergeCell ref="F48:F49"/>
    <mergeCell ref="G48:G49"/>
    <mergeCell ref="H48:H49"/>
    <mergeCell ref="I48:I49"/>
    <mergeCell ref="J48:J49"/>
    <mergeCell ref="C50:C51"/>
    <mergeCell ref="D50:D51"/>
    <mergeCell ref="E50:E51"/>
    <mergeCell ref="F50:F51"/>
    <mergeCell ref="G50:G51"/>
    <mergeCell ref="H50:H51"/>
    <mergeCell ref="I50:I51"/>
    <mergeCell ref="J50:J51"/>
    <mergeCell ref="C44:C45"/>
    <mergeCell ref="D44:D45"/>
    <mergeCell ref="E44:E45"/>
    <mergeCell ref="F44:F45"/>
    <mergeCell ref="G44:G45"/>
    <mergeCell ref="H44:H45"/>
    <mergeCell ref="I44:I45"/>
    <mergeCell ref="J44:J45"/>
    <mergeCell ref="C46:C47"/>
    <mergeCell ref="D46:D47"/>
    <mergeCell ref="E46:E47"/>
    <mergeCell ref="F46:F47"/>
    <mergeCell ref="G46:G47"/>
    <mergeCell ref="H46:H47"/>
    <mergeCell ref="I46:I47"/>
    <mergeCell ref="J46:J47"/>
    <mergeCell ref="C40:C41"/>
    <mergeCell ref="D40:D41"/>
    <mergeCell ref="E40:E41"/>
    <mergeCell ref="F40:F41"/>
    <mergeCell ref="G40:G41"/>
    <mergeCell ref="H40:H41"/>
    <mergeCell ref="I40:I41"/>
    <mergeCell ref="J40:J41"/>
    <mergeCell ref="C42:C43"/>
    <mergeCell ref="D42:D43"/>
    <mergeCell ref="E42:E43"/>
    <mergeCell ref="F42:F43"/>
    <mergeCell ref="G42:G43"/>
    <mergeCell ref="H42:H43"/>
    <mergeCell ref="I42:I43"/>
    <mergeCell ref="J42:J43"/>
    <mergeCell ref="C36:C37"/>
    <mergeCell ref="D36:D37"/>
    <mergeCell ref="E36:E37"/>
    <mergeCell ref="F36:F37"/>
    <mergeCell ref="G36:G37"/>
    <mergeCell ref="H36:H37"/>
    <mergeCell ref="I36:I37"/>
    <mergeCell ref="J36:J37"/>
    <mergeCell ref="C38:C39"/>
    <mergeCell ref="D38:D39"/>
    <mergeCell ref="E38:E39"/>
    <mergeCell ref="F38:F39"/>
    <mergeCell ref="G38:G39"/>
    <mergeCell ref="H38:H39"/>
    <mergeCell ref="I38:I39"/>
    <mergeCell ref="J38:J39"/>
    <mergeCell ref="C32:C33"/>
    <mergeCell ref="D32:D33"/>
    <mergeCell ref="E32:E33"/>
    <mergeCell ref="F32:F33"/>
    <mergeCell ref="G32:G33"/>
    <mergeCell ref="H32:H33"/>
    <mergeCell ref="I32:I33"/>
    <mergeCell ref="J32:J33"/>
    <mergeCell ref="C34:C35"/>
    <mergeCell ref="D34:D35"/>
    <mergeCell ref="E34:E35"/>
    <mergeCell ref="F34:F35"/>
    <mergeCell ref="G34:G35"/>
    <mergeCell ref="H34:H35"/>
    <mergeCell ref="I34:I35"/>
    <mergeCell ref="J34:J35"/>
    <mergeCell ref="C28:C29"/>
    <mergeCell ref="D28:D29"/>
    <mergeCell ref="E28:E29"/>
    <mergeCell ref="F28:F29"/>
    <mergeCell ref="G28:G29"/>
    <mergeCell ref="H28:H29"/>
    <mergeCell ref="I28:I29"/>
    <mergeCell ref="J28:J29"/>
    <mergeCell ref="C30:C31"/>
    <mergeCell ref="D30:D31"/>
    <mergeCell ref="E30:E31"/>
    <mergeCell ref="F30:F31"/>
    <mergeCell ref="G30:G31"/>
    <mergeCell ref="H30:H31"/>
    <mergeCell ref="I30:I31"/>
    <mergeCell ref="J30:J31"/>
    <mergeCell ref="F24:F25"/>
    <mergeCell ref="G24:G25"/>
    <mergeCell ref="H24:H25"/>
    <mergeCell ref="I24:I25"/>
    <mergeCell ref="J24:J25"/>
    <mergeCell ref="C26:C27"/>
    <mergeCell ref="D26:D27"/>
    <mergeCell ref="E26:E27"/>
    <mergeCell ref="F26:F27"/>
    <mergeCell ref="G26:G27"/>
    <mergeCell ref="H26:H27"/>
    <mergeCell ref="I26:I27"/>
    <mergeCell ref="J26:J27"/>
    <mergeCell ref="I20:I21"/>
    <mergeCell ref="J20:J21"/>
    <mergeCell ref="C22:C23"/>
    <mergeCell ref="D22:D23"/>
    <mergeCell ref="E22:E23"/>
    <mergeCell ref="F22:F23"/>
    <mergeCell ref="G22:G23"/>
    <mergeCell ref="H22:H23"/>
    <mergeCell ref="I22:I23"/>
    <mergeCell ref="J22:J23"/>
    <mergeCell ref="I16:I17"/>
    <mergeCell ref="J16:J17"/>
    <mergeCell ref="C18:C19"/>
    <mergeCell ref="D18:D19"/>
    <mergeCell ref="E18:E19"/>
    <mergeCell ref="F18:F19"/>
    <mergeCell ref="G18:G19"/>
    <mergeCell ref="H18:H19"/>
    <mergeCell ref="I18:I19"/>
    <mergeCell ref="J18:J19"/>
    <mergeCell ref="I12:I13"/>
    <mergeCell ref="J12:J13"/>
    <mergeCell ref="C14:C15"/>
    <mergeCell ref="D14:D15"/>
    <mergeCell ref="E14:E15"/>
    <mergeCell ref="F14:F15"/>
    <mergeCell ref="G14:G15"/>
    <mergeCell ref="H14:H15"/>
    <mergeCell ref="I14:I15"/>
    <mergeCell ref="J14:J15"/>
    <mergeCell ref="B48:B49"/>
    <mergeCell ref="B50:B51"/>
    <mergeCell ref="B52:B53"/>
    <mergeCell ref="C12:C13"/>
    <mergeCell ref="D12:D13"/>
    <mergeCell ref="E12:E13"/>
    <mergeCell ref="F12:F13"/>
    <mergeCell ref="G12:G13"/>
    <mergeCell ref="H12:H13"/>
    <mergeCell ref="C16:C17"/>
    <mergeCell ref="D16:D17"/>
    <mergeCell ref="E16:E17"/>
    <mergeCell ref="F16:F17"/>
    <mergeCell ref="G16:G17"/>
    <mergeCell ref="H16:H17"/>
    <mergeCell ref="C20:C21"/>
    <mergeCell ref="D20:D21"/>
    <mergeCell ref="E20:E21"/>
    <mergeCell ref="F20:F21"/>
    <mergeCell ref="G20:G21"/>
    <mergeCell ref="H20:H21"/>
    <mergeCell ref="C24:C25"/>
    <mergeCell ref="D24:D25"/>
    <mergeCell ref="E24:E25"/>
    <mergeCell ref="B30:B31"/>
    <mergeCell ref="B32:B33"/>
    <mergeCell ref="B34:B35"/>
    <mergeCell ref="B36:B37"/>
    <mergeCell ref="B38:B39"/>
    <mergeCell ref="B40:B41"/>
    <mergeCell ref="B42:B43"/>
    <mergeCell ref="B44:B45"/>
    <mergeCell ref="B46:B47"/>
    <mergeCell ref="B12:B13"/>
    <mergeCell ref="B14:B15"/>
    <mergeCell ref="B16:B17"/>
    <mergeCell ref="B18:B19"/>
    <mergeCell ref="B20:B21"/>
    <mergeCell ref="B22:B23"/>
    <mergeCell ref="B24:B25"/>
    <mergeCell ref="B26:B27"/>
    <mergeCell ref="B28:B29"/>
    <mergeCell ref="B10:B11"/>
    <mergeCell ref="C10:C11"/>
    <mergeCell ref="D10:D11"/>
    <mergeCell ref="E10:E11"/>
    <mergeCell ref="F10:F11"/>
    <mergeCell ref="G10:G11"/>
    <mergeCell ref="H10:H11"/>
    <mergeCell ref="I10:I11"/>
    <mergeCell ref="J10:J11"/>
    <mergeCell ref="B8:B9"/>
    <mergeCell ref="C8:C9"/>
    <mergeCell ref="D8:D9"/>
    <mergeCell ref="E8:E9"/>
    <mergeCell ref="F8:F9"/>
    <mergeCell ref="J8:J9"/>
    <mergeCell ref="G8:G9"/>
    <mergeCell ref="H8:H9"/>
    <mergeCell ref="I8:I9"/>
    <mergeCell ref="T52:T53"/>
    <mergeCell ref="K52:K53"/>
    <mergeCell ref="L52:L53"/>
    <mergeCell ref="M52:M53"/>
    <mergeCell ref="N52:N53"/>
    <mergeCell ref="O52:O53"/>
    <mergeCell ref="P52:P53"/>
    <mergeCell ref="Q52:Q53"/>
    <mergeCell ref="R52:R53"/>
    <mergeCell ref="S52:S53"/>
    <mergeCell ref="L6:L7"/>
    <mergeCell ref="K8:K9"/>
    <mergeCell ref="K20:K21"/>
    <mergeCell ref="K34:K35"/>
    <mergeCell ref="K10:K11"/>
    <mergeCell ref="K12:K13"/>
    <mergeCell ref="K14:K15"/>
    <mergeCell ref="K16:K17"/>
    <mergeCell ref="K18:K19"/>
    <mergeCell ref="K22:K23"/>
    <mergeCell ref="K6:K7"/>
    <mergeCell ref="M34:M35"/>
    <mergeCell ref="K24:K25"/>
    <mergeCell ref="K26:K27"/>
    <mergeCell ref="K28:K29"/>
    <mergeCell ref="K30:K31"/>
    <mergeCell ref="K32:K33"/>
    <mergeCell ref="L8:L9"/>
    <mergeCell ref="L20:L21"/>
    <mergeCell ref="L34:L35"/>
    <mergeCell ref="L10:L11"/>
    <mergeCell ref="L12:L13"/>
    <mergeCell ref="L14:L15"/>
    <mergeCell ref="L16:L17"/>
    <mergeCell ref="L18:L19"/>
    <mergeCell ref="L22:L23"/>
    <mergeCell ref="L24:L25"/>
    <mergeCell ref="L26:L27"/>
    <mergeCell ref="L28:L29"/>
    <mergeCell ref="L30:L31"/>
    <mergeCell ref="L32:L33"/>
    <mergeCell ref="M42:M43"/>
    <mergeCell ref="M44:M45"/>
    <mergeCell ref="M48:M49"/>
    <mergeCell ref="M46:M47"/>
    <mergeCell ref="K36:K37"/>
    <mergeCell ref="K38:K39"/>
    <mergeCell ref="K40:K41"/>
    <mergeCell ref="K42:K43"/>
    <mergeCell ref="K44:K45"/>
    <mergeCell ref="K46:K47"/>
    <mergeCell ref="K48:K49"/>
    <mergeCell ref="L36:L37"/>
    <mergeCell ref="L38:L39"/>
    <mergeCell ref="L40:L41"/>
    <mergeCell ref="M38:M39"/>
    <mergeCell ref="M6:M7"/>
    <mergeCell ref="N6:N7"/>
    <mergeCell ref="N8:N9"/>
    <mergeCell ref="N10:N11"/>
    <mergeCell ref="N12:N13"/>
    <mergeCell ref="N14:N15"/>
    <mergeCell ref="N16:N17"/>
    <mergeCell ref="N18:N19"/>
    <mergeCell ref="N20:N21"/>
    <mergeCell ref="M8:M9"/>
    <mergeCell ref="M20:M21"/>
    <mergeCell ref="M14:M15"/>
    <mergeCell ref="M16:M17"/>
    <mergeCell ref="M18:M19"/>
    <mergeCell ref="M10:M11"/>
    <mergeCell ref="M12:M13"/>
    <mergeCell ref="N40:N41"/>
    <mergeCell ref="N42:N43"/>
    <mergeCell ref="N44:N45"/>
    <mergeCell ref="N46:N47"/>
    <mergeCell ref="N48:N49"/>
    <mergeCell ref="N50:N51"/>
    <mergeCell ref="M50:M51"/>
    <mergeCell ref="N22:N23"/>
    <mergeCell ref="N24:N25"/>
    <mergeCell ref="N26:N27"/>
    <mergeCell ref="N28:N29"/>
    <mergeCell ref="N30:N31"/>
    <mergeCell ref="N32:N33"/>
    <mergeCell ref="N34:N35"/>
    <mergeCell ref="N36:N37"/>
    <mergeCell ref="N38:N39"/>
    <mergeCell ref="M22:M23"/>
    <mergeCell ref="M24:M25"/>
    <mergeCell ref="M26:M27"/>
    <mergeCell ref="M28:M29"/>
    <mergeCell ref="M30:M31"/>
    <mergeCell ref="M32:M33"/>
    <mergeCell ref="M36:M37"/>
    <mergeCell ref="M40:M41"/>
    <mergeCell ref="L50:L51"/>
    <mergeCell ref="K50:K51"/>
    <mergeCell ref="L42:L43"/>
    <mergeCell ref="L44:L45"/>
    <mergeCell ref="L46:L47"/>
    <mergeCell ref="L48:L49"/>
    <mergeCell ref="O6:P6"/>
    <mergeCell ref="Q6:T6"/>
    <mergeCell ref="O8:O9"/>
    <mergeCell ref="P8:P9"/>
    <mergeCell ref="Q8:Q9"/>
    <mergeCell ref="R8:R9"/>
    <mergeCell ref="S8:S9"/>
    <mergeCell ref="T8:T9"/>
    <mergeCell ref="O10:O11"/>
    <mergeCell ref="Q10:Q11"/>
    <mergeCell ref="S10:S11"/>
    <mergeCell ref="O32:O33"/>
    <mergeCell ref="O34:O35"/>
    <mergeCell ref="O36:O37"/>
    <mergeCell ref="O38:O39"/>
    <mergeCell ref="O40:O41"/>
    <mergeCell ref="O42:O43"/>
    <mergeCell ref="O44:O45"/>
    <mergeCell ref="O46:O47"/>
    <mergeCell ref="O12:O13"/>
    <mergeCell ref="O14:O15"/>
    <mergeCell ref="O16:O17"/>
    <mergeCell ref="O18:O19"/>
    <mergeCell ref="O20:O21"/>
    <mergeCell ref="O22:O23"/>
    <mergeCell ref="O24:O25"/>
    <mergeCell ref="O26:O27"/>
    <mergeCell ref="O28:O29"/>
    <mergeCell ref="O48:O49"/>
    <mergeCell ref="O50:O51"/>
    <mergeCell ref="P10:P11"/>
    <mergeCell ref="P12:P13"/>
    <mergeCell ref="P14:P15"/>
    <mergeCell ref="P16:P17"/>
    <mergeCell ref="P18:P19"/>
    <mergeCell ref="P20:P21"/>
    <mergeCell ref="P22:P23"/>
    <mergeCell ref="P24:P25"/>
    <mergeCell ref="P26:P27"/>
    <mergeCell ref="P28:P29"/>
    <mergeCell ref="P30:P31"/>
    <mergeCell ref="P32:P33"/>
    <mergeCell ref="P34:P35"/>
    <mergeCell ref="P36:P37"/>
    <mergeCell ref="P38:P39"/>
    <mergeCell ref="P40:P41"/>
    <mergeCell ref="P42:P43"/>
    <mergeCell ref="P44:P45"/>
    <mergeCell ref="P46:P47"/>
    <mergeCell ref="P48:P49"/>
    <mergeCell ref="P50:P51"/>
    <mergeCell ref="O30:O31"/>
    <mergeCell ref="Q32:Q33"/>
    <mergeCell ref="Q34:Q35"/>
    <mergeCell ref="Q36:Q37"/>
    <mergeCell ref="Q38:Q39"/>
    <mergeCell ref="Q40:Q41"/>
    <mergeCell ref="Q42:Q43"/>
    <mergeCell ref="Q44:Q45"/>
    <mergeCell ref="Q46:Q47"/>
    <mergeCell ref="Q12:Q13"/>
    <mergeCell ref="Q14:Q15"/>
    <mergeCell ref="Q16:Q17"/>
    <mergeCell ref="Q18:Q19"/>
    <mergeCell ref="Q20:Q21"/>
    <mergeCell ref="Q22:Q23"/>
    <mergeCell ref="Q24:Q25"/>
    <mergeCell ref="Q26:Q27"/>
    <mergeCell ref="Q28:Q29"/>
    <mergeCell ref="Q48:Q49"/>
    <mergeCell ref="Q50:Q51"/>
    <mergeCell ref="R10:R11"/>
    <mergeCell ref="R12:R13"/>
    <mergeCell ref="R14:R15"/>
    <mergeCell ref="R16:R17"/>
    <mergeCell ref="R18:R19"/>
    <mergeCell ref="R20:R21"/>
    <mergeCell ref="R22:R23"/>
    <mergeCell ref="R24:R25"/>
    <mergeCell ref="R26:R27"/>
    <mergeCell ref="R28:R29"/>
    <mergeCell ref="R30:R31"/>
    <mergeCell ref="R32:R33"/>
    <mergeCell ref="R34:R35"/>
    <mergeCell ref="R36:R37"/>
    <mergeCell ref="R38:R39"/>
    <mergeCell ref="R40:R41"/>
    <mergeCell ref="R42:R43"/>
    <mergeCell ref="R44:R45"/>
    <mergeCell ref="R46:R47"/>
    <mergeCell ref="R48:R49"/>
    <mergeCell ref="R50:R51"/>
    <mergeCell ref="Q30:Q31"/>
    <mergeCell ref="S32:S33"/>
    <mergeCell ref="S34:S35"/>
    <mergeCell ref="S36:S37"/>
    <mergeCell ref="S38:S39"/>
    <mergeCell ref="S40:S41"/>
    <mergeCell ref="S42:S43"/>
    <mergeCell ref="S44:S45"/>
    <mergeCell ref="S46:S47"/>
    <mergeCell ref="S12:S13"/>
    <mergeCell ref="S14:S15"/>
    <mergeCell ref="S16:S17"/>
    <mergeCell ref="S18:S19"/>
    <mergeCell ref="S20:S21"/>
    <mergeCell ref="S22:S23"/>
    <mergeCell ref="S24:S25"/>
    <mergeCell ref="S26:S27"/>
    <mergeCell ref="S28:S29"/>
    <mergeCell ref="S48:S49"/>
    <mergeCell ref="S50:S51"/>
    <mergeCell ref="T10:T11"/>
    <mergeCell ref="T12:T13"/>
    <mergeCell ref="T14:T15"/>
    <mergeCell ref="T16:T17"/>
    <mergeCell ref="T18:T19"/>
    <mergeCell ref="T20:T21"/>
    <mergeCell ref="T22:T23"/>
    <mergeCell ref="T24:T25"/>
    <mergeCell ref="T26:T27"/>
    <mergeCell ref="T28:T29"/>
    <mergeCell ref="T30:T31"/>
    <mergeCell ref="T32:T33"/>
    <mergeCell ref="T34:T35"/>
    <mergeCell ref="T36:T37"/>
    <mergeCell ref="T38:T39"/>
    <mergeCell ref="T40:T41"/>
    <mergeCell ref="T42:T43"/>
    <mergeCell ref="T44:T45"/>
    <mergeCell ref="T46:T47"/>
    <mergeCell ref="T48:T49"/>
    <mergeCell ref="T50:T51"/>
    <mergeCell ref="S30:S31"/>
    <mergeCell ref="A8:A9"/>
    <mergeCell ref="A10:A11"/>
    <mergeCell ref="A12:A13"/>
    <mergeCell ref="A14:A15"/>
    <mergeCell ref="A16:A17"/>
    <mergeCell ref="A18:A19"/>
    <mergeCell ref="A20:A21"/>
    <mergeCell ref="A22:A23"/>
    <mergeCell ref="A24:A25"/>
    <mergeCell ref="A44:A45"/>
    <mergeCell ref="A46:A47"/>
    <mergeCell ref="A48:A49"/>
    <mergeCell ref="A50:A51"/>
    <mergeCell ref="A52:A53"/>
    <mergeCell ref="A26:A27"/>
    <mergeCell ref="A28:A29"/>
    <mergeCell ref="A30:A31"/>
    <mergeCell ref="A32:A33"/>
    <mergeCell ref="A34:A35"/>
    <mergeCell ref="A36:A37"/>
    <mergeCell ref="A38:A39"/>
    <mergeCell ref="A40:A41"/>
    <mergeCell ref="A42:A43"/>
  </mergeCells>
  <conditionalFormatting sqref="Q8:R53">
    <cfRule type="cellIs" dxfId="23" priority="11" stopIfTrue="1" operator="lessThan">
      <formula>0</formula>
    </cfRule>
  </conditionalFormatting>
  <conditionalFormatting sqref="Q8:Q53">
    <cfRule type="cellIs" dxfId="22" priority="7" stopIfTrue="1" operator="greaterThan">
      <formula>100</formula>
    </cfRule>
    <cfRule type="cellIs" dxfId="21" priority="10" stopIfTrue="1" operator="greaterThan">
      <formula>0</formula>
    </cfRule>
  </conditionalFormatting>
  <conditionalFormatting sqref="R8:R53">
    <cfRule type="cellIs" dxfId="20" priority="8" stopIfTrue="1" operator="greaterThan">
      <formula>10</formula>
    </cfRule>
    <cfRule type="cellIs" dxfId="19" priority="9" stopIfTrue="1" operator="greaterThan">
      <formula>0</formula>
    </cfRule>
  </conditionalFormatting>
  <conditionalFormatting sqref="T8:T53">
    <cfRule type="cellIs" dxfId="18" priority="1" stopIfTrue="1" operator="greaterThan">
      <formula>WORKDAY($M$1,10)</formula>
    </cfRule>
    <cfRule type="cellIs" dxfId="17" priority="2" stopIfTrue="1" operator="greaterThan">
      <formula>$M$1</formula>
    </cfRule>
    <cfRule type="cellIs" dxfId="16" priority="3" stopIfTrue="1" operator="lessThan">
      <formula>$M$1</formula>
    </cfRule>
  </conditionalFormatting>
  <dataValidations count="1">
    <dataValidation type="list" showInputMessage="1" showErrorMessage="1" sqref="M4">
      <formula1>"0/14,0/31,5,Ballast"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7042" r:id="rId4" name="DTPicker21">
          <controlPr defaultSize="0" autoLine="0" autoPict="0" linkedCell="M1" r:id="rId5">
            <anchor moveWithCells="1">
              <from>
                <xdr:col>11</xdr:col>
                <xdr:colOff>1733550</xdr:colOff>
                <xdr:row>0</xdr:row>
                <xdr:rowOff>9525</xdr:rowOff>
              </from>
              <to>
                <xdr:col>13</xdr:col>
                <xdr:colOff>28575</xdr:colOff>
                <xdr:row>0</xdr:row>
                <xdr:rowOff>266700</xdr:rowOff>
              </to>
            </anchor>
          </controlPr>
        </control>
      </mc:Choice>
      <mc:Fallback>
        <control shapeId="87042" r:id="rId4" name="DTPicker2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Y81"/>
  <sheetViews>
    <sheetView topLeftCell="G1" zoomScale="85" zoomScaleNormal="85" workbookViewId="0">
      <pane ySplit="7" topLeftCell="A8" activePane="bottomLeft" state="frozen"/>
      <selection pane="bottomLeft" activeCell="W1" sqref="W1:Y5"/>
    </sheetView>
  </sheetViews>
  <sheetFormatPr baseColWidth="10" defaultRowHeight="15" x14ac:dyDescent="0.25"/>
  <cols>
    <col min="1" max="1" width="11.42578125" style="52"/>
    <col min="2" max="13" width="11.42578125" style="66"/>
    <col min="14" max="14" width="26.5703125" style="1" customWidth="1"/>
    <col min="15" max="15" width="26.28515625" style="1" customWidth="1"/>
    <col min="16" max="17" width="19.42578125" style="1" customWidth="1"/>
    <col min="18" max="19" width="11.42578125" style="1"/>
    <col min="20" max="20" width="10.5703125" style="1" customWidth="1"/>
    <col min="21" max="21" width="10.42578125" style="1" customWidth="1"/>
    <col min="22" max="22" width="2.42578125" style="1" customWidth="1"/>
    <col min="23" max="23" width="11.85546875" style="1" customWidth="1"/>
    <col min="24" max="16384" width="11.42578125" style="1"/>
  </cols>
  <sheetData>
    <row r="1" spans="1:25" ht="20.25" customHeight="1" x14ac:dyDescent="0.25">
      <c r="H1" s="104"/>
      <c r="I1" s="104"/>
      <c r="J1" s="113"/>
      <c r="K1" s="113"/>
      <c r="L1" s="113"/>
      <c r="O1" s="6" t="s">
        <v>421</v>
      </c>
      <c r="P1" s="10" t="s">
        <v>156</v>
      </c>
      <c r="W1" s="146" t="s">
        <v>438</v>
      </c>
      <c r="X1" s="146"/>
      <c r="Y1" s="146"/>
    </row>
    <row r="2" spans="1:25" ht="15" customHeight="1" x14ac:dyDescent="0.25">
      <c r="H2" s="104"/>
      <c r="I2" s="104"/>
      <c r="J2" s="113"/>
      <c r="K2" s="113"/>
      <c r="L2" s="113"/>
      <c r="O2" s="6" t="s">
        <v>105</v>
      </c>
      <c r="P2" s="9">
        <v>2000</v>
      </c>
      <c r="Q2" s="3" t="s">
        <v>0</v>
      </c>
      <c r="W2" s="146"/>
      <c r="X2" s="146"/>
      <c r="Y2" s="146"/>
    </row>
    <row r="3" spans="1:25" ht="15" customHeight="1" x14ac:dyDescent="0.25">
      <c r="H3" s="104"/>
      <c r="I3" s="104"/>
      <c r="J3" s="113"/>
      <c r="K3" s="113"/>
      <c r="L3" s="113"/>
      <c r="O3" s="6" t="s">
        <v>420</v>
      </c>
      <c r="P3" s="9">
        <v>10</v>
      </c>
      <c r="Q3" s="3" t="s">
        <v>1</v>
      </c>
      <c r="W3" s="146"/>
      <c r="X3" s="146"/>
      <c r="Y3" s="146"/>
    </row>
    <row r="4" spans="1:25" x14ac:dyDescent="0.25">
      <c r="H4" s="104"/>
      <c r="I4" s="104"/>
      <c r="J4" s="104"/>
      <c r="K4" s="104"/>
      <c r="L4" s="104"/>
      <c r="O4" s="90"/>
      <c r="P4" s="19"/>
      <c r="Q4" s="90"/>
      <c r="R4" s="19"/>
      <c r="S4" s="110"/>
      <c r="W4" s="146"/>
      <c r="X4" s="146"/>
      <c r="Y4" s="146"/>
    </row>
    <row r="5" spans="1:25" x14ac:dyDescent="0.25">
      <c r="H5" s="104"/>
      <c r="I5" s="104"/>
      <c r="J5" s="104"/>
      <c r="K5" s="104"/>
      <c r="L5" s="104"/>
      <c r="W5" s="146"/>
      <c r="X5" s="146"/>
      <c r="Y5" s="146"/>
    </row>
    <row r="6" spans="1:25" x14ac:dyDescent="0.25">
      <c r="N6" s="131" t="s">
        <v>423</v>
      </c>
      <c r="O6" s="136" t="s">
        <v>23</v>
      </c>
      <c r="P6" s="136" t="s">
        <v>54</v>
      </c>
      <c r="Q6" s="136" t="s">
        <v>55</v>
      </c>
      <c r="R6" s="131" t="s">
        <v>28</v>
      </c>
      <c r="S6" s="131"/>
      <c r="T6" s="131" t="s">
        <v>24</v>
      </c>
      <c r="U6" s="131"/>
      <c r="V6" s="131"/>
      <c r="W6" s="131"/>
    </row>
    <row r="7" spans="1:25" x14ac:dyDescent="0.25">
      <c r="G7" s="131" t="s">
        <v>432</v>
      </c>
      <c r="H7" s="131"/>
      <c r="I7" s="131"/>
      <c r="J7" s="131"/>
      <c r="K7" s="131"/>
      <c r="L7" s="131"/>
      <c r="M7" s="131"/>
      <c r="N7" s="131"/>
      <c r="O7" s="137"/>
      <c r="P7" s="137"/>
      <c r="Q7" s="137"/>
      <c r="R7" s="7" t="s">
        <v>25</v>
      </c>
      <c r="S7" s="7" t="s">
        <v>26</v>
      </c>
      <c r="T7" s="7" t="s">
        <v>25</v>
      </c>
      <c r="U7" s="7" t="s">
        <v>26</v>
      </c>
      <c r="V7" s="7" t="s">
        <v>29</v>
      </c>
      <c r="W7" s="124" t="s">
        <v>27</v>
      </c>
    </row>
    <row r="8" spans="1:25" ht="15" customHeight="1" x14ac:dyDescent="0.25">
      <c r="A8" s="180">
        <f>W8</f>
        <v>42921</v>
      </c>
      <c r="B8" s="184">
        <f>WORKDAY(A8,$O8/$P$3+ROUND(SUMIF(A$8:A$50,"&lt;="&amp;A8,$S$8:$S$50),0),JoursFeries!$C$3:$CH$15)</f>
        <v>42979</v>
      </c>
      <c r="C8" s="184">
        <f>WORKDAY(B8,$O8/$P$3+ROUND(SUMIF(B$8:B$50,"&lt;="&amp;B8,$S$8:$S$50),0),JoursFeries!$C$3:$CH$15)</f>
        <v>43035</v>
      </c>
      <c r="D8" s="184">
        <f>WORKDAY(C8,$O8/$P$3+ROUND(SUMIF(C$8:C$50,"&lt;="&amp;C8,$S$8:$S$50),0),JoursFeries!$C$3:$CH$15)</f>
        <v>43091</v>
      </c>
      <c r="E8" s="184">
        <f>WORKDAY(D8,$O8/$P$3+ROUND(SUMIF(D$8:D$50,"&lt;="&amp;D8,$S$8:$S$50),0),JoursFeries!$C$3:$CH$15)</f>
        <v>43151</v>
      </c>
      <c r="F8" s="184">
        <f>WORKDAY(E8,$O8/$P$3+ROUND(SUMIF(E$8:E$50,"&lt;="&amp;E8,$S$8:$S$50),0),JoursFeries!$C$3:$CH$15)</f>
        <v>43208</v>
      </c>
      <c r="G8" s="184">
        <f>WORKDAY(F8,$O8/$P$3+ROUND(SUMIF(F$8:F$50,"&lt;="&amp;F8,$S$8:$S$50),0),JoursFeries!$C$3:$CH$15)</f>
        <v>43270</v>
      </c>
      <c r="H8" s="184">
        <f>WORKDAY(G8,$O8/$P$3+ROUND(SUMIF(G$8:G$50,"&lt;="&amp;G8,$S$8:$S$50),0),JoursFeries!$C$3:$CH$15)</f>
        <v>43326</v>
      </c>
      <c r="I8" s="184">
        <f>WORKDAY(H8,$O8/$P$3+ROUND(SUMIF(H$8:H$50,"&lt;="&amp;H8,$S$8:$S$50),0),JoursFeries!$C$3:$CH$15)</f>
        <v>43383</v>
      </c>
      <c r="J8" s="184">
        <f>WORKDAY(I8,$O8/$P$3+ROUND(SUMIF(I$8:I$50,"&lt;="&amp;I8,$S$8:$S$50),0),JoursFeries!$C$3:$CH$15)</f>
        <v>43439</v>
      </c>
      <c r="K8" s="184">
        <f>WORKDAY(J8,$O8/$P$3+ROUND(SUMIF(J$8:J$50,"&lt;="&amp;J8,$S$8:$S$50),0),JoursFeries!$C$3:$CH$15)</f>
        <v>43497</v>
      </c>
      <c r="L8" s="68"/>
      <c r="M8" s="68"/>
      <c r="N8" s="137" t="s">
        <v>2</v>
      </c>
      <c r="O8" s="139">
        <v>400</v>
      </c>
      <c r="P8" s="185">
        <v>1756</v>
      </c>
      <c r="Q8" s="131">
        <f>P8+O8</f>
        <v>2156</v>
      </c>
      <c r="R8" s="148"/>
      <c r="S8" s="131">
        <f>R8/$P$3</f>
        <v>0</v>
      </c>
      <c r="T8" s="131">
        <f>Q8-$P$2</f>
        <v>156</v>
      </c>
      <c r="U8" s="131">
        <f>T8/$P$3</f>
        <v>15.6</v>
      </c>
      <c r="V8" s="182">
        <f>WORKDAY($P$1,U8,JoursFeries!$C$3:$CH$15)</f>
        <v>42921</v>
      </c>
      <c r="W8" s="182">
        <f>WORKDAY(V8,ROUND(SUMIF($V$8:$V$50,"&lt;="&amp;V8,$S$8:$S$50),0),JoursFeries!$C$3:$CH$15)</f>
        <v>42921</v>
      </c>
    </row>
    <row r="9" spans="1:25" x14ac:dyDescent="0.25">
      <c r="A9" s="181"/>
      <c r="B9" s="184"/>
      <c r="C9" s="184"/>
      <c r="D9" s="184"/>
      <c r="E9" s="184"/>
      <c r="F9" s="184"/>
      <c r="G9" s="184"/>
      <c r="H9" s="184"/>
      <c r="I9" s="184"/>
      <c r="J9" s="184"/>
      <c r="K9" s="184"/>
      <c r="L9" s="68"/>
      <c r="M9" s="68"/>
      <c r="N9" s="186"/>
      <c r="O9" s="139"/>
      <c r="P9" s="185"/>
      <c r="Q9" s="131"/>
      <c r="R9" s="148"/>
      <c r="S9" s="131"/>
      <c r="T9" s="131"/>
      <c r="U9" s="131"/>
      <c r="V9" s="182"/>
      <c r="W9" s="182"/>
    </row>
    <row r="10" spans="1:25" x14ac:dyDescent="0.25">
      <c r="A10" s="180" t="e">
        <f t="shared" ref="A10" si="0">W10</f>
        <v>#VALUE!</v>
      </c>
      <c r="B10" s="184" t="e">
        <f>WORKDAY(A10,$O$10/$P$3+ROUND(SUMIF(A$8:A$50,"&lt;="&amp;A10,$S$8:$S$50),0),JoursFeries!$C$3:$CH$15)</f>
        <v>#VALUE!</v>
      </c>
      <c r="C10" s="184" t="e">
        <f>WORKDAY(B10,$O$10/$P$3+ROUND(SUMIF(B$8:B$50,"&lt;="&amp;B10,$S$8:$S$50),0),JoursFeries!$C$3:$CH$15)</f>
        <v>#VALUE!</v>
      </c>
      <c r="D10" s="184" t="e">
        <f>WORKDAY(C10,$O$10/$P$3+ROUND(SUMIF(C$8:C$50,"&lt;="&amp;C10,$S$8:$S$50),0),JoursFeries!$C$3:$CH$15)</f>
        <v>#VALUE!</v>
      </c>
      <c r="E10" s="184" t="e">
        <f>WORKDAY(D10,$O$10/$P$3+ROUND(SUMIF(D$8:D$50,"&lt;="&amp;D10,$S$8:$S$50),0),JoursFeries!$C$3:$CH$15)</f>
        <v>#VALUE!</v>
      </c>
      <c r="F10" s="184" t="e">
        <f>WORKDAY(E10,$O$10/$P$3+ROUND(SUMIF(E$8:E$50,"&lt;="&amp;E10,$S$8:$S$50),0),JoursFeries!$C$3:$CH$15)</f>
        <v>#VALUE!</v>
      </c>
      <c r="G10" s="184" t="e">
        <f>WORKDAY(F10,$O$10/$P$3+ROUND(SUMIF(F$8:F$50,"&lt;="&amp;F10,$S$8:$S$50),0),JoursFeries!$C$3:$CH$15)</f>
        <v>#VALUE!</v>
      </c>
      <c r="H10" s="184" t="e">
        <f>WORKDAY(G10,$O$10/$P$3+ROUND(SUMIF(G$8:G$50,"&lt;="&amp;G10,$S$8:$S$50),0),JoursFeries!$C$3:$CH$15)</f>
        <v>#VALUE!</v>
      </c>
      <c r="I10" s="184" t="e">
        <f>WORKDAY(H10,$O$10/$P$3+ROUND(SUMIF(H$8:H$50,"&lt;="&amp;H10,$S$8:$S$50),0),JoursFeries!$C$3:$CH$15)</f>
        <v>#VALUE!</v>
      </c>
      <c r="J10" s="184" t="e">
        <f>WORKDAY(I10,$O$10/$P$3+ROUND(SUMIF(I$8:I$50,"&lt;="&amp;I10,$S$8:$S$50),0),JoursFeries!$C$3:$CH$15)</f>
        <v>#VALUE!</v>
      </c>
      <c r="K10" s="184" t="e">
        <f>WORKDAY(J10,$O$10/$P$3+ROUND(SUMIF(J$8:J$50,"&lt;="&amp;J10,$S$8:$S$50),0),JoursFeries!$C$3:$CH$15)</f>
        <v>#VALUE!</v>
      </c>
      <c r="L10" s="68"/>
      <c r="M10" s="68"/>
      <c r="N10" s="183" t="s">
        <v>56</v>
      </c>
      <c r="O10" s="139" t="s">
        <v>78</v>
      </c>
      <c r="P10" s="185">
        <f>-18654</f>
        <v>-18654</v>
      </c>
      <c r="Q10" s="131" t="e">
        <f t="shared" ref="Q10" si="1">P10+O10</f>
        <v>#VALUE!</v>
      </c>
      <c r="R10" s="148"/>
      <c r="S10" s="131">
        <f t="shared" ref="S10" si="2">R10/$P$3</f>
        <v>0</v>
      </c>
      <c r="T10" s="131" t="e">
        <f t="shared" ref="T10" si="3">Q10-$P$2</f>
        <v>#VALUE!</v>
      </c>
      <c r="U10" s="131" t="e">
        <f t="shared" ref="U10" si="4">T10/$P$3</f>
        <v>#VALUE!</v>
      </c>
      <c r="V10" s="182" t="e">
        <f>WORKDAY($P$1,U10,JoursFeries!$C$3:$CH$15)</f>
        <v>#VALUE!</v>
      </c>
      <c r="W10" s="182" t="e">
        <f>WORKDAY(V10,ROUND(SUMIF($V$8:$V$50,"&lt;="&amp;V10,$S$8:$S$50),0),JoursFeries!$C$3:$CH$15)</f>
        <v>#VALUE!</v>
      </c>
    </row>
    <row r="11" spans="1:25" x14ac:dyDescent="0.25">
      <c r="A11" s="181"/>
      <c r="B11" s="184"/>
      <c r="C11" s="184"/>
      <c r="D11" s="184"/>
      <c r="E11" s="184"/>
      <c r="F11" s="184"/>
      <c r="G11" s="184"/>
      <c r="H11" s="184"/>
      <c r="I11" s="184"/>
      <c r="J11" s="184"/>
      <c r="K11" s="184"/>
      <c r="L11" s="68"/>
      <c r="M11" s="68"/>
      <c r="N11" s="183"/>
      <c r="O11" s="139"/>
      <c r="P11" s="185"/>
      <c r="Q11" s="131"/>
      <c r="R11" s="148"/>
      <c r="S11" s="131"/>
      <c r="T11" s="131"/>
      <c r="U11" s="131"/>
      <c r="V11" s="182"/>
      <c r="W11" s="182"/>
    </row>
    <row r="12" spans="1:25" x14ac:dyDescent="0.25">
      <c r="A12" s="180">
        <f t="shared" ref="A12" si="5">W12</f>
        <v>43679</v>
      </c>
      <c r="B12" s="184">
        <f>WORKDAY(A12,$O$12/$P$3+ROUND(SUMIF(A$8:A$50,"&lt;="&amp;A12,$S$8:$S$50),0),JoursFeries!$C$3:$CH$15)</f>
        <v>47606</v>
      </c>
      <c r="C12" s="184">
        <f>WORKDAY(B12,$O$12/$P$3+ROUND(SUMIF(B$8:B$50,"&lt;="&amp;B12,$S$8:$S$50),0),JoursFeries!$C$3:$CH$15)</f>
        <v>51531</v>
      </c>
      <c r="D12" s="184">
        <f>WORKDAY(C12,$O$12/$P$3+ROUND(SUMIF(C$8:C$50,"&lt;="&amp;C12,$S$8:$S$50),0),JoursFeries!$C$3:$CH$15)</f>
        <v>55460</v>
      </c>
      <c r="E12" s="184">
        <f>WORKDAY(D12,$O$12/$P$3+ROUND(SUMIF(D$8:D$50,"&lt;="&amp;D12,$S$8:$S$50),0),JoursFeries!$C$3:$CH$15)</f>
        <v>59391</v>
      </c>
      <c r="F12" s="184">
        <f>WORKDAY(E12,$O$12/$P$3+ROUND(SUMIF(E$8:E$50,"&lt;="&amp;E12,$S$8:$S$50),0),JoursFeries!$C$3:$CH$15)</f>
        <v>63319</v>
      </c>
      <c r="G12" s="184">
        <f>WORKDAY(F12,$O$12/$P$3+ROUND(SUMIF(F$8:F$50,"&lt;="&amp;F12,$S$8:$S$50),0),JoursFeries!$C$3:$CH$15)</f>
        <v>67244</v>
      </c>
      <c r="H12" s="184">
        <f>WORKDAY(G12,$O$12/$P$3+ROUND(SUMIF(G$8:G$50,"&lt;="&amp;G12,$S$8:$S$50),0),JoursFeries!$C$3:$CH$15)</f>
        <v>71172</v>
      </c>
      <c r="I12" s="184">
        <f>WORKDAY(H12,$O$12/$P$3+ROUND(SUMIF(H$8:H$50,"&lt;="&amp;H12,$S$8:$S$50),0),JoursFeries!$C$3:$CH$15)</f>
        <v>75046</v>
      </c>
      <c r="J12" s="184">
        <f>WORKDAY(I12,$O$12/$P$3+ROUND(SUMIF(I$8:I$50,"&lt;="&amp;I12,$S$8:$S$50),0),JoursFeries!$C$3:$CH$15)</f>
        <v>78854</v>
      </c>
      <c r="K12" s="184">
        <f>WORKDAY(J12,$O$12/$P$3+ROUND(SUMIF(J$8:J$50,"&lt;="&amp;J12,$S$8:$S$50),0),JoursFeries!$C$3:$CH$15)</f>
        <v>82662</v>
      </c>
      <c r="L12" s="68"/>
      <c r="M12" s="68"/>
      <c r="N12" s="183" t="s">
        <v>57</v>
      </c>
      <c r="O12" s="139">
        <v>27201</v>
      </c>
      <c r="P12" s="185">
        <f>-19799</f>
        <v>-19799</v>
      </c>
      <c r="Q12" s="131">
        <f t="shared" ref="Q12" si="6">P12+O12</f>
        <v>7402</v>
      </c>
      <c r="R12" s="148"/>
      <c r="S12" s="131">
        <f t="shared" ref="S12" si="7">R12/$P$3</f>
        <v>0</v>
      </c>
      <c r="T12" s="131">
        <f t="shared" ref="T12" si="8">Q12-$P$2</f>
        <v>5402</v>
      </c>
      <c r="U12" s="131">
        <f t="shared" ref="U12" si="9">T12/$P$3</f>
        <v>540.20000000000005</v>
      </c>
      <c r="V12" s="182">
        <f>WORKDAY($P$1,U12,JoursFeries!$C$3:$CH$15)</f>
        <v>43679</v>
      </c>
      <c r="W12" s="182">
        <f>WORKDAY(V12,ROUND(SUMIF($V$8:$V$50,"&lt;="&amp;V12,$S$8:$S$50),0),JoursFeries!$C$3:$CH$15)</f>
        <v>43679</v>
      </c>
    </row>
    <row r="13" spans="1:25" x14ac:dyDescent="0.25">
      <c r="A13" s="181"/>
      <c r="B13" s="184"/>
      <c r="C13" s="184"/>
      <c r="D13" s="184"/>
      <c r="E13" s="184"/>
      <c r="F13" s="184"/>
      <c r="G13" s="184"/>
      <c r="H13" s="184"/>
      <c r="I13" s="184"/>
      <c r="J13" s="184"/>
      <c r="K13" s="184"/>
      <c r="L13" s="68"/>
      <c r="M13" s="68"/>
      <c r="N13" s="183"/>
      <c r="O13" s="139"/>
      <c r="P13" s="185"/>
      <c r="Q13" s="131"/>
      <c r="R13" s="148"/>
      <c r="S13" s="131"/>
      <c r="T13" s="131"/>
      <c r="U13" s="131"/>
      <c r="V13" s="182"/>
      <c r="W13" s="182"/>
    </row>
    <row r="14" spans="1:25" ht="15" customHeight="1" x14ac:dyDescent="0.25">
      <c r="A14" s="180">
        <f t="shared" ref="A14" si="10">W14</f>
        <v>43679</v>
      </c>
      <c r="B14" s="184">
        <f>WORKDAY(A14,$O$14/$P$3+ROUND(SUMIF(A$8:A$50,"&lt;="&amp;A14,$S$8:$S$50),0),JoursFeries!$C$3:$CH$15)</f>
        <v>47606</v>
      </c>
      <c r="C14" s="184">
        <f>WORKDAY(B14,$O$14/$P$3+ROUND(SUMIF(B$8:B$50,"&lt;="&amp;B14,$S$8:$S$50),0),JoursFeries!$C$3:$CH$15)</f>
        <v>51531</v>
      </c>
      <c r="D14" s="184">
        <f>WORKDAY(C14,$O$14/$P$3+ROUND(SUMIF(C$8:C$50,"&lt;="&amp;C14,$S$8:$S$50),0),JoursFeries!$C$3:$CH$15)</f>
        <v>55460</v>
      </c>
      <c r="E14" s="184">
        <f>WORKDAY(D14,$O$14/$P$3+ROUND(SUMIF(D$8:D$50,"&lt;="&amp;D14,$S$8:$S$50),0),JoursFeries!$C$3:$CH$15)</f>
        <v>59391</v>
      </c>
      <c r="F14" s="184">
        <f>WORKDAY(E14,$O$14/$P$3+ROUND(SUMIF(E$8:E$50,"&lt;="&amp;E14,$S$8:$S$50),0),JoursFeries!$C$3:$CH$15)</f>
        <v>63319</v>
      </c>
      <c r="G14" s="184">
        <f>WORKDAY(F14,$O$14/$P$3+ROUND(SUMIF(F$8:F$50,"&lt;="&amp;F14,$S$8:$S$50),0),JoursFeries!$C$3:$CH$15)</f>
        <v>67244</v>
      </c>
      <c r="H14" s="184">
        <f>WORKDAY(G14,$O$14/$P$3+ROUND(SUMIF(G$8:G$50,"&lt;="&amp;G14,$S$8:$S$50),0),JoursFeries!$C$3:$CH$15)</f>
        <v>71172</v>
      </c>
      <c r="I14" s="184">
        <f>WORKDAY(H14,$O$14/$P$3+ROUND(SUMIF(H$8:H$50,"&lt;="&amp;H14,$S$8:$S$50),0),JoursFeries!$C$3:$CH$15)</f>
        <v>75046</v>
      </c>
      <c r="J14" s="184">
        <f>WORKDAY(I14,$O$14/$P$3+ROUND(SUMIF(I$8:I$50,"&lt;="&amp;I14,$S$8:$S$50),0),JoursFeries!$C$3:$CH$15)</f>
        <v>78854</v>
      </c>
      <c r="K14" s="184">
        <f>WORKDAY(J14,$O$14/$P$3+ROUND(SUMIF(J$8:J$50,"&lt;="&amp;J14,$S$8:$S$50),0),JoursFeries!$C$3:$CH$15)</f>
        <v>82662</v>
      </c>
      <c r="L14" s="68"/>
      <c r="M14" s="68"/>
      <c r="N14" s="183" t="s">
        <v>58</v>
      </c>
      <c r="O14" s="139">
        <v>27201</v>
      </c>
      <c r="P14" s="185">
        <f>-19799</f>
        <v>-19799</v>
      </c>
      <c r="Q14" s="131">
        <f t="shared" ref="Q14" si="11">P14+O14</f>
        <v>7402</v>
      </c>
      <c r="R14" s="148"/>
      <c r="S14" s="131">
        <f t="shared" ref="S14" si="12">R14/$P$3</f>
        <v>0</v>
      </c>
      <c r="T14" s="131">
        <f t="shared" ref="T14" si="13">Q14-$P$2</f>
        <v>5402</v>
      </c>
      <c r="U14" s="131">
        <f t="shared" ref="U14" si="14">T14/$P$3</f>
        <v>540.20000000000005</v>
      </c>
      <c r="V14" s="182">
        <f>WORKDAY($P$1,U14,JoursFeries!$C$3:$CH$15)</f>
        <v>43679</v>
      </c>
      <c r="W14" s="182">
        <f>WORKDAY(V14,ROUND(SUMIF($V$8:$V$50,"&lt;="&amp;V14,$S$8:$S$50),0),JoursFeries!$C$3:$CH$15)</f>
        <v>43679</v>
      </c>
    </row>
    <row r="15" spans="1:25" x14ac:dyDescent="0.25">
      <c r="A15" s="181"/>
      <c r="B15" s="184"/>
      <c r="C15" s="184"/>
      <c r="D15" s="184"/>
      <c r="E15" s="184"/>
      <c r="F15" s="184"/>
      <c r="G15" s="184"/>
      <c r="H15" s="184"/>
      <c r="I15" s="184"/>
      <c r="J15" s="184"/>
      <c r="K15" s="184"/>
      <c r="L15" s="68"/>
      <c r="M15" s="68"/>
      <c r="N15" s="183"/>
      <c r="O15" s="139"/>
      <c r="P15" s="185"/>
      <c r="Q15" s="131"/>
      <c r="R15" s="148"/>
      <c r="S15" s="131"/>
      <c r="T15" s="131"/>
      <c r="U15" s="131"/>
      <c r="V15" s="182"/>
      <c r="W15" s="182"/>
    </row>
    <row r="16" spans="1:25" ht="15" customHeight="1" x14ac:dyDescent="0.25">
      <c r="A16" s="180">
        <f t="shared" ref="A16" si="15">W16</f>
        <v>42541</v>
      </c>
      <c r="B16" s="184">
        <f>WORKDAY(A16,$O$16/$P$3+ROUND(SUMIF(A$8:A$50,"&lt;="&amp;A16,$S$8:$S$50),0),JoursFeries!$C$3:$CH$15)</f>
        <v>43112</v>
      </c>
      <c r="C16" s="184">
        <f>WORKDAY(B16,$O$16/$P$3+ROUND(SUMIF(B$8:B$50,"&lt;="&amp;B16,$S$8:$S$50),0),JoursFeries!$C$3:$CH$15)</f>
        <v>43691</v>
      </c>
      <c r="D16" s="184">
        <f>WORKDAY(C16,$O$16/$P$3+ROUND(SUMIF(C$8:C$50,"&lt;="&amp;C16,$S$8:$S$50),0),JoursFeries!$C$3:$CH$15)</f>
        <v>44270</v>
      </c>
      <c r="E16" s="184">
        <f>WORKDAY(D16,$O$16/$P$3+ROUND(SUMIF(D$8:D$50,"&lt;="&amp;D16,$S$8:$S$50),0),JoursFeries!$C$3:$CH$15)</f>
        <v>44844</v>
      </c>
      <c r="F16" s="184">
        <f>WORKDAY(E16,$O$16/$P$3+ROUND(SUMIF(E$8:E$50,"&lt;="&amp;E16,$S$8:$S$50),0),JoursFeries!$C$3:$CH$15)</f>
        <v>45422</v>
      </c>
      <c r="G16" s="184">
        <f>WORKDAY(F16,$O$16/$P$3+ROUND(SUMIF(F$8:F$50,"&lt;="&amp;F16,$S$8:$S$50),0),JoursFeries!$C$3:$CH$15)</f>
        <v>46001</v>
      </c>
      <c r="H16" s="184">
        <f>WORKDAY(G16,$O$16/$P$3+ROUND(SUMIF(G$8:G$50,"&lt;="&amp;G16,$S$8:$S$50),0),JoursFeries!$C$3:$CH$15)</f>
        <v>46581</v>
      </c>
      <c r="I16" s="184">
        <f>WORKDAY(H16,$O$16/$P$3+ROUND(SUMIF(H$8:H$50,"&lt;="&amp;H16,$S$8:$S$50),0),JoursFeries!$C$3:$CH$15)</f>
        <v>47156</v>
      </c>
      <c r="J16" s="184">
        <f>WORKDAY(I16,$O$16/$P$3+ROUND(SUMIF(I$8:I$50,"&lt;="&amp;I16,$S$8:$S$50),0),JoursFeries!$C$3:$CH$15)</f>
        <v>47736</v>
      </c>
      <c r="K16" s="184">
        <f>WORKDAY(J16,$O$16/$P$3+ROUND(SUMIF(J$8:J$50,"&lt;="&amp;J16,$S$8:$S$50),0),JoursFeries!$C$3:$CH$15)</f>
        <v>48316</v>
      </c>
      <c r="L16" s="68"/>
      <c r="M16" s="68"/>
      <c r="N16" s="183" t="s">
        <v>5</v>
      </c>
      <c r="O16" s="139">
        <v>4000</v>
      </c>
      <c r="P16" s="185">
        <f>-4511</f>
        <v>-4511</v>
      </c>
      <c r="Q16" s="131">
        <f t="shared" ref="Q16" si="16">P16+O16</f>
        <v>-511</v>
      </c>
      <c r="R16" s="148"/>
      <c r="S16" s="131">
        <f t="shared" ref="S16" si="17">R16/$P$3</f>
        <v>0</v>
      </c>
      <c r="T16" s="131">
        <f t="shared" ref="T16" si="18">Q16-$P$2</f>
        <v>-2511</v>
      </c>
      <c r="U16" s="131">
        <f t="shared" ref="U16" si="19">T16/$P$3</f>
        <v>-251.1</v>
      </c>
      <c r="V16" s="182">
        <f>WORKDAY($P$1,U16,JoursFeries!$C$3:$CH$15)</f>
        <v>42541</v>
      </c>
      <c r="W16" s="182">
        <f>WORKDAY(V16,ROUND(SUMIF($V$8:$V$50,"&lt;="&amp;V16,$S$8:$S$50),0),JoursFeries!$C$3:$CH$15)</f>
        <v>42541</v>
      </c>
    </row>
    <row r="17" spans="1:23" x14ac:dyDescent="0.25">
      <c r="A17" s="181"/>
      <c r="B17" s="184"/>
      <c r="C17" s="184"/>
      <c r="D17" s="184"/>
      <c r="E17" s="184"/>
      <c r="F17" s="184"/>
      <c r="G17" s="184"/>
      <c r="H17" s="184"/>
      <c r="I17" s="184"/>
      <c r="J17" s="184"/>
      <c r="K17" s="184"/>
      <c r="L17" s="68"/>
      <c r="M17" s="68"/>
      <c r="N17" s="183"/>
      <c r="O17" s="139"/>
      <c r="P17" s="185"/>
      <c r="Q17" s="131"/>
      <c r="R17" s="148"/>
      <c r="S17" s="131"/>
      <c r="T17" s="131"/>
      <c r="U17" s="131"/>
      <c r="V17" s="182"/>
      <c r="W17" s="182"/>
    </row>
    <row r="18" spans="1:23" ht="15" customHeight="1" x14ac:dyDescent="0.25">
      <c r="A18" s="180">
        <f t="shared" ref="A18" si="20">W18</f>
        <v>42808</v>
      </c>
      <c r="B18" s="184">
        <f>WORKDAY(A18,$O$18/$P$3+ROUND(SUMIF(A$8:A$50,"&lt;="&amp;A18,$S$8:$S$50),0),JoursFeries!$C$3:$CH$15)</f>
        <v>42867</v>
      </c>
      <c r="C18" s="184">
        <f>WORKDAY(B18,$O$18/$P$3+ROUND(SUMIF(B$8:B$50,"&lt;="&amp;B18,$S$8:$S$50),0),JoursFeries!$C$3:$CH$15)</f>
        <v>42927</v>
      </c>
      <c r="D18" s="184">
        <f>WORKDAY(C18,$O$18/$P$3+ROUND(SUMIF(C$8:C$50,"&lt;="&amp;C18,$S$8:$S$50),0),JoursFeries!$C$3:$CH$15)</f>
        <v>42985</v>
      </c>
      <c r="E18" s="184">
        <f>WORKDAY(D18,$O$18/$P$3+ROUND(SUMIF(D$8:D$50,"&lt;="&amp;D18,$S$8:$S$50),0),JoursFeries!$C$3:$CH$15)</f>
        <v>43041</v>
      </c>
      <c r="F18" s="184">
        <f>WORKDAY(E18,$O$18/$P$3+ROUND(SUMIF(E$8:E$50,"&lt;="&amp;E18,$S$8:$S$50),0),JoursFeries!$C$3:$CH$15)</f>
        <v>43098</v>
      </c>
      <c r="G18" s="184">
        <f>WORKDAY(F18,$O$18/$P$3+ROUND(SUMIF(F$8:F$50,"&lt;="&amp;F18,$S$8:$S$50),0),JoursFeries!$C$3:$CH$15)</f>
        <v>43157</v>
      </c>
      <c r="H18" s="184">
        <f>WORKDAY(G18,$O$18/$P$3+ROUND(SUMIF(G$8:G$50,"&lt;="&amp;G18,$S$8:$S$50),0),JoursFeries!$C$3:$CH$15)</f>
        <v>43214</v>
      </c>
      <c r="I18" s="184">
        <f>WORKDAY(H18,$O$18/$P$3+ROUND(SUMIF(H$8:H$50,"&lt;="&amp;H18,$S$8:$S$50),0),JoursFeries!$C$3:$CH$15)</f>
        <v>43276</v>
      </c>
      <c r="J18" s="184">
        <f>WORKDAY(I18,$O$18/$P$3+ROUND(SUMIF(I$8:I$50,"&lt;="&amp;I18,$S$8:$S$50),0),JoursFeries!$C$3:$CH$15)</f>
        <v>43333</v>
      </c>
      <c r="K18" s="184">
        <f>WORKDAY(J18,$O$18/$P$3+ROUND(SUMIF(J$8:J$50,"&lt;="&amp;J18,$S$8:$S$50),0),JoursFeries!$C$3:$CH$15)</f>
        <v>43389</v>
      </c>
      <c r="L18" s="184">
        <f>WORKDAY(K18,$O$18/$P$3+ROUND(SUMIF(K$8:K$50,"&lt;="&amp;K18,$S$8:$S$50),0),JoursFeries!$C$3:$CH$15)</f>
        <v>43445</v>
      </c>
      <c r="M18" s="184">
        <f>WORKDAY(L18,$O$18/$P$3+ROUND(SUMIF(L$8:L$50,"&lt;="&amp;L18,$S$8:$S$50),0),JoursFeries!$C$3:$CH$15)</f>
        <v>43503</v>
      </c>
      <c r="N18" s="183" t="s">
        <v>11</v>
      </c>
      <c r="O18" s="139">
        <v>400</v>
      </c>
      <c r="P18" s="185">
        <v>994</v>
      </c>
      <c r="Q18" s="131">
        <f t="shared" ref="Q18" si="21">P18+O18</f>
        <v>1394</v>
      </c>
      <c r="R18" s="148"/>
      <c r="S18" s="131">
        <f t="shared" ref="S18" si="22">R18/$P$3</f>
        <v>0</v>
      </c>
      <c r="T18" s="131">
        <f t="shared" ref="T18" si="23">Q18-$P$2</f>
        <v>-606</v>
      </c>
      <c r="U18" s="131">
        <f t="shared" ref="U18" si="24">T18/$P$3</f>
        <v>-60.6</v>
      </c>
      <c r="V18" s="182">
        <f>WORKDAY($P$1,U18,JoursFeries!$C$3:$CH$15)</f>
        <v>42808</v>
      </c>
      <c r="W18" s="182">
        <f>WORKDAY(V18,ROUND(SUMIF($V$8:$V$50,"&lt;="&amp;V18,$S$8:$S$50),0),JoursFeries!$C$3:$CH$15)</f>
        <v>42808</v>
      </c>
    </row>
    <row r="19" spans="1:23" x14ac:dyDescent="0.25">
      <c r="A19" s="181"/>
      <c r="B19" s="184"/>
      <c r="C19" s="184"/>
      <c r="D19" s="184"/>
      <c r="E19" s="184"/>
      <c r="F19" s="184"/>
      <c r="G19" s="184"/>
      <c r="H19" s="184"/>
      <c r="I19" s="184"/>
      <c r="J19" s="184"/>
      <c r="K19" s="184"/>
      <c r="L19" s="184"/>
      <c r="M19" s="184"/>
      <c r="N19" s="183"/>
      <c r="O19" s="139"/>
      <c r="P19" s="185"/>
      <c r="Q19" s="131"/>
      <c r="R19" s="148"/>
      <c r="S19" s="131"/>
      <c r="T19" s="131"/>
      <c r="U19" s="131"/>
      <c r="V19" s="182"/>
      <c r="W19" s="182"/>
    </row>
    <row r="20" spans="1:23" ht="15" customHeight="1" x14ac:dyDescent="0.25">
      <c r="A20" s="180">
        <f t="shared" ref="A20" si="25">W20</f>
        <v>42611</v>
      </c>
      <c r="B20" s="184">
        <f>WORKDAY(A20,$O$20/$P$3+ROUND(SUMIF(A$8:A$50,"&lt;="&amp;A20,$S$8:$S$50),0),JoursFeries!$C$3:$CH$15)</f>
        <v>43637</v>
      </c>
      <c r="C20" s="184">
        <f>WORKDAY(B20,$O$20/$P$3+ROUND(SUMIF(B$8:B$50,"&lt;="&amp;B20,$S$8:$S$50),0),JoursFeries!$C$3:$CH$15)</f>
        <v>44659</v>
      </c>
      <c r="D20" s="184">
        <f>WORKDAY(C20,$O$20/$P$3+ROUND(SUMIF(C$8:C$50,"&lt;="&amp;C20,$S$8:$S$50),0),JoursFeries!$C$3:$CH$15)</f>
        <v>45691</v>
      </c>
      <c r="E20" s="184">
        <f>WORKDAY(D20,$O$20/$P$3+ROUND(SUMIF(D$8:D$50,"&lt;="&amp;D20,$S$8:$S$50),0),JoursFeries!$C$3:$CH$15)</f>
        <v>46721</v>
      </c>
      <c r="F20" s="184">
        <f>WORKDAY(E20,$O$20/$P$3+ROUND(SUMIF(E$8:E$50,"&lt;="&amp;E20,$S$8:$S$50),0),JoursFeries!$C$3:$CH$15)</f>
        <v>47750</v>
      </c>
      <c r="G20" s="184">
        <f>WORKDAY(F20,$O$20/$P$3+ROUND(SUMIF(F$8:F$50,"&lt;="&amp;F20,$S$8:$S$50),0),JoursFeries!$C$3:$CH$15)</f>
        <v>48778</v>
      </c>
      <c r="H20" s="184">
        <f>WORKDAY(G20,$O$20/$P$3+ROUND(SUMIF(G$8:G$50,"&lt;="&amp;G20,$S$8:$S$50),0),JoursFeries!$C$3:$CH$15)</f>
        <v>49804</v>
      </c>
      <c r="I20" s="184">
        <f>WORKDAY(H20,$O$20/$P$3+ROUND(SUMIF(H$8:H$50,"&lt;="&amp;H20,$S$8:$S$50),0),JoursFeries!$C$3:$CH$15)</f>
        <v>50831</v>
      </c>
      <c r="J20" s="184">
        <f>WORKDAY(I20,$O$20/$P$3+ROUND(SUMIF(I$8:I$50,"&lt;="&amp;I20,$S$8:$S$50),0),JoursFeries!$C$3:$CH$15)</f>
        <v>51858</v>
      </c>
      <c r="K20" s="184">
        <f>WORKDAY(J20,$O$20/$P$3+ROUND(SUMIF(J$8:J$50,"&lt;="&amp;J20,$S$8:$S$50),0),JoursFeries!$C$3:$CH$15)</f>
        <v>52890</v>
      </c>
      <c r="L20" s="68"/>
      <c r="M20" s="68"/>
      <c r="N20" s="183" t="s">
        <v>8</v>
      </c>
      <c r="O20" s="139">
        <v>7120</v>
      </c>
      <c r="P20" s="185">
        <f>-7135</f>
        <v>-7135</v>
      </c>
      <c r="Q20" s="131">
        <f t="shared" ref="Q20" si="26">P20+O20</f>
        <v>-15</v>
      </c>
      <c r="R20" s="148"/>
      <c r="S20" s="131">
        <f t="shared" ref="S20" si="27">R20/$P$3</f>
        <v>0</v>
      </c>
      <c r="T20" s="131">
        <f t="shared" ref="T20" si="28">Q20-$P$2</f>
        <v>-2015</v>
      </c>
      <c r="U20" s="131">
        <f t="shared" ref="U20" si="29">T20/$P$3</f>
        <v>-201.5</v>
      </c>
      <c r="V20" s="182">
        <f>WORKDAY($P$1,U20,JoursFeries!$C$3:$CH$15)</f>
        <v>42611</v>
      </c>
      <c r="W20" s="182">
        <f>WORKDAY(V20,ROUND(SUMIF($V$8:$V$50,"&lt;="&amp;V20,$S$8:$S$50),0),JoursFeries!$C$3:$CH$15)</f>
        <v>42611</v>
      </c>
    </row>
    <row r="21" spans="1:23" x14ac:dyDescent="0.25">
      <c r="A21" s="181"/>
      <c r="B21" s="184"/>
      <c r="C21" s="184"/>
      <c r="D21" s="184"/>
      <c r="E21" s="184"/>
      <c r="F21" s="184"/>
      <c r="G21" s="184"/>
      <c r="H21" s="184"/>
      <c r="I21" s="184"/>
      <c r="J21" s="184"/>
      <c r="K21" s="184"/>
      <c r="L21" s="68"/>
      <c r="M21" s="68"/>
      <c r="N21" s="183"/>
      <c r="O21" s="139"/>
      <c r="P21" s="185"/>
      <c r="Q21" s="131"/>
      <c r="R21" s="148"/>
      <c r="S21" s="131"/>
      <c r="T21" s="131"/>
      <c r="U21" s="131"/>
      <c r="V21" s="182"/>
      <c r="W21" s="182"/>
    </row>
    <row r="22" spans="1:23" ht="15" customHeight="1" x14ac:dyDescent="0.25">
      <c r="A22" s="180">
        <f t="shared" ref="A22" si="30">W22</f>
        <v>43024</v>
      </c>
      <c r="B22" s="184">
        <f>WORKDAY(A22,$O$22/$P$3+ROUND(SUMIF(A$8:A$50,"&lt;="&amp;A22,$S$8:$S$50),0),JoursFeries!$C$3:$CH$15)</f>
        <v>44081</v>
      </c>
      <c r="C22" s="184">
        <f>WORKDAY(B22,$O$22/$P$3+ROUND(SUMIF(B$8:B$50,"&lt;="&amp;B22,$S$8:$S$50),0),JoursFeries!$C$3:$CH$15)</f>
        <v>45131</v>
      </c>
      <c r="D22" s="184">
        <f>WORKDAY(C22,$O$22/$P$3+ROUND(SUMIF(C$8:C$50,"&lt;="&amp;C22,$S$8:$S$50),0),JoursFeries!$C$3:$CH$15)</f>
        <v>46190</v>
      </c>
      <c r="E22" s="184">
        <f>WORKDAY(D22,$O$22/$P$3+ROUND(SUMIF(D$8:D$50,"&lt;="&amp;D22,$S$8:$S$50),0),JoursFeries!$C$3:$CH$15)</f>
        <v>47240</v>
      </c>
      <c r="F22" s="184">
        <f>WORKDAY(E22,$O$22/$P$3+ROUND(SUMIF(E$8:E$50,"&lt;="&amp;E22,$S$8:$S$50),0),JoursFeries!$C$3:$CH$15)</f>
        <v>48297</v>
      </c>
      <c r="G22" s="184">
        <f>WORKDAY(F22,$O$22/$P$3+ROUND(SUMIF(F$8:F$50,"&lt;="&amp;F22,$S$8:$S$50),0),JoursFeries!$C$3:$CH$15)</f>
        <v>49347</v>
      </c>
      <c r="H22" s="184">
        <f>WORKDAY(G22,$O$22/$P$3+ROUND(SUMIF(G$8:G$50,"&lt;="&amp;G22,$S$8:$S$50),0),JoursFeries!$C$3:$CH$15)</f>
        <v>50405</v>
      </c>
      <c r="I22" s="184">
        <f>WORKDAY(H22,$O$22/$P$3+ROUND(SUMIF(H$8:H$50,"&lt;="&amp;H22,$S$8:$S$50),0),JoursFeries!$C$3:$CH$15)</f>
        <v>51453</v>
      </c>
      <c r="J22" s="184">
        <f>WORKDAY(I22,$O$22/$P$3+ROUND(SUMIF(I$8:I$50,"&lt;="&amp;I22,$S$8:$S$50),0),JoursFeries!$C$3:$CH$15)</f>
        <v>52512</v>
      </c>
      <c r="K22" s="184">
        <f>WORKDAY(J22,$O$22/$P$3+ROUND(SUMIF(J$8:J$50,"&lt;="&amp;J22,$S$8:$S$50),0),JoursFeries!$C$3:$CH$15)</f>
        <v>53568</v>
      </c>
      <c r="L22" s="68"/>
      <c r="M22" s="68"/>
      <c r="N22" s="183" t="s">
        <v>59</v>
      </c>
      <c r="O22" s="139">
        <v>7300</v>
      </c>
      <c r="P22" s="185">
        <f>-4436</f>
        <v>-4436</v>
      </c>
      <c r="Q22" s="131">
        <f t="shared" ref="Q22" si="31">P22+O22</f>
        <v>2864</v>
      </c>
      <c r="R22" s="148"/>
      <c r="S22" s="131">
        <f t="shared" ref="S22" si="32">R22/$P$3</f>
        <v>0</v>
      </c>
      <c r="T22" s="131">
        <f t="shared" ref="T22" si="33">Q22-$P$2</f>
        <v>864</v>
      </c>
      <c r="U22" s="131">
        <f t="shared" ref="U22" si="34">T22/$P$3</f>
        <v>86.4</v>
      </c>
      <c r="V22" s="182">
        <f>WORKDAY($P$1,U22,JoursFeries!$C$3:$CH$15)</f>
        <v>43024</v>
      </c>
      <c r="W22" s="182">
        <f>WORKDAY(V22,ROUND(SUMIF($V$8:$V$50,"&lt;="&amp;V22,$S$8:$S$50),0),JoursFeries!$C$3:$CH$15)</f>
        <v>43024</v>
      </c>
    </row>
    <row r="23" spans="1:23" x14ac:dyDescent="0.25">
      <c r="A23" s="181"/>
      <c r="B23" s="184"/>
      <c r="C23" s="184"/>
      <c r="D23" s="184"/>
      <c r="E23" s="184"/>
      <c r="F23" s="184"/>
      <c r="G23" s="184"/>
      <c r="H23" s="184"/>
      <c r="I23" s="184"/>
      <c r="J23" s="184"/>
      <c r="K23" s="184"/>
      <c r="L23" s="68"/>
      <c r="M23" s="68"/>
      <c r="N23" s="183"/>
      <c r="O23" s="139"/>
      <c r="P23" s="185"/>
      <c r="Q23" s="131"/>
      <c r="R23" s="148"/>
      <c r="S23" s="131"/>
      <c r="T23" s="131"/>
      <c r="U23" s="131"/>
      <c r="V23" s="182"/>
      <c r="W23" s="182"/>
    </row>
    <row r="24" spans="1:23" ht="15" customHeight="1" x14ac:dyDescent="0.25">
      <c r="A24" s="180">
        <f t="shared" ref="A24" si="35">W24</f>
        <v>44166</v>
      </c>
      <c r="B24" s="184">
        <f>WORKDAY(A24,$O$24/$P$3+ROUND(SUMIF(A$8:A$50,"&lt;="&amp;A24,$S$8:$S$50),0),JoursFeries!$C$3:$CH$15)</f>
        <v>46945</v>
      </c>
      <c r="C24" s="184">
        <f>WORKDAY(B24,$O$24/$P$3+ROUND(SUMIF(B$8:B$50,"&lt;="&amp;B24,$S$8:$S$50),0),JoursFeries!$C$3:$CH$15)</f>
        <v>49723</v>
      </c>
      <c r="D24" s="184">
        <f>WORKDAY(C24,$O$24/$P$3+ROUND(SUMIF(C$8:C$50,"&lt;="&amp;C24,$S$8:$S$50),0),JoursFeries!$C$3:$CH$15)</f>
        <v>52505</v>
      </c>
      <c r="E24" s="184">
        <f>WORKDAY(D24,$O$24/$P$3+ROUND(SUMIF(D$8:D$50,"&lt;="&amp;D24,$S$8:$S$50),0),JoursFeries!$C$3:$CH$15)</f>
        <v>55282</v>
      </c>
      <c r="F24" s="184">
        <f>WORKDAY(E24,$O$24/$P$3+ROUND(SUMIF(E$8:E$50,"&lt;="&amp;E24,$S$8:$S$50),0),JoursFeries!$C$3:$CH$15)</f>
        <v>58064</v>
      </c>
      <c r="G24" s="184">
        <f>WORKDAY(F24,$O$24/$P$3+ROUND(SUMIF(F$8:F$50,"&lt;="&amp;F24,$S$8:$S$50),0),JoursFeries!$C$3:$CH$15)</f>
        <v>60847</v>
      </c>
      <c r="H24" s="184">
        <f>WORKDAY(G24,$O$24/$P$3+ROUND(SUMIF(G$8:G$50,"&lt;="&amp;G24,$S$8:$S$50),0),JoursFeries!$C$3:$CH$15)</f>
        <v>63621</v>
      </c>
      <c r="I24" s="184">
        <f>WORKDAY(H24,$O$24/$P$3+ROUND(SUMIF(H$8:H$50,"&lt;="&amp;H24,$S$8:$S$50),0),JoursFeries!$C$3:$CH$15)</f>
        <v>66401</v>
      </c>
      <c r="J24" s="184">
        <f>WORKDAY(I24,$O$24/$P$3+ROUND(SUMIF(I$8:I$50,"&lt;="&amp;I24,$S$8:$S$50),0),JoursFeries!$C$3:$CH$15)</f>
        <v>69183</v>
      </c>
      <c r="K24" s="184">
        <f>WORKDAY(J24,$O$24/$P$3+ROUND(SUMIF(J$8:J$50,"&lt;="&amp;J24,$S$8:$S$50),0),JoursFeries!$C$3:$CH$15)</f>
        <v>71957</v>
      </c>
      <c r="L24" s="68"/>
      <c r="M24" s="68"/>
      <c r="N24" s="183" t="s">
        <v>60</v>
      </c>
      <c r="O24" s="139">
        <v>19254</v>
      </c>
      <c r="P24" s="185">
        <f>-8492</f>
        <v>-8492</v>
      </c>
      <c r="Q24" s="131">
        <f t="shared" ref="Q24" si="36">P24+O24</f>
        <v>10762</v>
      </c>
      <c r="R24" s="148"/>
      <c r="S24" s="131">
        <f t="shared" ref="S24" si="37">R24/$P$3</f>
        <v>0</v>
      </c>
      <c r="T24" s="131">
        <f t="shared" ref="T24" si="38">Q24-$P$2</f>
        <v>8762</v>
      </c>
      <c r="U24" s="131">
        <f t="shared" ref="U24" si="39">T24/$P$3</f>
        <v>876.2</v>
      </c>
      <c r="V24" s="182">
        <f>WORKDAY($P$1,U24,JoursFeries!$C$3:$CH$15)</f>
        <v>44166</v>
      </c>
      <c r="W24" s="182">
        <f>WORKDAY(V24,ROUND(SUMIF($V$8:$V$50,"&lt;="&amp;V24,$S$8:$S$50),0),JoursFeries!$C$3:$CH$15)</f>
        <v>44166</v>
      </c>
    </row>
    <row r="25" spans="1:23" x14ac:dyDescent="0.25">
      <c r="A25" s="181"/>
      <c r="B25" s="184"/>
      <c r="C25" s="184"/>
      <c r="D25" s="184"/>
      <c r="E25" s="184"/>
      <c r="F25" s="184"/>
      <c r="G25" s="184"/>
      <c r="H25" s="184"/>
      <c r="I25" s="184"/>
      <c r="J25" s="184"/>
      <c r="K25" s="184"/>
      <c r="L25" s="68"/>
      <c r="M25" s="68"/>
      <c r="N25" s="183"/>
      <c r="O25" s="139"/>
      <c r="P25" s="185"/>
      <c r="Q25" s="131"/>
      <c r="R25" s="148"/>
      <c r="S25" s="131"/>
      <c r="T25" s="131"/>
      <c r="U25" s="131"/>
      <c r="V25" s="182"/>
      <c r="W25" s="182"/>
    </row>
    <row r="26" spans="1:23" ht="15" customHeight="1" x14ac:dyDescent="0.25">
      <c r="A26" s="180">
        <f t="shared" ref="A26" si="40">W26</f>
        <v>42193</v>
      </c>
      <c r="B26" s="184">
        <f>WORKDAY(A26,$O$26/$P$3+ROUND(SUMIF(A$8:A$50,"&lt;="&amp;A26,$S$8:$S$50),0),JoursFeries!$C$3:$CH$15)</f>
        <v>45110</v>
      </c>
      <c r="C26" s="184">
        <f>WORKDAY(B26,$O$26/$P$3+ROUND(SUMIF(B$8:B$50,"&lt;="&amp;B26,$S$8:$S$50),0),JoursFeries!$C$3:$CH$15)</f>
        <v>48051</v>
      </c>
      <c r="D26" s="184">
        <f>WORKDAY(C26,$O$26/$P$3+ROUND(SUMIF(C$8:C$50,"&lt;="&amp;C26,$S$8:$S$50),0),JoursFeries!$C$3:$CH$15)</f>
        <v>50979</v>
      </c>
      <c r="E26" s="184">
        <f>WORKDAY(D26,$O$26/$P$3+ROUND(SUMIF(D$8:D$50,"&lt;="&amp;D26,$S$8:$S$50),0),JoursFeries!$C$3:$CH$15)</f>
        <v>53917</v>
      </c>
      <c r="F26" s="184">
        <f>WORKDAY(E26,$O$26/$P$3+ROUND(SUMIF(E$8:E$50,"&lt;="&amp;E26,$S$8:$S$50),0),JoursFeries!$C$3:$CH$15)</f>
        <v>56852</v>
      </c>
      <c r="G26" s="184">
        <f>WORKDAY(F26,$O$26/$P$3+ROUND(SUMIF(F$8:F$50,"&lt;="&amp;F26,$S$8:$S$50),0),JoursFeries!$C$3:$CH$15)</f>
        <v>59784</v>
      </c>
      <c r="H26" s="184">
        <f>WORKDAY(G26,$O$26/$P$3+ROUND(SUMIF(G$8:G$50,"&lt;="&amp;G26,$S$8:$S$50),0),JoursFeries!$C$3:$CH$15)</f>
        <v>62718</v>
      </c>
      <c r="I26" s="184">
        <f>WORKDAY(H26,$O$26/$P$3+ROUND(SUMIF(H$8:H$50,"&lt;="&amp;H26,$S$8:$S$50),0),JoursFeries!$C$3:$CH$15)</f>
        <v>65650</v>
      </c>
      <c r="J26" s="184">
        <f>WORKDAY(I26,$O$26/$P$3+ROUND(SUMIF(I$8:I$50,"&lt;="&amp;I26,$S$8:$S$50),0),JoursFeries!$C$3:$CH$15)</f>
        <v>68589</v>
      </c>
      <c r="K26" s="184">
        <f>WORKDAY(J26,$O$26/$P$3+ROUND(SUMIF(J$8:J$50,"&lt;="&amp;J26,$S$8:$S$50),0),JoursFeries!$C$3:$CH$15)</f>
        <v>71516</v>
      </c>
      <c r="L26" s="68"/>
      <c r="M26" s="68"/>
      <c r="N26" s="183" t="s">
        <v>61</v>
      </c>
      <c r="O26" s="139">
        <v>20325</v>
      </c>
      <c r="P26" s="185">
        <f>-23320</f>
        <v>-23320</v>
      </c>
      <c r="Q26" s="131">
        <f t="shared" ref="Q26" si="41">P26+O26</f>
        <v>-2995</v>
      </c>
      <c r="R26" s="148"/>
      <c r="S26" s="131">
        <f t="shared" ref="S26" si="42">R26/$P$3</f>
        <v>0</v>
      </c>
      <c r="T26" s="131">
        <f t="shared" ref="T26" si="43">Q26-$P$2</f>
        <v>-4995</v>
      </c>
      <c r="U26" s="131">
        <f t="shared" ref="U26" si="44">T26/$P$3</f>
        <v>-499.5</v>
      </c>
      <c r="V26" s="182">
        <f>WORKDAY($P$1,U26,JoursFeries!$C$3:$CH$15)</f>
        <v>42193</v>
      </c>
      <c r="W26" s="182">
        <f>WORKDAY(V26,ROUND(SUMIF($V$8:$V$50,"&lt;="&amp;V26,$S$8:$S$50),0),JoursFeries!$C$3:$CH$15)</f>
        <v>42193</v>
      </c>
    </row>
    <row r="27" spans="1:23" x14ac:dyDescent="0.25">
      <c r="A27" s="181"/>
      <c r="B27" s="184"/>
      <c r="C27" s="184"/>
      <c r="D27" s="184"/>
      <c r="E27" s="184"/>
      <c r="F27" s="184"/>
      <c r="G27" s="184"/>
      <c r="H27" s="184"/>
      <c r="I27" s="184"/>
      <c r="J27" s="184"/>
      <c r="K27" s="184"/>
      <c r="L27" s="68"/>
      <c r="M27" s="68"/>
      <c r="N27" s="183"/>
      <c r="O27" s="139"/>
      <c r="P27" s="185"/>
      <c r="Q27" s="131"/>
      <c r="R27" s="148"/>
      <c r="S27" s="131"/>
      <c r="T27" s="131"/>
      <c r="U27" s="131"/>
      <c r="V27" s="182"/>
      <c r="W27" s="182"/>
    </row>
    <row r="28" spans="1:23" ht="15" customHeight="1" x14ac:dyDescent="0.25">
      <c r="A28" s="180">
        <f t="shared" ref="A28" si="45">W28</f>
        <v>44624</v>
      </c>
      <c r="B28" s="184">
        <f>WORKDAY(A28,$O$28/$P$3+ROUND(SUMIF(A$8:A$50,"&lt;="&amp;A28,$S$8:$S$50),0),JoursFeries!$C$3:$CH$15)</f>
        <v>47561</v>
      </c>
      <c r="C28" s="184">
        <f>WORKDAY(B28,$O$28/$P$3+ROUND(SUMIF(B$8:B$50,"&lt;="&amp;B28,$S$8:$S$50),0),JoursFeries!$C$3:$CH$15)</f>
        <v>50497</v>
      </c>
      <c r="D28" s="184">
        <f>WORKDAY(C28,$O$28/$P$3+ROUND(SUMIF(C$8:C$50,"&lt;="&amp;C28,$S$8:$S$50),0),JoursFeries!$C$3:$CH$15)</f>
        <v>53430</v>
      </c>
      <c r="E28" s="184">
        <f>WORKDAY(D28,$O$28/$P$3+ROUND(SUMIF(D$8:D$50,"&lt;="&amp;D28,$S$8:$S$50),0),JoursFeries!$C$3:$CH$15)</f>
        <v>56367</v>
      </c>
      <c r="F28" s="184">
        <f>WORKDAY(E28,$O$28/$P$3+ROUND(SUMIF(E$8:E$50,"&lt;="&amp;E28,$S$8:$S$50),0),JoursFeries!$C$3:$CH$15)</f>
        <v>59300</v>
      </c>
      <c r="G28" s="184">
        <f>WORKDAY(F28,$O$28/$P$3+ROUND(SUMIF(F$8:F$50,"&lt;="&amp;F28,$S$8:$S$50),0),JoursFeries!$C$3:$CH$15)</f>
        <v>62234</v>
      </c>
      <c r="H28" s="184">
        <f>WORKDAY(G28,$O$28/$P$3+ROUND(SUMIF(G$8:G$50,"&lt;="&amp;G28,$S$8:$S$50),0),JoursFeries!$C$3:$CH$15)</f>
        <v>65167</v>
      </c>
      <c r="I28" s="184">
        <f>WORKDAY(H28,$O$28/$P$3+ROUND(SUMIF(H$8:H$50,"&lt;="&amp;H28,$S$8:$S$50),0),JoursFeries!$C$3:$CH$15)</f>
        <v>68105</v>
      </c>
      <c r="J28" s="184">
        <f>WORKDAY(I28,$O$28/$P$3+ROUND(SUMIF(I$8:I$50,"&lt;="&amp;I28,$S$8:$S$50),0),JoursFeries!$C$3:$CH$15)</f>
        <v>71038</v>
      </c>
      <c r="K28" s="184">
        <f>WORKDAY(J28,$O$28/$P$3+ROUND(SUMIF(J$8:J$50,"&lt;="&amp;J28,$S$8:$S$50),0),JoursFeries!$C$3:$CH$15)</f>
        <v>73951</v>
      </c>
      <c r="L28" s="68"/>
      <c r="M28" s="68"/>
      <c r="N28" s="183" t="s">
        <v>62</v>
      </c>
      <c r="O28" s="139">
        <v>20325</v>
      </c>
      <c r="P28" s="185">
        <f>-6350</f>
        <v>-6350</v>
      </c>
      <c r="Q28" s="131">
        <f t="shared" ref="Q28" si="46">P28+O28</f>
        <v>13975</v>
      </c>
      <c r="R28" s="148"/>
      <c r="S28" s="131">
        <f t="shared" ref="S28" si="47">R28/$P$3</f>
        <v>0</v>
      </c>
      <c r="T28" s="131">
        <f t="shared" ref="T28" si="48">Q28-$P$2</f>
        <v>11975</v>
      </c>
      <c r="U28" s="131">
        <f t="shared" ref="U28" si="49">T28/$P$3</f>
        <v>1197.5</v>
      </c>
      <c r="V28" s="182">
        <f>WORKDAY($P$1,U28,JoursFeries!$C$3:$CH$15)</f>
        <v>44624</v>
      </c>
      <c r="W28" s="182">
        <f>WORKDAY(V28,ROUND(SUMIF($V$8:$V$50,"&lt;="&amp;V28,$S$8:$S$50),0),JoursFeries!$C$3:$CH$15)</f>
        <v>44624</v>
      </c>
    </row>
    <row r="29" spans="1:23" x14ac:dyDescent="0.25">
      <c r="A29" s="181"/>
      <c r="B29" s="184"/>
      <c r="C29" s="184"/>
      <c r="D29" s="184"/>
      <c r="E29" s="184"/>
      <c r="F29" s="184"/>
      <c r="G29" s="184"/>
      <c r="H29" s="184"/>
      <c r="I29" s="184"/>
      <c r="J29" s="184"/>
      <c r="K29" s="184"/>
      <c r="L29" s="68"/>
      <c r="M29" s="68"/>
      <c r="N29" s="183"/>
      <c r="O29" s="139"/>
      <c r="P29" s="185"/>
      <c r="Q29" s="131"/>
      <c r="R29" s="148"/>
      <c r="S29" s="131"/>
      <c r="T29" s="131"/>
      <c r="U29" s="131"/>
      <c r="V29" s="182"/>
      <c r="W29" s="182"/>
    </row>
    <row r="30" spans="1:23" ht="15" customHeight="1" x14ac:dyDescent="0.25">
      <c r="A30" s="180">
        <f t="shared" ref="A30" si="50">W30</f>
        <v>46056</v>
      </c>
      <c r="B30" s="184">
        <f>WORKDAY(A30,$O$30/$P$3+ROUND(SUMIF(A$8:A$50,"&lt;="&amp;A30,$S$8:$S$50),0),JoursFeries!$C$3:$CH$15)</f>
        <v>49467</v>
      </c>
      <c r="C30" s="184">
        <f>WORKDAY(B30,$O$30/$P$3+ROUND(SUMIF(B$8:B$50,"&lt;="&amp;B30,$S$8:$S$50),0),JoursFeries!$C$3:$CH$15)</f>
        <v>52877</v>
      </c>
      <c r="D30" s="184">
        <f>WORKDAY(C30,$O$30/$P$3+ROUND(SUMIF(C$8:C$50,"&lt;="&amp;C30,$S$8:$S$50),0),JoursFeries!$C$3:$CH$15)</f>
        <v>56290</v>
      </c>
      <c r="E30" s="184">
        <f>WORKDAY(D30,$O$30/$P$3+ROUND(SUMIF(D$8:D$50,"&lt;="&amp;D30,$S$8:$S$50),0),JoursFeries!$C$3:$CH$15)</f>
        <v>59700</v>
      </c>
      <c r="F30" s="184">
        <f>WORKDAY(E30,$O$30/$P$3+ROUND(SUMIF(E$8:E$50,"&lt;="&amp;E30,$S$8:$S$50),0),JoursFeries!$C$3:$CH$15)</f>
        <v>63109</v>
      </c>
      <c r="G30" s="184">
        <f>WORKDAY(F30,$O$30/$P$3+ROUND(SUMIF(F$8:F$50,"&lt;="&amp;F30,$S$8:$S$50),0),JoursFeries!$C$3:$CH$15)</f>
        <v>66519</v>
      </c>
      <c r="H30" s="184">
        <f>WORKDAY(G30,$O$30/$P$3+ROUND(SUMIF(G$8:G$50,"&lt;="&amp;G30,$S$8:$S$50),0),JoursFeries!$C$3:$CH$15)</f>
        <v>69932</v>
      </c>
      <c r="I30" s="184">
        <f>WORKDAY(H30,$O$30/$P$3+ROUND(SUMIF(H$8:H$50,"&lt;="&amp;H30,$S$8:$S$50),0),JoursFeries!$C$3:$CH$15)</f>
        <v>73338</v>
      </c>
      <c r="J30" s="184">
        <f>WORKDAY(I30,$O$30/$P$3+ROUND(SUMIF(I$8:I$50,"&lt;="&amp;I30,$S$8:$S$50),0),JoursFeries!$C$3:$CH$15)</f>
        <v>76647</v>
      </c>
      <c r="K30" s="184">
        <f>WORKDAY(J30,$O$30/$P$3+ROUND(SUMIF(J$8:J$50,"&lt;="&amp;J30,$S$8:$S$50),0),JoursFeries!$C$3:$CH$15)</f>
        <v>79953</v>
      </c>
      <c r="L30" s="68"/>
      <c r="M30" s="68"/>
      <c r="N30" s="183" t="s">
        <v>63</v>
      </c>
      <c r="O30" s="139">
        <v>23620</v>
      </c>
      <c r="P30" s="185">
        <v>238</v>
      </c>
      <c r="Q30" s="131">
        <f t="shared" ref="Q30" si="51">P30+O30</f>
        <v>23858</v>
      </c>
      <c r="R30" s="148"/>
      <c r="S30" s="131">
        <f t="shared" ref="S30" si="52">R30/$P$3</f>
        <v>0</v>
      </c>
      <c r="T30" s="131">
        <f t="shared" ref="T30" si="53">Q30-$P$2</f>
        <v>21858</v>
      </c>
      <c r="U30" s="131">
        <f t="shared" ref="U30" si="54">T30/$P$3</f>
        <v>2185.8000000000002</v>
      </c>
      <c r="V30" s="182">
        <f>WORKDAY($P$1,U30,JoursFeries!$C$3:$CH$15)</f>
        <v>46056</v>
      </c>
      <c r="W30" s="182">
        <f>WORKDAY(V30,ROUND(SUMIF($V$8:$V$50,"&lt;="&amp;V30,$S$8:$S$50),0),JoursFeries!$C$3:$CH$15)</f>
        <v>46056</v>
      </c>
    </row>
    <row r="31" spans="1:23" x14ac:dyDescent="0.25">
      <c r="A31" s="181"/>
      <c r="B31" s="184"/>
      <c r="C31" s="184"/>
      <c r="D31" s="184"/>
      <c r="E31" s="184"/>
      <c r="F31" s="184"/>
      <c r="G31" s="184"/>
      <c r="H31" s="184"/>
      <c r="I31" s="184"/>
      <c r="J31" s="184"/>
      <c r="K31" s="184"/>
      <c r="L31" s="68"/>
      <c r="M31" s="68"/>
      <c r="N31" s="183"/>
      <c r="O31" s="139"/>
      <c r="P31" s="185"/>
      <c r="Q31" s="131"/>
      <c r="R31" s="148"/>
      <c r="S31" s="131"/>
      <c r="T31" s="131"/>
      <c r="U31" s="131"/>
      <c r="V31" s="182"/>
      <c r="W31" s="182"/>
    </row>
    <row r="32" spans="1:23" ht="15" customHeight="1" x14ac:dyDescent="0.25">
      <c r="A32" s="180">
        <f t="shared" ref="A32" si="55">W32</f>
        <v>48934</v>
      </c>
      <c r="B32" s="184">
        <f>WORKDAY(A32,$O$32/$P$3+ROUND(SUMIF(A$8:A$50,"&lt;="&amp;A32,$S$8:$S$50),0),JoursFeries!$C$3:$CH$15)</f>
        <v>55488</v>
      </c>
      <c r="C32" s="184">
        <f>WORKDAY(B32,$O$32/$P$3+ROUND(SUMIF(B$8:B$50,"&lt;="&amp;B32,$S$8:$S$50),0),JoursFeries!$C$3:$CH$15)</f>
        <v>62045</v>
      </c>
      <c r="D32" s="184">
        <f>WORKDAY(C32,$O$32/$P$3+ROUND(SUMIF(C$8:C$50,"&lt;="&amp;C32,$S$8:$S$50),0),JoursFeries!$C$3:$CH$15)</f>
        <v>68605</v>
      </c>
      <c r="E32" s="184">
        <f>WORKDAY(D32,$O$32/$P$3+ROUND(SUMIF(D$8:D$50,"&lt;="&amp;D32,$S$8:$S$50),0),JoursFeries!$C$3:$CH$15)</f>
        <v>75102</v>
      </c>
      <c r="F32" s="184">
        <f>WORKDAY(E32,$O$32/$P$3+ROUND(SUMIF(E$8:E$50,"&lt;="&amp;E32,$S$8:$S$50),0),JoursFeries!$C$3:$CH$15)</f>
        <v>81458</v>
      </c>
      <c r="G32" s="184">
        <f>WORKDAY(F32,$O$32/$P$3+ROUND(SUMIF(F$8:F$50,"&lt;="&amp;F32,$S$8:$S$50),0),JoursFeries!$C$3:$CH$15)</f>
        <v>87814</v>
      </c>
      <c r="H32" s="184">
        <f>WORKDAY(G32,$O$32/$P$3+ROUND(SUMIF(G$8:G$50,"&lt;="&amp;G32,$S$8:$S$50),0),JoursFeries!$C$3:$CH$15)</f>
        <v>94170</v>
      </c>
      <c r="I32" s="184">
        <f>WORKDAY(H32,$O$32/$P$3+ROUND(SUMIF(H$8:H$50,"&lt;="&amp;H32,$S$8:$S$50),0),JoursFeries!$C$3:$CH$15)</f>
        <v>100526</v>
      </c>
      <c r="J32" s="184">
        <f>WORKDAY(I32,$O$32/$P$3+ROUND(SUMIF(I$8:I$50,"&lt;="&amp;I32,$S$8:$S$50),0),JoursFeries!$C$3:$CH$15)</f>
        <v>106882</v>
      </c>
      <c r="K32" s="184">
        <f>WORKDAY(J32,$O$32/$P$3+ROUND(SUMIF(J$8:J$50,"&lt;="&amp;J32,$S$8:$S$50),0),JoursFeries!$C$3:$CH$15)</f>
        <v>113238</v>
      </c>
      <c r="L32" s="68"/>
      <c r="M32" s="68"/>
      <c r="N32" s="183" t="s">
        <v>64</v>
      </c>
      <c r="O32" s="139">
        <v>45400</v>
      </c>
      <c r="P32" s="185">
        <f>-1600</f>
        <v>-1600</v>
      </c>
      <c r="Q32" s="131">
        <f t="shared" ref="Q32" si="56">P32+O32</f>
        <v>43800</v>
      </c>
      <c r="R32" s="148"/>
      <c r="S32" s="131">
        <f t="shared" ref="S32" si="57">R32/$P$3</f>
        <v>0</v>
      </c>
      <c r="T32" s="131">
        <f t="shared" ref="T32" si="58">Q32-$P$2</f>
        <v>41800</v>
      </c>
      <c r="U32" s="131">
        <f t="shared" ref="U32" si="59">T32/$P$3</f>
        <v>4180</v>
      </c>
      <c r="V32" s="182">
        <f>WORKDAY($P$1,U32,JoursFeries!$C$3:$CH$15)</f>
        <v>48934</v>
      </c>
      <c r="W32" s="182">
        <f>WORKDAY(V32,ROUND(SUMIF($V$8:$V$50,"&lt;="&amp;V32,$S$8:$S$50),0),JoursFeries!$C$3:$CH$15)</f>
        <v>48934</v>
      </c>
    </row>
    <row r="33" spans="1:23" x14ac:dyDescent="0.25">
      <c r="A33" s="181"/>
      <c r="B33" s="184"/>
      <c r="C33" s="184"/>
      <c r="D33" s="184"/>
      <c r="E33" s="184"/>
      <c r="F33" s="184"/>
      <c r="G33" s="184"/>
      <c r="H33" s="184"/>
      <c r="I33" s="184"/>
      <c r="J33" s="184"/>
      <c r="K33" s="184"/>
      <c r="L33" s="68"/>
      <c r="M33" s="68"/>
      <c r="N33" s="183"/>
      <c r="O33" s="139"/>
      <c r="P33" s="185"/>
      <c r="Q33" s="131"/>
      <c r="R33" s="148"/>
      <c r="S33" s="131"/>
      <c r="T33" s="131"/>
      <c r="U33" s="131"/>
      <c r="V33" s="182"/>
      <c r="W33" s="182"/>
    </row>
    <row r="34" spans="1:23" ht="15" customHeight="1" x14ac:dyDescent="0.25">
      <c r="A34" s="180">
        <f t="shared" ref="A34" si="60">W34</f>
        <v>48435</v>
      </c>
      <c r="B34" s="184">
        <f>WORKDAY(A34,$O$34/$P$3+ROUND(SUMIF(A$8:A$50,"&lt;="&amp;A34,$S$8:$S$50),0),JoursFeries!$C$3:$CH$15)</f>
        <v>54757</v>
      </c>
      <c r="C34" s="184">
        <f>WORKDAY(B34,$O$34/$P$3+ROUND(SUMIF(B$8:B$50,"&lt;="&amp;B34,$S$8:$S$50),0),JoursFeries!$C$3:$CH$15)</f>
        <v>61078</v>
      </c>
      <c r="D34" s="184">
        <f>WORKDAY(C34,$O$34/$P$3+ROUND(SUMIF(C$8:C$50,"&lt;="&amp;C34,$S$8:$S$50),0),JoursFeries!$C$3:$CH$15)</f>
        <v>67406</v>
      </c>
      <c r="E34" s="184">
        <f>WORKDAY(D34,$O$34/$P$3+ROUND(SUMIF(D$8:D$50,"&lt;="&amp;D34,$S$8:$S$50),0),JoursFeries!$C$3:$CH$15)</f>
        <v>73716</v>
      </c>
      <c r="F34" s="184">
        <f>WORKDAY(E34,$O$34/$P$3+ROUND(SUMIF(E$8:E$50,"&lt;="&amp;E34,$S$8:$S$50),0),JoursFeries!$C$3:$CH$15)</f>
        <v>79848</v>
      </c>
      <c r="G34" s="184">
        <f>WORKDAY(F34,$O$34/$P$3+ROUND(SUMIF(F$8:F$50,"&lt;="&amp;F34,$S$8:$S$50),0),JoursFeries!$C$3:$CH$15)</f>
        <v>85980</v>
      </c>
      <c r="H34" s="184">
        <f>WORKDAY(G34,$O$34/$P$3+ROUND(SUMIF(G$8:G$50,"&lt;="&amp;G34,$S$8:$S$50),0),JoursFeries!$C$3:$CH$15)</f>
        <v>92112</v>
      </c>
      <c r="I34" s="184">
        <f>WORKDAY(H34,$O$34/$P$3+ROUND(SUMIF(H$8:H$50,"&lt;="&amp;H34,$S$8:$S$50),0),JoursFeries!$C$3:$CH$15)</f>
        <v>98244</v>
      </c>
      <c r="J34" s="184">
        <f>WORKDAY(I34,$O$34/$P$3+ROUND(SUMIF(I$8:I$50,"&lt;="&amp;I34,$S$8:$S$50),0),JoursFeries!$C$3:$CH$15)</f>
        <v>104376</v>
      </c>
      <c r="K34" s="184">
        <f>WORKDAY(J34,$O$34/$P$3+ROUND(SUMIF(J$8:J$50,"&lt;="&amp;J34,$S$8:$S$50),0),JoursFeries!$C$3:$CH$15)</f>
        <v>110508</v>
      </c>
      <c r="L34" s="68"/>
      <c r="M34" s="68"/>
      <c r="N34" s="183" t="s">
        <v>65</v>
      </c>
      <c r="O34" s="139">
        <v>43800</v>
      </c>
      <c r="P34" s="185">
        <f>-3500</f>
        <v>-3500</v>
      </c>
      <c r="Q34" s="131">
        <f t="shared" ref="Q34" si="61">P34+O34</f>
        <v>40300</v>
      </c>
      <c r="R34" s="148"/>
      <c r="S34" s="131">
        <f t="shared" ref="S34" si="62">R34/$P$3</f>
        <v>0</v>
      </c>
      <c r="T34" s="131">
        <f t="shared" ref="T34" si="63">Q34-$P$2</f>
        <v>38300</v>
      </c>
      <c r="U34" s="131">
        <f t="shared" ref="U34" si="64">T34/$P$3</f>
        <v>3830</v>
      </c>
      <c r="V34" s="182">
        <f>WORKDAY($P$1,U34,JoursFeries!$C$3:$CH$15)</f>
        <v>48435</v>
      </c>
      <c r="W34" s="182">
        <f>WORKDAY(V34,ROUND(SUMIF($V$8:$V$50,"&lt;="&amp;V34,$S$8:$S$50),0),JoursFeries!$C$3:$CH$15)</f>
        <v>48435</v>
      </c>
    </row>
    <row r="35" spans="1:23" x14ac:dyDescent="0.25">
      <c r="A35" s="181"/>
      <c r="B35" s="184"/>
      <c r="C35" s="184"/>
      <c r="D35" s="184"/>
      <c r="E35" s="184"/>
      <c r="F35" s="184"/>
      <c r="G35" s="184"/>
      <c r="H35" s="184"/>
      <c r="I35" s="184"/>
      <c r="J35" s="184"/>
      <c r="K35" s="184"/>
      <c r="L35" s="68"/>
      <c r="M35" s="68"/>
      <c r="N35" s="183"/>
      <c r="O35" s="139"/>
      <c r="P35" s="185"/>
      <c r="Q35" s="131"/>
      <c r="R35" s="148"/>
      <c r="S35" s="131"/>
      <c r="T35" s="131"/>
      <c r="U35" s="131"/>
      <c r="V35" s="182"/>
      <c r="W35" s="182"/>
    </row>
    <row r="36" spans="1:23" ht="15" customHeight="1" x14ac:dyDescent="0.25">
      <c r="A36" s="180">
        <f t="shared" ref="A36" si="65">W36</f>
        <v>48934</v>
      </c>
      <c r="B36" s="184">
        <f>WORKDAY(A36,$O$36/$P$3+ROUND(SUMIF(A$8:A$50,"&lt;="&amp;A36,$S$8:$S$50),0),JoursFeries!$C$3:$CH$15)</f>
        <v>55488</v>
      </c>
      <c r="C36" s="184">
        <f>WORKDAY(B36,$O$36/$P$3+ROUND(SUMIF(B$8:B$50,"&lt;="&amp;B36,$S$8:$S$50),0),JoursFeries!$C$3:$CH$15)</f>
        <v>62045</v>
      </c>
      <c r="D36" s="184">
        <f>WORKDAY(C36,$O$36/$P$3+ROUND(SUMIF(C$8:C$50,"&lt;="&amp;C36,$S$8:$S$50),0),JoursFeries!$C$3:$CH$15)</f>
        <v>68605</v>
      </c>
      <c r="E36" s="184">
        <f>WORKDAY(D36,$O$36/$P$3+ROUND(SUMIF(D$8:D$50,"&lt;="&amp;D36,$S$8:$S$50),0),JoursFeries!$C$3:$CH$15)</f>
        <v>75102</v>
      </c>
      <c r="F36" s="184">
        <f>WORKDAY(E36,$O$36/$P$3+ROUND(SUMIF(E$8:E$50,"&lt;="&amp;E36,$S$8:$S$50),0),JoursFeries!$C$3:$CH$15)</f>
        <v>81458</v>
      </c>
      <c r="G36" s="184">
        <f>WORKDAY(F36,$O$36/$P$3+ROUND(SUMIF(F$8:F$50,"&lt;="&amp;F36,$S$8:$S$50),0),JoursFeries!$C$3:$CH$15)</f>
        <v>87814</v>
      </c>
      <c r="H36" s="184">
        <f>WORKDAY(G36,$O$36/$P$3+ROUND(SUMIF(G$8:G$50,"&lt;="&amp;G36,$S$8:$S$50),0),JoursFeries!$C$3:$CH$15)</f>
        <v>94170</v>
      </c>
      <c r="I36" s="184">
        <f>WORKDAY(H36,$O$36/$P$3+ROUND(SUMIF(H$8:H$50,"&lt;="&amp;H36,$S$8:$S$50),0),JoursFeries!$C$3:$CH$15)</f>
        <v>100526</v>
      </c>
      <c r="J36" s="184">
        <f>WORKDAY(I36,$O$36/$P$3+ROUND(SUMIF(I$8:I$50,"&lt;="&amp;I36,$S$8:$S$50),0),JoursFeries!$C$3:$CH$15)</f>
        <v>106882</v>
      </c>
      <c r="K36" s="184">
        <f>WORKDAY(J36,$O$36/$P$3+ROUND(SUMIF(J$8:J$50,"&lt;="&amp;J36,$S$8:$S$50),0),JoursFeries!$C$3:$CH$15)</f>
        <v>113238</v>
      </c>
      <c r="L36" s="68"/>
      <c r="M36" s="68"/>
      <c r="N36" s="183" t="s">
        <v>66</v>
      </c>
      <c r="O36" s="139">
        <v>45400</v>
      </c>
      <c r="P36" s="185">
        <f>-1600</f>
        <v>-1600</v>
      </c>
      <c r="Q36" s="131">
        <f t="shared" ref="Q36" si="66">P36+O36</f>
        <v>43800</v>
      </c>
      <c r="R36" s="148"/>
      <c r="S36" s="131">
        <f t="shared" ref="S36" si="67">R36/$P$3</f>
        <v>0</v>
      </c>
      <c r="T36" s="131">
        <f t="shared" ref="T36" si="68">Q36-$P$2</f>
        <v>41800</v>
      </c>
      <c r="U36" s="131">
        <f t="shared" ref="U36" si="69">T36/$P$3</f>
        <v>4180</v>
      </c>
      <c r="V36" s="182">
        <f>WORKDAY($P$1,U36,JoursFeries!$C$3:$CH$15)</f>
        <v>48934</v>
      </c>
      <c r="W36" s="182">
        <f>WORKDAY(V36,ROUND(SUMIF($V$8:$V$50,"&lt;="&amp;V36,$S$8:$S$50),0),JoursFeries!$C$3:$CH$15)</f>
        <v>48934</v>
      </c>
    </row>
    <row r="37" spans="1:23" x14ac:dyDescent="0.25">
      <c r="A37" s="181"/>
      <c r="B37" s="184"/>
      <c r="C37" s="184"/>
      <c r="D37" s="184"/>
      <c r="E37" s="184"/>
      <c r="F37" s="184"/>
      <c r="G37" s="184"/>
      <c r="H37" s="184"/>
      <c r="I37" s="184"/>
      <c r="J37" s="184"/>
      <c r="K37" s="184"/>
      <c r="L37" s="68"/>
      <c r="M37" s="68"/>
      <c r="N37" s="183"/>
      <c r="O37" s="139"/>
      <c r="P37" s="185"/>
      <c r="Q37" s="131"/>
      <c r="R37" s="148"/>
      <c r="S37" s="131"/>
      <c r="T37" s="131"/>
      <c r="U37" s="131"/>
      <c r="V37" s="182"/>
      <c r="W37" s="182"/>
    </row>
    <row r="38" spans="1:23" ht="15" customHeight="1" x14ac:dyDescent="0.25">
      <c r="A38" s="180" t="e">
        <f t="shared" ref="A38" si="70">W38</f>
        <v>#VALUE!</v>
      </c>
      <c r="B38" s="184" t="e">
        <f>WORKDAY(A38,$O$38/$P$3+ROUND(SUMIF(A$8:A$50,"&lt;="&amp;A38,$S$8:$S$50),0),JoursFeries!$C$3:$CH$15)</f>
        <v>#VALUE!</v>
      </c>
      <c r="C38" s="184" t="e">
        <f>WORKDAY(B38,$O$38/$P$3+ROUND(SUMIF(B$8:B$50,"&lt;="&amp;B38,$S$8:$S$50),0),JoursFeries!$C$3:$CH$15)</f>
        <v>#VALUE!</v>
      </c>
      <c r="D38" s="184" t="e">
        <f>WORKDAY(C38,$O$38/$P$3+ROUND(SUMIF(C$8:C$50,"&lt;="&amp;C38,$S$8:$S$50),0),JoursFeries!$C$3:$CH$15)</f>
        <v>#VALUE!</v>
      </c>
      <c r="E38" s="184" t="e">
        <f>WORKDAY(D38,$O$38/$P$3+ROUND(SUMIF(D$8:D$50,"&lt;="&amp;D38,$S$8:$S$50),0),JoursFeries!$C$3:$CH$15)</f>
        <v>#VALUE!</v>
      </c>
      <c r="F38" s="184" t="e">
        <f>WORKDAY(E38,$O$38/$P$3+ROUND(SUMIF(E$8:E$50,"&lt;="&amp;E38,$S$8:$S$50),0),JoursFeries!$C$3:$CH$15)</f>
        <v>#VALUE!</v>
      </c>
      <c r="G38" s="184" t="e">
        <f>WORKDAY(F38,$O$38/$P$3+ROUND(SUMIF(F$8:F$50,"&lt;="&amp;F38,$S$8:$S$50),0),JoursFeries!$C$3:$CH$15)</f>
        <v>#VALUE!</v>
      </c>
      <c r="H38" s="184" t="e">
        <f>WORKDAY(G38,$O$38/$P$3+ROUND(SUMIF(G$8:G$50,"&lt;="&amp;G38,$S$8:$S$50),0),JoursFeries!$C$3:$CH$15)</f>
        <v>#VALUE!</v>
      </c>
      <c r="I38" s="184" t="e">
        <f>WORKDAY(H38,$O$38/$P$3+ROUND(SUMIF(H$8:H$50,"&lt;="&amp;H38,$S$8:$S$50),0),JoursFeries!$C$3:$CH$15)</f>
        <v>#VALUE!</v>
      </c>
      <c r="J38" s="184" t="e">
        <f>WORKDAY(I38,$O$38/$P$3+ROUND(SUMIF(I$8:I$50,"&lt;="&amp;I38,$S$8:$S$50),0),JoursFeries!$C$3:$CH$15)</f>
        <v>#VALUE!</v>
      </c>
      <c r="K38" s="184" t="e">
        <f>WORKDAY(J38,$O$38/$P$3+ROUND(SUMIF(J$8:J$50,"&lt;="&amp;J38,$S$8:$S$50),0),JoursFeries!$C$3:$CH$15)</f>
        <v>#VALUE!</v>
      </c>
      <c r="L38" s="68"/>
      <c r="M38" s="68"/>
      <c r="N38" s="183" t="s">
        <v>67</v>
      </c>
      <c r="O38" s="139" t="s">
        <v>79</v>
      </c>
      <c r="P38" s="185">
        <f>-7703</f>
        <v>-7703</v>
      </c>
      <c r="Q38" s="131" t="e">
        <f t="shared" ref="Q38" si="71">P38+O38</f>
        <v>#VALUE!</v>
      </c>
      <c r="R38" s="148"/>
      <c r="S38" s="131">
        <f t="shared" ref="S38" si="72">R38/$P$3</f>
        <v>0</v>
      </c>
      <c r="T38" s="131" t="e">
        <f t="shared" ref="T38" si="73">Q38-$P$2</f>
        <v>#VALUE!</v>
      </c>
      <c r="U38" s="131" t="e">
        <f t="shared" ref="U38" si="74">T38/$P$3</f>
        <v>#VALUE!</v>
      </c>
      <c r="V38" s="182" t="e">
        <f>WORKDAY($P$1,U38,JoursFeries!$C$3:$CH$15)</f>
        <v>#VALUE!</v>
      </c>
      <c r="W38" s="182" t="e">
        <f>WORKDAY(V38,ROUND(SUMIF($V$8:$V$50,"&lt;="&amp;V38,$S$8:$S$50),0),JoursFeries!$C$3:$CH$15)</f>
        <v>#VALUE!</v>
      </c>
    </row>
    <row r="39" spans="1:23" x14ac:dyDescent="0.25">
      <c r="A39" s="181"/>
      <c r="B39" s="184"/>
      <c r="C39" s="184"/>
      <c r="D39" s="184"/>
      <c r="E39" s="184"/>
      <c r="F39" s="184"/>
      <c r="G39" s="184"/>
      <c r="H39" s="184"/>
      <c r="I39" s="184"/>
      <c r="J39" s="184"/>
      <c r="K39" s="184"/>
      <c r="L39" s="68"/>
      <c r="M39" s="68"/>
      <c r="N39" s="183"/>
      <c r="O39" s="139"/>
      <c r="P39" s="185"/>
      <c r="Q39" s="131"/>
      <c r="R39" s="148"/>
      <c r="S39" s="131"/>
      <c r="T39" s="131"/>
      <c r="U39" s="131"/>
      <c r="V39" s="182"/>
      <c r="W39" s="182"/>
    </row>
    <row r="40" spans="1:23" ht="15" customHeight="1" x14ac:dyDescent="0.25">
      <c r="A40" s="180">
        <f t="shared" ref="A40" si="75">W40</f>
        <v>45498</v>
      </c>
      <c r="B40" s="184">
        <f>WORKDAY(A40,$O$40/$P$3+ROUND(SUMIF(A$8:A$50,"&lt;="&amp;A40,$S$8:$S$50),0),JoursFeries!$C$3:$CH$15)</f>
        <v>49614</v>
      </c>
      <c r="C40" s="184">
        <f>WORKDAY(B40,$O$40/$P$3+ROUND(SUMIF(B$8:B$50,"&lt;="&amp;B40,$S$8:$S$50),0),JoursFeries!$C$3:$CH$15)</f>
        <v>53731</v>
      </c>
      <c r="D40" s="184">
        <f>WORKDAY(C40,$O$40/$P$3+ROUND(SUMIF(C$8:C$50,"&lt;="&amp;C40,$S$8:$S$50),0),JoursFeries!$C$3:$CH$15)</f>
        <v>57850</v>
      </c>
      <c r="E40" s="184">
        <f>WORKDAY(D40,$O$40/$P$3+ROUND(SUMIF(D$8:D$50,"&lt;="&amp;D40,$S$8:$S$50),0),JoursFeries!$C$3:$CH$15)</f>
        <v>61961</v>
      </c>
      <c r="F40" s="184">
        <f>WORKDAY(E40,$O$40/$P$3+ROUND(SUMIF(E$8:E$50,"&lt;="&amp;E40,$S$8:$S$50),0),JoursFeries!$C$3:$CH$15)</f>
        <v>66076</v>
      </c>
      <c r="G40" s="184">
        <f>WORKDAY(F40,$O$40/$P$3+ROUND(SUMIF(F$8:F$50,"&lt;="&amp;F40,$S$8:$S$50),0),JoursFeries!$C$3:$CH$15)</f>
        <v>70191</v>
      </c>
      <c r="H40" s="184">
        <f>WORKDAY(G40,$O$40/$P$3+ROUND(SUMIF(G$8:G$50,"&lt;="&amp;G40,$S$8:$S$50),0),JoursFeries!$C$3:$CH$15)</f>
        <v>74279</v>
      </c>
      <c r="I40" s="184">
        <f>WORKDAY(H40,$O$40/$P$3+ROUND(SUMIF(H$8:H$50,"&lt;="&amp;H40,$S$8:$S$50),0),JoursFeries!$C$3:$CH$15)</f>
        <v>78269</v>
      </c>
      <c r="J40" s="184">
        <f>WORKDAY(I40,$O$40/$P$3+ROUND(SUMIF(I$8:I$50,"&lt;="&amp;I40,$S$8:$S$50),0),JoursFeries!$C$3:$CH$15)</f>
        <v>82259</v>
      </c>
      <c r="K40" s="184">
        <f>WORKDAY(J40,$O$40/$P$3+ROUND(SUMIF(J$8:J$50,"&lt;="&amp;J40,$S$8:$S$50),0),JoursFeries!$C$3:$CH$15)</f>
        <v>86249</v>
      </c>
      <c r="L40" s="68"/>
      <c r="M40" s="68"/>
      <c r="N40" s="183" t="s">
        <v>10</v>
      </c>
      <c r="O40" s="139">
        <v>28508</v>
      </c>
      <c r="P40" s="185">
        <f>-8492</f>
        <v>-8492</v>
      </c>
      <c r="Q40" s="131">
        <f t="shared" ref="Q40" si="76">P40+O40</f>
        <v>20016</v>
      </c>
      <c r="R40" s="148"/>
      <c r="S40" s="131">
        <f t="shared" ref="S40" si="77">R40/$P$3</f>
        <v>0</v>
      </c>
      <c r="T40" s="131">
        <f t="shared" ref="T40" si="78">Q40-$P$2</f>
        <v>18016</v>
      </c>
      <c r="U40" s="131">
        <f t="shared" ref="U40" si="79">T40/$P$3</f>
        <v>1801.6</v>
      </c>
      <c r="V40" s="182">
        <f>WORKDAY($P$1,U40,JoursFeries!$C$3:$CH$15)</f>
        <v>45498</v>
      </c>
      <c r="W40" s="182">
        <f>WORKDAY(V40,ROUND(SUMIF($V$8:$V$50,"&lt;="&amp;V40,$S$8:$S$50),0),JoursFeries!$C$3:$CH$15)</f>
        <v>45498</v>
      </c>
    </row>
    <row r="41" spans="1:23" x14ac:dyDescent="0.25">
      <c r="A41" s="181"/>
      <c r="B41" s="184"/>
      <c r="C41" s="184"/>
      <c r="D41" s="184"/>
      <c r="E41" s="184"/>
      <c r="F41" s="184"/>
      <c r="G41" s="184"/>
      <c r="H41" s="184"/>
      <c r="I41" s="184"/>
      <c r="J41" s="184"/>
      <c r="K41" s="184"/>
      <c r="L41" s="68"/>
      <c r="M41" s="68"/>
      <c r="N41" s="183"/>
      <c r="O41" s="139"/>
      <c r="P41" s="185"/>
      <c r="Q41" s="131"/>
      <c r="R41" s="148"/>
      <c r="S41" s="131"/>
      <c r="T41" s="131"/>
      <c r="U41" s="131"/>
      <c r="V41" s="182"/>
      <c r="W41" s="182"/>
    </row>
    <row r="42" spans="1:23" ht="15" customHeight="1" x14ac:dyDescent="0.25">
      <c r="A42" s="180" t="e">
        <f t="shared" ref="A42" si="80">W42</f>
        <v>#VALUE!</v>
      </c>
      <c r="B42" s="184" t="e">
        <f>WORKDAY(A42,$O$42/$P$3+ROUND(SUMIF(A$8:A$50,"&lt;="&amp;A42,$S$8:$S$50),0),JoursFeries!$C$3:$CH$15)</f>
        <v>#VALUE!</v>
      </c>
      <c r="C42" s="184" t="e">
        <f>WORKDAY(B42,$O$42/$P$3+ROUND(SUMIF(B$8:B$50,"&lt;="&amp;B42,$S$8:$S$50),0),JoursFeries!$C$3:$CH$15)</f>
        <v>#VALUE!</v>
      </c>
      <c r="D42" s="184" t="e">
        <f>WORKDAY(C42,$O$42/$P$3+ROUND(SUMIF(C$8:C$50,"&lt;="&amp;C42,$S$8:$S$50),0),JoursFeries!$C$3:$CH$15)</f>
        <v>#VALUE!</v>
      </c>
      <c r="E42" s="184" t="e">
        <f>WORKDAY(D42,$O$42/$P$3+ROUND(SUMIF(D$8:D$50,"&lt;="&amp;D42,$S$8:$S$50),0),JoursFeries!$C$3:$CH$15)</f>
        <v>#VALUE!</v>
      </c>
      <c r="F42" s="184" t="e">
        <f>WORKDAY(E42,$O$42/$P$3+ROUND(SUMIF(E$8:E$50,"&lt;="&amp;E42,$S$8:$S$50),0),JoursFeries!$C$3:$CH$15)</f>
        <v>#VALUE!</v>
      </c>
      <c r="G42" s="184" t="e">
        <f>WORKDAY(F42,$O$42/$P$3+ROUND(SUMIF(F$8:F$50,"&lt;="&amp;F42,$S$8:$S$50),0),JoursFeries!$C$3:$CH$15)</f>
        <v>#VALUE!</v>
      </c>
      <c r="H42" s="184" t="e">
        <f>WORKDAY(G42,$O$42/$P$3+ROUND(SUMIF(G$8:G$50,"&lt;="&amp;G42,$S$8:$S$50),0),JoursFeries!$C$3:$CH$15)</f>
        <v>#VALUE!</v>
      </c>
      <c r="I42" s="184" t="e">
        <f>WORKDAY(H42,$O$42/$P$3+ROUND(SUMIF(H$8:H$50,"&lt;="&amp;H42,$S$8:$S$50),0),JoursFeries!$C$3:$CH$15)</f>
        <v>#VALUE!</v>
      </c>
      <c r="J42" s="184" t="e">
        <f>WORKDAY(I42,$O$42/$P$3+ROUND(SUMIF(I$8:I$50,"&lt;="&amp;I42,$S$8:$S$50),0),JoursFeries!$C$3:$CH$15)</f>
        <v>#VALUE!</v>
      </c>
      <c r="K42" s="184" t="e">
        <f>WORKDAY(J42,$O$42/$P$3+ROUND(SUMIF(J$8:J$50,"&lt;="&amp;J42,$S$8:$S$50),0),JoursFeries!$C$3:$CH$15)</f>
        <v>#VALUE!</v>
      </c>
      <c r="L42" s="68"/>
      <c r="M42" s="68"/>
      <c r="N42" s="183" t="s">
        <v>68</v>
      </c>
      <c r="O42" s="139" t="s">
        <v>80</v>
      </c>
      <c r="P42" s="185">
        <f>-8492</f>
        <v>-8492</v>
      </c>
      <c r="Q42" s="131" t="e">
        <f t="shared" ref="Q42" si="81">P42+O42</f>
        <v>#VALUE!</v>
      </c>
      <c r="R42" s="148"/>
      <c r="S42" s="131">
        <f t="shared" ref="S42" si="82">R42/$P$3</f>
        <v>0</v>
      </c>
      <c r="T42" s="131" t="e">
        <f t="shared" ref="T42" si="83">Q42-$P$2</f>
        <v>#VALUE!</v>
      </c>
      <c r="U42" s="131" t="e">
        <f t="shared" ref="U42" si="84">T42/$P$3</f>
        <v>#VALUE!</v>
      </c>
      <c r="V42" s="182" t="e">
        <f>WORKDAY($P$1,U42,JoursFeries!$C$3:$CH$15)</f>
        <v>#VALUE!</v>
      </c>
      <c r="W42" s="182" t="e">
        <f>WORKDAY(V42,ROUND(SUMIF($V$8:$V$50,"&lt;="&amp;V42,$S$8:$S$50),0),JoursFeries!$C$3:$CH$15)</f>
        <v>#VALUE!</v>
      </c>
    </row>
    <row r="43" spans="1:23" x14ac:dyDescent="0.25">
      <c r="A43" s="181"/>
      <c r="B43" s="184"/>
      <c r="C43" s="184"/>
      <c r="D43" s="184"/>
      <c r="E43" s="184"/>
      <c r="F43" s="184"/>
      <c r="G43" s="184"/>
      <c r="H43" s="184"/>
      <c r="I43" s="184"/>
      <c r="J43" s="184"/>
      <c r="K43" s="184"/>
      <c r="L43" s="68"/>
      <c r="M43" s="68"/>
      <c r="N43" s="183"/>
      <c r="O43" s="139"/>
      <c r="P43" s="185"/>
      <c r="Q43" s="131"/>
      <c r="R43" s="148"/>
      <c r="S43" s="131"/>
      <c r="T43" s="131"/>
      <c r="U43" s="131"/>
      <c r="V43" s="182"/>
      <c r="W43" s="182"/>
    </row>
    <row r="44" spans="1:23" ht="15" customHeight="1" x14ac:dyDescent="0.25">
      <c r="A44" s="180" t="e">
        <f t="shared" ref="A44" si="85">W44</f>
        <v>#VALUE!</v>
      </c>
      <c r="B44" s="184" t="e">
        <f>WORKDAY(A44,$O$44/$P$3+ROUND(SUMIF(A$8:A$50,"&lt;="&amp;A44,$S$8:$S$50),0),JoursFeries!$C$3:$CH$15)</f>
        <v>#VALUE!</v>
      </c>
      <c r="C44" s="184" t="e">
        <f>WORKDAY(B44,$O$44/$P$3+ROUND(SUMIF(B$8:B$50,"&lt;="&amp;B44,$S$8:$S$50),0),JoursFeries!$C$3:$CH$15)</f>
        <v>#VALUE!</v>
      </c>
      <c r="D44" s="184" t="e">
        <f>WORKDAY(C44,$O$44/$P$3+ROUND(SUMIF(C$8:C$50,"&lt;="&amp;C44,$S$8:$S$50),0),JoursFeries!$C$3:$CH$15)</f>
        <v>#VALUE!</v>
      </c>
      <c r="E44" s="184" t="e">
        <f>WORKDAY(D44,$O$44/$P$3+ROUND(SUMIF(D$8:D$50,"&lt;="&amp;D44,$S$8:$S$50),0),JoursFeries!$C$3:$CH$15)</f>
        <v>#VALUE!</v>
      </c>
      <c r="F44" s="184" t="e">
        <f>WORKDAY(E44,$O$44/$P$3+ROUND(SUMIF(E$8:E$50,"&lt;="&amp;E44,$S$8:$S$50),0),JoursFeries!$C$3:$CH$15)</f>
        <v>#VALUE!</v>
      </c>
      <c r="G44" s="184" t="e">
        <f>WORKDAY(F44,$O$44/$P$3+ROUND(SUMIF(F$8:F$50,"&lt;="&amp;F44,$S$8:$S$50),0),JoursFeries!$C$3:$CH$15)</f>
        <v>#VALUE!</v>
      </c>
      <c r="H44" s="184" t="e">
        <f>WORKDAY(G44,$O$44/$P$3+ROUND(SUMIF(G$8:G$50,"&lt;="&amp;G44,$S$8:$S$50),0),JoursFeries!$C$3:$CH$15)</f>
        <v>#VALUE!</v>
      </c>
      <c r="I44" s="184" t="e">
        <f>WORKDAY(H44,$O$44/$P$3+ROUND(SUMIF(H$8:H$50,"&lt;="&amp;H44,$S$8:$S$50),0),JoursFeries!$C$3:$CH$15)</f>
        <v>#VALUE!</v>
      </c>
      <c r="J44" s="184" t="e">
        <f>WORKDAY(I44,$O$44/$P$3+ROUND(SUMIF(I$8:I$50,"&lt;="&amp;I44,$S$8:$S$50),0),JoursFeries!$C$3:$CH$15)</f>
        <v>#VALUE!</v>
      </c>
      <c r="K44" s="184" t="e">
        <f>WORKDAY(J44,$O$44/$P$3+ROUND(SUMIF(J$8:J$50,"&lt;="&amp;J44,$S$8:$S$50),0),JoursFeries!$C$3:$CH$15)</f>
        <v>#VALUE!</v>
      </c>
      <c r="L44" s="68"/>
      <c r="M44" s="68"/>
      <c r="N44" s="183" t="s">
        <v>69</v>
      </c>
      <c r="O44" s="139" t="s">
        <v>81</v>
      </c>
      <c r="P44" s="185">
        <f>-11893</f>
        <v>-11893</v>
      </c>
      <c r="Q44" s="131" t="e">
        <f t="shared" ref="Q44" si="86">P44+O44</f>
        <v>#VALUE!</v>
      </c>
      <c r="R44" s="148"/>
      <c r="S44" s="131">
        <f t="shared" ref="S44" si="87">R44/$P$3</f>
        <v>0</v>
      </c>
      <c r="T44" s="131" t="e">
        <f t="shared" ref="T44" si="88">Q44-$P$2</f>
        <v>#VALUE!</v>
      </c>
      <c r="U44" s="131" t="e">
        <f t="shared" ref="U44" si="89">T44/$P$3</f>
        <v>#VALUE!</v>
      </c>
      <c r="V44" s="182" t="e">
        <f>WORKDAY($P$1,U44,JoursFeries!$C$3:$CH$15)</f>
        <v>#VALUE!</v>
      </c>
      <c r="W44" s="182" t="e">
        <f>WORKDAY(V44,ROUND(SUMIF($V$8:$V$50,"&lt;="&amp;V44,$S$8:$S$50),0),JoursFeries!$C$3:$CH$15)</f>
        <v>#VALUE!</v>
      </c>
    </row>
    <row r="45" spans="1:23" x14ac:dyDescent="0.25">
      <c r="A45" s="181"/>
      <c r="B45" s="184"/>
      <c r="C45" s="184"/>
      <c r="D45" s="184"/>
      <c r="E45" s="184"/>
      <c r="F45" s="184"/>
      <c r="G45" s="184"/>
      <c r="H45" s="184"/>
      <c r="I45" s="184"/>
      <c r="J45" s="184"/>
      <c r="K45" s="184"/>
      <c r="L45" s="68"/>
      <c r="M45" s="68"/>
      <c r="N45" s="183"/>
      <c r="O45" s="139"/>
      <c r="P45" s="185"/>
      <c r="Q45" s="131"/>
      <c r="R45" s="148"/>
      <c r="S45" s="131"/>
      <c r="T45" s="131"/>
      <c r="U45" s="131"/>
      <c r="V45" s="182"/>
      <c r="W45" s="182"/>
    </row>
    <row r="46" spans="1:23" ht="15" customHeight="1" x14ac:dyDescent="0.25">
      <c r="A46" s="180">
        <f t="shared" ref="A46" si="90">W46</f>
        <v>45874</v>
      </c>
      <c r="B46" s="184">
        <f>WORKDAY(A46,$O$46/$P$3+ROUND(SUMIF(A$8:A$50,"&lt;="&amp;A46,$S$8:$S$50),0),JoursFeries!$C$3:$CH$15)</f>
        <v>50894</v>
      </c>
      <c r="C46" s="184">
        <f>WORKDAY(B46,$O$46/$P$3+ROUND(SUMIF(B$8:B$50,"&lt;="&amp;B46,$S$8:$S$50),0),JoursFeries!$C$3:$CH$15)</f>
        <v>55920</v>
      </c>
      <c r="D46" s="184">
        <f>WORKDAY(C46,$O$46/$P$3+ROUND(SUMIF(C$8:C$50,"&lt;="&amp;C46,$S$8:$S$50),0),JoursFeries!$C$3:$CH$15)</f>
        <v>60945</v>
      </c>
      <c r="E46" s="184">
        <f>WORKDAY(D46,$O$46/$P$3+ROUND(SUMIF(D$8:D$50,"&lt;="&amp;D46,$S$8:$S$50),0),JoursFeries!$C$3:$CH$15)</f>
        <v>65966</v>
      </c>
      <c r="F46" s="184">
        <f>WORKDAY(E46,$O$46/$P$3+ROUND(SUMIF(E$8:E$50,"&lt;="&amp;E46,$S$8:$S$50),0),JoursFeries!$C$3:$CH$15)</f>
        <v>70991</v>
      </c>
      <c r="G46" s="184">
        <f>WORKDAY(F46,$O$46/$P$3+ROUND(SUMIF(F$8:F$50,"&lt;="&amp;F46,$S$8:$S$50),0),JoursFeries!$C$3:$CH$15)</f>
        <v>75933</v>
      </c>
      <c r="H46" s="184">
        <f>WORKDAY(G46,$O$46/$P$3+ROUND(SUMIF(G$8:G$50,"&lt;="&amp;G46,$S$8:$S$50),0),JoursFeries!$C$3:$CH$15)</f>
        <v>80804</v>
      </c>
      <c r="I46" s="184">
        <f>WORKDAY(H46,$O$46/$P$3+ROUND(SUMIF(H$8:H$50,"&lt;="&amp;H46,$S$8:$S$50),0),JoursFeries!$C$3:$CH$15)</f>
        <v>85675</v>
      </c>
      <c r="J46" s="184">
        <f>WORKDAY(I46,$O$46/$P$3+ROUND(SUMIF(I$8:I$50,"&lt;="&amp;I46,$S$8:$S$50),0),JoursFeries!$C$3:$CH$15)</f>
        <v>90544</v>
      </c>
      <c r="K46" s="184">
        <f>WORKDAY(J46,$O$46/$P$3+ROUND(SUMIF(J$8:J$50,"&lt;="&amp;J46,$S$8:$S$50),0),JoursFeries!$C$3:$CH$15)</f>
        <v>95415</v>
      </c>
      <c r="L46" s="68"/>
      <c r="M46" s="68"/>
      <c r="N46" s="183" t="s">
        <v>7</v>
      </c>
      <c r="O46" s="139">
        <v>34795</v>
      </c>
      <c r="P46" s="185">
        <f>-12205</f>
        <v>-12205</v>
      </c>
      <c r="Q46" s="131">
        <f t="shared" ref="Q46" si="91">P46+O46</f>
        <v>22590</v>
      </c>
      <c r="R46" s="148"/>
      <c r="S46" s="131">
        <f t="shared" ref="S46" si="92">R46/$P$3</f>
        <v>0</v>
      </c>
      <c r="T46" s="131">
        <f t="shared" ref="T46" si="93">Q46-$P$2</f>
        <v>20590</v>
      </c>
      <c r="U46" s="131">
        <f t="shared" ref="U46" si="94">T46/$P$3</f>
        <v>2059</v>
      </c>
      <c r="V46" s="182">
        <f>WORKDAY($P$1,U46,JoursFeries!$C$3:$CH$15)</f>
        <v>45874</v>
      </c>
      <c r="W46" s="182">
        <f>WORKDAY(V46,ROUND(SUMIF($V$8:$V$50,"&lt;="&amp;V46,$S$8:$S$50),0),JoursFeries!$C$3:$CH$15)</f>
        <v>45874</v>
      </c>
    </row>
    <row r="47" spans="1:23" x14ac:dyDescent="0.25">
      <c r="A47" s="181"/>
      <c r="B47" s="184"/>
      <c r="C47" s="184"/>
      <c r="D47" s="184"/>
      <c r="E47" s="184"/>
      <c r="F47" s="184"/>
      <c r="G47" s="184"/>
      <c r="H47" s="184"/>
      <c r="I47" s="184"/>
      <c r="J47" s="184"/>
      <c r="K47" s="184"/>
      <c r="L47" s="68"/>
      <c r="M47" s="68"/>
      <c r="N47" s="183"/>
      <c r="O47" s="139"/>
      <c r="P47" s="185"/>
      <c r="Q47" s="131"/>
      <c r="R47" s="148"/>
      <c r="S47" s="131"/>
      <c r="T47" s="131"/>
      <c r="U47" s="131"/>
      <c r="V47" s="182"/>
      <c r="W47" s="182"/>
    </row>
    <row r="48" spans="1:23" ht="15" customHeight="1" x14ac:dyDescent="0.25">
      <c r="A48" s="180" t="e">
        <f t="shared" ref="A48" si="95">W48</f>
        <v>#VALUE!</v>
      </c>
      <c r="B48" s="184" t="e">
        <f>WORKDAY(A48,$O$48/$P$3+ROUND(SUMIF(A$8:A$50,"&lt;="&amp;A48,$S$8:$S$50),0),JoursFeries!$C$3:$CH$15)</f>
        <v>#VALUE!</v>
      </c>
      <c r="C48" s="184" t="e">
        <f>WORKDAY(B48,$O$48/$P$3+ROUND(SUMIF(B$8:B$50,"&lt;="&amp;B48,$S$8:$S$50),0),JoursFeries!$C$3:$CH$15)</f>
        <v>#VALUE!</v>
      </c>
      <c r="D48" s="184" t="e">
        <f>WORKDAY(C48,$O$48/$P$3+ROUND(SUMIF(C$8:C$50,"&lt;="&amp;C48,$S$8:$S$50),0),JoursFeries!$C$3:$CH$15)</f>
        <v>#VALUE!</v>
      </c>
      <c r="E48" s="184" t="e">
        <f>WORKDAY(D48,$O$48/$P$3+ROUND(SUMIF(D$8:D$50,"&lt;="&amp;D48,$S$8:$S$50),0),JoursFeries!$C$3:$CH$15)</f>
        <v>#VALUE!</v>
      </c>
      <c r="F48" s="184" t="e">
        <f>WORKDAY(E48,$O$48/$P$3+ROUND(SUMIF(E$8:E$50,"&lt;="&amp;E48,$S$8:$S$50),0),JoursFeries!$C$3:$CH$15)</f>
        <v>#VALUE!</v>
      </c>
      <c r="G48" s="184" t="e">
        <f>WORKDAY(F48,$O$48/$P$3+ROUND(SUMIF(F$8:F$50,"&lt;="&amp;F48,$S$8:$S$50),0),JoursFeries!$C$3:$CH$15)</f>
        <v>#VALUE!</v>
      </c>
      <c r="H48" s="184" t="e">
        <f>WORKDAY(G48,$O$48/$P$3+ROUND(SUMIF(G$8:G$50,"&lt;="&amp;G48,$S$8:$S$50),0),JoursFeries!$C$3:$CH$15)</f>
        <v>#VALUE!</v>
      </c>
      <c r="I48" s="184" t="e">
        <f>WORKDAY(H48,$O$48/$P$3+ROUND(SUMIF(H$8:H$50,"&lt;="&amp;H48,$S$8:$S$50),0),JoursFeries!$C$3:$CH$15)</f>
        <v>#VALUE!</v>
      </c>
      <c r="J48" s="184" t="e">
        <f>WORKDAY(I48,$O$48/$P$3+ROUND(SUMIF(I$8:I$50,"&lt;="&amp;I48,$S$8:$S$50),0),JoursFeries!$C$3:$CH$15)</f>
        <v>#VALUE!</v>
      </c>
      <c r="K48" s="184" t="e">
        <f>WORKDAY(J48,$O$48/$P$3+ROUND(SUMIF(J$8:J$50,"&lt;="&amp;J48,$S$8:$S$50),0),JoursFeries!$C$3:$CH$15)</f>
        <v>#VALUE!</v>
      </c>
      <c r="L48" s="68"/>
      <c r="M48" s="68"/>
      <c r="N48" s="183" t="s">
        <v>20</v>
      </c>
      <c r="O48" s="139" t="s">
        <v>82</v>
      </c>
      <c r="P48" s="185">
        <v>238</v>
      </c>
      <c r="Q48" s="131" t="e">
        <f t="shared" ref="Q48" si="96">P48+O48</f>
        <v>#VALUE!</v>
      </c>
      <c r="R48" s="148"/>
      <c r="S48" s="131">
        <f t="shared" ref="S48" si="97">R48/$P$3</f>
        <v>0</v>
      </c>
      <c r="T48" s="131" t="e">
        <f t="shared" ref="T48" si="98">Q48-$P$2</f>
        <v>#VALUE!</v>
      </c>
      <c r="U48" s="131" t="e">
        <f t="shared" ref="U48" si="99">T48/$P$3</f>
        <v>#VALUE!</v>
      </c>
      <c r="V48" s="182" t="e">
        <f>WORKDAY($P$1,U48,JoursFeries!$C$3:$CH$15)</f>
        <v>#VALUE!</v>
      </c>
      <c r="W48" s="182" t="e">
        <f>WORKDAY(V48,ROUND(SUMIF($V$8:$V$50,"&lt;="&amp;V48,$S$8:$S$50),0),JoursFeries!$C$3:$CH$15)</f>
        <v>#VALUE!</v>
      </c>
    </row>
    <row r="49" spans="1:23" x14ac:dyDescent="0.25">
      <c r="A49" s="181"/>
      <c r="B49" s="184"/>
      <c r="C49" s="184"/>
      <c r="D49" s="184"/>
      <c r="E49" s="184"/>
      <c r="F49" s="184"/>
      <c r="G49" s="184"/>
      <c r="H49" s="184"/>
      <c r="I49" s="184"/>
      <c r="J49" s="184"/>
      <c r="K49" s="184"/>
      <c r="L49" s="68"/>
      <c r="M49" s="68"/>
      <c r="N49" s="183"/>
      <c r="O49" s="139"/>
      <c r="P49" s="185"/>
      <c r="Q49" s="131"/>
      <c r="R49" s="148"/>
      <c r="S49" s="131"/>
      <c r="T49" s="131"/>
      <c r="U49" s="131"/>
      <c r="V49" s="182"/>
      <c r="W49" s="182"/>
    </row>
    <row r="50" spans="1:23" x14ac:dyDescent="0.25">
      <c r="A50" s="180">
        <f t="shared" ref="A50" si="100">W50</f>
        <v>45433</v>
      </c>
      <c r="B50" s="184">
        <f>WORKDAY(A50,$O$50/$P$3+ROUND(SUMIF(A$8:A$50,"&lt;="&amp;A50,$S$8:$S$50),0),JoursFeries!$C$3:$CH$15)</f>
        <v>50242</v>
      </c>
      <c r="C50" s="184">
        <f>WORKDAY(B50,$O$50/$P$3+ROUND(SUMIF(B$8:B$50,"&lt;="&amp;B50,$S$8:$S$50),0),JoursFeries!$C$3:$CH$15)</f>
        <v>55040</v>
      </c>
      <c r="D50" s="184">
        <f>WORKDAY(C50,$O$50/$P$3+ROUND(SUMIF(C$8:C$50,"&lt;="&amp;C50,$S$8:$S$50),0),JoursFeries!$C$3:$CH$15)</f>
        <v>59845</v>
      </c>
      <c r="E50" s="184">
        <f>WORKDAY(D50,$O$50/$P$3+ROUND(SUMIF(D$8:D$50,"&lt;="&amp;D50,$S$8:$S$50),0),JoursFeries!$C$3:$CH$15)</f>
        <v>64654</v>
      </c>
      <c r="F50" s="184">
        <f>WORKDAY(E50,$O$50/$P$3+ROUND(SUMIF(E$8:E$50,"&lt;="&amp;E50,$S$8:$S$50),0),JoursFeries!$C$3:$CH$15)</f>
        <v>69450</v>
      </c>
      <c r="G50" s="184">
        <f>WORKDAY(F50,$O$50/$P$3+ROUND(SUMIF(F$8:F$50,"&lt;="&amp;F50,$S$8:$S$50),0),JoursFeries!$C$3:$CH$15)</f>
        <v>74230</v>
      </c>
      <c r="H50" s="184">
        <f>WORKDAY(G50,$O$50/$P$3+ROUND(SUMIF(G$8:G$50,"&lt;="&amp;G50,$S$8:$S$50),0),JoursFeries!$C$3:$CH$15)</f>
        <v>78887</v>
      </c>
      <c r="I50" s="184">
        <f>WORKDAY(H50,$O$50/$P$3+ROUND(SUMIF(H$8:H$50,"&lt;="&amp;H50,$S$8:$S$50),0),JoursFeries!$C$3:$CH$15)</f>
        <v>83544</v>
      </c>
      <c r="J50" s="184">
        <f>WORKDAY(I50,$O$50/$P$3+ROUND(SUMIF(I$8:I$50,"&lt;="&amp;I50,$S$8:$S$50),0),JoursFeries!$C$3:$CH$15)</f>
        <v>88203</v>
      </c>
      <c r="K50" s="184">
        <f>WORKDAY(J50,$O$50/$P$3+ROUND(SUMIF(J$8:J$50,"&lt;="&amp;J50,$S$8:$S$50),0),JoursFeries!$C$3:$CH$15)</f>
        <v>92860</v>
      </c>
      <c r="L50" s="68"/>
      <c r="M50" s="68"/>
      <c r="N50" s="183" t="s">
        <v>70</v>
      </c>
      <c r="O50" s="139">
        <v>33273</v>
      </c>
      <c r="P50" s="185">
        <f>-13727</f>
        <v>-13727</v>
      </c>
      <c r="Q50" s="131">
        <f t="shared" ref="Q50" si="101">P50+O50</f>
        <v>19546</v>
      </c>
      <c r="R50" s="148"/>
      <c r="S50" s="131">
        <f t="shared" ref="S50" si="102">R50/$P$3</f>
        <v>0</v>
      </c>
      <c r="T50" s="131">
        <f t="shared" ref="T50" si="103">Q50-$P$2</f>
        <v>17546</v>
      </c>
      <c r="U50" s="131">
        <f t="shared" ref="U50" si="104">T50/$P$3</f>
        <v>1754.6</v>
      </c>
      <c r="V50" s="182">
        <f>WORKDAY($P$1,U50,JoursFeries!$C$3:$CH$15)</f>
        <v>45433</v>
      </c>
      <c r="W50" s="182">
        <f>WORKDAY(V50,ROUND(SUMIF($V$8:$V$50,"&lt;="&amp;V50,$S$8:$S$50),0),JoursFeries!$C$3:$CH$15)</f>
        <v>45433</v>
      </c>
    </row>
    <row r="51" spans="1:23" x14ac:dyDescent="0.25">
      <c r="A51" s="181"/>
      <c r="B51" s="184"/>
      <c r="C51" s="184"/>
      <c r="D51" s="184"/>
      <c r="E51" s="184"/>
      <c r="F51" s="184"/>
      <c r="G51" s="184"/>
      <c r="H51" s="184"/>
      <c r="I51" s="184"/>
      <c r="J51" s="184"/>
      <c r="K51" s="184"/>
      <c r="L51" s="68"/>
      <c r="M51" s="68"/>
      <c r="N51" s="183"/>
      <c r="O51" s="139"/>
      <c r="P51" s="185"/>
      <c r="Q51" s="131"/>
      <c r="R51" s="148"/>
      <c r="S51" s="131"/>
      <c r="T51" s="131"/>
      <c r="U51" s="131"/>
      <c r="V51" s="182"/>
      <c r="W51" s="182"/>
    </row>
    <row r="52" spans="1:23" ht="15" customHeight="1" x14ac:dyDescent="0.25">
      <c r="A52" s="180">
        <f t="shared" ref="A52" si="105">W52</f>
        <v>42473</v>
      </c>
      <c r="B52" s="184">
        <f>WORKDAY(A52,$O$52/$P$3+ROUND(SUMIF(A$8:A$50,"&lt;="&amp;A52,$S$8:$S$50),0),JoursFeries!$C$3:$CH$15)</f>
        <v>45786</v>
      </c>
      <c r="C52" s="184">
        <f>WORKDAY(B52,$O$52/$P$3+ROUND(SUMIF(B$8:B$50,"&lt;="&amp;B52,$S$8:$S$50),0),JoursFeries!$C$3:$CH$15)</f>
        <v>49109</v>
      </c>
      <c r="D52" s="184">
        <f>WORKDAY(C52,$O$52/$P$3+ROUND(SUMIF(C$8:C$50,"&lt;="&amp;C52,$S$8:$S$50),0),JoursFeries!$C$3:$CH$15)</f>
        <v>52434</v>
      </c>
      <c r="E52" s="184">
        <f>WORKDAY(D52,$O$52/$P$3+ROUND(SUMIF(D$8:D$50,"&lt;="&amp;D52,$S$8:$S$50),0),JoursFeries!$C$3:$CH$15)</f>
        <v>55752</v>
      </c>
      <c r="F52" s="184">
        <f>WORKDAY(E52,$O$52/$P$3+ROUND(SUMIF(E$8:E$50,"&lt;="&amp;E52,$S$8:$S$50),0),JoursFeries!$C$3:$CH$15)</f>
        <v>59072</v>
      </c>
      <c r="G52" s="184">
        <f>WORKDAY(F52,$O$52/$P$3+ROUND(SUMIF(F$8:F$50,"&lt;="&amp;F52,$S$8:$S$50),0),JoursFeries!$C$3:$CH$15)</f>
        <v>62393</v>
      </c>
      <c r="H52" s="184">
        <f>WORKDAY(G52,$O$52/$P$3+ROUND(SUMIF(G$8:G$50,"&lt;="&amp;G52,$S$8:$S$50),0),JoursFeries!$C$3:$CH$15)</f>
        <v>65712</v>
      </c>
      <c r="I52" s="184">
        <f>WORKDAY(H52,$O$52/$P$3+ROUND(SUMIF(H$8:H$50,"&lt;="&amp;H52,$S$8:$S$50),0),JoursFeries!$C$3:$CH$15)</f>
        <v>69037</v>
      </c>
      <c r="J52" s="184">
        <f>WORKDAY(I52,$O$52/$P$3+ROUND(SUMIF(I$8:I$50,"&lt;="&amp;I52,$S$8:$S$50),0),JoursFeries!$C$3:$CH$15)</f>
        <v>72354</v>
      </c>
      <c r="K52" s="184">
        <f>WORKDAY(J52,$O$52/$P$3+ROUND(SUMIF(J$8:J$50,"&lt;="&amp;J52,$S$8:$S$50),0),JoursFeries!$C$3:$CH$15)</f>
        <v>75606</v>
      </c>
      <c r="L52" s="68"/>
      <c r="M52" s="68"/>
      <c r="N52" s="183" t="s">
        <v>16</v>
      </c>
      <c r="O52" s="139">
        <v>23000</v>
      </c>
      <c r="P52" s="185">
        <f>-24000</f>
        <v>-24000</v>
      </c>
      <c r="Q52" s="131">
        <f t="shared" ref="Q52" si="106">P52+O52</f>
        <v>-1000</v>
      </c>
      <c r="R52" s="148"/>
      <c r="S52" s="131">
        <f t="shared" ref="S52" si="107">R52/$P$3</f>
        <v>0</v>
      </c>
      <c r="T52" s="131">
        <f t="shared" ref="T52" si="108">Q52-$P$2</f>
        <v>-3000</v>
      </c>
      <c r="U52" s="131">
        <f t="shared" ref="U52" si="109">T52/$P$3</f>
        <v>-300</v>
      </c>
      <c r="V52" s="182">
        <f>WORKDAY($P$1,U52,JoursFeries!$C$3:$CH$15)</f>
        <v>42473</v>
      </c>
      <c r="W52" s="182">
        <f>WORKDAY(V52,ROUND(SUMIF($V$8:$V$50,"&lt;="&amp;V52,$S$8:$S$50),0),JoursFeries!$C$3:$CH$15)</f>
        <v>42473</v>
      </c>
    </row>
    <row r="53" spans="1:23" x14ac:dyDescent="0.25">
      <c r="A53" s="181"/>
      <c r="B53" s="184"/>
      <c r="C53" s="184"/>
      <c r="D53" s="184"/>
      <c r="E53" s="184"/>
      <c r="F53" s="184"/>
      <c r="G53" s="184"/>
      <c r="H53" s="184"/>
      <c r="I53" s="184"/>
      <c r="J53" s="184"/>
      <c r="K53" s="184"/>
      <c r="L53" s="68"/>
      <c r="M53" s="68"/>
      <c r="N53" s="183"/>
      <c r="O53" s="139"/>
      <c r="P53" s="185"/>
      <c r="Q53" s="131"/>
      <c r="R53" s="148"/>
      <c r="S53" s="131"/>
      <c r="T53" s="131"/>
      <c r="U53" s="131"/>
      <c r="V53" s="182"/>
      <c r="W53" s="182"/>
    </row>
    <row r="54" spans="1:23" ht="15" customHeight="1" x14ac:dyDescent="0.25">
      <c r="A54" s="180">
        <f t="shared" ref="A54" si="110">W54</f>
        <v>45938</v>
      </c>
      <c r="B54" s="184">
        <f>WORKDAY(A54,$O$54/$P$3+ROUND(SUMIF(A$8:A$50,"&lt;="&amp;A54,$S$8:$S$50),0),JoursFeries!$C$3:$CH$15)</f>
        <v>50993</v>
      </c>
      <c r="C54" s="184">
        <f>WORKDAY(B54,$O$54/$P$3+ROUND(SUMIF(B$8:B$50,"&lt;="&amp;B54,$S$8:$S$50),0),JoursFeries!$C$3:$CH$15)</f>
        <v>56054</v>
      </c>
      <c r="D54" s="184">
        <f>WORKDAY(C54,$O$54/$P$3+ROUND(SUMIF(C$8:C$50,"&lt;="&amp;C54,$S$8:$S$50),0),JoursFeries!$C$3:$CH$15)</f>
        <v>61107</v>
      </c>
      <c r="E54" s="184">
        <f>WORKDAY(D54,$O$54/$P$3+ROUND(SUMIF(D$8:D$50,"&lt;="&amp;D54,$S$8:$S$50),0),JoursFeries!$C$3:$CH$15)</f>
        <v>66163</v>
      </c>
      <c r="F54" s="184">
        <f>WORKDAY(E54,$O$54/$P$3+ROUND(SUMIF(E$8:E$50,"&lt;="&amp;E54,$S$8:$S$50),0),JoursFeries!$C$3:$CH$15)</f>
        <v>71221</v>
      </c>
      <c r="G54" s="184">
        <f>WORKDAY(F54,$O$54/$P$3+ROUND(SUMIF(F$8:F$50,"&lt;="&amp;F54,$S$8:$S$50),0),JoursFeries!$C$3:$CH$15)</f>
        <v>76190</v>
      </c>
      <c r="H54" s="184">
        <f>WORKDAY(G54,$O$54/$P$3+ROUND(SUMIF(G$8:G$50,"&lt;="&amp;G54,$S$8:$S$50),0),JoursFeries!$C$3:$CH$15)</f>
        <v>81092</v>
      </c>
      <c r="I54" s="184">
        <f>WORKDAY(H54,$O$54/$P$3+ROUND(SUMIF(H$8:H$50,"&lt;="&amp;H54,$S$8:$S$50),0),JoursFeries!$C$3:$CH$15)</f>
        <v>85994</v>
      </c>
      <c r="J54" s="184">
        <f>WORKDAY(I54,$O$54/$P$3+ROUND(SUMIF(I$8:I$50,"&lt;="&amp;I54,$S$8:$S$50),0),JoursFeries!$C$3:$CH$15)</f>
        <v>90898</v>
      </c>
      <c r="K54" s="184">
        <f>WORKDAY(J54,$O$54/$P$3+ROUND(SUMIF(J$8:J$50,"&lt;="&amp;J54,$S$8:$S$50),0),JoursFeries!$C$3:$CH$15)</f>
        <v>95800</v>
      </c>
      <c r="L54" s="68"/>
      <c r="M54" s="68"/>
      <c r="N54" s="183" t="s">
        <v>71</v>
      </c>
      <c r="O54" s="139">
        <v>35026</v>
      </c>
      <c r="P54" s="185">
        <f>-11979</f>
        <v>-11979</v>
      </c>
      <c r="Q54" s="131">
        <f t="shared" ref="Q54" si="111">P54+O54</f>
        <v>23047</v>
      </c>
      <c r="R54" s="148"/>
      <c r="S54" s="131">
        <f t="shared" ref="S54" si="112">R54/$P$3</f>
        <v>0</v>
      </c>
      <c r="T54" s="131">
        <f t="shared" ref="T54" si="113">Q54-$P$2</f>
        <v>21047</v>
      </c>
      <c r="U54" s="131">
        <f t="shared" ref="U54" si="114">T54/$P$3</f>
        <v>2104.6999999999998</v>
      </c>
      <c r="V54" s="182">
        <f>WORKDAY($P$1,U54,JoursFeries!$C$3:$CH$15)</f>
        <v>45938</v>
      </c>
      <c r="W54" s="182">
        <f>WORKDAY(V54,ROUND(SUMIF($V$8:$V$50,"&lt;="&amp;V54,$S$8:$S$50),0),JoursFeries!$C$3:$CH$15)</f>
        <v>45938</v>
      </c>
    </row>
    <row r="55" spans="1:23" x14ac:dyDescent="0.25">
      <c r="A55" s="181"/>
      <c r="B55" s="184"/>
      <c r="C55" s="184"/>
      <c r="D55" s="184"/>
      <c r="E55" s="184"/>
      <c r="F55" s="184"/>
      <c r="G55" s="184"/>
      <c r="H55" s="184"/>
      <c r="I55" s="184"/>
      <c r="J55" s="184"/>
      <c r="K55" s="184"/>
      <c r="L55" s="68"/>
      <c r="M55" s="68"/>
      <c r="N55" s="183"/>
      <c r="O55" s="139"/>
      <c r="P55" s="185"/>
      <c r="Q55" s="131"/>
      <c r="R55" s="148"/>
      <c r="S55" s="131"/>
      <c r="T55" s="131"/>
      <c r="U55" s="131"/>
      <c r="V55" s="182"/>
      <c r="W55" s="182"/>
    </row>
    <row r="56" spans="1:23" ht="15" customHeight="1" x14ac:dyDescent="0.25">
      <c r="A56" s="180">
        <f t="shared" ref="A56" si="115">W56</f>
        <v>43846</v>
      </c>
      <c r="B56" s="184">
        <f>WORKDAY(A56,$O$56/$P$3+ROUND(SUMIF(A$8:A$50,"&lt;="&amp;A56,$S$8:$S$50),0),JoursFeries!$C$3:$CH$15)</f>
        <v>47857</v>
      </c>
      <c r="C56" s="184">
        <f>WORKDAY(B56,$O$56/$P$3+ROUND(SUMIF(B$8:B$50,"&lt;="&amp;B56,$S$8:$S$50),0),JoursFeries!$C$3:$CH$15)</f>
        <v>51862</v>
      </c>
      <c r="D56" s="184">
        <f>WORKDAY(C56,$O$56/$P$3+ROUND(SUMIF(C$8:C$50,"&lt;="&amp;C56,$S$8:$S$50),0),JoursFeries!$C$3:$CH$15)</f>
        <v>55873</v>
      </c>
      <c r="E56" s="184">
        <f>WORKDAY(D56,$O$56/$P$3+ROUND(SUMIF(D$8:D$50,"&lt;="&amp;D56,$S$8:$S$50),0),JoursFeries!$C$3:$CH$15)</f>
        <v>59883</v>
      </c>
      <c r="F56" s="184">
        <f>WORKDAY(E56,$O$56/$P$3+ROUND(SUMIF(E$8:E$50,"&lt;="&amp;E56,$S$8:$S$50),0),JoursFeries!$C$3:$CH$15)</f>
        <v>63894</v>
      </c>
      <c r="G56" s="184">
        <f>WORKDAY(F56,$O$56/$P$3+ROUND(SUMIF(F$8:F$50,"&lt;="&amp;F56,$S$8:$S$50),0),JoursFeries!$C$3:$CH$15)</f>
        <v>67904</v>
      </c>
      <c r="H56" s="184">
        <f>WORKDAY(G56,$O$56/$P$3+ROUND(SUMIF(G$8:G$50,"&lt;="&amp;G56,$S$8:$S$50),0),JoursFeries!$C$3:$CH$15)</f>
        <v>71909</v>
      </c>
      <c r="I56" s="184">
        <f>WORKDAY(H56,$O$56/$P$3+ROUND(SUMIF(H$8:H$50,"&lt;="&amp;H56,$S$8:$S$50),0),JoursFeries!$C$3:$CH$15)</f>
        <v>75847</v>
      </c>
      <c r="J56" s="184">
        <f>WORKDAY(I56,$O$56/$P$3+ROUND(SUMIF(I$8:I$50,"&lt;="&amp;I56,$S$8:$S$50),0),JoursFeries!$C$3:$CH$15)</f>
        <v>79734</v>
      </c>
      <c r="K56" s="184">
        <f>WORKDAY(J56,$O$56/$P$3+ROUND(SUMIF(J$8:J$50,"&lt;="&amp;J56,$S$8:$S$50),0),JoursFeries!$C$3:$CH$15)</f>
        <v>83621</v>
      </c>
      <c r="L56" s="68"/>
      <c r="M56" s="68"/>
      <c r="N56" s="183" t="s">
        <v>72</v>
      </c>
      <c r="O56" s="139">
        <v>27779</v>
      </c>
      <c r="P56" s="185">
        <f>-19221</f>
        <v>-19221</v>
      </c>
      <c r="Q56" s="131">
        <f t="shared" ref="Q56" si="116">P56+O56</f>
        <v>8558</v>
      </c>
      <c r="R56" s="148"/>
      <c r="S56" s="131">
        <f t="shared" ref="S56" si="117">R56/$P$3</f>
        <v>0</v>
      </c>
      <c r="T56" s="131">
        <f t="shared" ref="T56" si="118">Q56-$P$2</f>
        <v>6558</v>
      </c>
      <c r="U56" s="131">
        <f t="shared" ref="U56" si="119">T56/$P$3</f>
        <v>655.8</v>
      </c>
      <c r="V56" s="182">
        <f>WORKDAY($P$1,U56,JoursFeries!$C$3:$CH$15)</f>
        <v>43846</v>
      </c>
      <c r="W56" s="182">
        <f>WORKDAY(V56,ROUND(SUMIF($V$8:$V$50,"&lt;="&amp;V56,$S$8:$S$50),0),JoursFeries!$C$3:$CH$15)</f>
        <v>43846</v>
      </c>
    </row>
    <row r="57" spans="1:23" x14ac:dyDescent="0.25">
      <c r="A57" s="181"/>
      <c r="B57" s="184"/>
      <c r="C57" s="184"/>
      <c r="D57" s="184"/>
      <c r="E57" s="184"/>
      <c r="F57" s="184"/>
      <c r="G57" s="184"/>
      <c r="H57" s="184"/>
      <c r="I57" s="184"/>
      <c r="J57" s="184"/>
      <c r="K57" s="184"/>
      <c r="L57" s="68"/>
      <c r="M57" s="68"/>
      <c r="N57" s="183"/>
      <c r="O57" s="139"/>
      <c r="P57" s="185"/>
      <c r="Q57" s="131"/>
      <c r="R57" s="148"/>
      <c r="S57" s="131"/>
      <c r="T57" s="131"/>
      <c r="U57" s="131"/>
      <c r="V57" s="182"/>
      <c r="W57" s="182"/>
    </row>
    <row r="58" spans="1:23" x14ac:dyDescent="0.25">
      <c r="A58" s="180">
        <f t="shared" ref="A58" si="120">W58</f>
        <v>44769</v>
      </c>
      <c r="B58" s="184">
        <f>WORKDAY(A58,$O$58/$P$3+ROUND(SUMIF(A$8:A$50,"&lt;="&amp;A58,$S$8:$S$50),0),JoursFeries!$C$3:$CH$15)</f>
        <v>49243</v>
      </c>
      <c r="C58" s="184">
        <f>WORKDAY(B58,$O$58/$P$3+ROUND(SUMIF(B$8:B$50,"&lt;="&amp;B58,$S$8:$S$50),0),JoursFeries!$C$3:$CH$15)</f>
        <v>53720</v>
      </c>
      <c r="D58" s="184">
        <f>WORKDAY(C58,$O$58/$P$3+ROUND(SUMIF(C$8:C$50,"&lt;="&amp;C58,$S$8:$S$50),0),JoursFeries!$C$3:$CH$15)</f>
        <v>58194</v>
      </c>
      <c r="E58" s="184">
        <f>WORKDAY(D58,$O$58/$P$3+ROUND(SUMIF(D$8:D$50,"&lt;="&amp;D58,$S$8:$S$50),0),JoursFeries!$C$3:$CH$15)</f>
        <v>62668</v>
      </c>
      <c r="F58" s="184">
        <f>WORKDAY(E58,$O$58/$P$3+ROUND(SUMIF(E$8:E$50,"&lt;="&amp;E58,$S$8:$S$50),0),JoursFeries!$C$3:$CH$15)</f>
        <v>67139</v>
      </c>
      <c r="G58" s="184">
        <f>WORKDAY(F58,$O$58/$P$3+ROUND(SUMIF(F$8:F$50,"&lt;="&amp;F58,$S$8:$S$50),0),JoursFeries!$C$3:$CH$15)</f>
        <v>71607</v>
      </c>
      <c r="H58" s="184">
        <f>WORKDAY(G58,$O$58/$P$3+ROUND(SUMIF(G$8:G$50,"&lt;="&amp;G58,$S$8:$S$50),0),JoursFeries!$C$3:$CH$15)</f>
        <v>76002</v>
      </c>
      <c r="I58" s="184">
        <f>WORKDAY(H58,$O$58/$P$3+ROUND(SUMIF(H$8:H$50,"&lt;="&amp;H58,$S$8:$S$50),0),JoursFeries!$C$3:$CH$15)</f>
        <v>80338</v>
      </c>
      <c r="J58" s="184">
        <f>WORKDAY(I58,$O$58/$P$3+ROUND(SUMIF(I$8:I$50,"&lt;="&amp;I58,$S$8:$S$50),0),JoursFeries!$C$3:$CH$15)</f>
        <v>84676</v>
      </c>
      <c r="K58" s="184">
        <f>WORKDAY(J58,$O$58/$P$3+ROUND(SUMIF(J$8:J$50,"&lt;="&amp;J58,$S$8:$S$50),0),JoursFeries!$C$3:$CH$15)</f>
        <v>89014</v>
      </c>
      <c r="L58" s="68"/>
      <c r="M58" s="68"/>
      <c r="N58" s="183" t="s">
        <v>73</v>
      </c>
      <c r="O58" s="139">
        <v>30983</v>
      </c>
      <c r="P58" s="185">
        <f>-16017</f>
        <v>-16017</v>
      </c>
      <c r="Q58" s="131">
        <f t="shared" ref="Q58" si="121">P58+O58</f>
        <v>14966</v>
      </c>
      <c r="R58" s="148"/>
      <c r="S58" s="131">
        <f t="shared" ref="S58" si="122">R58/$P$3</f>
        <v>0</v>
      </c>
      <c r="T58" s="131">
        <f t="shared" ref="T58" si="123">Q58-$P$2</f>
        <v>12966</v>
      </c>
      <c r="U58" s="131">
        <f t="shared" ref="U58" si="124">T58/$P$3</f>
        <v>1296.5999999999999</v>
      </c>
      <c r="V58" s="182">
        <f>WORKDAY($P$1,U58,JoursFeries!$C$3:$CH$15)</f>
        <v>44769</v>
      </c>
      <c r="W58" s="182">
        <f>WORKDAY(V58,ROUND(SUMIF($V$8:$V$50,"&lt;="&amp;V58,$S$8:$S$50),0),JoursFeries!$C$3:$CH$15)</f>
        <v>44769</v>
      </c>
    </row>
    <row r="59" spans="1:23" x14ac:dyDescent="0.25">
      <c r="A59" s="181"/>
      <c r="B59" s="184"/>
      <c r="C59" s="184"/>
      <c r="D59" s="184"/>
      <c r="E59" s="184"/>
      <c r="F59" s="184"/>
      <c r="G59" s="184"/>
      <c r="H59" s="184"/>
      <c r="I59" s="184"/>
      <c r="J59" s="184"/>
      <c r="K59" s="184"/>
      <c r="L59" s="68"/>
      <c r="M59" s="68"/>
      <c r="N59" s="183"/>
      <c r="O59" s="139"/>
      <c r="P59" s="185"/>
      <c r="Q59" s="131"/>
      <c r="R59" s="148"/>
      <c r="S59" s="131"/>
      <c r="T59" s="131"/>
      <c r="U59" s="131"/>
      <c r="V59" s="182"/>
      <c r="W59" s="182"/>
    </row>
    <row r="60" spans="1:23" x14ac:dyDescent="0.25">
      <c r="A60" s="180">
        <f t="shared" ref="A60" si="125">W60</f>
        <v>44609</v>
      </c>
      <c r="B60" s="184">
        <f>WORKDAY(A60,$O$60/$P$3+ROUND(SUMIF(A$8:A$50,"&lt;="&amp;A60,$S$8:$S$50),0),JoursFeries!$C$3:$CH$15)</f>
        <v>49003</v>
      </c>
      <c r="C60" s="184">
        <f>WORKDAY(B60,$O$60/$P$3+ROUND(SUMIF(B$8:B$50,"&lt;="&amp;B60,$S$8:$S$50),0),JoursFeries!$C$3:$CH$15)</f>
        <v>53400</v>
      </c>
      <c r="D60" s="184">
        <f>WORKDAY(C60,$O$60/$P$3+ROUND(SUMIF(C$8:C$50,"&lt;="&amp;C60,$S$8:$S$50),0),JoursFeries!$C$3:$CH$15)</f>
        <v>57795</v>
      </c>
      <c r="E60" s="184">
        <f>WORKDAY(D60,$O$60/$P$3+ROUND(SUMIF(D$8:D$50,"&lt;="&amp;D60,$S$8:$S$50),0),JoursFeries!$C$3:$CH$15)</f>
        <v>62186</v>
      </c>
      <c r="F60" s="184">
        <f>WORKDAY(E60,$O$60/$P$3+ROUND(SUMIF(E$8:E$50,"&lt;="&amp;E60,$S$8:$S$50),0),JoursFeries!$C$3:$CH$15)</f>
        <v>66581</v>
      </c>
      <c r="G60" s="184">
        <f>WORKDAY(F60,$O$60/$P$3+ROUND(SUMIF(F$8:F$50,"&lt;="&amp;F60,$S$8:$S$50),0),JoursFeries!$C$3:$CH$15)</f>
        <v>70977</v>
      </c>
      <c r="H60" s="184">
        <f>WORKDAY(G60,$O$60/$P$3+ROUND(SUMIF(G$8:G$50,"&lt;="&amp;G60,$S$8:$S$50),0),JoursFeries!$C$3:$CH$15)</f>
        <v>75309</v>
      </c>
      <c r="I60" s="184">
        <f>WORKDAY(H60,$O$60/$P$3+ROUND(SUMIF(H$8:H$50,"&lt;="&amp;H60,$S$8:$S$50),0),JoursFeries!$C$3:$CH$15)</f>
        <v>79568</v>
      </c>
      <c r="J60" s="184">
        <f>WORKDAY(I60,$O$60/$P$3+ROUND(SUMIF(I$8:I$50,"&lt;="&amp;I60,$S$8:$S$50),0),JoursFeries!$C$3:$CH$15)</f>
        <v>83829</v>
      </c>
      <c r="K60" s="184">
        <f>WORKDAY(J60,$O$60/$P$3+ROUND(SUMIF(J$8:J$50,"&lt;="&amp;J60,$S$8:$S$50),0),JoursFeries!$C$3:$CH$15)</f>
        <v>88090</v>
      </c>
      <c r="L60" s="68"/>
      <c r="M60" s="68"/>
      <c r="N60" s="183" t="s">
        <v>74</v>
      </c>
      <c r="O60" s="139">
        <v>30433</v>
      </c>
      <c r="P60" s="185">
        <f>-16567</f>
        <v>-16567</v>
      </c>
      <c r="Q60" s="131">
        <f t="shared" ref="Q60" si="126">P60+O60</f>
        <v>13866</v>
      </c>
      <c r="R60" s="148"/>
      <c r="S60" s="131">
        <f t="shared" ref="S60" si="127">R60/$P$3</f>
        <v>0</v>
      </c>
      <c r="T60" s="131">
        <f t="shared" ref="T60" si="128">Q60-$P$2</f>
        <v>11866</v>
      </c>
      <c r="U60" s="131">
        <f t="shared" ref="U60" si="129">T60/$P$3</f>
        <v>1186.5999999999999</v>
      </c>
      <c r="V60" s="182">
        <f>WORKDAY($P$1,U60,JoursFeries!$C$3:$CH$15)</f>
        <v>44609</v>
      </c>
      <c r="W60" s="182">
        <f>WORKDAY(V60,ROUND(SUMIF($V$8:$V$50,"&lt;="&amp;V60,$S$8:$S$50),0),JoursFeries!$C$3:$CH$15)</f>
        <v>44609</v>
      </c>
    </row>
    <row r="61" spans="1:23" x14ac:dyDescent="0.25">
      <c r="A61" s="181"/>
      <c r="B61" s="184"/>
      <c r="C61" s="184"/>
      <c r="D61" s="184"/>
      <c r="E61" s="184"/>
      <c r="F61" s="184"/>
      <c r="G61" s="184"/>
      <c r="H61" s="184"/>
      <c r="I61" s="184"/>
      <c r="J61" s="184"/>
      <c r="K61" s="184"/>
      <c r="L61" s="68"/>
      <c r="M61" s="68"/>
      <c r="N61" s="183"/>
      <c r="O61" s="139"/>
      <c r="P61" s="185"/>
      <c r="Q61" s="131"/>
      <c r="R61" s="148"/>
      <c r="S61" s="131"/>
      <c r="T61" s="131"/>
      <c r="U61" s="131"/>
      <c r="V61" s="182"/>
      <c r="W61" s="182"/>
    </row>
    <row r="62" spans="1:23" x14ac:dyDescent="0.25">
      <c r="A62" s="180">
        <f t="shared" ref="A62" si="130">W62</f>
        <v>41213</v>
      </c>
      <c r="B62" s="184">
        <f>WORKDAY(A62,$O$62/$P$3+ROUND(SUMIF(A$8:A$50,"&lt;="&amp;A62,$S$8:$S$50),0),JoursFeries!$C$3:$CH$15)</f>
        <v>43839</v>
      </c>
      <c r="C62" s="184">
        <f>WORKDAY(B62,$O$62/$P$3+ROUND(SUMIF(B$8:B$50,"&lt;="&amp;B62,$S$8:$S$50),0),JoursFeries!$C$3:$CH$15)</f>
        <v>46511</v>
      </c>
      <c r="D62" s="184">
        <f>WORKDAY(C62,$O$62/$P$3+ROUND(SUMIF(C$8:C$50,"&lt;="&amp;C62,$S$8:$S$50),0),JoursFeries!$C$3:$CH$15)</f>
        <v>49181</v>
      </c>
      <c r="E62" s="184">
        <f>WORKDAY(D62,$O$62/$P$3+ROUND(SUMIF(D$8:D$50,"&lt;="&amp;D62,$S$8:$S$50),0),JoursFeries!$C$3:$CH$15)</f>
        <v>51848</v>
      </c>
      <c r="F62" s="184">
        <f>WORKDAY(E62,$O$62/$P$3+ROUND(SUMIF(E$8:E$50,"&lt;="&amp;E62,$S$8:$S$50),0),JoursFeries!$C$3:$CH$15)</f>
        <v>54526</v>
      </c>
      <c r="G62" s="184">
        <f>WORKDAY(F62,$O$62/$P$3+ROUND(SUMIF(F$8:F$50,"&lt;="&amp;F62,$S$8:$S$50),0),JoursFeries!$C$3:$CH$15)</f>
        <v>57199</v>
      </c>
      <c r="H62" s="184">
        <f>WORKDAY(G62,$O$62/$P$3+ROUND(SUMIF(G$8:G$50,"&lt;="&amp;G62,$S$8:$S$50),0),JoursFeries!$C$3:$CH$15)</f>
        <v>59866</v>
      </c>
      <c r="I62" s="184">
        <f>WORKDAY(H62,$O$62/$P$3+ROUND(SUMIF(H$8:H$50,"&lt;="&amp;H62,$S$8:$S$50),0),JoursFeries!$C$3:$CH$15)</f>
        <v>62536</v>
      </c>
      <c r="J62" s="184">
        <f>WORKDAY(I62,$O$62/$P$3+ROUND(SUMIF(I$8:I$50,"&lt;="&amp;I62,$S$8:$S$50),0),JoursFeries!$C$3:$CH$15)</f>
        <v>65208</v>
      </c>
      <c r="K62" s="184">
        <f>WORKDAY(J62,$O$62/$P$3+ROUND(SUMIF(J$8:J$50,"&lt;="&amp;J62,$S$8:$S$50),0),JoursFeries!$C$3:$CH$15)</f>
        <v>67881</v>
      </c>
      <c r="L62" s="68"/>
      <c r="M62" s="68"/>
      <c r="N62" s="183" t="s">
        <v>75</v>
      </c>
      <c r="O62" s="139">
        <v>18500</v>
      </c>
      <c r="P62" s="185">
        <f>-28500</f>
        <v>-28500</v>
      </c>
      <c r="Q62" s="131">
        <f t="shared" ref="Q62" si="131">P62+O62</f>
        <v>-10000</v>
      </c>
      <c r="R62" s="148"/>
      <c r="S62" s="131">
        <f t="shared" ref="S62" si="132">R62/$P$3</f>
        <v>0</v>
      </c>
      <c r="T62" s="131">
        <f t="shared" ref="T62" si="133">Q62-$P$2</f>
        <v>-12000</v>
      </c>
      <c r="U62" s="131">
        <f t="shared" ref="U62" si="134">T62/$P$3</f>
        <v>-1200</v>
      </c>
      <c r="V62" s="182">
        <f>WORKDAY($P$1,U62,JoursFeries!$C$3:$CH$15)</f>
        <v>41213</v>
      </c>
      <c r="W62" s="182">
        <f>WORKDAY(V62,ROUND(SUMIF($V$8:$V$50,"&lt;="&amp;V62,$S$8:$S$50),0),JoursFeries!$C$3:$CH$15)</f>
        <v>41213</v>
      </c>
    </row>
    <row r="63" spans="1:23" x14ac:dyDescent="0.25">
      <c r="A63" s="181"/>
      <c r="B63" s="184"/>
      <c r="C63" s="184"/>
      <c r="D63" s="184"/>
      <c r="E63" s="184"/>
      <c r="F63" s="184"/>
      <c r="G63" s="184"/>
      <c r="H63" s="184"/>
      <c r="I63" s="184"/>
      <c r="J63" s="184"/>
      <c r="K63" s="184"/>
      <c r="L63" s="68"/>
      <c r="M63" s="68"/>
      <c r="N63" s="183"/>
      <c r="O63" s="139"/>
      <c r="P63" s="185"/>
      <c r="Q63" s="131"/>
      <c r="R63" s="148"/>
      <c r="S63" s="131"/>
      <c r="T63" s="131"/>
      <c r="U63" s="131"/>
      <c r="V63" s="182"/>
      <c r="W63" s="182"/>
    </row>
    <row r="64" spans="1:23" x14ac:dyDescent="0.25">
      <c r="A64" s="180">
        <f t="shared" ref="A64" si="135">W64</f>
        <v>42843</v>
      </c>
      <c r="B64" s="184">
        <f>WORKDAY(A64,$O$64/$P$3+ROUND(SUMIF(A$8:A$50,"&lt;="&amp;A64,$S$8:$S$50),0),JoursFeries!$C$3:$CH$15)</f>
        <v>46358</v>
      </c>
      <c r="C64" s="184">
        <f>WORKDAY(B64,$O$64/$P$3+ROUND(SUMIF(B$8:B$50,"&lt;="&amp;B64,$S$8:$S$50),0),JoursFeries!$C$3:$CH$15)</f>
        <v>49867</v>
      </c>
      <c r="D64" s="184">
        <f>WORKDAY(C64,$O$64/$P$3+ROUND(SUMIF(C$8:C$50,"&lt;="&amp;C64,$S$8:$S$50),0),JoursFeries!$C$3:$CH$15)</f>
        <v>53378</v>
      </c>
      <c r="E64" s="184">
        <f>WORKDAY(D64,$O$64/$P$3+ROUND(SUMIF(D$8:D$50,"&lt;="&amp;D64,$S$8:$S$50),0),JoursFeries!$C$3:$CH$15)</f>
        <v>56891</v>
      </c>
      <c r="F64" s="184">
        <f>WORKDAY(E64,$O$64/$P$3+ROUND(SUMIF(E$8:E$50,"&lt;="&amp;E64,$S$8:$S$50),0),JoursFeries!$C$3:$CH$15)</f>
        <v>60402</v>
      </c>
      <c r="G64" s="184">
        <f>WORKDAY(F64,$O$64/$P$3+ROUND(SUMIF(F$8:F$50,"&lt;="&amp;F64,$S$8:$S$50),0),JoursFeries!$C$3:$CH$15)</f>
        <v>63907</v>
      </c>
      <c r="H64" s="184">
        <f>WORKDAY(G64,$O$64/$P$3+ROUND(SUMIF(G$8:G$50,"&lt;="&amp;G64,$S$8:$S$50),0),JoursFeries!$C$3:$CH$15)</f>
        <v>67420</v>
      </c>
      <c r="I64" s="184">
        <f>WORKDAY(H64,$O$64/$P$3+ROUND(SUMIF(H$8:H$50,"&lt;="&amp;H64,$S$8:$S$50),0),JoursFeries!$C$3:$CH$15)</f>
        <v>70929</v>
      </c>
      <c r="J64" s="184">
        <f>WORKDAY(I64,$O$64/$P$3+ROUND(SUMIF(I$8:I$50,"&lt;="&amp;I64,$S$8:$S$50),0),JoursFeries!$C$3:$CH$15)</f>
        <v>74406</v>
      </c>
      <c r="K64" s="184">
        <f>WORKDAY(J64,$O$64/$P$3+ROUND(SUMIF(J$8:J$50,"&lt;="&amp;J64,$S$8:$S$50),0),JoursFeries!$C$3:$CH$15)</f>
        <v>77809</v>
      </c>
      <c r="L64" s="68"/>
      <c r="M64" s="68"/>
      <c r="N64" s="183" t="s">
        <v>76</v>
      </c>
      <c r="O64" s="139">
        <v>24318</v>
      </c>
      <c r="P64" s="185">
        <f>-22682</f>
        <v>-22682</v>
      </c>
      <c r="Q64" s="131">
        <f t="shared" ref="Q64" si="136">P64+O64</f>
        <v>1636</v>
      </c>
      <c r="R64" s="148"/>
      <c r="S64" s="131">
        <f t="shared" ref="S64" si="137">R64/$P$3</f>
        <v>0</v>
      </c>
      <c r="T64" s="131">
        <f t="shared" ref="T64" si="138">Q64-$P$2</f>
        <v>-364</v>
      </c>
      <c r="U64" s="131">
        <f t="shared" ref="U64" si="139">T64/$P$3</f>
        <v>-36.4</v>
      </c>
      <c r="V64" s="182">
        <f>WORKDAY($P$1,U64,JoursFeries!$C$3:$CH$15)</f>
        <v>42843</v>
      </c>
      <c r="W64" s="182">
        <f>WORKDAY(V64,ROUND(SUMIF($V$8:$V$50,"&lt;="&amp;V64,$S$8:$S$50),0),JoursFeries!$C$3:$CH$15)</f>
        <v>42843</v>
      </c>
    </row>
    <row r="65" spans="1:23" x14ac:dyDescent="0.25">
      <c r="A65" s="181"/>
      <c r="B65" s="184"/>
      <c r="C65" s="184"/>
      <c r="D65" s="184"/>
      <c r="E65" s="184"/>
      <c r="F65" s="184"/>
      <c r="G65" s="184"/>
      <c r="H65" s="184"/>
      <c r="I65" s="184"/>
      <c r="J65" s="184"/>
      <c r="K65" s="184"/>
      <c r="L65" s="68"/>
      <c r="M65" s="68"/>
      <c r="N65" s="183"/>
      <c r="O65" s="139"/>
      <c r="P65" s="185"/>
      <c r="Q65" s="131"/>
      <c r="R65" s="148"/>
      <c r="S65" s="131"/>
      <c r="T65" s="131"/>
      <c r="U65" s="131"/>
      <c r="V65" s="182"/>
      <c r="W65" s="182"/>
    </row>
    <row r="66" spans="1:23" x14ac:dyDescent="0.25">
      <c r="A66" s="180">
        <f t="shared" ref="A66" si="140">W66</f>
        <v>41213</v>
      </c>
      <c r="B66" s="184">
        <f>WORKDAY(A66,$O$66/$P$3+ROUND(SUMIF(A$8:A$50,"&lt;="&amp;A66,$S$8:$S$50),0),JoursFeries!$C$3:$CH$15)</f>
        <v>43839</v>
      </c>
      <c r="C66" s="184">
        <f>WORKDAY(B66,$O$66/$P$3+ROUND(SUMIF(B$8:B$50,"&lt;="&amp;B66,$S$8:$S$50),0),JoursFeries!$C$3:$CH$15)</f>
        <v>46511</v>
      </c>
      <c r="D66" s="184">
        <f>WORKDAY(C66,$O$66/$P$3+ROUND(SUMIF(C$8:C$50,"&lt;="&amp;C66,$S$8:$S$50),0),JoursFeries!$C$3:$CH$15)</f>
        <v>49181</v>
      </c>
      <c r="E66" s="184">
        <f>WORKDAY(D66,$O$66/$P$3+ROUND(SUMIF(D$8:D$50,"&lt;="&amp;D66,$S$8:$S$50),0),JoursFeries!$C$3:$CH$15)</f>
        <v>51848</v>
      </c>
      <c r="F66" s="184">
        <f>WORKDAY(E66,$O$66/$P$3+ROUND(SUMIF(E$8:E$50,"&lt;="&amp;E66,$S$8:$S$50),0),JoursFeries!$C$3:$CH$15)</f>
        <v>54526</v>
      </c>
      <c r="G66" s="184">
        <f>WORKDAY(F66,$O$66/$P$3+ROUND(SUMIF(F$8:F$50,"&lt;="&amp;F66,$S$8:$S$50),0),JoursFeries!$C$3:$CH$15)</f>
        <v>57199</v>
      </c>
      <c r="H66" s="184">
        <f>WORKDAY(G66,$O$66/$P$3+ROUND(SUMIF(G$8:G$50,"&lt;="&amp;G66,$S$8:$S$50),0),JoursFeries!$C$3:$CH$15)</f>
        <v>59866</v>
      </c>
      <c r="I66" s="184">
        <f>WORKDAY(H66,$O$66/$P$3+ROUND(SUMIF(H$8:H$50,"&lt;="&amp;H66,$S$8:$S$50),0),JoursFeries!$C$3:$CH$15)</f>
        <v>62536</v>
      </c>
      <c r="J66" s="184">
        <f>WORKDAY(I66,$O$66/$P$3+ROUND(SUMIF(I$8:I$50,"&lt;="&amp;I66,$S$8:$S$50),0),JoursFeries!$C$3:$CH$15)</f>
        <v>65208</v>
      </c>
      <c r="K66" s="184">
        <f>WORKDAY(J66,$O$66/$P$3+ROUND(SUMIF(J$8:J$50,"&lt;="&amp;J66,$S$8:$S$50),0),JoursFeries!$C$3:$CH$15)</f>
        <v>67881</v>
      </c>
      <c r="L66" s="68"/>
      <c r="M66" s="68"/>
      <c r="N66" s="183" t="s">
        <v>77</v>
      </c>
      <c r="O66" s="139">
        <v>18500</v>
      </c>
      <c r="P66" s="185">
        <f>-28500</f>
        <v>-28500</v>
      </c>
      <c r="Q66" s="131">
        <f t="shared" ref="Q66" si="141">P66+O66</f>
        <v>-10000</v>
      </c>
      <c r="R66" s="148"/>
      <c r="S66" s="131">
        <f t="shared" ref="S66" si="142">R66/$P$3</f>
        <v>0</v>
      </c>
      <c r="T66" s="131">
        <f t="shared" ref="T66" si="143">Q66-$P$2</f>
        <v>-12000</v>
      </c>
      <c r="U66" s="131">
        <f t="shared" ref="U66" si="144">T66/$P$3</f>
        <v>-1200</v>
      </c>
      <c r="V66" s="182">
        <f>WORKDAY($P$1,U66,JoursFeries!$C$3:$CH$15)</f>
        <v>41213</v>
      </c>
      <c r="W66" s="182">
        <f>WORKDAY(V66,ROUND(SUMIF($V$8:$V$50,"&lt;="&amp;V66,$S$8:$S$50),0),JoursFeries!$C$3:$CH$15)</f>
        <v>41213</v>
      </c>
    </row>
    <row r="67" spans="1:23" x14ac:dyDescent="0.25">
      <c r="A67" s="181"/>
      <c r="B67" s="184"/>
      <c r="C67" s="184"/>
      <c r="D67" s="184"/>
      <c r="E67" s="184"/>
      <c r="F67" s="184"/>
      <c r="G67" s="184"/>
      <c r="H67" s="184"/>
      <c r="I67" s="184"/>
      <c r="J67" s="184"/>
      <c r="K67" s="184"/>
      <c r="L67" s="68"/>
      <c r="M67" s="68"/>
      <c r="N67" s="183"/>
      <c r="O67" s="139"/>
      <c r="P67" s="185"/>
      <c r="Q67" s="131"/>
      <c r="R67" s="148"/>
      <c r="S67" s="131"/>
      <c r="T67" s="131"/>
      <c r="U67" s="131"/>
      <c r="V67" s="182"/>
      <c r="W67" s="182"/>
    </row>
    <row r="68" spans="1:23" x14ac:dyDescent="0.25">
      <c r="A68" s="180">
        <f t="shared" ref="A68" si="145">W68</f>
        <v>41213</v>
      </c>
      <c r="B68" s="184">
        <f>WORKDAY(A68,$O$68/$P$3+ROUND(SUMIF(A$8:A$50,"&lt;="&amp;A68,$S$8:$S$50),0),JoursFeries!$C$3:$CH$15)</f>
        <v>43839</v>
      </c>
      <c r="C68" s="184">
        <f>WORKDAY(B68,$O$68/$P$3+ROUND(SUMIF(B$8:B$50,"&lt;="&amp;B68,$S$8:$S$50),0),JoursFeries!$C$3:$CH$15)</f>
        <v>46511</v>
      </c>
      <c r="D68" s="184">
        <f>WORKDAY(C68,$O$68/$P$3+ROUND(SUMIF(C$8:C$50,"&lt;="&amp;C68,$S$8:$S$50),0),JoursFeries!$C$3:$CH$15)</f>
        <v>49181</v>
      </c>
      <c r="E68" s="184">
        <f>WORKDAY(D68,$O$68/$P$3+ROUND(SUMIF(D$8:D$50,"&lt;="&amp;D68,$S$8:$S$50),0),JoursFeries!$C$3:$CH$15)</f>
        <v>51848</v>
      </c>
      <c r="F68" s="184">
        <f>WORKDAY(E68,$O$68/$P$3+ROUND(SUMIF(E$8:E$50,"&lt;="&amp;E68,$S$8:$S$50),0),JoursFeries!$C$3:$CH$15)</f>
        <v>54526</v>
      </c>
      <c r="G68" s="184">
        <f>WORKDAY(F68,$O$68/$P$3+ROUND(SUMIF(F$8:F$50,"&lt;="&amp;F68,$S$8:$S$50),0),JoursFeries!$C$3:$CH$15)</f>
        <v>57199</v>
      </c>
      <c r="H68" s="184">
        <f>WORKDAY(G68,$O$68/$P$3+ROUND(SUMIF(G$8:G$50,"&lt;="&amp;G68,$S$8:$S$50),0),JoursFeries!$C$3:$CH$15)</f>
        <v>59866</v>
      </c>
      <c r="I68" s="184">
        <f>WORKDAY(H68,$O$68/$P$3+ROUND(SUMIF(H$8:H$50,"&lt;="&amp;H68,$S$8:$S$50),0),JoursFeries!$C$3:$CH$15)</f>
        <v>62536</v>
      </c>
      <c r="J68" s="184">
        <f>WORKDAY(I68,$O$68/$P$3+ROUND(SUMIF(I$8:I$50,"&lt;="&amp;I68,$S$8:$S$50),0),JoursFeries!$C$3:$CH$15)</f>
        <v>65208</v>
      </c>
      <c r="K68" s="184">
        <f>WORKDAY(J68,$O$68/$P$3+ROUND(SUMIF(J$8:J$50,"&lt;="&amp;J68,$S$8:$S$50),0),JoursFeries!$C$3:$CH$15)</f>
        <v>67881</v>
      </c>
      <c r="L68" s="68"/>
      <c r="M68" s="68"/>
      <c r="N68" s="183" t="s">
        <v>151</v>
      </c>
      <c r="O68" s="139">
        <v>18500</v>
      </c>
      <c r="P68" s="185">
        <f>-28500</f>
        <v>-28500</v>
      </c>
      <c r="Q68" s="131">
        <f t="shared" ref="Q68" si="146">P68+O68</f>
        <v>-10000</v>
      </c>
      <c r="R68" s="148"/>
      <c r="S68" s="131">
        <f t="shared" ref="S68" si="147">R68/$P$3</f>
        <v>0</v>
      </c>
      <c r="T68" s="131">
        <f t="shared" ref="T68" si="148">Q68-$P$2</f>
        <v>-12000</v>
      </c>
      <c r="U68" s="131">
        <f t="shared" ref="U68" si="149">T68/$P$3</f>
        <v>-1200</v>
      </c>
      <c r="V68" s="182">
        <f>WORKDAY($P$1,U68,JoursFeries!$C$3:$CH$15)</f>
        <v>41213</v>
      </c>
      <c r="W68" s="182">
        <f>WORKDAY(V68,ROUND(SUMIF($V$8:$V$50,"&lt;="&amp;V68,$S$8:$S$50),0),JoursFeries!$C$3:$CH$15)</f>
        <v>41213</v>
      </c>
    </row>
    <row r="69" spans="1:23" x14ac:dyDescent="0.25">
      <c r="A69" s="181"/>
      <c r="B69" s="184"/>
      <c r="C69" s="184"/>
      <c r="D69" s="184"/>
      <c r="E69" s="184"/>
      <c r="F69" s="184"/>
      <c r="G69" s="184"/>
      <c r="H69" s="184"/>
      <c r="I69" s="184"/>
      <c r="J69" s="184"/>
      <c r="K69" s="184"/>
      <c r="L69" s="68"/>
      <c r="M69" s="68"/>
      <c r="N69" s="183"/>
      <c r="O69" s="139"/>
      <c r="P69" s="185"/>
      <c r="Q69" s="131"/>
      <c r="R69" s="148"/>
      <c r="S69" s="131"/>
      <c r="T69" s="131"/>
      <c r="U69" s="131"/>
      <c r="V69" s="182"/>
      <c r="W69" s="182"/>
    </row>
    <row r="70" spans="1:23" x14ac:dyDescent="0.25">
      <c r="A70" s="180">
        <f t="shared" ref="A70" si="150">W70</f>
        <v>42613</v>
      </c>
      <c r="B70" s="184">
        <f>WORKDAY(A70,$O$70/$P$3+ROUND(SUMIF(A$8:A$50,"&lt;="&amp;A70,$S$8:$S$50),0),JoursFeries!$C$3:$CH$15)</f>
        <v>42613</v>
      </c>
      <c r="C70" s="184">
        <f>WORKDAY(B70,$O$70/$P$3+ROUND(SUMIF(B$8:B$50,"&lt;="&amp;B70,$S$8:$S$50),0),JoursFeries!$C$3:$CH$15)</f>
        <v>42613</v>
      </c>
      <c r="D70" s="184">
        <f>WORKDAY(C70,$O$70/$P$3+ROUND(SUMIF(C$8:C$50,"&lt;="&amp;C70,$S$8:$S$50),0),JoursFeries!$C$3:$CH$15)</f>
        <v>42613</v>
      </c>
      <c r="E70" s="184">
        <f>WORKDAY(D70,$O$70/$P$3+ROUND(SUMIF(D$8:D$50,"&lt;="&amp;D70,$S$8:$S$50),0),JoursFeries!$C$3:$CH$15)</f>
        <v>42613</v>
      </c>
      <c r="F70" s="184">
        <f>WORKDAY(E70,$O$70/$P$3+ROUND(SUMIF(E$8:E$50,"&lt;="&amp;E70,$S$8:$S$50),0),JoursFeries!$C$3:$CH$15)</f>
        <v>42613</v>
      </c>
      <c r="G70" s="184">
        <f>WORKDAY(F70,$O$70/$P$3+ROUND(SUMIF(F$8:F$50,"&lt;="&amp;F70,$S$8:$S$50),0),JoursFeries!$C$3:$CH$15)</f>
        <v>42613</v>
      </c>
      <c r="H70" s="184">
        <f>WORKDAY(G70,$O$70/$P$3+ROUND(SUMIF(G$8:G$50,"&lt;="&amp;G70,$S$8:$S$50),0),JoursFeries!$C$3:$CH$15)</f>
        <v>42613</v>
      </c>
      <c r="I70" s="184">
        <f>WORKDAY(H70,$O$70/$P$3+ROUND(SUMIF(H$8:H$50,"&lt;="&amp;H70,$S$8:$S$50),0),JoursFeries!$C$3:$CH$15)</f>
        <v>42613</v>
      </c>
      <c r="J70" s="184">
        <f>WORKDAY(I70,$O$70/$P$3+ROUND(SUMIF(I$8:I$50,"&lt;="&amp;I70,$S$8:$S$50),0),JoursFeries!$C$3:$CH$15)</f>
        <v>42613</v>
      </c>
      <c r="K70" s="184">
        <f>WORKDAY(J70,$O$70/$P$3+ROUND(SUMIF(J$8:J$50,"&lt;="&amp;J70,$S$8:$S$50),0),JoursFeries!$C$3:$CH$15)</f>
        <v>42613</v>
      </c>
      <c r="L70" s="68"/>
      <c r="M70" s="68"/>
      <c r="N70" s="187"/>
      <c r="O70" s="139"/>
      <c r="P70" s="148"/>
      <c r="Q70" s="131">
        <f t="shared" ref="Q70" si="151">P70+O70</f>
        <v>0</v>
      </c>
      <c r="R70" s="148"/>
      <c r="S70" s="131">
        <f t="shared" ref="S70" si="152">R70/$P$3</f>
        <v>0</v>
      </c>
      <c r="T70" s="131">
        <f t="shared" ref="T70" si="153">Q70-$P$2</f>
        <v>-2000</v>
      </c>
      <c r="U70" s="131">
        <f t="shared" ref="U70" si="154">T70/$P$3</f>
        <v>-200</v>
      </c>
      <c r="V70" s="182">
        <f>WORKDAY($P$1,U70,JoursFeries!$C$3:$CH$15)</f>
        <v>42613</v>
      </c>
      <c r="W70" s="182">
        <f>WORKDAY(V70,ROUND(SUMIF($V$8:$V$50,"&lt;="&amp;V70,$S$8:$S$50),0),JoursFeries!$C$3:$CH$15)</f>
        <v>42613</v>
      </c>
    </row>
    <row r="71" spans="1:23" x14ac:dyDescent="0.25">
      <c r="A71" s="181"/>
      <c r="B71" s="184"/>
      <c r="C71" s="184"/>
      <c r="D71" s="184"/>
      <c r="E71" s="184"/>
      <c r="F71" s="184"/>
      <c r="G71" s="184"/>
      <c r="H71" s="184"/>
      <c r="I71" s="184"/>
      <c r="J71" s="184"/>
      <c r="K71" s="184"/>
      <c r="L71" s="68"/>
      <c r="M71" s="68"/>
      <c r="N71" s="188"/>
      <c r="O71" s="139"/>
      <c r="P71" s="148"/>
      <c r="Q71" s="131"/>
      <c r="R71" s="148"/>
      <c r="S71" s="131"/>
      <c r="T71" s="131"/>
      <c r="U71" s="131"/>
      <c r="V71" s="182"/>
      <c r="W71" s="182"/>
    </row>
    <row r="72" spans="1:23" x14ac:dyDescent="0.25">
      <c r="A72" s="180">
        <f t="shared" ref="A72" si="155">W72</f>
        <v>42613</v>
      </c>
      <c r="B72" s="184">
        <f>WORKDAY(A72,$O$72/$P$3+ROUND(SUMIF(A$8:A$50,"&lt;="&amp;A72,$S$8:$S$50),0),JoursFeries!$C$3:$CH$15)</f>
        <v>42613</v>
      </c>
      <c r="C72" s="184">
        <f>WORKDAY(B72,$O$72/$P$3+ROUND(SUMIF(B$8:B$50,"&lt;="&amp;B72,$S$8:$S$50),0),JoursFeries!$C$3:$CH$15)</f>
        <v>42613</v>
      </c>
      <c r="D72" s="184">
        <f>WORKDAY(C72,$O$72/$P$3+ROUND(SUMIF(C$8:C$50,"&lt;="&amp;C72,$S$8:$S$50),0),JoursFeries!$C$3:$CH$15)</f>
        <v>42613</v>
      </c>
      <c r="E72" s="184">
        <f>WORKDAY(D72,$O$72/$P$3+ROUND(SUMIF(D$8:D$50,"&lt;="&amp;D72,$S$8:$S$50),0),JoursFeries!$C$3:$CH$15)</f>
        <v>42613</v>
      </c>
      <c r="F72" s="184">
        <f>WORKDAY(E72,$O$72/$P$3+ROUND(SUMIF(E$8:E$50,"&lt;="&amp;E72,$S$8:$S$50),0),JoursFeries!$C$3:$CH$15)</f>
        <v>42613</v>
      </c>
      <c r="G72" s="184">
        <f>WORKDAY(F72,$O$72/$P$3+ROUND(SUMIF(F$8:F$50,"&lt;="&amp;F72,$S$8:$S$50),0),JoursFeries!$C$3:$CH$15)</f>
        <v>42613</v>
      </c>
      <c r="H72" s="184">
        <f>WORKDAY(G72,$O$72/$P$3+ROUND(SUMIF(G$8:G$50,"&lt;="&amp;G72,$S$8:$S$50),0),JoursFeries!$C$3:$CH$15)</f>
        <v>42613</v>
      </c>
      <c r="I72" s="184">
        <f>WORKDAY(H72,$O$72/$P$3+ROUND(SUMIF(H$8:H$50,"&lt;="&amp;H72,$S$8:$S$50),0),JoursFeries!$C$3:$CH$15)</f>
        <v>42613</v>
      </c>
      <c r="J72" s="184">
        <f>WORKDAY(I72,$O$72/$P$3+ROUND(SUMIF(I$8:I$50,"&lt;="&amp;I72,$S$8:$S$50),0),JoursFeries!$C$3:$CH$15)</f>
        <v>42613</v>
      </c>
      <c r="K72" s="184">
        <f>WORKDAY(J72,$O$72/$P$3+ROUND(SUMIF(J$8:J$50,"&lt;="&amp;J72,$S$8:$S$50),0),JoursFeries!$C$3:$CH$15)</f>
        <v>42613</v>
      </c>
      <c r="L72" s="68"/>
      <c r="M72" s="68"/>
      <c r="N72" s="132"/>
      <c r="O72" s="131"/>
      <c r="P72" s="148"/>
      <c r="Q72" s="131">
        <f t="shared" ref="Q72" si="156">P72+O72</f>
        <v>0</v>
      </c>
      <c r="R72" s="148"/>
      <c r="S72" s="131">
        <f t="shared" ref="S72" si="157">R72/$P$3</f>
        <v>0</v>
      </c>
      <c r="T72" s="131">
        <f t="shared" ref="T72" si="158">Q72-$P$2</f>
        <v>-2000</v>
      </c>
      <c r="U72" s="131">
        <f t="shared" ref="U72" si="159">T72/$P$3</f>
        <v>-200</v>
      </c>
      <c r="V72" s="182">
        <f>WORKDAY($P$1,U72,JoursFeries!$C$3:$CH$15)</f>
        <v>42613</v>
      </c>
      <c r="W72" s="182">
        <f>WORKDAY(V72,ROUND(SUMIF($V$8:$V$50,"&lt;="&amp;V72,$S$8:$S$50),0),JoursFeries!$C$3:$CH$15)</f>
        <v>42613</v>
      </c>
    </row>
    <row r="73" spans="1:23" x14ac:dyDescent="0.25">
      <c r="A73" s="181"/>
      <c r="B73" s="184"/>
      <c r="C73" s="184"/>
      <c r="D73" s="184"/>
      <c r="E73" s="184"/>
      <c r="F73" s="184"/>
      <c r="G73" s="184"/>
      <c r="H73" s="184"/>
      <c r="I73" s="184"/>
      <c r="J73" s="184"/>
      <c r="K73" s="184"/>
      <c r="L73" s="68"/>
      <c r="M73" s="68"/>
      <c r="N73" s="189"/>
      <c r="O73" s="131"/>
      <c r="P73" s="148"/>
      <c r="Q73" s="131"/>
      <c r="R73" s="148"/>
      <c r="S73" s="131"/>
      <c r="T73" s="131"/>
      <c r="U73" s="131"/>
      <c r="V73" s="182"/>
      <c r="W73" s="182"/>
    </row>
    <row r="74" spans="1:23" x14ac:dyDescent="0.25">
      <c r="A74" s="180">
        <f t="shared" ref="A74" si="160">W74</f>
        <v>42613</v>
      </c>
      <c r="B74" s="184">
        <f>WORKDAY(A74,$O$74/$P$3+ROUND(SUMIF(A$8:A$50,"&lt;="&amp;A74,$S$8:$S$50),0),JoursFeries!$C$3:$CH$15)</f>
        <v>42613</v>
      </c>
      <c r="C74" s="184">
        <f>WORKDAY(B74,$O$74/$P$3+ROUND(SUMIF(B$8:B$50,"&lt;="&amp;B74,$S$8:$S$50),0),JoursFeries!$C$3:$CH$15)</f>
        <v>42613</v>
      </c>
      <c r="D74" s="184">
        <f>WORKDAY(C74,$O$74/$P$3+ROUND(SUMIF(C$8:C$50,"&lt;="&amp;C74,$S$8:$S$50),0),JoursFeries!$C$3:$CH$15)</f>
        <v>42613</v>
      </c>
      <c r="E74" s="184">
        <f>WORKDAY(D74,$O$74/$P$3+ROUND(SUMIF(D$8:D$50,"&lt;="&amp;D74,$S$8:$S$50),0),JoursFeries!$C$3:$CH$15)</f>
        <v>42613</v>
      </c>
      <c r="F74" s="184">
        <f>WORKDAY(E74,$O$74/$P$3+ROUND(SUMIF(E$8:E$50,"&lt;="&amp;E74,$S$8:$S$50),0),JoursFeries!$C$3:$CH$15)</f>
        <v>42613</v>
      </c>
      <c r="G74" s="184">
        <f>WORKDAY(F74,$O$74/$P$3+ROUND(SUMIF(F$8:F$50,"&lt;="&amp;F74,$S$8:$S$50),0),JoursFeries!$C$3:$CH$15)</f>
        <v>42613</v>
      </c>
      <c r="H74" s="184">
        <f>WORKDAY(G74,$O$74/$P$3+ROUND(SUMIF(G$8:G$50,"&lt;="&amp;G74,$S$8:$S$50),0),JoursFeries!$C$3:$CH$15)</f>
        <v>42613</v>
      </c>
      <c r="I74" s="184">
        <f>WORKDAY(H74,$O$74/$P$3+ROUND(SUMIF(H$8:H$50,"&lt;="&amp;H74,$S$8:$S$50),0),JoursFeries!$C$3:$CH$15)</f>
        <v>42613</v>
      </c>
      <c r="J74" s="184">
        <f>WORKDAY(I74,$O$74/$P$3+ROUND(SUMIF(I$8:I$50,"&lt;="&amp;I74,$S$8:$S$50),0),JoursFeries!$C$3:$CH$15)</f>
        <v>42613</v>
      </c>
      <c r="K74" s="184">
        <f>WORKDAY(J74,$O$74/$P$3+ROUND(SUMIF(J$8:J$50,"&lt;="&amp;J74,$S$8:$S$50),0),JoursFeries!$C$3:$CH$15)</f>
        <v>42613</v>
      </c>
      <c r="L74" s="68"/>
      <c r="M74" s="68"/>
      <c r="N74" s="132"/>
      <c r="O74" s="131"/>
      <c r="P74" s="148"/>
      <c r="Q74" s="131">
        <f t="shared" ref="Q74" si="161">P74+O74</f>
        <v>0</v>
      </c>
      <c r="R74" s="148"/>
      <c r="S74" s="131">
        <f t="shared" ref="S74" si="162">R74/$P$3</f>
        <v>0</v>
      </c>
      <c r="T74" s="131">
        <f t="shared" ref="T74" si="163">Q74-$P$2</f>
        <v>-2000</v>
      </c>
      <c r="U74" s="131">
        <f t="shared" ref="U74" si="164">T74/$P$3</f>
        <v>-200</v>
      </c>
      <c r="V74" s="182">
        <f>WORKDAY($P$1,U74,JoursFeries!$C$3:$CH$15)</f>
        <v>42613</v>
      </c>
      <c r="W74" s="182">
        <f>WORKDAY(V74,ROUND(SUMIF($V$8:$V$50,"&lt;="&amp;V74,$S$8:$S$50),0),JoursFeries!$C$3:$CH$15)</f>
        <v>42613</v>
      </c>
    </row>
    <row r="75" spans="1:23" x14ac:dyDescent="0.25">
      <c r="A75" s="181"/>
      <c r="B75" s="184"/>
      <c r="C75" s="184"/>
      <c r="D75" s="184"/>
      <c r="E75" s="184"/>
      <c r="F75" s="184"/>
      <c r="G75" s="184"/>
      <c r="H75" s="184"/>
      <c r="I75" s="184"/>
      <c r="J75" s="184"/>
      <c r="K75" s="184"/>
      <c r="L75" s="68"/>
      <c r="M75" s="68"/>
      <c r="N75" s="189"/>
      <c r="O75" s="131"/>
      <c r="P75" s="148"/>
      <c r="Q75" s="131"/>
      <c r="R75" s="148"/>
      <c r="S75" s="131"/>
      <c r="T75" s="131"/>
      <c r="U75" s="131"/>
      <c r="V75" s="182"/>
      <c r="W75" s="182"/>
    </row>
    <row r="76" spans="1:23" x14ac:dyDescent="0.25">
      <c r="A76" s="180">
        <f t="shared" ref="A76" si="165">W76</f>
        <v>42613</v>
      </c>
      <c r="B76" s="184">
        <f>WORKDAY(A76,$O$76/$P$3+ROUND(SUMIF(A$8:A$50,"&lt;="&amp;A76,$S$8:$S$50),0),JoursFeries!$C$3:$CH$15)</f>
        <v>42613</v>
      </c>
      <c r="C76" s="184">
        <f>WORKDAY(B76,$O$76/$P$3+ROUND(SUMIF(B$8:B$50,"&lt;="&amp;B76,$S$8:$S$50),0),JoursFeries!$C$3:$CH$15)</f>
        <v>42613</v>
      </c>
      <c r="D76" s="184">
        <f>WORKDAY(C76,$O$76/$P$3+ROUND(SUMIF(C$8:C$50,"&lt;="&amp;C76,$S$8:$S$50),0),JoursFeries!$C$3:$CH$15)</f>
        <v>42613</v>
      </c>
      <c r="E76" s="184">
        <f>WORKDAY(D76,$O$76/$P$3+ROUND(SUMIF(D$8:D$50,"&lt;="&amp;D76,$S$8:$S$50),0),JoursFeries!$C$3:$CH$15)</f>
        <v>42613</v>
      </c>
      <c r="F76" s="184">
        <f>WORKDAY(E76,$O$76/$P$3+ROUND(SUMIF(E$8:E$50,"&lt;="&amp;E76,$S$8:$S$50),0),JoursFeries!$C$3:$CH$15)</f>
        <v>42613</v>
      </c>
      <c r="G76" s="184">
        <f>WORKDAY(F76,$O$76/$P$3+ROUND(SUMIF(F$8:F$50,"&lt;="&amp;F76,$S$8:$S$50),0),JoursFeries!$C$3:$CH$15)</f>
        <v>42613</v>
      </c>
      <c r="H76" s="184">
        <f>WORKDAY(G76,$O$76/$P$3+ROUND(SUMIF(G$8:G$50,"&lt;="&amp;G76,$S$8:$S$50),0),JoursFeries!$C$3:$CH$15)</f>
        <v>42613</v>
      </c>
      <c r="I76" s="184">
        <f>WORKDAY(H76,$O$76/$P$3+ROUND(SUMIF(H$8:H$50,"&lt;="&amp;H76,$S$8:$S$50),0),JoursFeries!$C$3:$CH$15)</f>
        <v>42613</v>
      </c>
      <c r="J76" s="184">
        <f>WORKDAY(I76,$O$76/$P$3+ROUND(SUMIF(I$8:I$50,"&lt;="&amp;I76,$S$8:$S$50),0),JoursFeries!$C$3:$CH$15)</f>
        <v>42613</v>
      </c>
      <c r="K76" s="184">
        <f>WORKDAY(J76,$O$76/$P$3+ROUND(SUMIF(J$8:J$50,"&lt;="&amp;J76,$S$8:$S$50),0),JoursFeries!$C$3:$CH$15)</f>
        <v>42613</v>
      </c>
      <c r="L76" s="68"/>
      <c r="M76" s="68"/>
      <c r="N76" s="132"/>
      <c r="O76" s="131"/>
      <c r="P76" s="148"/>
      <c r="Q76" s="131">
        <f t="shared" ref="Q76" si="166">P76+O76</f>
        <v>0</v>
      </c>
      <c r="R76" s="148"/>
      <c r="S76" s="131">
        <f t="shared" ref="S76" si="167">R76/$P$3</f>
        <v>0</v>
      </c>
      <c r="T76" s="131">
        <f t="shared" ref="T76" si="168">Q76-$P$2</f>
        <v>-2000</v>
      </c>
      <c r="U76" s="131">
        <f t="shared" ref="U76" si="169">T76/$P$3</f>
        <v>-200</v>
      </c>
      <c r="V76" s="182">
        <f>WORKDAY($P$1,U76,JoursFeries!$C$3:$CH$15)</f>
        <v>42613</v>
      </c>
      <c r="W76" s="182">
        <f>WORKDAY(V76,ROUND(SUMIF($V$8:$V$50,"&lt;="&amp;V76,$S$8:$S$50),0),JoursFeries!$C$3:$CH$15)</f>
        <v>42613</v>
      </c>
    </row>
    <row r="77" spans="1:23" x14ac:dyDescent="0.25">
      <c r="A77" s="181"/>
      <c r="B77" s="184"/>
      <c r="C77" s="184"/>
      <c r="D77" s="184"/>
      <c r="E77" s="184"/>
      <c r="F77" s="184"/>
      <c r="G77" s="184"/>
      <c r="H77" s="184"/>
      <c r="I77" s="184"/>
      <c r="J77" s="184"/>
      <c r="K77" s="184"/>
      <c r="L77" s="68"/>
      <c r="M77" s="68"/>
      <c r="N77" s="189"/>
      <c r="O77" s="131"/>
      <c r="P77" s="148"/>
      <c r="Q77" s="131"/>
      <c r="R77" s="148"/>
      <c r="S77" s="131"/>
      <c r="T77" s="131"/>
      <c r="U77" s="131"/>
      <c r="V77" s="182"/>
      <c r="W77" s="182"/>
    </row>
    <row r="78" spans="1:23" x14ac:dyDescent="0.25">
      <c r="A78" s="180">
        <f t="shared" ref="A78" si="170">W78</f>
        <v>42613</v>
      </c>
      <c r="B78" s="184">
        <f>WORKDAY(A78,$O$78/$P$3+ROUND(SUMIF(A$8:A$50,"&lt;="&amp;A78,$S$8:$S$50),0),JoursFeries!$C$3:$CH$15)</f>
        <v>42613</v>
      </c>
      <c r="C78" s="184">
        <f>WORKDAY(B78,$O$78/$P$3+ROUND(SUMIF(B$8:B$50,"&lt;="&amp;B78,$S$8:$S$50),0),JoursFeries!$C$3:$CH$15)</f>
        <v>42613</v>
      </c>
      <c r="D78" s="184">
        <f>WORKDAY(C78,$O$78/$P$3+ROUND(SUMIF(C$8:C$50,"&lt;="&amp;C78,$S$8:$S$50),0),JoursFeries!$C$3:$CH$15)</f>
        <v>42613</v>
      </c>
      <c r="E78" s="184">
        <f>WORKDAY(D78,$O$78/$P$3+ROUND(SUMIF(D$8:D$50,"&lt;="&amp;D78,$S$8:$S$50),0),JoursFeries!$C$3:$CH$15)</f>
        <v>42613</v>
      </c>
      <c r="F78" s="184">
        <f>WORKDAY(E78,$O$78/$P$3+ROUND(SUMIF(E$8:E$50,"&lt;="&amp;E78,$S$8:$S$50),0),JoursFeries!$C$3:$CH$15)</f>
        <v>42613</v>
      </c>
      <c r="G78" s="184">
        <f>WORKDAY(F78,$O$78/$P$3+ROUND(SUMIF(F$8:F$50,"&lt;="&amp;F78,$S$8:$S$50),0),JoursFeries!$C$3:$CH$15)</f>
        <v>42613</v>
      </c>
      <c r="H78" s="184">
        <f>WORKDAY(G78,$O$78/$P$3+ROUND(SUMIF(G$8:G$50,"&lt;="&amp;G78,$S$8:$S$50),0),JoursFeries!$C$3:$CH$15)</f>
        <v>42613</v>
      </c>
      <c r="I78" s="184">
        <f>WORKDAY(H78,$O$78/$P$3+ROUND(SUMIF(H$8:H$50,"&lt;="&amp;H78,$S$8:$S$50),0),JoursFeries!$C$3:$CH$15)</f>
        <v>42613</v>
      </c>
      <c r="J78" s="184">
        <f>WORKDAY(I78,$O$78/$P$3+ROUND(SUMIF(I$8:I$50,"&lt;="&amp;I78,$S$8:$S$50),0),JoursFeries!$C$3:$CH$15)</f>
        <v>42613</v>
      </c>
      <c r="K78" s="184">
        <f>WORKDAY(J78,$O$78/$P$3+ROUND(SUMIF(J$8:J$50,"&lt;="&amp;J78,$S$8:$S$50),0),JoursFeries!$C$3:$CH$15)</f>
        <v>42613</v>
      </c>
      <c r="L78" s="68"/>
      <c r="M78" s="68"/>
      <c r="N78" s="132"/>
      <c r="O78" s="131"/>
      <c r="P78" s="148"/>
      <c r="Q78" s="131">
        <f t="shared" ref="Q78" si="171">P78+O78</f>
        <v>0</v>
      </c>
      <c r="R78" s="148"/>
      <c r="S78" s="131">
        <f t="shared" ref="S78" si="172">R78/$P$3</f>
        <v>0</v>
      </c>
      <c r="T78" s="131">
        <f t="shared" ref="T78" si="173">Q78-$P$2</f>
        <v>-2000</v>
      </c>
      <c r="U78" s="131">
        <f t="shared" ref="U78" si="174">T78/$P$3</f>
        <v>-200</v>
      </c>
      <c r="V78" s="182">
        <f>WORKDAY($P$1,U78,JoursFeries!$C$3:$CH$15)</f>
        <v>42613</v>
      </c>
      <c r="W78" s="182">
        <f>WORKDAY(V78,ROUND(SUMIF($V$8:$V$50,"&lt;="&amp;V78,$S$8:$S$50),0),JoursFeries!$C$3:$CH$15)</f>
        <v>42613</v>
      </c>
    </row>
    <row r="79" spans="1:23" x14ac:dyDescent="0.25">
      <c r="A79" s="181"/>
      <c r="B79" s="184"/>
      <c r="C79" s="184"/>
      <c r="D79" s="184"/>
      <c r="E79" s="184"/>
      <c r="F79" s="184"/>
      <c r="G79" s="184"/>
      <c r="H79" s="184"/>
      <c r="I79" s="184"/>
      <c r="J79" s="184"/>
      <c r="K79" s="184"/>
      <c r="L79" s="68"/>
      <c r="M79" s="68"/>
      <c r="N79" s="189"/>
      <c r="O79" s="131"/>
      <c r="P79" s="148"/>
      <c r="Q79" s="131"/>
      <c r="R79" s="148"/>
      <c r="S79" s="131"/>
      <c r="T79" s="131"/>
      <c r="U79" s="131"/>
      <c r="V79" s="182"/>
      <c r="W79" s="182"/>
    </row>
    <row r="80" spans="1:23" x14ac:dyDescent="0.25">
      <c r="A80" s="180">
        <f t="shared" ref="A80" si="175">W80</f>
        <v>42613</v>
      </c>
      <c r="B80" s="184">
        <f>WORKDAY(A80,$O$80/$P$3+ROUND(SUMIF(A$8:A$50,"&lt;="&amp;A80,$S$8:$S$50),0),JoursFeries!$C$3:$CH$15)</f>
        <v>42613</v>
      </c>
      <c r="C80" s="184">
        <f>WORKDAY(B80,$O$80/$P$3+ROUND(SUMIF(B$8:B$50,"&lt;="&amp;B80,$S$8:$S$50),0),JoursFeries!$C$3:$CH$15)</f>
        <v>42613</v>
      </c>
      <c r="D80" s="184">
        <f>WORKDAY(C80,$O$80/$P$3+ROUND(SUMIF(C$8:C$50,"&lt;="&amp;C80,$S$8:$S$50),0),JoursFeries!$C$3:$CH$15)</f>
        <v>42613</v>
      </c>
      <c r="E80" s="184">
        <f>WORKDAY(D80,$O$80/$P$3+ROUND(SUMIF(D$8:D$50,"&lt;="&amp;D80,$S$8:$S$50),0),JoursFeries!$C$3:$CH$15)</f>
        <v>42613</v>
      </c>
      <c r="F80" s="184">
        <f>WORKDAY(E80,$O$80/$P$3+ROUND(SUMIF(E$8:E$50,"&lt;="&amp;E80,$S$8:$S$50),0),JoursFeries!$C$3:$CH$15)</f>
        <v>42613</v>
      </c>
      <c r="G80" s="184">
        <f>WORKDAY(F80,$O$80/$P$3+ROUND(SUMIF(F$8:F$50,"&lt;="&amp;F80,$S$8:$S$50),0),JoursFeries!$C$3:$CH$15)</f>
        <v>42613</v>
      </c>
      <c r="H80" s="184">
        <f>WORKDAY(G80,$O$80/$P$3+ROUND(SUMIF(G$8:G$50,"&lt;="&amp;G80,$S$8:$S$50),0),JoursFeries!$C$3:$CH$15)</f>
        <v>42613</v>
      </c>
      <c r="I80" s="184">
        <f>WORKDAY(H80,$O$80/$P$3+ROUND(SUMIF(H$8:H$50,"&lt;="&amp;H80,$S$8:$S$50),0),JoursFeries!$C$3:$CH$15)</f>
        <v>42613</v>
      </c>
      <c r="J80" s="184">
        <f>WORKDAY(I80,$O$80/$P$3+ROUND(SUMIF(I$8:I$50,"&lt;="&amp;I80,$S$8:$S$50),0),JoursFeries!$C$3:$CH$15)</f>
        <v>42613</v>
      </c>
      <c r="K80" s="184">
        <f>WORKDAY(J80,$O$80/$P$3+ROUND(SUMIF(J$8:J$50,"&lt;="&amp;J80,$S$8:$S$50),0),JoursFeries!$C$3:$CH$15)</f>
        <v>42613</v>
      </c>
      <c r="L80" s="68"/>
      <c r="M80" s="68"/>
      <c r="N80" s="132"/>
      <c r="O80" s="131"/>
      <c r="P80" s="148"/>
      <c r="Q80" s="131">
        <f t="shared" ref="Q80" si="176">P80+O80</f>
        <v>0</v>
      </c>
      <c r="R80" s="148"/>
      <c r="S80" s="131">
        <f t="shared" ref="S80" si="177">R80/$P$3</f>
        <v>0</v>
      </c>
      <c r="T80" s="131">
        <f t="shared" ref="T80" si="178">Q80-$P$2</f>
        <v>-2000</v>
      </c>
      <c r="U80" s="131">
        <f t="shared" ref="U80" si="179">T80/$P$3</f>
        <v>-200</v>
      </c>
      <c r="V80" s="182">
        <f>WORKDAY($P$1,U80,JoursFeries!$C$3:$CH$15)</f>
        <v>42613</v>
      </c>
      <c r="W80" s="182">
        <f>WORKDAY(V80,ROUND(SUMIF($V$8:$V$50,"&lt;="&amp;V80,$S$8:$S$50),0),JoursFeries!$C$3:$CH$15)</f>
        <v>42613</v>
      </c>
    </row>
    <row r="81" spans="1:23" x14ac:dyDescent="0.25">
      <c r="A81" s="181"/>
      <c r="B81" s="184"/>
      <c r="C81" s="184"/>
      <c r="D81" s="184"/>
      <c r="E81" s="184"/>
      <c r="F81" s="184"/>
      <c r="G81" s="184"/>
      <c r="H81" s="184"/>
      <c r="I81" s="184"/>
      <c r="J81" s="184"/>
      <c r="K81" s="184"/>
      <c r="L81" s="68"/>
      <c r="M81" s="68"/>
      <c r="N81" s="189"/>
      <c r="O81" s="131"/>
      <c r="P81" s="148"/>
      <c r="Q81" s="131"/>
      <c r="R81" s="148"/>
      <c r="S81" s="131"/>
      <c r="T81" s="131"/>
      <c r="U81" s="131"/>
      <c r="V81" s="182"/>
      <c r="W81" s="182"/>
    </row>
  </sheetData>
  <mergeCells count="787">
    <mergeCell ref="N6:N7"/>
    <mergeCell ref="G7:M7"/>
    <mergeCell ref="H80:H81"/>
    <mergeCell ref="I80:I81"/>
    <mergeCell ref="J80:J81"/>
    <mergeCell ref="K80:K81"/>
    <mergeCell ref="L18:L19"/>
    <mergeCell ref="M18:M19"/>
    <mergeCell ref="H74:H75"/>
    <mergeCell ref="I74:I75"/>
    <mergeCell ref="J74:J75"/>
    <mergeCell ref="K74:K75"/>
    <mergeCell ref="H76:H77"/>
    <mergeCell ref="I76:I77"/>
    <mergeCell ref="J76:J77"/>
    <mergeCell ref="K76:K77"/>
    <mergeCell ref="H78:H79"/>
    <mergeCell ref="I78:I79"/>
    <mergeCell ref="J78:J79"/>
    <mergeCell ref="K78:K79"/>
    <mergeCell ref="H68:H69"/>
    <mergeCell ref="I68:I69"/>
    <mergeCell ref="J68:J69"/>
    <mergeCell ref="K68:K69"/>
    <mergeCell ref="H72:H73"/>
    <mergeCell ref="I72:I73"/>
    <mergeCell ref="J72:J73"/>
    <mergeCell ref="K72:K73"/>
    <mergeCell ref="H62:H63"/>
    <mergeCell ref="I62:I63"/>
    <mergeCell ref="J62:J63"/>
    <mergeCell ref="K62:K63"/>
    <mergeCell ref="H64:H65"/>
    <mergeCell ref="I64:I65"/>
    <mergeCell ref="J64:J65"/>
    <mergeCell ref="K64:K65"/>
    <mergeCell ref="H66:H67"/>
    <mergeCell ref="I66:I67"/>
    <mergeCell ref="J66:J67"/>
    <mergeCell ref="K66:K67"/>
    <mergeCell ref="H58:H59"/>
    <mergeCell ref="I58:I59"/>
    <mergeCell ref="J58:J59"/>
    <mergeCell ref="K58:K59"/>
    <mergeCell ref="H60:H61"/>
    <mergeCell ref="I60:I61"/>
    <mergeCell ref="J60:J61"/>
    <mergeCell ref="K60:K61"/>
    <mergeCell ref="I70:I71"/>
    <mergeCell ref="J70:J71"/>
    <mergeCell ref="K70:K71"/>
    <mergeCell ref="H70:H71"/>
    <mergeCell ref="H52:H53"/>
    <mergeCell ref="I52:I53"/>
    <mergeCell ref="J52:J53"/>
    <mergeCell ref="K52:K53"/>
    <mergeCell ref="H54:H55"/>
    <mergeCell ref="I54:I55"/>
    <mergeCell ref="J54:J55"/>
    <mergeCell ref="K54:K55"/>
    <mergeCell ref="H56:H57"/>
    <mergeCell ref="I56:I57"/>
    <mergeCell ref="J56:J57"/>
    <mergeCell ref="K56:K57"/>
    <mergeCell ref="H46:H47"/>
    <mergeCell ref="I46:I47"/>
    <mergeCell ref="J46:J47"/>
    <mergeCell ref="K46:K47"/>
    <mergeCell ref="H48:H49"/>
    <mergeCell ref="I48:I49"/>
    <mergeCell ref="J48:J49"/>
    <mergeCell ref="K48:K49"/>
    <mergeCell ref="H50:H51"/>
    <mergeCell ref="I50:I51"/>
    <mergeCell ref="J50:J51"/>
    <mergeCell ref="K50:K51"/>
    <mergeCell ref="H40:H41"/>
    <mergeCell ref="I40:I41"/>
    <mergeCell ref="J40:J41"/>
    <mergeCell ref="K40:K41"/>
    <mergeCell ref="H42:H43"/>
    <mergeCell ref="I42:I43"/>
    <mergeCell ref="J42:J43"/>
    <mergeCell ref="K42:K43"/>
    <mergeCell ref="H44:H45"/>
    <mergeCell ref="I44:I45"/>
    <mergeCell ref="J44:J45"/>
    <mergeCell ref="K44:K45"/>
    <mergeCell ref="H34:H35"/>
    <mergeCell ref="I34:I35"/>
    <mergeCell ref="J34:J35"/>
    <mergeCell ref="K34:K35"/>
    <mergeCell ref="H36:H37"/>
    <mergeCell ref="I36:I37"/>
    <mergeCell ref="J36:J37"/>
    <mergeCell ref="K36:K37"/>
    <mergeCell ref="H38:H39"/>
    <mergeCell ref="I38:I39"/>
    <mergeCell ref="J38:J39"/>
    <mergeCell ref="K38:K39"/>
    <mergeCell ref="H28:H29"/>
    <mergeCell ref="I28:I29"/>
    <mergeCell ref="J28:J29"/>
    <mergeCell ref="K28:K29"/>
    <mergeCell ref="H30:H31"/>
    <mergeCell ref="I30:I31"/>
    <mergeCell ref="J30:J31"/>
    <mergeCell ref="K30:K31"/>
    <mergeCell ref="H32:H33"/>
    <mergeCell ref="I32:I33"/>
    <mergeCell ref="J32:J33"/>
    <mergeCell ref="K32:K33"/>
    <mergeCell ref="H22:H23"/>
    <mergeCell ref="I22:I23"/>
    <mergeCell ref="J22:J23"/>
    <mergeCell ref="K22:K23"/>
    <mergeCell ref="H24:H25"/>
    <mergeCell ref="I24:I25"/>
    <mergeCell ref="J24:J25"/>
    <mergeCell ref="K24:K25"/>
    <mergeCell ref="H26:H27"/>
    <mergeCell ref="I26:I27"/>
    <mergeCell ref="J26:J27"/>
    <mergeCell ref="K26:K27"/>
    <mergeCell ref="K16:K17"/>
    <mergeCell ref="H18:H19"/>
    <mergeCell ref="I18:I19"/>
    <mergeCell ref="J18:J19"/>
    <mergeCell ref="K18:K19"/>
    <mergeCell ref="H20:H21"/>
    <mergeCell ref="I20:I21"/>
    <mergeCell ref="J20:J21"/>
    <mergeCell ref="K20:K21"/>
    <mergeCell ref="C80:C81"/>
    <mergeCell ref="D80:D81"/>
    <mergeCell ref="E80:E81"/>
    <mergeCell ref="F80:F81"/>
    <mergeCell ref="G80:G81"/>
    <mergeCell ref="H8:H9"/>
    <mergeCell ref="I8:I9"/>
    <mergeCell ref="J8:J9"/>
    <mergeCell ref="K8:K9"/>
    <mergeCell ref="H10:H11"/>
    <mergeCell ref="I10:I11"/>
    <mergeCell ref="J10:J11"/>
    <mergeCell ref="K10:K11"/>
    <mergeCell ref="H12:H13"/>
    <mergeCell ref="I12:I13"/>
    <mergeCell ref="J12:J13"/>
    <mergeCell ref="K12:K13"/>
    <mergeCell ref="H14:H15"/>
    <mergeCell ref="I14:I15"/>
    <mergeCell ref="J14:J15"/>
    <mergeCell ref="K14:K15"/>
    <mergeCell ref="H16:H17"/>
    <mergeCell ref="I16:I17"/>
    <mergeCell ref="J16:J17"/>
    <mergeCell ref="C76:C77"/>
    <mergeCell ref="D76:D77"/>
    <mergeCell ref="E76:E77"/>
    <mergeCell ref="F76:F77"/>
    <mergeCell ref="G76:G77"/>
    <mergeCell ref="C78:C79"/>
    <mergeCell ref="D78:D79"/>
    <mergeCell ref="E78:E79"/>
    <mergeCell ref="F78:F79"/>
    <mergeCell ref="G78:G79"/>
    <mergeCell ref="C72:C73"/>
    <mergeCell ref="D72:D73"/>
    <mergeCell ref="E72:E73"/>
    <mergeCell ref="F72:F73"/>
    <mergeCell ref="G72:G73"/>
    <mergeCell ref="C74:C75"/>
    <mergeCell ref="D74:D75"/>
    <mergeCell ref="E74:E75"/>
    <mergeCell ref="F74:F75"/>
    <mergeCell ref="G74:G75"/>
    <mergeCell ref="C68:C69"/>
    <mergeCell ref="D68:D69"/>
    <mergeCell ref="E68:E69"/>
    <mergeCell ref="F68:F69"/>
    <mergeCell ref="G68:G69"/>
    <mergeCell ref="C70:C71"/>
    <mergeCell ref="D70:D71"/>
    <mergeCell ref="E70:E71"/>
    <mergeCell ref="F70:F71"/>
    <mergeCell ref="G70:G71"/>
    <mergeCell ref="C64:C65"/>
    <mergeCell ref="D64:D65"/>
    <mergeCell ref="E64:E65"/>
    <mergeCell ref="F64:F65"/>
    <mergeCell ref="G64:G65"/>
    <mergeCell ref="C66:C67"/>
    <mergeCell ref="D66:D67"/>
    <mergeCell ref="E66:E67"/>
    <mergeCell ref="F66:F67"/>
    <mergeCell ref="G66:G67"/>
    <mergeCell ref="C60:C61"/>
    <mergeCell ref="D60:D61"/>
    <mergeCell ref="E60:E61"/>
    <mergeCell ref="F60:F61"/>
    <mergeCell ref="G60:G61"/>
    <mergeCell ref="C62:C63"/>
    <mergeCell ref="D62:D63"/>
    <mergeCell ref="E62:E63"/>
    <mergeCell ref="F62:F63"/>
    <mergeCell ref="G62:G63"/>
    <mergeCell ref="D56:D57"/>
    <mergeCell ref="E56:E57"/>
    <mergeCell ref="F56:F57"/>
    <mergeCell ref="G56:G57"/>
    <mergeCell ref="C58:C59"/>
    <mergeCell ref="D58:D59"/>
    <mergeCell ref="E58:E59"/>
    <mergeCell ref="F58:F59"/>
    <mergeCell ref="G58:G59"/>
    <mergeCell ref="E50:E51"/>
    <mergeCell ref="F50:F51"/>
    <mergeCell ref="G50:G51"/>
    <mergeCell ref="C52:C53"/>
    <mergeCell ref="D52:D53"/>
    <mergeCell ref="E52:E53"/>
    <mergeCell ref="F52:F53"/>
    <mergeCell ref="G52:G53"/>
    <mergeCell ref="C54:C55"/>
    <mergeCell ref="D54:D55"/>
    <mergeCell ref="E54:E55"/>
    <mergeCell ref="F54:F55"/>
    <mergeCell ref="G54:G55"/>
    <mergeCell ref="E44:E45"/>
    <mergeCell ref="F44:F45"/>
    <mergeCell ref="G44:G45"/>
    <mergeCell ref="C46:C47"/>
    <mergeCell ref="D46:D47"/>
    <mergeCell ref="E46:E47"/>
    <mergeCell ref="F46:F47"/>
    <mergeCell ref="G46:G47"/>
    <mergeCell ref="C48:C49"/>
    <mergeCell ref="D48:D49"/>
    <mergeCell ref="E48:E49"/>
    <mergeCell ref="F48:F49"/>
    <mergeCell ref="G48:G49"/>
    <mergeCell ref="E38:E39"/>
    <mergeCell ref="F38:F39"/>
    <mergeCell ref="G38:G39"/>
    <mergeCell ref="C40:C41"/>
    <mergeCell ref="D40:D41"/>
    <mergeCell ref="E40:E41"/>
    <mergeCell ref="F40:F41"/>
    <mergeCell ref="G40:G41"/>
    <mergeCell ref="C42:C43"/>
    <mergeCell ref="D42:D43"/>
    <mergeCell ref="E42:E43"/>
    <mergeCell ref="F42:F43"/>
    <mergeCell ref="G42:G43"/>
    <mergeCell ref="E32:E33"/>
    <mergeCell ref="F32:F33"/>
    <mergeCell ref="G32:G33"/>
    <mergeCell ref="C34:C35"/>
    <mergeCell ref="D34:D35"/>
    <mergeCell ref="E34:E35"/>
    <mergeCell ref="F34:F35"/>
    <mergeCell ref="G34:G35"/>
    <mergeCell ref="C36:C37"/>
    <mergeCell ref="D36:D37"/>
    <mergeCell ref="E36:E37"/>
    <mergeCell ref="F36:F37"/>
    <mergeCell ref="G36:G37"/>
    <mergeCell ref="E26:E27"/>
    <mergeCell ref="F26:F27"/>
    <mergeCell ref="G26:G27"/>
    <mergeCell ref="C28:C29"/>
    <mergeCell ref="D28:D29"/>
    <mergeCell ref="E28:E29"/>
    <mergeCell ref="F28:F29"/>
    <mergeCell ref="G28:G29"/>
    <mergeCell ref="C30:C31"/>
    <mergeCell ref="D30:D31"/>
    <mergeCell ref="E30:E31"/>
    <mergeCell ref="F30:F31"/>
    <mergeCell ref="G30:G31"/>
    <mergeCell ref="E20:E21"/>
    <mergeCell ref="F20:F21"/>
    <mergeCell ref="G20:G21"/>
    <mergeCell ref="C22:C23"/>
    <mergeCell ref="D22:D23"/>
    <mergeCell ref="E22:E23"/>
    <mergeCell ref="F22:F23"/>
    <mergeCell ref="G22:G23"/>
    <mergeCell ref="C24:C25"/>
    <mergeCell ref="D24:D25"/>
    <mergeCell ref="E24:E25"/>
    <mergeCell ref="F24:F25"/>
    <mergeCell ref="G24:G25"/>
    <mergeCell ref="E14:E15"/>
    <mergeCell ref="F14:F15"/>
    <mergeCell ref="G14:G15"/>
    <mergeCell ref="C16:C17"/>
    <mergeCell ref="D16:D17"/>
    <mergeCell ref="E16:E17"/>
    <mergeCell ref="F16:F17"/>
    <mergeCell ref="G16:G17"/>
    <mergeCell ref="C18:C19"/>
    <mergeCell ref="D18:D19"/>
    <mergeCell ref="E18:E19"/>
    <mergeCell ref="F18:F19"/>
    <mergeCell ref="G18:G19"/>
    <mergeCell ref="E8:E9"/>
    <mergeCell ref="F8:F9"/>
    <mergeCell ref="G8:G9"/>
    <mergeCell ref="C10:C11"/>
    <mergeCell ref="D10:D11"/>
    <mergeCell ref="E10:E11"/>
    <mergeCell ref="F10:F11"/>
    <mergeCell ref="G10:G11"/>
    <mergeCell ref="C12:C13"/>
    <mergeCell ref="D12:D13"/>
    <mergeCell ref="E12:E13"/>
    <mergeCell ref="F12:F13"/>
    <mergeCell ref="G12:G13"/>
    <mergeCell ref="B68:B69"/>
    <mergeCell ref="B70:B71"/>
    <mergeCell ref="B72:B73"/>
    <mergeCell ref="B74:B75"/>
    <mergeCell ref="B76:B77"/>
    <mergeCell ref="B78:B79"/>
    <mergeCell ref="B80:B81"/>
    <mergeCell ref="C8:C9"/>
    <mergeCell ref="D8:D9"/>
    <mergeCell ref="C14:C15"/>
    <mergeCell ref="D14:D15"/>
    <mergeCell ref="C20:C21"/>
    <mergeCell ref="D20:D21"/>
    <mergeCell ref="C26:C27"/>
    <mergeCell ref="D26:D27"/>
    <mergeCell ref="C32:C33"/>
    <mergeCell ref="D32:D33"/>
    <mergeCell ref="C38:C39"/>
    <mergeCell ref="D38:D39"/>
    <mergeCell ref="C44:C45"/>
    <mergeCell ref="D44:D45"/>
    <mergeCell ref="C50:C51"/>
    <mergeCell ref="D50:D51"/>
    <mergeCell ref="C56:C57"/>
    <mergeCell ref="B50:B51"/>
    <mergeCell ref="B52:B53"/>
    <mergeCell ref="B54:B55"/>
    <mergeCell ref="B56:B57"/>
    <mergeCell ref="B58:B59"/>
    <mergeCell ref="B60:B61"/>
    <mergeCell ref="B62:B63"/>
    <mergeCell ref="B64:B65"/>
    <mergeCell ref="B66:B67"/>
    <mergeCell ref="T78:T79"/>
    <mergeCell ref="U78:U79"/>
    <mergeCell ref="V78:V79"/>
    <mergeCell ref="B8:B9"/>
    <mergeCell ref="B10:B11"/>
    <mergeCell ref="B12:B13"/>
    <mergeCell ref="B14:B15"/>
    <mergeCell ref="B16:B17"/>
    <mergeCell ref="B18:B19"/>
    <mergeCell ref="B20:B21"/>
    <mergeCell ref="B22:B23"/>
    <mergeCell ref="B24:B25"/>
    <mergeCell ref="B26:B27"/>
    <mergeCell ref="B28:B29"/>
    <mergeCell ref="B30:B31"/>
    <mergeCell ref="B32:B33"/>
    <mergeCell ref="B34:B35"/>
    <mergeCell ref="B36:B37"/>
    <mergeCell ref="B38:B39"/>
    <mergeCell ref="B40:B41"/>
    <mergeCell ref="B42:B43"/>
    <mergeCell ref="B44:B45"/>
    <mergeCell ref="B46:B47"/>
    <mergeCell ref="B48:B49"/>
    <mergeCell ref="W76:W77"/>
    <mergeCell ref="T80:T81"/>
    <mergeCell ref="N76:N77"/>
    <mergeCell ref="O76:O77"/>
    <mergeCell ref="P76:P77"/>
    <mergeCell ref="Q76:Q77"/>
    <mergeCell ref="R76:R77"/>
    <mergeCell ref="S76:S77"/>
    <mergeCell ref="U80:U81"/>
    <mergeCell ref="V80:V81"/>
    <mergeCell ref="W80:W81"/>
    <mergeCell ref="W78:W79"/>
    <mergeCell ref="N80:N81"/>
    <mergeCell ref="O80:O81"/>
    <mergeCell ref="P80:P81"/>
    <mergeCell ref="Q80:Q81"/>
    <mergeCell ref="R80:R81"/>
    <mergeCell ref="S80:S81"/>
    <mergeCell ref="N78:N79"/>
    <mergeCell ref="O78:O79"/>
    <mergeCell ref="P78:P79"/>
    <mergeCell ref="Q78:Q79"/>
    <mergeCell ref="R78:R79"/>
    <mergeCell ref="S78:S79"/>
    <mergeCell ref="Q74:Q75"/>
    <mergeCell ref="R74:R75"/>
    <mergeCell ref="S74:S75"/>
    <mergeCell ref="T74:T75"/>
    <mergeCell ref="U74:U75"/>
    <mergeCell ref="V74:V75"/>
    <mergeCell ref="T76:T77"/>
    <mergeCell ref="U76:U77"/>
    <mergeCell ref="V76:V77"/>
    <mergeCell ref="N70:N71"/>
    <mergeCell ref="O70:O71"/>
    <mergeCell ref="P70:P71"/>
    <mergeCell ref="Q70:Q71"/>
    <mergeCell ref="R70:R71"/>
    <mergeCell ref="S70:S71"/>
    <mergeCell ref="T70:T71"/>
    <mergeCell ref="W74:W75"/>
    <mergeCell ref="N72:N73"/>
    <mergeCell ref="O72:O73"/>
    <mergeCell ref="P72:P73"/>
    <mergeCell ref="Q72:Q73"/>
    <mergeCell ref="R72:R73"/>
    <mergeCell ref="S72:S73"/>
    <mergeCell ref="T72:T73"/>
    <mergeCell ref="U72:U73"/>
    <mergeCell ref="V72:V73"/>
    <mergeCell ref="W72:W73"/>
    <mergeCell ref="U70:U71"/>
    <mergeCell ref="V70:V71"/>
    <mergeCell ref="W70:W71"/>
    <mergeCell ref="N74:N75"/>
    <mergeCell ref="O74:O75"/>
    <mergeCell ref="P74:P75"/>
    <mergeCell ref="V66:V67"/>
    <mergeCell ref="W66:W67"/>
    <mergeCell ref="O68:O69"/>
    <mergeCell ref="P68:P69"/>
    <mergeCell ref="Q68:Q69"/>
    <mergeCell ref="R68:R69"/>
    <mergeCell ref="S68:S69"/>
    <mergeCell ref="T68:T69"/>
    <mergeCell ref="U68:U69"/>
    <mergeCell ref="V68:V69"/>
    <mergeCell ref="W68:W69"/>
    <mergeCell ref="N66:N67"/>
    <mergeCell ref="N68:N69"/>
    <mergeCell ref="O66:O67"/>
    <mergeCell ref="P66:P67"/>
    <mergeCell ref="Q66:Q67"/>
    <mergeCell ref="R66:R67"/>
    <mergeCell ref="S66:S67"/>
    <mergeCell ref="T66:T67"/>
    <mergeCell ref="U66:U67"/>
    <mergeCell ref="W62:W63"/>
    <mergeCell ref="N64:N65"/>
    <mergeCell ref="O64:O65"/>
    <mergeCell ref="P64:P65"/>
    <mergeCell ref="Q64:Q65"/>
    <mergeCell ref="R64:R65"/>
    <mergeCell ref="S64:S65"/>
    <mergeCell ref="T64:T65"/>
    <mergeCell ref="U64:U65"/>
    <mergeCell ref="V64:V65"/>
    <mergeCell ref="W64:W65"/>
    <mergeCell ref="N62:N63"/>
    <mergeCell ref="O62:O63"/>
    <mergeCell ref="P62:P63"/>
    <mergeCell ref="Q62:Q63"/>
    <mergeCell ref="R62:R63"/>
    <mergeCell ref="S62:S63"/>
    <mergeCell ref="T62:T63"/>
    <mergeCell ref="U62:U63"/>
    <mergeCell ref="V62:V63"/>
    <mergeCell ref="W58:W59"/>
    <mergeCell ref="N60:N61"/>
    <mergeCell ref="O60:O61"/>
    <mergeCell ref="P60:P61"/>
    <mergeCell ref="Q60:Q61"/>
    <mergeCell ref="R60:R61"/>
    <mergeCell ref="S60:S61"/>
    <mergeCell ref="T60:T61"/>
    <mergeCell ref="U60:U61"/>
    <mergeCell ref="V60:V61"/>
    <mergeCell ref="W60:W61"/>
    <mergeCell ref="N58:N59"/>
    <mergeCell ref="O58:O59"/>
    <mergeCell ref="P58:P59"/>
    <mergeCell ref="Q58:Q59"/>
    <mergeCell ref="R58:R59"/>
    <mergeCell ref="S58:S59"/>
    <mergeCell ref="T58:T59"/>
    <mergeCell ref="U58:U59"/>
    <mergeCell ref="V58:V59"/>
    <mergeCell ref="W54:W55"/>
    <mergeCell ref="N56:N57"/>
    <mergeCell ref="O56:O57"/>
    <mergeCell ref="P56:P57"/>
    <mergeCell ref="Q56:Q57"/>
    <mergeCell ref="R56:R57"/>
    <mergeCell ref="S56:S57"/>
    <mergeCell ref="T56:T57"/>
    <mergeCell ref="U56:U57"/>
    <mergeCell ref="V56:V57"/>
    <mergeCell ref="W56:W57"/>
    <mergeCell ref="N54:N55"/>
    <mergeCell ref="O54:O55"/>
    <mergeCell ref="P54:P55"/>
    <mergeCell ref="Q54:Q55"/>
    <mergeCell ref="R54:R55"/>
    <mergeCell ref="S54:S55"/>
    <mergeCell ref="T54:T55"/>
    <mergeCell ref="U54:U55"/>
    <mergeCell ref="V54:V55"/>
    <mergeCell ref="W50:W51"/>
    <mergeCell ref="N52:N53"/>
    <mergeCell ref="O52:O53"/>
    <mergeCell ref="P52:P53"/>
    <mergeCell ref="Q52:Q53"/>
    <mergeCell ref="R52:R53"/>
    <mergeCell ref="S52:S53"/>
    <mergeCell ref="T52:T53"/>
    <mergeCell ref="U52:U53"/>
    <mergeCell ref="V52:V53"/>
    <mergeCell ref="W52:W53"/>
    <mergeCell ref="N50:N51"/>
    <mergeCell ref="O50:O51"/>
    <mergeCell ref="P50:P51"/>
    <mergeCell ref="Q50:Q51"/>
    <mergeCell ref="R50:R51"/>
    <mergeCell ref="S50:S51"/>
    <mergeCell ref="T50:T51"/>
    <mergeCell ref="U50:U51"/>
    <mergeCell ref="V50:V51"/>
    <mergeCell ref="W46:W47"/>
    <mergeCell ref="N48:N49"/>
    <mergeCell ref="O48:O49"/>
    <mergeCell ref="P48:P49"/>
    <mergeCell ref="Q48:Q49"/>
    <mergeCell ref="R48:R49"/>
    <mergeCell ref="S48:S49"/>
    <mergeCell ref="T48:T49"/>
    <mergeCell ref="U48:U49"/>
    <mergeCell ref="V48:V49"/>
    <mergeCell ref="W48:W49"/>
    <mergeCell ref="N46:N47"/>
    <mergeCell ref="O46:O47"/>
    <mergeCell ref="P46:P47"/>
    <mergeCell ref="Q46:Q47"/>
    <mergeCell ref="R46:R47"/>
    <mergeCell ref="S46:S47"/>
    <mergeCell ref="T46:T47"/>
    <mergeCell ref="U46:U47"/>
    <mergeCell ref="V46:V47"/>
    <mergeCell ref="W42:W43"/>
    <mergeCell ref="N44:N45"/>
    <mergeCell ref="O44:O45"/>
    <mergeCell ref="P44:P45"/>
    <mergeCell ref="Q44:Q45"/>
    <mergeCell ref="R44:R45"/>
    <mergeCell ref="S44:S45"/>
    <mergeCell ref="T44:T45"/>
    <mergeCell ref="U44:U45"/>
    <mergeCell ref="V44:V45"/>
    <mergeCell ref="W44:W45"/>
    <mergeCell ref="N42:N43"/>
    <mergeCell ref="O42:O43"/>
    <mergeCell ref="P42:P43"/>
    <mergeCell ref="Q42:Q43"/>
    <mergeCell ref="R42:R43"/>
    <mergeCell ref="S42:S43"/>
    <mergeCell ref="T42:T43"/>
    <mergeCell ref="U42:U43"/>
    <mergeCell ref="V42:V43"/>
    <mergeCell ref="W38:W39"/>
    <mergeCell ref="N40:N41"/>
    <mergeCell ref="O40:O41"/>
    <mergeCell ref="P40:P41"/>
    <mergeCell ref="Q40:Q41"/>
    <mergeCell ref="R40:R41"/>
    <mergeCell ref="S40:S41"/>
    <mergeCell ref="T40:T41"/>
    <mergeCell ref="U40:U41"/>
    <mergeCell ref="V40:V41"/>
    <mergeCell ref="W40:W41"/>
    <mergeCell ref="N38:N39"/>
    <mergeCell ref="O38:O39"/>
    <mergeCell ref="P38:P39"/>
    <mergeCell ref="Q38:Q39"/>
    <mergeCell ref="R38:R39"/>
    <mergeCell ref="S38:S39"/>
    <mergeCell ref="T38:T39"/>
    <mergeCell ref="U38:U39"/>
    <mergeCell ref="V38:V39"/>
    <mergeCell ref="W34:W35"/>
    <mergeCell ref="N36:N37"/>
    <mergeCell ref="O36:O37"/>
    <mergeCell ref="P36:P37"/>
    <mergeCell ref="Q36:Q37"/>
    <mergeCell ref="R36:R37"/>
    <mergeCell ref="S36:S37"/>
    <mergeCell ref="T36:T37"/>
    <mergeCell ref="U36:U37"/>
    <mergeCell ref="V36:V37"/>
    <mergeCell ref="W36:W37"/>
    <mergeCell ref="N34:N35"/>
    <mergeCell ref="O34:O35"/>
    <mergeCell ref="P34:P35"/>
    <mergeCell ref="Q34:Q35"/>
    <mergeCell ref="R34:R35"/>
    <mergeCell ref="S34:S35"/>
    <mergeCell ref="T34:T35"/>
    <mergeCell ref="U34:U35"/>
    <mergeCell ref="V34:V35"/>
    <mergeCell ref="W30:W31"/>
    <mergeCell ref="N32:N33"/>
    <mergeCell ref="O32:O33"/>
    <mergeCell ref="P32:P33"/>
    <mergeCell ref="Q32:Q33"/>
    <mergeCell ref="R32:R33"/>
    <mergeCell ref="S32:S33"/>
    <mergeCell ref="T32:T33"/>
    <mergeCell ref="U32:U33"/>
    <mergeCell ref="V32:V33"/>
    <mergeCell ref="W32:W33"/>
    <mergeCell ref="N30:N31"/>
    <mergeCell ref="O30:O31"/>
    <mergeCell ref="P30:P31"/>
    <mergeCell ref="Q30:Q31"/>
    <mergeCell ref="R30:R31"/>
    <mergeCell ref="S30:S31"/>
    <mergeCell ref="T30:T31"/>
    <mergeCell ref="U30:U31"/>
    <mergeCell ref="V30:V31"/>
    <mergeCell ref="W26:W27"/>
    <mergeCell ref="N28:N29"/>
    <mergeCell ref="O28:O29"/>
    <mergeCell ref="P28:P29"/>
    <mergeCell ref="Q28:Q29"/>
    <mergeCell ref="R28:R29"/>
    <mergeCell ref="S28:S29"/>
    <mergeCell ref="T28:T29"/>
    <mergeCell ref="U28:U29"/>
    <mergeCell ref="V28:V29"/>
    <mergeCell ref="W28:W29"/>
    <mergeCell ref="N26:N27"/>
    <mergeCell ref="O26:O27"/>
    <mergeCell ref="P26:P27"/>
    <mergeCell ref="Q26:Q27"/>
    <mergeCell ref="R26:R27"/>
    <mergeCell ref="S26:S27"/>
    <mergeCell ref="T26:T27"/>
    <mergeCell ref="U26:U27"/>
    <mergeCell ref="V26:V27"/>
    <mergeCell ref="W22:W23"/>
    <mergeCell ref="N24:N25"/>
    <mergeCell ref="O24:O25"/>
    <mergeCell ref="P24:P25"/>
    <mergeCell ref="Q24:Q25"/>
    <mergeCell ref="R24:R25"/>
    <mergeCell ref="S24:S25"/>
    <mergeCell ref="T24:T25"/>
    <mergeCell ref="U24:U25"/>
    <mergeCell ref="V24:V25"/>
    <mergeCell ref="W24:W25"/>
    <mergeCell ref="N22:N23"/>
    <mergeCell ref="O22:O23"/>
    <mergeCell ref="P22:P23"/>
    <mergeCell ref="Q22:Q23"/>
    <mergeCell ref="R22:R23"/>
    <mergeCell ref="S22:S23"/>
    <mergeCell ref="T22:T23"/>
    <mergeCell ref="U22:U23"/>
    <mergeCell ref="V22:V23"/>
    <mergeCell ref="W18:W19"/>
    <mergeCell ref="N20:N21"/>
    <mergeCell ref="O20:O21"/>
    <mergeCell ref="P20:P21"/>
    <mergeCell ref="Q20:Q21"/>
    <mergeCell ref="R20:R21"/>
    <mergeCell ref="S20:S21"/>
    <mergeCell ref="T20:T21"/>
    <mergeCell ref="U20:U21"/>
    <mergeCell ref="V20:V21"/>
    <mergeCell ref="W20:W21"/>
    <mergeCell ref="N18:N19"/>
    <mergeCell ref="O18:O19"/>
    <mergeCell ref="P18:P19"/>
    <mergeCell ref="Q18:Q19"/>
    <mergeCell ref="R18:R19"/>
    <mergeCell ref="S18:S19"/>
    <mergeCell ref="T18:T19"/>
    <mergeCell ref="U18:U19"/>
    <mergeCell ref="V18:V19"/>
    <mergeCell ref="W16:W17"/>
    <mergeCell ref="N14:N15"/>
    <mergeCell ref="O14:O15"/>
    <mergeCell ref="P14:P15"/>
    <mergeCell ref="Q14:Q15"/>
    <mergeCell ref="R14:R15"/>
    <mergeCell ref="S14:S15"/>
    <mergeCell ref="T14:T15"/>
    <mergeCell ref="U14:U15"/>
    <mergeCell ref="V14:V15"/>
    <mergeCell ref="N16:N17"/>
    <mergeCell ref="O16:O17"/>
    <mergeCell ref="P16:P17"/>
    <mergeCell ref="Q16:Q17"/>
    <mergeCell ref="R16:R17"/>
    <mergeCell ref="S16:S17"/>
    <mergeCell ref="T16:T17"/>
    <mergeCell ref="U16:U17"/>
    <mergeCell ref="V16:V17"/>
    <mergeCell ref="W10:W11"/>
    <mergeCell ref="W14:W15"/>
    <mergeCell ref="N12:N13"/>
    <mergeCell ref="O12:O13"/>
    <mergeCell ref="P12:P13"/>
    <mergeCell ref="Q12:Q13"/>
    <mergeCell ref="R12:R13"/>
    <mergeCell ref="S12:S13"/>
    <mergeCell ref="T12:T13"/>
    <mergeCell ref="U12:U13"/>
    <mergeCell ref="V12:V13"/>
    <mergeCell ref="W12:W13"/>
    <mergeCell ref="O6:O7"/>
    <mergeCell ref="P6:P7"/>
    <mergeCell ref="Q6:Q7"/>
    <mergeCell ref="R6:S6"/>
    <mergeCell ref="T6:W6"/>
    <mergeCell ref="N10:N11"/>
    <mergeCell ref="O10:O11"/>
    <mergeCell ref="P10:P11"/>
    <mergeCell ref="Q10:Q11"/>
    <mergeCell ref="R10:R11"/>
    <mergeCell ref="S10:S11"/>
    <mergeCell ref="T10:T11"/>
    <mergeCell ref="U10:U11"/>
    <mergeCell ref="V10:V11"/>
    <mergeCell ref="T8:T9"/>
    <mergeCell ref="U8:U9"/>
    <mergeCell ref="V8:V9"/>
    <mergeCell ref="W8:W9"/>
    <mergeCell ref="N8:N9"/>
    <mergeCell ref="O8:O9"/>
    <mergeCell ref="P8:P9"/>
    <mergeCell ref="Q8:Q9"/>
    <mergeCell ref="R8:R9"/>
    <mergeCell ref="S8:S9"/>
    <mergeCell ref="A34:A35"/>
    <mergeCell ref="A36:A37"/>
    <mergeCell ref="A38:A39"/>
    <mergeCell ref="A40:A41"/>
    <mergeCell ref="A42:A43"/>
    <mergeCell ref="A8:A9"/>
    <mergeCell ref="A10:A11"/>
    <mergeCell ref="A12:A13"/>
    <mergeCell ref="A14:A15"/>
    <mergeCell ref="A16:A17"/>
    <mergeCell ref="A18:A19"/>
    <mergeCell ref="A20:A21"/>
    <mergeCell ref="A22:A23"/>
    <mergeCell ref="A24:A25"/>
    <mergeCell ref="W1:Y5"/>
    <mergeCell ref="A80:A81"/>
    <mergeCell ref="A62:A63"/>
    <mergeCell ref="A64:A65"/>
    <mergeCell ref="A66:A67"/>
    <mergeCell ref="A68:A69"/>
    <mergeCell ref="A70:A71"/>
    <mergeCell ref="A72:A73"/>
    <mergeCell ref="A74:A75"/>
    <mergeCell ref="A76:A77"/>
    <mergeCell ref="A78:A79"/>
    <mergeCell ref="A44:A45"/>
    <mergeCell ref="A46:A47"/>
    <mergeCell ref="A48:A49"/>
    <mergeCell ref="A50:A51"/>
    <mergeCell ref="A52:A53"/>
    <mergeCell ref="A54:A55"/>
    <mergeCell ref="A56:A57"/>
    <mergeCell ref="A58:A59"/>
    <mergeCell ref="A60:A61"/>
    <mergeCell ref="A26:A27"/>
    <mergeCell ref="A28:A29"/>
    <mergeCell ref="A30:A31"/>
    <mergeCell ref="A32:A33"/>
  </mergeCells>
  <conditionalFormatting sqref="T8:U81">
    <cfRule type="cellIs" dxfId="15" priority="11" stopIfTrue="1" operator="lessThan">
      <formula>0</formula>
    </cfRule>
  </conditionalFormatting>
  <conditionalFormatting sqref="T8:T81">
    <cfRule type="cellIs" dxfId="14" priority="7" stopIfTrue="1" operator="greaterThan">
      <formula>100</formula>
    </cfRule>
    <cfRule type="cellIs" dxfId="13" priority="10" stopIfTrue="1" operator="greaterThan">
      <formula>0</formula>
    </cfRule>
  </conditionalFormatting>
  <conditionalFormatting sqref="U8:U81">
    <cfRule type="cellIs" dxfId="12" priority="8" stopIfTrue="1" operator="greaterThan">
      <formula>10</formula>
    </cfRule>
    <cfRule type="cellIs" dxfId="11" priority="9" stopIfTrue="1" operator="greaterThan">
      <formula>0</formula>
    </cfRule>
  </conditionalFormatting>
  <conditionalFormatting sqref="W8:W81">
    <cfRule type="cellIs" dxfId="10" priority="1" stopIfTrue="1" operator="greaterThan">
      <formula>WORKDAY($P$1,10)</formula>
    </cfRule>
    <cfRule type="cellIs" dxfId="9" priority="2" stopIfTrue="1" operator="greaterThan">
      <formula>$P$1</formula>
    </cfRule>
    <cfRule type="cellIs" dxfId="8" priority="3" stopIfTrue="1" operator="lessThan">
      <formula>$P$1</formula>
    </cfRule>
  </conditionalFormatting>
  <dataValidations count="1">
    <dataValidation type="list" showInputMessage="1" showErrorMessage="1" sqref="P4">
      <formula1>"0/14,0/31,5,Ballast"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8065" r:id="rId4" name="DTPicker21">
          <controlPr defaultSize="0" autoLine="0" autoPict="0" linkedCell="P1" r:id="rId5">
            <anchor moveWithCells="1">
              <from>
                <xdr:col>15</xdr:col>
                <xdr:colOff>9525</xdr:colOff>
                <xdr:row>0</xdr:row>
                <xdr:rowOff>0</xdr:rowOff>
              </from>
              <to>
                <xdr:col>16</xdr:col>
                <xdr:colOff>0</xdr:colOff>
                <xdr:row>1</xdr:row>
                <xdr:rowOff>38100</xdr:rowOff>
              </to>
            </anchor>
          </controlPr>
        </control>
      </mc:Choice>
      <mc:Fallback>
        <control shapeId="88065" r:id="rId4" name="DTPicker2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S53"/>
  <sheetViews>
    <sheetView zoomScale="85" zoomScaleNormal="85" workbookViewId="0">
      <pane ySplit="7" topLeftCell="A8" activePane="bottomLeft" state="frozen"/>
      <selection pane="bottomLeft" activeCell="L5" sqref="L5"/>
    </sheetView>
  </sheetViews>
  <sheetFormatPr baseColWidth="10" defaultRowHeight="15" x14ac:dyDescent="0.25"/>
  <cols>
    <col min="1" max="1" width="11.42578125" style="52"/>
    <col min="2" max="7" width="11.42578125" style="66"/>
    <col min="8" max="8" width="26.5703125" style="1" customWidth="1"/>
    <col min="9" max="9" width="26.28515625" style="1" customWidth="1"/>
    <col min="10" max="11" width="19.42578125" style="1" customWidth="1"/>
    <col min="12" max="13" width="11.42578125" style="1"/>
    <col min="14" max="14" width="10.5703125" style="1" customWidth="1"/>
    <col min="15" max="15" width="10.42578125" style="1" customWidth="1"/>
    <col min="16" max="16" width="11.7109375" style="1" customWidth="1"/>
    <col min="17" max="17" width="11.85546875" style="1" customWidth="1"/>
    <col min="18" max="16384" width="11.42578125" style="1"/>
  </cols>
  <sheetData>
    <row r="1" spans="1:19" ht="21.75" customHeight="1" x14ac:dyDescent="0.25">
      <c r="A1" s="113"/>
      <c r="B1" s="113"/>
      <c r="C1" s="113"/>
      <c r="D1" s="104"/>
      <c r="E1" s="104"/>
      <c r="I1" s="6" t="s">
        <v>421</v>
      </c>
      <c r="J1" s="10" t="s">
        <v>156</v>
      </c>
      <c r="Q1" s="146" t="s">
        <v>438</v>
      </c>
      <c r="R1" s="146"/>
      <c r="S1" s="146"/>
    </row>
    <row r="2" spans="1:19" ht="15" customHeight="1" x14ac:dyDescent="0.25">
      <c r="A2" s="113"/>
      <c r="B2" s="113"/>
      <c r="C2" s="113"/>
      <c r="D2" s="104"/>
      <c r="E2" s="104"/>
      <c r="I2" s="6" t="s">
        <v>105</v>
      </c>
      <c r="J2" s="9">
        <v>48529</v>
      </c>
      <c r="K2" s="3" t="s">
        <v>0</v>
      </c>
      <c r="Q2" s="146"/>
      <c r="R2" s="146"/>
      <c r="S2" s="146"/>
    </row>
    <row r="3" spans="1:19" ht="15" customHeight="1" x14ac:dyDescent="0.25">
      <c r="A3" s="113"/>
      <c r="B3" s="113"/>
      <c r="C3" s="113"/>
      <c r="D3" s="104"/>
      <c r="E3" s="104"/>
      <c r="I3" s="6" t="s">
        <v>420</v>
      </c>
      <c r="J3" s="9">
        <v>10</v>
      </c>
      <c r="K3" s="3" t="s">
        <v>1</v>
      </c>
      <c r="Q3" s="146"/>
      <c r="R3" s="146"/>
      <c r="S3" s="146"/>
    </row>
    <row r="4" spans="1:19" s="103" customFormat="1" x14ac:dyDescent="0.25">
      <c r="A4" s="104"/>
      <c r="B4" s="104"/>
      <c r="C4" s="104"/>
      <c r="D4" s="104"/>
      <c r="E4" s="104"/>
      <c r="I4" s="6"/>
      <c r="J4" s="90"/>
      <c r="K4" s="3"/>
      <c r="Q4" s="146"/>
      <c r="R4" s="146"/>
      <c r="S4" s="146"/>
    </row>
    <row r="5" spans="1:19" x14ac:dyDescent="0.25">
      <c r="A5" s="104"/>
      <c r="B5" s="104"/>
      <c r="C5" s="104"/>
      <c r="D5" s="104"/>
      <c r="E5" s="104"/>
      <c r="Q5" s="146"/>
      <c r="R5" s="146"/>
      <c r="S5" s="146"/>
    </row>
    <row r="6" spans="1:19" x14ac:dyDescent="0.25">
      <c r="H6" s="131" t="s">
        <v>423</v>
      </c>
      <c r="I6" s="136" t="s">
        <v>23</v>
      </c>
      <c r="J6" s="136" t="s">
        <v>54</v>
      </c>
      <c r="K6" s="136" t="s">
        <v>55</v>
      </c>
      <c r="L6" s="131" t="s">
        <v>28</v>
      </c>
      <c r="M6" s="131"/>
      <c r="N6" s="131" t="s">
        <v>24</v>
      </c>
      <c r="O6" s="131"/>
      <c r="P6" s="131"/>
      <c r="Q6" s="131"/>
    </row>
    <row r="7" spans="1:19" x14ac:dyDescent="0.25">
      <c r="A7" s="190" t="s">
        <v>432</v>
      </c>
      <c r="B7" s="191"/>
      <c r="C7" s="191"/>
      <c r="D7" s="191"/>
      <c r="E7" s="191"/>
      <c r="F7" s="191"/>
      <c r="G7" s="192"/>
      <c r="H7" s="131"/>
      <c r="I7" s="137"/>
      <c r="J7" s="137"/>
      <c r="K7" s="137"/>
      <c r="L7" s="7" t="s">
        <v>25</v>
      </c>
      <c r="M7" s="7" t="s">
        <v>26</v>
      </c>
      <c r="N7" s="7" t="s">
        <v>25</v>
      </c>
      <c r="O7" s="7" t="s">
        <v>26</v>
      </c>
      <c r="P7" s="7" t="s">
        <v>29</v>
      </c>
      <c r="Q7" s="124" t="s">
        <v>27</v>
      </c>
    </row>
    <row r="8" spans="1:19" ht="15" customHeight="1" x14ac:dyDescent="0.25">
      <c r="A8" s="180">
        <f t="shared" ref="A8" si="0">Q8</f>
        <v>42970</v>
      </c>
      <c r="B8" s="184">
        <f>WORKDAY(A8,$I$8/$J$3+ROUND(SUMIF(A$8:A$50,"&lt;="&amp;A8,$M$8:$M$50),0),JoursFeries!$C$3:$CH$15)</f>
        <v>43083</v>
      </c>
      <c r="C8" s="184">
        <f>WORKDAY(B8,$I$8/$J$3+ROUND(SUMIF(B$8:B$50,"&lt;="&amp;B8,$M$8:$M$50),0),JoursFeries!$C$3:$CH$15)</f>
        <v>43201</v>
      </c>
      <c r="D8" s="184">
        <f>WORKDAY(C8,$I$8/$J$3+ROUND(SUMIF(C$8:C$50,"&lt;="&amp;C8,$M$8:$M$50),0),JoursFeries!$C$3:$CH$15)</f>
        <v>43320</v>
      </c>
      <c r="E8" s="184">
        <f>WORKDAY(D8,$I$8/$J$3+ROUND(SUMIF(D$8:D$50,"&lt;="&amp;D8,$M$8:$M$50),0),JoursFeries!$C$3:$CH$15)</f>
        <v>43434</v>
      </c>
      <c r="F8" s="184">
        <f>WORKDAY(E8,$I$8/$J$3+ROUND(SUMIF(E$8:E$50,"&lt;="&amp;E8,$M$8:$M$50),0),JoursFeries!$C$3:$CH$15)</f>
        <v>43551</v>
      </c>
      <c r="G8" s="184">
        <f>WORKDAY(F8,$I$8/$J$3+ROUND(SUMIF(F$8:F$50,"&lt;="&amp;F8,$M$8:$M$50),0),JoursFeries!$C$3:$CH$15)</f>
        <v>43671</v>
      </c>
      <c r="H8" s="136" t="s">
        <v>83</v>
      </c>
      <c r="I8" s="139">
        <v>800</v>
      </c>
      <c r="J8" s="148">
        <v>48200</v>
      </c>
      <c r="K8" s="131">
        <f>J8+I8</f>
        <v>49000</v>
      </c>
      <c r="L8" s="148">
        <v>10</v>
      </c>
      <c r="M8" s="131">
        <f>L8/$J$3</f>
        <v>1</v>
      </c>
      <c r="N8" s="131">
        <f>K8-$J$2</f>
        <v>471</v>
      </c>
      <c r="O8" s="131">
        <f>N8/$J$3</f>
        <v>47.1</v>
      </c>
      <c r="P8" s="182">
        <f>WORKDAY($J$1,O8,JoursFeries!$C$3:$CH$15)</f>
        <v>42969</v>
      </c>
      <c r="Q8" s="182">
        <f>WORKDAY(P8,ROUND(SUMIF($P$8:$P$50,"&lt;="&amp;P8,$M$8:$M$50),0),JoursFeries!$C$3:$CH$15)</f>
        <v>42970</v>
      </c>
    </row>
    <row r="9" spans="1:19" x14ac:dyDescent="0.25">
      <c r="A9" s="181"/>
      <c r="B9" s="184"/>
      <c r="C9" s="184"/>
      <c r="D9" s="184"/>
      <c r="E9" s="184"/>
      <c r="F9" s="184"/>
      <c r="G9" s="184"/>
      <c r="H9" s="136"/>
      <c r="I9" s="139"/>
      <c r="J9" s="148"/>
      <c r="K9" s="131"/>
      <c r="L9" s="148"/>
      <c r="M9" s="131"/>
      <c r="N9" s="131"/>
      <c r="O9" s="131"/>
      <c r="P9" s="182"/>
      <c r="Q9" s="182"/>
    </row>
    <row r="10" spans="1:19" x14ac:dyDescent="0.25">
      <c r="A10" s="180">
        <f t="shared" ref="A10" si="1">Q10</f>
        <v>43070</v>
      </c>
      <c r="B10" s="184">
        <f>WORKDAY(A10,$I10/$J$3+ROUND(SUMIF(A$8:A$50,"&lt;="&amp;A10,$M$8:$M$50),0),JoursFeries!$C$3:$CH$15)</f>
        <v>43507</v>
      </c>
      <c r="C10" s="184">
        <f>WORKDAY(B10,$I10/$J$3+ROUND(SUMIF(B$8:B$50,"&lt;="&amp;B10,$M$8:$M$50),0),JoursFeries!$C$3:$CH$15)</f>
        <v>43942</v>
      </c>
      <c r="D10" s="184">
        <f>WORKDAY(C10,$I10/$J$3+ROUND(SUMIF(C$8:C$50,"&lt;="&amp;C10,$M$8:$M$50),0),JoursFeries!$C$3:$CH$15)</f>
        <v>44378</v>
      </c>
      <c r="E10" s="184">
        <f>WORKDAY(D10,$I10/$J$3+ROUND(SUMIF(D$8:D$50,"&lt;="&amp;D10,$M$8:$M$50),0),JoursFeries!$C$3:$CH$15)</f>
        <v>44810</v>
      </c>
      <c r="F10" s="184">
        <f>WORKDAY(E10,$I10/$J$3+ROUND(SUMIF(E$8:E$50,"&lt;="&amp;E10,$M$8:$M$50),0),JoursFeries!$C$3:$CH$15)</f>
        <v>45243</v>
      </c>
      <c r="G10" s="184">
        <f>WORKDAY(F10,$I10/$J$3+ROUND(SUMIF(F$8:F$50,"&lt;="&amp;F10,$M$8:$M$50),0),JoursFeries!$C$3:$CH$15)</f>
        <v>45679</v>
      </c>
      <c r="H10" s="136" t="s">
        <v>5</v>
      </c>
      <c r="I10" s="139">
        <v>3000</v>
      </c>
      <c r="J10" s="148">
        <v>46727</v>
      </c>
      <c r="K10" s="131">
        <f t="shared" ref="K10" si="2">J10+I10</f>
        <v>49727</v>
      </c>
      <c r="L10" s="148"/>
      <c r="M10" s="131">
        <f t="shared" ref="M10" si="3">L10/$J$3</f>
        <v>0</v>
      </c>
      <c r="N10" s="131">
        <f t="shared" ref="N10" si="4">K10-$J$2</f>
        <v>1198</v>
      </c>
      <c r="O10" s="131">
        <f t="shared" ref="O10" si="5">N10/$J$3</f>
        <v>119.8</v>
      </c>
      <c r="P10" s="182">
        <f>WORKDAY($J$1,O10,JoursFeries!$C$3:$CH$15)</f>
        <v>43069</v>
      </c>
      <c r="Q10" s="182">
        <f>WORKDAY(P10,ROUND(SUMIF($P$8:$P$50,"&lt;="&amp;P10,$M$8:$M$50),0),JoursFeries!$C$3:$CH$15)</f>
        <v>43070</v>
      </c>
    </row>
    <row r="11" spans="1:19" x14ac:dyDescent="0.25">
      <c r="A11" s="181"/>
      <c r="B11" s="184"/>
      <c r="C11" s="184"/>
      <c r="D11" s="184"/>
      <c r="E11" s="184"/>
      <c r="F11" s="184"/>
      <c r="G11" s="184"/>
      <c r="H11" s="136"/>
      <c r="I11" s="139"/>
      <c r="J11" s="148"/>
      <c r="K11" s="131"/>
      <c r="L11" s="148"/>
      <c r="M11" s="131"/>
      <c r="N11" s="131"/>
      <c r="O11" s="131"/>
      <c r="P11" s="182"/>
      <c r="Q11" s="182"/>
    </row>
    <row r="12" spans="1:19" x14ac:dyDescent="0.25">
      <c r="A12" s="180">
        <f t="shared" ref="A12" si="6">Q12</f>
        <v>42748</v>
      </c>
      <c r="B12" s="184">
        <f>WORKDAY(A12,$I12/$J$3+ROUND(SUMIF(A$8:A$50,"&lt;="&amp;A12,$M$8:$M$50),0),JoursFeries!$C$3:$CH$15)</f>
        <v>43096</v>
      </c>
      <c r="C12" s="184">
        <f>WORKDAY(B12,$I12/$J$3+ROUND(SUMIF(B$8:B$50,"&lt;="&amp;B12,$M$8:$M$50),0),JoursFeries!$C$3:$CH$15)</f>
        <v>43444</v>
      </c>
      <c r="D12" s="184">
        <f>WORKDAY(C12,$I12/$J$3+ROUND(SUMIF(C$8:C$50,"&lt;="&amp;C12,$M$8:$M$50),0),JoursFeries!$C$3:$CH$15)</f>
        <v>43794</v>
      </c>
      <c r="E12" s="184">
        <f>WORKDAY(D12,$I12/$J$3+ROUND(SUMIF(D$8:D$50,"&lt;="&amp;D12,$M$8:$M$50),0),JoursFeries!$C$3:$CH$15)</f>
        <v>44141</v>
      </c>
      <c r="F12" s="184">
        <f>WORKDAY(E12,$I12/$J$3+ROUND(SUMIF(E$8:E$50,"&lt;="&amp;E12,$M$8:$M$50),0),JoursFeries!$C$3:$CH$15)</f>
        <v>44489</v>
      </c>
      <c r="G12" s="184">
        <f>WORKDAY(F12,$I12/$J$3+ROUND(SUMIF(F$8:F$50,"&lt;="&amp;F12,$M$8:$M$50),0),JoursFeries!$C$3:$CH$15)</f>
        <v>44834</v>
      </c>
      <c r="H12" s="183" t="s">
        <v>84</v>
      </c>
      <c r="I12" s="139">
        <v>2400</v>
      </c>
      <c r="J12" s="148">
        <v>45101</v>
      </c>
      <c r="K12" s="131">
        <f t="shared" ref="K12" si="7">J12+I12</f>
        <v>47501</v>
      </c>
      <c r="L12" s="148"/>
      <c r="M12" s="131">
        <f t="shared" ref="M12" si="8">L12/$J$3</f>
        <v>0</v>
      </c>
      <c r="N12" s="131">
        <f t="shared" ref="N12" si="9">K12-$J$2</f>
        <v>-1028</v>
      </c>
      <c r="O12" s="131">
        <f t="shared" ref="O12" si="10">N12/$J$3</f>
        <v>-102.8</v>
      </c>
      <c r="P12" s="182">
        <f>WORKDAY($J$1,O12,JoursFeries!$C$3:$CH$15)</f>
        <v>42748</v>
      </c>
      <c r="Q12" s="182">
        <f>WORKDAY(P12,ROUND(SUMIF($P$8:$P$50,"&lt;="&amp;P12,$M$8:$M$50),0),JoursFeries!$C$3:$CH$15)</f>
        <v>42748</v>
      </c>
    </row>
    <row r="13" spans="1:19" x14ac:dyDescent="0.25">
      <c r="A13" s="181"/>
      <c r="B13" s="184"/>
      <c r="C13" s="184"/>
      <c r="D13" s="184"/>
      <c r="E13" s="184"/>
      <c r="F13" s="184"/>
      <c r="G13" s="184"/>
      <c r="H13" s="183"/>
      <c r="I13" s="139"/>
      <c r="J13" s="148"/>
      <c r="K13" s="131"/>
      <c r="L13" s="148"/>
      <c r="M13" s="131"/>
      <c r="N13" s="131"/>
      <c r="O13" s="131"/>
      <c r="P13" s="182"/>
      <c r="Q13" s="182"/>
    </row>
    <row r="14" spans="1:19" ht="15" customHeight="1" x14ac:dyDescent="0.25">
      <c r="A14" s="180">
        <f>Q14</f>
        <v>43663</v>
      </c>
      <c r="B14" s="184">
        <f>WORKDAY(A14,$I14/$J$3+ROUND(SUMIF(A$8:A$50,"&lt;="&amp;A14,$M$8:$M$50),0),JoursFeries!$C$3:$CH$15)</f>
        <v>44916</v>
      </c>
      <c r="C14" s="184">
        <f>WORKDAY(B14,$I14/$J$3+ROUND(SUMIF(B$8:B$50,"&lt;="&amp;B14,$M$8:$M$50),0),JoursFeries!$C$3:$CH$15)</f>
        <v>46182</v>
      </c>
      <c r="D14" s="184">
        <f>WORKDAY(C14,$I14/$J$3+ROUND(SUMIF(C$8:C$50,"&lt;="&amp;C14,$M$8:$M$50),0),JoursFeries!$C$3:$CH$15)</f>
        <v>47435</v>
      </c>
      <c r="E14" s="184">
        <f>WORKDAY(D14,$I14/$J$3+ROUND(SUMIF(D$8:D$50,"&lt;="&amp;D14,$M$8:$M$50),0),JoursFeries!$C$3:$CH$15)</f>
        <v>48691</v>
      </c>
      <c r="F14" s="184">
        <f>WORKDAY(E14,$I14/$J$3+ROUND(SUMIF(E$8:E$50,"&lt;="&amp;E14,$M$8:$M$50),0),JoursFeries!$C$3:$CH$15)</f>
        <v>49951</v>
      </c>
      <c r="G14" s="184">
        <f>WORKDAY(F14,$I14/$J$3+ROUND(SUMIF(F$8:F$50,"&lt;="&amp;F14,$M$8:$M$50),0),JoursFeries!$C$3:$CH$15)</f>
        <v>51203</v>
      </c>
      <c r="H14" s="136" t="s">
        <v>60</v>
      </c>
      <c r="I14" s="139">
        <v>8700</v>
      </c>
      <c r="J14" s="148">
        <v>45101</v>
      </c>
      <c r="K14" s="131">
        <f t="shared" ref="K14" si="11">J14+I14</f>
        <v>53801</v>
      </c>
      <c r="L14" s="148"/>
      <c r="M14" s="131">
        <f t="shared" ref="M14" si="12">L14/$J$3</f>
        <v>0</v>
      </c>
      <c r="N14" s="131">
        <f t="shared" ref="N14" si="13">K14-$J$2</f>
        <v>5272</v>
      </c>
      <c r="O14" s="131">
        <f t="shared" ref="O14" si="14">N14/$J$3</f>
        <v>527.20000000000005</v>
      </c>
      <c r="P14" s="182">
        <f>WORKDAY($J$1,O14,JoursFeries!$C$3:$CH$15)</f>
        <v>43662</v>
      </c>
      <c r="Q14" s="182">
        <f>WORKDAY(P14,ROUND(SUMIF($P$8:$P$50,"&lt;="&amp;P14,$M$8:$M$50),0),JoursFeries!$C$3:$CH$15)</f>
        <v>43663</v>
      </c>
    </row>
    <row r="15" spans="1:19" x14ac:dyDescent="0.25">
      <c r="A15" s="181"/>
      <c r="B15" s="184"/>
      <c r="C15" s="184"/>
      <c r="D15" s="184"/>
      <c r="E15" s="184"/>
      <c r="F15" s="184"/>
      <c r="G15" s="184"/>
      <c r="H15" s="136"/>
      <c r="I15" s="139"/>
      <c r="J15" s="148"/>
      <c r="K15" s="131"/>
      <c r="L15" s="148"/>
      <c r="M15" s="131"/>
      <c r="N15" s="131"/>
      <c r="O15" s="131"/>
      <c r="P15" s="182"/>
      <c r="Q15" s="182"/>
    </row>
    <row r="16" spans="1:19" ht="15" customHeight="1" x14ac:dyDescent="0.25">
      <c r="A16" s="180">
        <f t="shared" ref="A16" si="15">Q16</f>
        <v>42754</v>
      </c>
      <c r="B16" s="184">
        <f>WORKDAY(A16,$I16/$J$3+ROUND(SUMIF(A$8:A$50,"&lt;="&amp;A16,$M$8:$M$50),0),JoursFeries!$C$3:$CH$15)</f>
        <v>43993</v>
      </c>
      <c r="C16" s="184">
        <f>WORKDAY(B16,$I16/$J$3+ROUND(SUMIF(B$8:B$50,"&lt;="&amp;B16,$M$8:$M$50),0),JoursFeries!$C$3:$CH$15)</f>
        <v>45222</v>
      </c>
      <c r="D16" s="184">
        <f>WORKDAY(C16,$I16/$J$3+ROUND(SUMIF(C$8:C$50,"&lt;="&amp;C16,$M$8:$M$50),0),JoursFeries!$C$3:$CH$15)</f>
        <v>46461</v>
      </c>
      <c r="E16" s="184">
        <f>WORKDAY(D16,$I16/$J$3+ROUND(SUMIF(D$8:D$50,"&lt;="&amp;D16,$M$8:$M$50),0),JoursFeries!$C$3:$CH$15)</f>
        <v>47695</v>
      </c>
      <c r="F16" s="184">
        <f>WORKDAY(E16,$I16/$J$3+ROUND(SUMIF(E$8:E$50,"&lt;="&amp;E16,$M$8:$M$50),0),JoursFeries!$C$3:$CH$15)</f>
        <v>48927</v>
      </c>
      <c r="G16" s="184">
        <f>WORKDAY(F16,$I16/$J$3+ROUND(SUMIF(F$8:F$50,"&lt;="&amp;F16,$M$8:$M$50),0),JoursFeries!$C$3:$CH$15)</f>
        <v>50165</v>
      </c>
      <c r="H16" s="136" t="s">
        <v>8</v>
      </c>
      <c r="I16" s="139">
        <v>8540</v>
      </c>
      <c r="J16" s="148">
        <v>39000</v>
      </c>
      <c r="K16" s="131">
        <f t="shared" ref="K16" si="16">J16+I16</f>
        <v>47540</v>
      </c>
      <c r="L16" s="148"/>
      <c r="M16" s="131">
        <f t="shared" ref="M16" si="17">L16/$J$3</f>
        <v>0</v>
      </c>
      <c r="N16" s="131">
        <f t="shared" ref="N16" si="18">K16-$J$2</f>
        <v>-989</v>
      </c>
      <c r="O16" s="131">
        <f t="shared" ref="O16" si="19">N16/$J$3</f>
        <v>-98.9</v>
      </c>
      <c r="P16" s="182">
        <f>WORKDAY($J$1,O16,JoursFeries!$C$3:$CH$15)</f>
        <v>42754</v>
      </c>
      <c r="Q16" s="182">
        <f>WORKDAY(P16,ROUND(SUMIF($P$8:$P$50,"&lt;="&amp;P16,$M$8:$M$50),0),JoursFeries!$C$3:$CH$15)</f>
        <v>42754</v>
      </c>
    </row>
    <row r="17" spans="1:17" x14ac:dyDescent="0.25">
      <c r="A17" s="181"/>
      <c r="B17" s="184"/>
      <c r="C17" s="184"/>
      <c r="D17" s="184"/>
      <c r="E17" s="184"/>
      <c r="F17" s="184"/>
      <c r="G17" s="184"/>
      <c r="H17" s="136"/>
      <c r="I17" s="139"/>
      <c r="J17" s="148"/>
      <c r="K17" s="131"/>
      <c r="L17" s="148"/>
      <c r="M17" s="131"/>
      <c r="N17" s="131"/>
      <c r="O17" s="131"/>
      <c r="P17" s="182"/>
      <c r="Q17" s="182"/>
    </row>
    <row r="18" spans="1:17" x14ac:dyDescent="0.25">
      <c r="A18" s="180">
        <f t="shared" ref="A18" si="20">Q18</f>
        <v>43998</v>
      </c>
      <c r="B18" s="184">
        <f>WORKDAY(A18,$I18/$J$3+ROUND(SUMIF(A$8:A$50,"&lt;="&amp;A18,$M$8:$M$50),0),JoursFeries!$C$3:$CH$15)</f>
        <v>46465</v>
      </c>
      <c r="C18" s="184">
        <f>WORKDAY(B18,$I18/$J$3+ROUND(SUMIF(B$8:B$50,"&lt;="&amp;B18,$M$8:$M$50),0),JoursFeries!$C$3:$CH$15)</f>
        <v>48934</v>
      </c>
      <c r="D18" s="184">
        <f>WORKDAY(C18,$I18/$J$3+ROUND(SUMIF(C$8:C$50,"&lt;="&amp;C18,$M$8:$M$50),0),JoursFeries!$C$3:$CH$15)</f>
        <v>51404</v>
      </c>
      <c r="E18" s="184">
        <f>WORKDAY(D18,$I18/$J$3+ROUND(SUMIF(D$8:D$50,"&lt;="&amp;D18,$M$8:$M$50),0),JoursFeries!$C$3:$CH$15)</f>
        <v>53881</v>
      </c>
      <c r="F18" s="184">
        <f>WORKDAY(E18,$I18/$J$3+ROUND(SUMIF(E$8:E$50,"&lt;="&amp;E18,$M$8:$M$50),0),JoursFeries!$C$3:$CH$15)</f>
        <v>56349</v>
      </c>
      <c r="G18" s="184">
        <f>WORKDAY(F18,$I18/$J$3+ROUND(SUMIF(F$8:F$50,"&lt;="&amp;F18,$M$8:$M$50),0),JoursFeries!$C$3:$CH$15)</f>
        <v>58819</v>
      </c>
      <c r="H18" s="136" t="s">
        <v>59</v>
      </c>
      <c r="I18" s="139">
        <v>17100</v>
      </c>
      <c r="J18" s="148">
        <v>39000</v>
      </c>
      <c r="K18" s="131">
        <f t="shared" ref="K18" si="21">J18+I18</f>
        <v>56100</v>
      </c>
      <c r="L18" s="148"/>
      <c r="M18" s="131">
        <f t="shared" ref="M18" si="22">L18/$J$3</f>
        <v>0</v>
      </c>
      <c r="N18" s="131">
        <f t="shared" ref="N18" si="23">K18-$J$2</f>
        <v>7571</v>
      </c>
      <c r="O18" s="131">
        <f t="shared" ref="O18" si="24">N18/$J$3</f>
        <v>757.1</v>
      </c>
      <c r="P18" s="182">
        <f>WORKDAY($J$1,O18,JoursFeries!$C$3:$CH$15)</f>
        <v>43997</v>
      </c>
      <c r="Q18" s="182">
        <f>WORKDAY(P18,ROUND(SUMIF($P$8:$P$50,"&lt;="&amp;P18,$M$8:$M$50),0),JoursFeries!$C$3:$CH$15)</f>
        <v>43998</v>
      </c>
    </row>
    <row r="19" spans="1:17" x14ac:dyDescent="0.25">
      <c r="A19" s="181"/>
      <c r="B19" s="184"/>
      <c r="C19" s="184"/>
      <c r="D19" s="184"/>
      <c r="E19" s="184"/>
      <c r="F19" s="184"/>
      <c r="G19" s="184"/>
      <c r="H19" s="136"/>
      <c r="I19" s="139"/>
      <c r="J19" s="148"/>
      <c r="K19" s="131"/>
      <c r="L19" s="148"/>
      <c r="M19" s="131"/>
      <c r="N19" s="131"/>
      <c r="O19" s="131"/>
      <c r="P19" s="182"/>
      <c r="Q19" s="182"/>
    </row>
    <row r="20" spans="1:17" ht="15" customHeight="1" x14ac:dyDescent="0.25">
      <c r="A20" s="180">
        <f t="shared" ref="A20" si="25">Q20</f>
        <v>44435</v>
      </c>
      <c r="B20" s="184">
        <f>WORKDAY(A20,$I20/$J$3+ROUND(SUMIF(A$8:A$50,"&lt;="&amp;A20,$M$8:$M$50),0),JoursFeries!$C$3:$CH$15)</f>
        <v>46344</v>
      </c>
      <c r="C20" s="184">
        <f>WORKDAY(B20,$I20/$J$3+ROUND(SUMIF(B$8:B$50,"&lt;="&amp;B20,$M$8:$M$50),0),JoursFeries!$C$3:$CH$15)</f>
        <v>48254</v>
      </c>
      <c r="D20" s="184">
        <f>WORKDAY(C20,$I20/$J$3+ROUND(SUMIF(C$8:C$50,"&lt;="&amp;C20,$M$8:$M$50),0),JoursFeries!$C$3:$CH$15)</f>
        <v>50158</v>
      </c>
      <c r="E20" s="184">
        <f>WORKDAY(D20,$I20/$J$3+ROUND(SUMIF(D$8:D$50,"&lt;="&amp;D20,$M$8:$M$50),0),JoursFeries!$C$3:$CH$15)</f>
        <v>52065</v>
      </c>
      <c r="F20" s="184">
        <f>WORKDAY(E20,$I20/$J$3+ROUND(SUMIF(E$8:E$50,"&lt;="&amp;E20,$M$8:$M$50),0),JoursFeries!$C$3:$CH$15)</f>
        <v>53974</v>
      </c>
      <c r="G20" s="184">
        <f>WORKDAY(F20,$I20/$J$3+ROUND(SUMIF(F$8:F$50,"&lt;="&amp;F20,$M$8:$M$50),0),JoursFeries!$C$3:$CH$15)</f>
        <v>55879</v>
      </c>
      <c r="H20" s="136" t="s">
        <v>85</v>
      </c>
      <c r="I20" s="139">
        <v>13205</v>
      </c>
      <c r="J20" s="148">
        <v>45952</v>
      </c>
      <c r="K20" s="131">
        <f t="shared" ref="K20" si="26">J20+I20</f>
        <v>59157</v>
      </c>
      <c r="L20" s="148"/>
      <c r="M20" s="131">
        <f t="shared" ref="M20" si="27">L20/$J$3</f>
        <v>0</v>
      </c>
      <c r="N20" s="131">
        <f t="shared" ref="N20" si="28">K20-$J$2</f>
        <v>10628</v>
      </c>
      <c r="O20" s="131">
        <f t="shared" ref="O20" si="29">N20/$J$3</f>
        <v>1062.8</v>
      </c>
      <c r="P20" s="182">
        <f>WORKDAY($J$1,O20,JoursFeries!$C$3:$CH$15)</f>
        <v>44434</v>
      </c>
      <c r="Q20" s="182">
        <f>WORKDAY(P20,ROUND(SUMIF($P$8:$P$50,"&lt;="&amp;P20,$M$8:$M$50),0),JoursFeries!$C$3:$CH$15)</f>
        <v>44435</v>
      </c>
    </row>
    <row r="21" spans="1:17" x14ac:dyDescent="0.25">
      <c r="A21" s="181"/>
      <c r="B21" s="184"/>
      <c r="C21" s="184"/>
      <c r="D21" s="184"/>
      <c r="E21" s="184"/>
      <c r="F21" s="184"/>
      <c r="G21" s="184"/>
      <c r="H21" s="136"/>
      <c r="I21" s="139"/>
      <c r="J21" s="148"/>
      <c r="K21" s="131"/>
      <c r="L21" s="148"/>
      <c r="M21" s="131"/>
      <c r="N21" s="131"/>
      <c r="O21" s="131"/>
      <c r="P21" s="182"/>
      <c r="Q21" s="182"/>
    </row>
    <row r="22" spans="1:17" ht="15" customHeight="1" x14ac:dyDescent="0.25">
      <c r="A22" s="180">
        <f t="shared" ref="A22" si="30">Q22</f>
        <v>46545</v>
      </c>
      <c r="B22" s="184">
        <f>WORKDAY(A22,$I22/$J$3+ROUND(SUMIF(A$8:A$50,"&lt;="&amp;A22,$M$8:$M$50),0),JoursFeries!$C$3:$CH$15)</f>
        <v>51865</v>
      </c>
      <c r="C22" s="184">
        <f>WORKDAY(B22,$I22/$J$3+ROUND(SUMIF(B$8:B$50,"&lt;="&amp;B22,$M$8:$M$50),0),JoursFeries!$C$3:$CH$15)</f>
        <v>57195</v>
      </c>
      <c r="D22" s="184">
        <f>WORKDAY(C22,$I22/$J$3+ROUND(SUMIF(C$8:C$50,"&lt;="&amp;C22,$M$8:$M$50),0),JoursFeries!$C$3:$CH$15)</f>
        <v>62516</v>
      </c>
      <c r="E22" s="184">
        <f>WORKDAY(D22,$I22/$J$3+ROUND(SUMIF(D$8:D$50,"&lt;="&amp;D22,$M$8:$M$50),0),JoursFeries!$C$3:$CH$15)</f>
        <v>67843</v>
      </c>
      <c r="F22" s="184">
        <f>WORKDAY(E22,$I22/$J$3+ROUND(SUMIF(E$8:E$50,"&lt;="&amp;E22,$M$8:$M$50),0),JoursFeries!$C$3:$CH$15)</f>
        <v>73168</v>
      </c>
      <c r="G22" s="184">
        <f>WORKDAY(F22,$I22/$J$3+ROUND(SUMIF(F$8:F$50,"&lt;="&amp;F22,$M$8:$M$50),0),JoursFeries!$C$3:$CH$15)</f>
        <v>78336</v>
      </c>
      <c r="H22" s="136" t="s">
        <v>86</v>
      </c>
      <c r="I22" s="139">
        <v>36873</v>
      </c>
      <c r="J22" s="148">
        <v>36873</v>
      </c>
      <c r="K22" s="131">
        <f t="shared" ref="K22" si="31">J22+I22</f>
        <v>73746</v>
      </c>
      <c r="L22" s="148"/>
      <c r="M22" s="131">
        <f t="shared" ref="M22" si="32">L22/$J$3</f>
        <v>0</v>
      </c>
      <c r="N22" s="131">
        <f t="shared" ref="N22" si="33">K22-$J$2</f>
        <v>25217</v>
      </c>
      <c r="O22" s="131">
        <f t="shared" ref="O22" si="34">N22/$J$3</f>
        <v>2521.6999999999998</v>
      </c>
      <c r="P22" s="182">
        <f>WORKDAY($J$1,O22,JoursFeries!$C$3:$CH$15)</f>
        <v>46542</v>
      </c>
      <c r="Q22" s="182">
        <f>WORKDAY(P22,ROUND(SUMIF($P$8:$P$50,"&lt;="&amp;P22,$M$8:$M$50),0),JoursFeries!$C$3:$CH$15)</f>
        <v>46545</v>
      </c>
    </row>
    <row r="23" spans="1:17" x14ac:dyDescent="0.25">
      <c r="A23" s="181"/>
      <c r="B23" s="184"/>
      <c r="C23" s="184"/>
      <c r="D23" s="184"/>
      <c r="E23" s="184"/>
      <c r="F23" s="184"/>
      <c r="G23" s="184"/>
      <c r="H23" s="136"/>
      <c r="I23" s="139"/>
      <c r="J23" s="148"/>
      <c r="K23" s="131"/>
      <c r="L23" s="148"/>
      <c r="M23" s="131"/>
      <c r="N23" s="131"/>
      <c r="O23" s="131"/>
      <c r="P23" s="182"/>
      <c r="Q23" s="182"/>
    </row>
    <row r="24" spans="1:17" x14ac:dyDescent="0.25">
      <c r="A24" s="180">
        <f t="shared" ref="A24" si="35">Q24</f>
        <v>43287</v>
      </c>
      <c r="B24" s="184">
        <f>WORKDAY(A24,$I24/$J$3+ROUND(SUMIF(A$8:A$50,"&lt;="&amp;A24,$M$8:$M$50),0),JoursFeries!$C$3:$CH$15)</f>
        <v>44169</v>
      </c>
      <c r="C24" s="184">
        <f>WORKDAY(B24,$I24/$J$3+ROUND(SUMIF(B$8:B$50,"&lt;="&amp;B24,$M$8:$M$50),0),JoursFeries!$C$3:$CH$15)</f>
        <v>45044</v>
      </c>
      <c r="D24" s="184">
        <f>WORKDAY(C24,$I24/$J$3+ROUND(SUMIF(C$8:C$50,"&lt;="&amp;C24,$M$8:$M$50),0),JoursFeries!$C$3:$CH$15)</f>
        <v>45933</v>
      </c>
      <c r="E24" s="184">
        <f>WORKDAY(D24,$I24/$J$3+ROUND(SUMIF(D$8:D$50,"&lt;="&amp;D24,$M$8:$M$50),0),JoursFeries!$C$3:$CH$15)</f>
        <v>46813</v>
      </c>
      <c r="F24" s="184">
        <f>WORKDAY(E24,$I24/$J$3+ROUND(SUMIF(E$8:E$50,"&lt;="&amp;E24,$M$8:$M$50),0),JoursFeries!$C$3:$CH$15)</f>
        <v>47700</v>
      </c>
      <c r="G24" s="184">
        <f>WORKDAY(F24,$I24/$J$3+ROUND(SUMIF(F$8:F$50,"&lt;="&amp;F24,$M$8:$M$50),0),JoursFeries!$C$3:$CH$15)</f>
        <v>48582</v>
      </c>
      <c r="H24" s="136" t="s">
        <v>87</v>
      </c>
      <c r="I24" s="139">
        <v>6100</v>
      </c>
      <c r="J24" s="148">
        <v>45101</v>
      </c>
      <c r="K24" s="131">
        <f t="shared" ref="K24" si="36">J24+I24</f>
        <v>51201</v>
      </c>
      <c r="L24" s="148"/>
      <c r="M24" s="131">
        <f t="shared" ref="M24" si="37">L24/$J$3</f>
        <v>0</v>
      </c>
      <c r="N24" s="131">
        <f t="shared" ref="N24" si="38">K24-$J$2</f>
        <v>2672</v>
      </c>
      <c r="O24" s="131">
        <f t="shared" ref="O24" si="39">N24/$J$3</f>
        <v>267.2</v>
      </c>
      <c r="P24" s="182">
        <f>WORKDAY($J$1,O24,JoursFeries!$C$3:$CH$15)</f>
        <v>43286</v>
      </c>
      <c r="Q24" s="182">
        <f>WORKDAY(P24,ROUND(SUMIF($P$8:$P$50,"&lt;="&amp;P24,$M$8:$M$50),0),JoursFeries!$C$3:$CH$15)</f>
        <v>43287</v>
      </c>
    </row>
    <row r="25" spans="1:17" x14ac:dyDescent="0.25">
      <c r="A25" s="181"/>
      <c r="B25" s="184"/>
      <c r="C25" s="184"/>
      <c r="D25" s="184"/>
      <c r="E25" s="184"/>
      <c r="F25" s="184"/>
      <c r="G25" s="184"/>
      <c r="H25" s="136"/>
      <c r="I25" s="139"/>
      <c r="J25" s="148"/>
      <c r="K25" s="131"/>
      <c r="L25" s="148"/>
      <c r="M25" s="131"/>
      <c r="N25" s="131"/>
      <c r="O25" s="131"/>
      <c r="P25" s="182"/>
      <c r="Q25" s="182"/>
    </row>
    <row r="26" spans="1:17" ht="15" customHeight="1" x14ac:dyDescent="0.25">
      <c r="A26" s="180">
        <f t="shared" ref="A26" si="40">Q26</f>
        <v>47156</v>
      </c>
      <c r="B26" s="184">
        <f>WORKDAY(A26,$I26/$J$3+ROUND(SUMIF(A$8:A$50,"&lt;="&amp;A26,$M$8:$M$50),0),JoursFeries!$C$3:$CH$15)</f>
        <v>52791</v>
      </c>
      <c r="C26" s="184">
        <f>WORKDAY(B26,$I26/$J$3+ROUND(SUMIF(B$8:B$50,"&lt;="&amp;B26,$M$8:$M$50),0),JoursFeries!$C$3:$CH$15)</f>
        <v>58426</v>
      </c>
      <c r="D26" s="184">
        <f>WORKDAY(C26,$I26/$J$3+ROUND(SUMIF(C$8:C$50,"&lt;="&amp;C26,$M$8:$M$50),0),JoursFeries!$C$3:$CH$15)</f>
        <v>64059</v>
      </c>
      <c r="E26" s="184">
        <f>WORKDAY(D26,$I26/$J$3+ROUND(SUMIF(D$8:D$50,"&lt;="&amp;D26,$M$8:$M$50),0),JoursFeries!$C$3:$CH$15)</f>
        <v>69688</v>
      </c>
      <c r="F26" s="184">
        <f>WORKDAY(E26,$I26/$J$3+ROUND(SUMIF(E$8:E$50,"&lt;="&amp;E26,$M$8:$M$50),0),JoursFeries!$C$3:$CH$15)</f>
        <v>75261</v>
      </c>
      <c r="G26" s="184">
        <f>WORKDAY(F26,$I26/$J$3+ROUND(SUMIF(F$8:F$50,"&lt;="&amp;F26,$M$8:$M$50),0),JoursFeries!$C$3:$CH$15)</f>
        <v>80722</v>
      </c>
      <c r="H26" s="136" t="s">
        <v>88</v>
      </c>
      <c r="I26" s="139">
        <v>39000</v>
      </c>
      <c r="J26" s="148">
        <v>39000</v>
      </c>
      <c r="K26" s="131">
        <f t="shared" ref="K26" si="41">J26+I26</f>
        <v>78000</v>
      </c>
      <c r="L26" s="148"/>
      <c r="M26" s="131">
        <f t="shared" ref="M26" si="42">L26/$J$3</f>
        <v>0</v>
      </c>
      <c r="N26" s="131">
        <f t="shared" ref="N26" si="43">K26-$J$2</f>
        <v>29471</v>
      </c>
      <c r="O26" s="131">
        <f t="shared" ref="O26" si="44">N26/$J$3</f>
        <v>2947.1</v>
      </c>
      <c r="P26" s="182">
        <f>WORKDAY($J$1,O26,JoursFeries!$C$3:$CH$15)</f>
        <v>47155</v>
      </c>
      <c r="Q26" s="182">
        <f>WORKDAY(P26,ROUND(SUMIF($P$8:$P$50,"&lt;="&amp;P26,$M$8:$M$50),0),JoursFeries!$C$3:$CH$15)</f>
        <v>47156</v>
      </c>
    </row>
    <row r="27" spans="1:17" x14ac:dyDescent="0.25">
      <c r="A27" s="181"/>
      <c r="B27" s="184"/>
      <c r="C27" s="184"/>
      <c r="D27" s="184"/>
      <c r="E27" s="184"/>
      <c r="F27" s="184"/>
      <c r="G27" s="184"/>
      <c r="H27" s="136"/>
      <c r="I27" s="139"/>
      <c r="J27" s="148"/>
      <c r="K27" s="131"/>
      <c r="L27" s="148"/>
      <c r="M27" s="131"/>
      <c r="N27" s="131"/>
      <c r="O27" s="131"/>
      <c r="P27" s="182"/>
      <c r="Q27" s="182"/>
    </row>
    <row r="28" spans="1:17" x14ac:dyDescent="0.25">
      <c r="A28" s="180">
        <f t="shared" ref="A28" si="45">Q28</f>
        <v>43998</v>
      </c>
      <c r="B28" s="184">
        <f>WORKDAY(A28,$I28/$J$3+ROUND(SUMIF(A$8:A$50,"&lt;="&amp;A28,$M$8:$M$50),0),JoursFeries!$C$3:$CH$15)</f>
        <v>46465</v>
      </c>
      <c r="C28" s="184">
        <f>WORKDAY(B28,$I28/$J$3+ROUND(SUMIF(B$8:B$50,"&lt;="&amp;B28,$M$8:$M$50),0),JoursFeries!$C$3:$CH$15)</f>
        <v>48934</v>
      </c>
      <c r="D28" s="184">
        <f>WORKDAY(C28,$I28/$J$3+ROUND(SUMIF(C$8:C$50,"&lt;="&amp;C28,$M$8:$M$50),0),JoursFeries!$C$3:$CH$15)</f>
        <v>51404</v>
      </c>
      <c r="E28" s="184">
        <f>WORKDAY(D28,$I28/$J$3+ROUND(SUMIF(D$8:D$50,"&lt;="&amp;D28,$M$8:$M$50),0),JoursFeries!$C$3:$CH$15)</f>
        <v>53881</v>
      </c>
      <c r="F28" s="184">
        <f>WORKDAY(E28,$I28/$J$3+ROUND(SUMIF(E$8:E$50,"&lt;="&amp;E28,$M$8:$M$50),0),JoursFeries!$C$3:$CH$15)</f>
        <v>56349</v>
      </c>
      <c r="G28" s="184">
        <f>WORKDAY(F28,$I28/$J$3+ROUND(SUMIF(F$8:F$50,"&lt;="&amp;F28,$M$8:$M$50),0),JoursFeries!$C$3:$CH$15)</f>
        <v>58819</v>
      </c>
      <c r="H28" s="136" t="s">
        <v>89</v>
      </c>
      <c r="I28" s="139">
        <v>17100</v>
      </c>
      <c r="J28" s="148">
        <v>39000</v>
      </c>
      <c r="K28" s="131">
        <f t="shared" ref="K28" si="46">J28+I28</f>
        <v>56100</v>
      </c>
      <c r="L28" s="148"/>
      <c r="M28" s="131">
        <f t="shared" ref="M28" si="47">L28/$J$3</f>
        <v>0</v>
      </c>
      <c r="N28" s="131">
        <f t="shared" ref="N28" si="48">K28-$J$2</f>
        <v>7571</v>
      </c>
      <c r="O28" s="131">
        <f t="shared" ref="O28" si="49">N28/$J$3</f>
        <v>757.1</v>
      </c>
      <c r="P28" s="182">
        <f>WORKDAY($J$1,O28,JoursFeries!$C$3:$CH$15)</f>
        <v>43997</v>
      </c>
      <c r="Q28" s="182">
        <f>WORKDAY(P28,ROUND(SUMIF($P$8:$P$50,"&lt;="&amp;P28,$M$8:$M$50),0),JoursFeries!$C$3:$CH$15)</f>
        <v>43998</v>
      </c>
    </row>
    <row r="29" spans="1:17" x14ac:dyDescent="0.25">
      <c r="A29" s="181"/>
      <c r="B29" s="184"/>
      <c r="C29" s="184"/>
      <c r="D29" s="184"/>
      <c r="E29" s="184"/>
      <c r="F29" s="184"/>
      <c r="G29" s="184"/>
      <c r="H29" s="136"/>
      <c r="I29" s="139"/>
      <c r="J29" s="148"/>
      <c r="K29" s="131"/>
      <c r="L29" s="148"/>
      <c r="M29" s="131"/>
      <c r="N29" s="131"/>
      <c r="O29" s="131"/>
      <c r="P29" s="182"/>
      <c r="Q29" s="182"/>
    </row>
    <row r="30" spans="1:17" ht="15" customHeight="1" x14ac:dyDescent="0.25">
      <c r="A30" s="180">
        <f t="shared" ref="A30" si="50">Q30</f>
        <v>46545</v>
      </c>
      <c r="B30" s="184">
        <f>WORKDAY(A30,$I30/$J$3+ROUND(SUMIF(A$8:A$50,"&lt;="&amp;A30,$M$8:$M$50),0),JoursFeries!$C$3:$CH$15)</f>
        <v>51865</v>
      </c>
      <c r="C30" s="184">
        <f>WORKDAY(B30,$I30/$J$3+ROUND(SUMIF(B$8:B$50,"&lt;="&amp;B30,$M$8:$M$50),0),JoursFeries!$C$3:$CH$15)</f>
        <v>57195</v>
      </c>
      <c r="D30" s="184">
        <f>WORKDAY(C30,$I30/$J$3+ROUND(SUMIF(C$8:C$50,"&lt;="&amp;C30,$M$8:$M$50),0),JoursFeries!$C$3:$CH$15)</f>
        <v>62516</v>
      </c>
      <c r="E30" s="184">
        <f>WORKDAY(D30,$I30/$J$3+ROUND(SUMIF(D$8:D$50,"&lt;="&amp;D30,$M$8:$M$50),0),JoursFeries!$C$3:$CH$15)</f>
        <v>67843</v>
      </c>
      <c r="F30" s="184">
        <f>WORKDAY(E30,$I30/$J$3+ROUND(SUMIF(E$8:E$50,"&lt;="&amp;E30,$M$8:$M$50),0),JoursFeries!$C$3:$CH$15)</f>
        <v>73168</v>
      </c>
      <c r="G30" s="184">
        <f>WORKDAY(F30,$I30/$J$3+ROUND(SUMIF(F$8:F$50,"&lt;="&amp;F30,$M$8:$M$50),0),JoursFeries!$C$3:$CH$15)</f>
        <v>78336</v>
      </c>
      <c r="H30" s="136" t="s">
        <v>90</v>
      </c>
      <c r="I30" s="139">
        <v>36873</v>
      </c>
      <c r="J30" s="148">
        <v>36873</v>
      </c>
      <c r="K30" s="131">
        <f t="shared" ref="K30" si="51">J30+I30</f>
        <v>73746</v>
      </c>
      <c r="L30" s="148"/>
      <c r="M30" s="131">
        <f t="shared" ref="M30" si="52">L30/$J$3</f>
        <v>0</v>
      </c>
      <c r="N30" s="131">
        <f t="shared" ref="N30" si="53">K30-$J$2</f>
        <v>25217</v>
      </c>
      <c r="O30" s="131">
        <f t="shared" ref="O30" si="54">N30/$J$3</f>
        <v>2521.6999999999998</v>
      </c>
      <c r="P30" s="182">
        <f>WORKDAY($J$1,O30,JoursFeries!$C$3:$CH$15)</f>
        <v>46542</v>
      </c>
      <c r="Q30" s="182">
        <f>WORKDAY(P30,ROUND(SUMIF($P$8:$P$50,"&lt;="&amp;P30,$M$8:$M$50),0),JoursFeries!$C$3:$CH$15)</f>
        <v>46545</v>
      </c>
    </row>
    <row r="31" spans="1:17" x14ac:dyDescent="0.25">
      <c r="A31" s="181"/>
      <c r="B31" s="184"/>
      <c r="C31" s="184"/>
      <c r="D31" s="184"/>
      <c r="E31" s="184"/>
      <c r="F31" s="184"/>
      <c r="G31" s="184"/>
      <c r="H31" s="136"/>
      <c r="I31" s="139"/>
      <c r="J31" s="148"/>
      <c r="K31" s="131"/>
      <c r="L31" s="148"/>
      <c r="M31" s="131"/>
      <c r="N31" s="131"/>
      <c r="O31" s="131"/>
      <c r="P31" s="182"/>
      <c r="Q31" s="182"/>
    </row>
    <row r="32" spans="1:17" ht="15" customHeight="1" x14ac:dyDescent="0.25">
      <c r="A32" s="180">
        <f t="shared" ref="A32" si="55">Q32</f>
        <v>46154</v>
      </c>
      <c r="B32" s="184">
        <f>WORKDAY(A32,$I32/$J$3+ROUND(SUMIF(A$8:A$50,"&lt;="&amp;A32,$M$8:$M$50),0),JoursFeries!$C$3:$CH$15)</f>
        <v>51281</v>
      </c>
      <c r="C32" s="184">
        <f>WORKDAY(B32,$I32/$J$3+ROUND(SUMIF(B$8:B$50,"&lt;="&amp;B32,$M$8:$M$50),0),JoursFeries!$C$3:$CH$15)</f>
        <v>56418</v>
      </c>
      <c r="D32" s="184">
        <f>WORKDAY(C32,$I32/$J$3+ROUND(SUMIF(C$8:C$50,"&lt;="&amp;C32,$M$8:$M$50),0),JoursFeries!$C$3:$CH$15)</f>
        <v>61542</v>
      </c>
      <c r="E32" s="184">
        <f>WORKDAY(D32,$I32/$J$3+ROUND(SUMIF(D$8:D$50,"&lt;="&amp;D32,$M$8:$M$50),0),JoursFeries!$C$3:$CH$15)</f>
        <v>66678</v>
      </c>
      <c r="F32" s="184">
        <f>WORKDAY(E32,$I32/$J$3+ROUND(SUMIF(E$8:E$50,"&lt;="&amp;E32,$M$8:$M$50),0),JoursFeries!$C$3:$CH$15)</f>
        <v>71801</v>
      </c>
      <c r="G32" s="184">
        <f>WORKDAY(F32,$I32/$J$3+ROUND(SUMIF(F$8:F$50,"&lt;="&amp;F32,$M$8:$M$50),0),JoursFeries!$C$3:$CH$15)</f>
        <v>76824</v>
      </c>
      <c r="H32" s="136" t="s">
        <v>91</v>
      </c>
      <c r="I32" s="139">
        <v>35523</v>
      </c>
      <c r="J32" s="148">
        <v>35523</v>
      </c>
      <c r="K32" s="131">
        <f t="shared" ref="K32" si="56">J32+I32</f>
        <v>71046</v>
      </c>
      <c r="L32" s="148"/>
      <c r="M32" s="131">
        <f t="shared" ref="M32" si="57">L32/$J$3</f>
        <v>0</v>
      </c>
      <c r="N32" s="131">
        <f t="shared" ref="N32" si="58">K32-$J$2</f>
        <v>22517</v>
      </c>
      <c r="O32" s="131">
        <f t="shared" ref="O32" si="59">N32/$J$3</f>
        <v>2251.6999999999998</v>
      </c>
      <c r="P32" s="182">
        <f>WORKDAY($J$1,O32,JoursFeries!$C$3:$CH$15)</f>
        <v>46153</v>
      </c>
      <c r="Q32" s="182">
        <f>WORKDAY(P32,ROUND(SUMIF($P$8:$P$50,"&lt;="&amp;P32,$M$8:$M$50),0),JoursFeries!$C$3:$CH$15)</f>
        <v>46154</v>
      </c>
    </row>
    <row r="33" spans="1:17" x14ac:dyDescent="0.25">
      <c r="A33" s="181"/>
      <c r="B33" s="184"/>
      <c r="C33" s="184"/>
      <c r="D33" s="184"/>
      <c r="E33" s="184"/>
      <c r="F33" s="184"/>
      <c r="G33" s="184"/>
      <c r="H33" s="136"/>
      <c r="I33" s="139"/>
      <c r="J33" s="148"/>
      <c r="K33" s="131"/>
      <c r="L33" s="148"/>
      <c r="M33" s="131"/>
      <c r="N33" s="131"/>
      <c r="O33" s="131"/>
      <c r="P33" s="182"/>
      <c r="Q33" s="182"/>
    </row>
    <row r="34" spans="1:17" ht="15" customHeight="1" x14ac:dyDescent="0.25">
      <c r="A34" s="180" t="e">
        <f t="shared" ref="A34" si="60">Q34</f>
        <v>#VALUE!</v>
      </c>
      <c r="B34" s="184" t="e">
        <f>WORKDAY(A34,$I34/$J$3+ROUND(SUMIF(A$8:A$50,"&lt;="&amp;A34,$M$8:$M$50),0),JoursFeries!$C$3:$CH$15)</f>
        <v>#VALUE!</v>
      </c>
      <c r="C34" s="184" t="e">
        <f>WORKDAY(B34,$I34/$J$3+ROUND(SUMIF(B$8:B$50,"&lt;="&amp;B34,$M$8:$M$50),0),JoursFeries!$C$3:$CH$15)</f>
        <v>#VALUE!</v>
      </c>
      <c r="D34" s="184" t="e">
        <f>WORKDAY(C34,$I34/$J$3+ROUND(SUMIF(C$8:C$50,"&lt;="&amp;C34,$M$8:$M$50),0),JoursFeries!$C$3:$CH$15)</f>
        <v>#VALUE!</v>
      </c>
      <c r="E34" s="184" t="e">
        <f>WORKDAY(D34,$I34/$J$3+ROUND(SUMIF(D$8:D$50,"&lt;="&amp;D34,$M$8:$M$50),0),JoursFeries!$C$3:$CH$15)</f>
        <v>#VALUE!</v>
      </c>
      <c r="F34" s="184" t="e">
        <f>WORKDAY(E34,$I34/$J$3+ROUND(SUMIF(E$8:E$50,"&lt;="&amp;E34,$M$8:$M$50),0),JoursFeries!$C$3:$CH$15)</f>
        <v>#VALUE!</v>
      </c>
      <c r="G34" s="184" t="e">
        <f>WORKDAY(F34,$I34/$J$3+ROUND(SUMIF(F$8:F$50,"&lt;="&amp;F34,$M$8:$M$50),0),JoursFeries!$C$3:$CH$15)</f>
        <v>#VALUE!</v>
      </c>
      <c r="H34" s="136" t="s">
        <v>92</v>
      </c>
      <c r="I34" s="139" t="s">
        <v>99</v>
      </c>
      <c r="J34" s="148">
        <v>21346</v>
      </c>
      <c r="K34" s="131" t="e">
        <f t="shared" ref="K34" si="61">J34+I34</f>
        <v>#VALUE!</v>
      </c>
      <c r="L34" s="148"/>
      <c r="M34" s="131">
        <f t="shared" ref="M34" si="62">L34/$J$3</f>
        <v>0</v>
      </c>
      <c r="N34" s="131" t="e">
        <f t="shared" ref="N34" si="63">K34-$J$2</f>
        <v>#VALUE!</v>
      </c>
      <c r="O34" s="131" t="e">
        <f t="shared" ref="O34" si="64">N34/$J$3</f>
        <v>#VALUE!</v>
      </c>
      <c r="P34" s="182" t="e">
        <f>WORKDAY($J$1,O34,JoursFeries!$C$3:$CH$15)</f>
        <v>#VALUE!</v>
      </c>
      <c r="Q34" s="182" t="e">
        <f>WORKDAY(P34,ROUND(SUMIF($P$8:$P$50,"&lt;="&amp;P34,$M$8:$M$50),0),JoursFeries!$C$3:$CH$15)</f>
        <v>#VALUE!</v>
      </c>
    </row>
    <row r="35" spans="1:17" x14ac:dyDescent="0.25">
      <c r="A35" s="181"/>
      <c r="B35" s="184"/>
      <c r="C35" s="184"/>
      <c r="D35" s="184"/>
      <c r="E35" s="184"/>
      <c r="F35" s="184"/>
      <c r="G35" s="184"/>
      <c r="H35" s="136"/>
      <c r="I35" s="139"/>
      <c r="J35" s="148"/>
      <c r="K35" s="131"/>
      <c r="L35" s="148"/>
      <c r="M35" s="131"/>
      <c r="N35" s="131"/>
      <c r="O35" s="131"/>
      <c r="P35" s="182"/>
      <c r="Q35" s="182"/>
    </row>
    <row r="36" spans="1:17" ht="15" customHeight="1" x14ac:dyDescent="0.25">
      <c r="A36" s="180">
        <f t="shared" ref="A36" si="65">Q36</f>
        <v>42500</v>
      </c>
      <c r="B36" s="184">
        <f>WORKDAY(A36,$I36/$J$3+ROUND(SUMIF(A$8:A$50,"&lt;="&amp;A36,$M$8:$M$50),0),JoursFeries!$C$3:$CH$15)</f>
        <v>43999</v>
      </c>
      <c r="C36" s="184">
        <f>WORKDAY(B36,$I36/$J$3+ROUND(SUMIF(B$8:B$50,"&lt;="&amp;B36,$M$8:$M$50),0),JoursFeries!$C$3:$CH$15)</f>
        <v>45497</v>
      </c>
      <c r="D36" s="184">
        <f>WORKDAY(C36,$I36/$J$3+ROUND(SUMIF(C$8:C$50,"&lt;="&amp;C36,$M$8:$M$50),0),JoursFeries!$C$3:$CH$15)</f>
        <v>47003</v>
      </c>
      <c r="E36" s="184">
        <f>WORKDAY(D36,$I36/$J$3+ROUND(SUMIF(D$8:D$50,"&lt;="&amp;D36,$M$8:$M$50),0),JoursFeries!$C$3:$CH$15)</f>
        <v>48507</v>
      </c>
      <c r="F36" s="184">
        <f>WORKDAY(E36,$I36/$J$3+ROUND(SUMIF(E$8:E$50,"&lt;="&amp;E36,$M$8:$M$50),0),JoursFeries!$C$3:$CH$15)</f>
        <v>50010</v>
      </c>
      <c r="G36" s="184">
        <f>WORKDAY(F36,$I36/$J$3+ROUND(SUMIF(F$8:F$50,"&lt;="&amp;F36,$M$8:$M$50),0),JoursFeries!$C$3:$CH$15)</f>
        <v>51509</v>
      </c>
      <c r="H36" s="136" t="s">
        <v>93</v>
      </c>
      <c r="I36" s="139">
        <v>10400</v>
      </c>
      <c r="J36" s="148">
        <v>35323</v>
      </c>
      <c r="K36" s="131">
        <f t="shared" ref="K36" si="66">J36+I36</f>
        <v>45723</v>
      </c>
      <c r="L36" s="148"/>
      <c r="M36" s="131">
        <f t="shared" ref="M36" si="67">L36/$J$3</f>
        <v>0</v>
      </c>
      <c r="N36" s="131">
        <f t="shared" ref="N36" si="68">K36-$J$2</f>
        <v>-2806</v>
      </c>
      <c r="O36" s="131">
        <f t="shared" ref="O36" si="69">N36/$J$3</f>
        <v>-280.60000000000002</v>
      </c>
      <c r="P36" s="182">
        <f>WORKDAY($J$1,O36,JoursFeries!$C$3:$CH$15)</f>
        <v>42500</v>
      </c>
      <c r="Q36" s="182">
        <f>WORKDAY(P36,ROUND(SUMIF($P$8:$P$50,"&lt;="&amp;P36,$M$8:$M$50),0),JoursFeries!$C$3:$CH$15)</f>
        <v>42500</v>
      </c>
    </row>
    <row r="37" spans="1:17" x14ac:dyDescent="0.25">
      <c r="A37" s="181"/>
      <c r="B37" s="184"/>
      <c r="C37" s="184"/>
      <c r="D37" s="184"/>
      <c r="E37" s="184"/>
      <c r="F37" s="184"/>
      <c r="G37" s="184"/>
      <c r="H37" s="136"/>
      <c r="I37" s="139"/>
      <c r="J37" s="148"/>
      <c r="K37" s="131"/>
      <c r="L37" s="148"/>
      <c r="M37" s="131"/>
      <c r="N37" s="131"/>
      <c r="O37" s="131"/>
      <c r="P37" s="182"/>
      <c r="Q37" s="182"/>
    </row>
    <row r="38" spans="1:17" x14ac:dyDescent="0.25">
      <c r="A38" s="180">
        <f t="shared" ref="A38" si="70">Q38</f>
        <v>43948</v>
      </c>
      <c r="B38" s="184">
        <f>WORKDAY(A38,$I38/$J$3+ROUND(SUMIF(A$8:A$50,"&lt;="&amp;A38,$M$8:$M$50),0),JoursFeries!$C$3:$CH$15)</f>
        <v>47980</v>
      </c>
      <c r="C38" s="184">
        <f>WORKDAY(B38,$I38/$J$3+ROUND(SUMIF(B$8:B$50,"&lt;="&amp;B38,$M$8:$M$50),0),JoursFeries!$C$3:$CH$15)</f>
        <v>52006</v>
      </c>
      <c r="D38" s="184">
        <f>WORKDAY(C38,$I38/$J$3+ROUND(SUMIF(C$8:C$50,"&lt;="&amp;C38,$M$8:$M$50),0),JoursFeries!$C$3:$CH$15)</f>
        <v>56038</v>
      </c>
      <c r="E38" s="184">
        <f>WORKDAY(D38,$I38/$J$3+ROUND(SUMIF(D$8:D$50,"&lt;="&amp;D38,$M$8:$M$50),0),JoursFeries!$C$3:$CH$15)</f>
        <v>60065</v>
      </c>
      <c r="F38" s="184">
        <f>WORKDAY(E38,$I38/$J$3+ROUND(SUMIF(E$8:E$50,"&lt;="&amp;E38,$M$8:$M$50),0),JoursFeries!$C$3:$CH$15)</f>
        <v>64095</v>
      </c>
      <c r="G38" s="184">
        <f>WORKDAY(F38,$I38/$J$3+ROUND(SUMIF(F$8:F$50,"&lt;="&amp;F38,$M$8:$M$50),0),JoursFeries!$C$3:$CH$15)</f>
        <v>68122</v>
      </c>
      <c r="H38" s="136" t="s">
        <v>94</v>
      </c>
      <c r="I38" s="139">
        <v>27892</v>
      </c>
      <c r="J38" s="148">
        <v>27892</v>
      </c>
      <c r="K38" s="131">
        <f t="shared" ref="K38" si="71">J38+I38</f>
        <v>55784</v>
      </c>
      <c r="L38" s="148"/>
      <c r="M38" s="131">
        <f t="shared" ref="M38" si="72">L38/$J$3</f>
        <v>0</v>
      </c>
      <c r="N38" s="131">
        <f t="shared" ref="N38" si="73">K38-$J$2</f>
        <v>7255</v>
      </c>
      <c r="O38" s="131">
        <f t="shared" ref="O38" si="74">N38/$J$3</f>
        <v>725.5</v>
      </c>
      <c r="P38" s="182">
        <f>WORKDAY($J$1,O38,JoursFeries!$C$3:$CH$15)</f>
        <v>43945</v>
      </c>
      <c r="Q38" s="182">
        <f>WORKDAY(P38,ROUND(SUMIF($P$8:$P$50,"&lt;="&amp;P38,$M$8:$M$50),0),JoursFeries!$C$3:$CH$15)</f>
        <v>43948</v>
      </c>
    </row>
    <row r="39" spans="1:17" x14ac:dyDescent="0.25">
      <c r="A39" s="181"/>
      <c r="B39" s="184"/>
      <c r="C39" s="184"/>
      <c r="D39" s="184"/>
      <c r="E39" s="184"/>
      <c r="F39" s="184"/>
      <c r="G39" s="184"/>
      <c r="H39" s="136"/>
      <c r="I39" s="139"/>
      <c r="J39" s="148"/>
      <c r="K39" s="131"/>
      <c r="L39" s="148"/>
      <c r="M39" s="131"/>
      <c r="N39" s="131"/>
      <c r="O39" s="131"/>
      <c r="P39" s="182"/>
      <c r="Q39" s="182"/>
    </row>
    <row r="40" spans="1:17" ht="15" customHeight="1" x14ac:dyDescent="0.25">
      <c r="A40" s="180" t="e">
        <f t="shared" ref="A40" si="75">Q40</f>
        <v>#VALUE!</v>
      </c>
      <c r="B40" s="184" t="e">
        <f>WORKDAY(A40,$I40/$J$3+ROUND(SUMIF(A$8:A$50,"&lt;="&amp;A40,$M$8:$M$50),0),JoursFeries!$C$3:$CH$15)</f>
        <v>#VALUE!</v>
      </c>
      <c r="C40" s="184" t="e">
        <f>WORKDAY(B40,$I40/$J$3+ROUND(SUMIF(B$8:B$50,"&lt;="&amp;B40,$M$8:$M$50),0),JoursFeries!$C$3:$CH$15)</f>
        <v>#VALUE!</v>
      </c>
      <c r="D40" s="184" t="e">
        <f>WORKDAY(C40,$I40/$J$3+ROUND(SUMIF(C$8:C$50,"&lt;="&amp;C40,$M$8:$M$50),0),JoursFeries!$C$3:$CH$15)</f>
        <v>#VALUE!</v>
      </c>
      <c r="E40" s="184" t="e">
        <f>WORKDAY(D40,$I40/$J$3+ROUND(SUMIF(D$8:D$50,"&lt;="&amp;D40,$M$8:$M$50),0),JoursFeries!$C$3:$CH$15)</f>
        <v>#VALUE!</v>
      </c>
      <c r="F40" s="184" t="e">
        <f>WORKDAY(E40,$I40/$J$3+ROUND(SUMIF(E$8:E$50,"&lt;="&amp;E40,$M$8:$M$50),0),JoursFeries!$C$3:$CH$15)</f>
        <v>#VALUE!</v>
      </c>
      <c r="G40" s="184" t="e">
        <f>WORKDAY(F40,$I40/$J$3+ROUND(SUMIF(F$8:F$50,"&lt;="&amp;F40,$M$8:$M$50),0),JoursFeries!$C$3:$CH$15)</f>
        <v>#VALUE!</v>
      </c>
      <c r="H40" s="136" t="s">
        <v>95</v>
      </c>
      <c r="I40" s="139" t="s">
        <v>100</v>
      </c>
      <c r="J40" s="148">
        <v>29565</v>
      </c>
      <c r="K40" s="131" t="e">
        <f t="shared" ref="K40" si="76">J40+I40</f>
        <v>#VALUE!</v>
      </c>
      <c r="L40" s="148"/>
      <c r="M40" s="131">
        <f t="shared" ref="M40" si="77">L40/$J$3</f>
        <v>0</v>
      </c>
      <c r="N40" s="131" t="e">
        <f t="shared" ref="N40" si="78">K40-$J$2</f>
        <v>#VALUE!</v>
      </c>
      <c r="O40" s="131" t="e">
        <f t="shared" ref="O40" si="79">N40/$J$3</f>
        <v>#VALUE!</v>
      </c>
      <c r="P40" s="182" t="e">
        <f>WORKDAY($J$1,O40,JoursFeries!$C$3:$CH$15)</f>
        <v>#VALUE!</v>
      </c>
      <c r="Q40" s="182" t="e">
        <f>WORKDAY(P40,ROUND(SUMIF($P$8:$P$50,"&lt;="&amp;P40,$M$8:$M$50),0),JoursFeries!$C$3:$CH$15)</f>
        <v>#VALUE!</v>
      </c>
    </row>
    <row r="41" spans="1:17" x14ac:dyDescent="0.25">
      <c r="A41" s="181"/>
      <c r="B41" s="184"/>
      <c r="C41" s="184"/>
      <c r="D41" s="184"/>
      <c r="E41" s="184"/>
      <c r="F41" s="184"/>
      <c r="G41" s="184"/>
      <c r="H41" s="136"/>
      <c r="I41" s="139"/>
      <c r="J41" s="148"/>
      <c r="K41" s="131"/>
      <c r="L41" s="148"/>
      <c r="M41" s="131"/>
      <c r="N41" s="131"/>
      <c r="O41" s="131"/>
      <c r="P41" s="182"/>
      <c r="Q41" s="182"/>
    </row>
    <row r="42" spans="1:17" ht="15" customHeight="1" x14ac:dyDescent="0.25">
      <c r="A42" s="180">
        <f t="shared" ref="A42" si="80">Q42</f>
        <v>44519</v>
      </c>
      <c r="B42" s="184">
        <f>WORKDAY(A42,$I42/$J$3+ROUND(SUMIF(A$8:A$50,"&lt;="&amp;A42,$M$8:$M$50),0),JoursFeries!$C$3:$CH$15)</f>
        <v>48835</v>
      </c>
      <c r="C42" s="184">
        <f>WORKDAY(B42,$I42/$J$3+ROUND(SUMIF(B$8:B$50,"&lt;="&amp;B42,$M$8:$M$50),0),JoursFeries!$C$3:$CH$15)</f>
        <v>53150</v>
      </c>
      <c r="D42" s="184">
        <f>WORKDAY(C42,$I42/$J$3+ROUND(SUMIF(C$8:C$50,"&lt;="&amp;C42,$M$8:$M$50),0),JoursFeries!$C$3:$CH$15)</f>
        <v>57465</v>
      </c>
      <c r="E42" s="184">
        <f>WORKDAY(D42,$I42/$J$3+ROUND(SUMIF(D$8:D$50,"&lt;="&amp;D42,$M$8:$M$50),0),JoursFeries!$C$3:$CH$15)</f>
        <v>61774</v>
      </c>
      <c r="F42" s="184">
        <f>WORKDAY(E42,$I42/$J$3+ROUND(SUMIF(E$8:E$50,"&lt;="&amp;E42,$M$8:$M$50),0),JoursFeries!$C$3:$CH$15)</f>
        <v>66091</v>
      </c>
      <c r="G42" s="184">
        <f>WORKDAY(F42,$I42/$J$3+ROUND(SUMIF(F$8:F$50,"&lt;="&amp;F42,$M$8:$M$50),0),JoursFeries!$C$3:$CH$15)</f>
        <v>70408</v>
      </c>
      <c r="H42" s="136" t="s">
        <v>96</v>
      </c>
      <c r="I42" s="139">
        <v>29870</v>
      </c>
      <c r="J42" s="148">
        <v>29870</v>
      </c>
      <c r="K42" s="131">
        <f t="shared" ref="K42" si="81">J42+I42</f>
        <v>59740</v>
      </c>
      <c r="L42" s="148"/>
      <c r="M42" s="131">
        <f t="shared" ref="M42" si="82">L42/$J$3</f>
        <v>0</v>
      </c>
      <c r="N42" s="131">
        <f t="shared" ref="N42" si="83">K42-$J$2</f>
        <v>11211</v>
      </c>
      <c r="O42" s="131">
        <f t="shared" ref="O42" si="84">N42/$J$3</f>
        <v>1121.0999999999999</v>
      </c>
      <c r="P42" s="182">
        <f>WORKDAY($J$1,O42,JoursFeries!$C$3:$CH$15)</f>
        <v>44518</v>
      </c>
      <c r="Q42" s="182">
        <f>WORKDAY(P42,ROUND(SUMIF($P$8:$P$50,"&lt;="&amp;P42,$M$8:$M$50),0),JoursFeries!$C$3:$CH$15)</f>
        <v>44519</v>
      </c>
    </row>
    <row r="43" spans="1:17" x14ac:dyDescent="0.25">
      <c r="A43" s="181"/>
      <c r="B43" s="184"/>
      <c r="C43" s="184"/>
      <c r="D43" s="184"/>
      <c r="E43" s="184"/>
      <c r="F43" s="184"/>
      <c r="G43" s="184"/>
      <c r="H43" s="136"/>
      <c r="I43" s="139"/>
      <c r="J43" s="148"/>
      <c r="K43" s="131"/>
      <c r="L43" s="148"/>
      <c r="M43" s="131"/>
      <c r="N43" s="131"/>
      <c r="O43" s="131"/>
      <c r="P43" s="182"/>
      <c r="Q43" s="182"/>
    </row>
    <row r="44" spans="1:17" ht="15" customHeight="1" x14ac:dyDescent="0.25">
      <c r="A44" s="180">
        <f t="shared" ref="A44" si="85">Q44</f>
        <v>45345</v>
      </c>
      <c r="B44" s="184">
        <f>WORKDAY(A44,$I44/$J$3+ROUND(SUMIF(A$8:A$50,"&lt;="&amp;A44,$M$8:$M$50),0),JoursFeries!$C$3:$CH$15)</f>
        <v>50081</v>
      </c>
      <c r="C44" s="184">
        <f>WORKDAY(B44,$I44/$J$3+ROUND(SUMIF(B$8:B$50,"&lt;="&amp;B44,$M$8:$M$50),0),JoursFeries!$C$3:$CH$15)</f>
        <v>54808</v>
      </c>
      <c r="D44" s="184">
        <f>WORKDAY(C44,$I44/$J$3+ROUND(SUMIF(C$8:C$50,"&lt;="&amp;C44,$M$8:$M$50),0),JoursFeries!$C$3:$CH$15)</f>
        <v>59538</v>
      </c>
      <c r="E44" s="184">
        <f>WORKDAY(D44,$I44/$J$3+ROUND(SUMIF(D$8:D$50,"&lt;="&amp;D44,$M$8:$M$50),0),JoursFeries!$C$3:$CH$15)</f>
        <v>64266</v>
      </c>
      <c r="F44" s="184">
        <f>WORKDAY(E44,$I44/$J$3+ROUND(SUMIF(E$8:E$50,"&lt;="&amp;E44,$M$8:$M$50),0),JoursFeries!$C$3:$CH$15)</f>
        <v>68997</v>
      </c>
      <c r="G44" s="184">
        <f>WORKDAY(F44,$I44/$J$3+ROUND(SUMIF(F$8:F$50,"&lt;="&amp;F44,$M$8:$M$50),0),JoursFeries!$C$3:$CH$15)</f>
        <v>73713</v>
      </c>
      <c r="H44" s="136" t="s">
        <v>97</v>
      </c>
      <c r="I44" s="139">
        <v>32747</v>
      </c>
      <c r="J44" s="148">
        <v>32747</v>
      </c>
      <c r="K44" s="131">
        <f t="shared" ref="K44" si="86">J44+I44</f>
        <v>65494</v>
      </c>
      <c r="L44" s="148"/>
      <c r="M44" s="131">
        <f t="shared" ref="M44" si="87">L44/$J$3</f>
        <v>0</v>
      </c>
      <c r="N44" s="131">
        <f t="shared" ref="N44" si="88">K44-$J$2</f>
        <v>16965</v>
      </c>
      <c r="O44" s="131">
        <f t="shared" ref="O44" si="89">N44/$J$3</f>
        <v>1696.5</v>
      </c>
      <c r="P44" s="182">
        <f>WORKDAY($J$1,O44,JoursFeries!$C$3:$CH$15)</f>
        <v>45344</v>
      </c>
      <c r="Q44" s="182">
        <f>WORKDAY(P44,ROUND(SUMIF($P$8:$P$50,"&lt;="&amp;P44,$M$8:$M$50),0),JoursFeries!$C$3:$CH$15)</f>
        <v>45345</v>
      </c>
    </row>
    <row r="45" spans="1:17" x14ac:dyDescent="0.25">
      <c r="A45" s="181"/>
      <c r="B45" s="184"/>
      <c r="C45" s="184"/>
      <c r="D45" s="184"/>
      <c r="E45" s="184"/>
      <c r="F45" s="184"/>
      <c r="G45" s="184"/>
      <c r="H45" s="136"/>
      <c r="I45" s="139"/>
      <c r="J45" s="148"/>
      <c r="K45" s="131"/>
      <c r="L45" s="148"/>
      <c r="M45" s="131"/>
      <c r="N45" s="131"/>
      <c r="O45" s="131"/>
      <c r="P45" s="182"/>
      <c r="Q45" s="182"/>
    </row>
    <row r="46" spans="1:17" ht="15" customHeight="1" x14ac:dyDescent="0.25">
      <c r="A46" s="180">
        <f t="shared" ref="A46" si="90">Q46</f>
        <v>44621</v>
      </c>
      <c r="B46" s="184">
        <f>WORKDAY(A46,$I46/$J$3+ROUND(SUMIF(A$8:A$50,"&lt;="&amp;A46,$M$8:$M$50),0),JoursFeries!$C$3:$CH$15)</f>
        <v>49711</v>
      </c>
      <c r="C46" s="184">
        <f>WORKDAY(B46,$I46/$J$3+ROUND(SUMIF(B$8:B$50,"&lt;="&amp;B46,$M$8:$M$50),0),JoursFeries!$C$3:$CH$15)</f>
        <v>54801</v>
      </c>
      <c r="D46" s="184">
        <f>WORKDAY(C46,$I46/$J$3+ROUND(SUMIF(C$8:C$50,"&lt;="&amp;C46,$M$8:$M$50),0),JoursFeries!$C$3:$CH$15)</f>
        <v>59888</v>
      </c>
      <c r="E46" s="184">
        <f>WORKDAY(D46,$I46/$J$3+ROUND(SUMIF(D$8:D$50,"&lt;="&amp;D46,$M$8:$M$50),0),JoursFeries!$C$3:$CH$15)</f>
        <v>64979</v>
      </c>
      <c r="F46" s="184">
        <f>WORKDAY(E46,$I46/$J$3+ROUND(SUMIF(E$8:E$50,"&lt;="&amp;E46,$M$8:$M$50),0),JoursFeries!$C$3:$CH$15)</f>
        <v>70066</v>
      </c>
      <c r="G46" s="184">
        <f>WORKDAY(F46,$I46/$J$3+ROUND(SUMIF(F$8:F$50,"&lt;="&amp;F46,$M$8:$M$50),0),JoursFeries!$C$3:$CH$15)</f>
        <v>75100</v>
      </c>
      <c r="H46" s="136" t="s">
        <v>98</v>
      </c>
      <c r="I46" s="139">
        <v>35232</v>
      </c>
      <c r="J46" s="148">
        <v>25232</v>
      </c>
      <c r="K46" s="131">
        <f t="shared" ref="K46" si="91">J46+I46</f>
        <v>60464</v>
      </c>
      <c r="L46" s="148"/>
      <c r="M46" s="131">
        <f t="shared" ref="M46" si="92">L46/$J$3</f>
        <v>0</v>
      </c>
      <c r="N46" s="131">
        <f t="shared" ref="N46" si="93">K46-$J$2</f>
        <v>11935</v>
      </c>
      <c r="O46" s="131">
        <f t="shared" ref="O46" si="94">N46/$J$3</f>
        <v>1193.5</v>
      </c>
      <c r="P46" s="182">
        <f>WORKDAY($J$1,O46,JoursFeries!$C$3:$CH$15)</f>
        <v>44620</v>
      </c>
      <c r="Q46" s="182">
        <f>WORKDAY(P46,ROUND(SUMIF($P$8:$P$50,"&lt;="&amp;P46,$M$8:$M$50),0),JoursFeries!$C$3:$CH$15)</f>
        <v>44621</v>
      </c>
    </row>
    <row r="47" spans="1:17" x14ac:dyDescent="0.25">
      <c r="A47" s="181"/>
      <c r="B47" s="184"/>
      <c r="C47" s="184"/>
      <c r="D47" s="184"/>
      <c r="E47" s="184"/>
      <c r="F47" s="184"/>
      <c r="G47" s="184"/>
      <c r="H47" s="136"/>
      <c r="I47" s="139"/>
      <c r="J47" s="148"/>
      <c r="K47" s="131"/>
      <c r="L47" s="148"/>
      <c r="M47" s="131"/>
      <c r="N47" s="131"/>
      <c r="O47" s="131"/>
      <c r="P47" s="182"/>
      <c r="Q47" s="182"/>
    </row>
    <row r="48" spans="1:17" x14ac:dyDescent="0.25">
      <c r="A48" s="180">
        <f t="shared" ref="A48" si="95">Q48</f>
        <v>36098</v>
      </c>
      <c r="B48" s="184">
        <f>WORKDAY(A48,$I48/$J$3+ROUND(SUMIF(A$8:A$50,"&lt;="&amp;A48,$M$8:$M$50),0),JoursFeries!$C$3:$CH$15)</f>
        <v>36098</v>
      </c>
      <c r="C48" s="184">
        <f>WORKDAY(B48,$I48/$J$3+ROUND(SUMIF(B$8:B$50,"&lt;="&amp;B48,$M$8:$M$50),0),JoursFeries!$C$3:$CH$15)</f>
        <v>36098</v>
      </c>
      <c r="D48" s="184">
        <f>WORKDAY(C48,$I48/$J$3+ROUND(SUMIF(C$8:C$50,"&lt;="&amp;C48,$M$8:$M$50),0),JoursFeries!$C$3:$CH$15)</f>
        <v>36098</v>
      </c>
      <c r="E48" s="184">
        <f>WORKDAY(D48,$I48/$J$3+ROUND(SUMIF(D$8:D$50,"&lt;="&amp;D48,$M$8:$M$50),0),JoursFeries!$C$3:$CH$15)</f>
        <v>36098</v>
      </c>
      <c r="F48" s="184">
        <f>WORKDAY(E48,$I48/$J$3+ROUND(SUMIF(E$8:E$50,"&lt;="&amp;E48,$M$8:$M$50),0),JoursFeries!$C$3:$CH$15)</f>
        <v>36098</v>
      </c>
      <c r="G48" s="184">
        <f>WORKDAY(F48,$I48/$J$3+ROUND(SUMIF(F$8:F$50,"&lt;="&amp;F48,$M$8:$M$50),0),JoursFeries!$C$3:$CH$15)</f>
        <v>36098</v>
      </c>
      <c r="H48" s="136"/>
      <c r="I48" s="139"/>
      <c r="J48" s="148"/>
      <c r="K48" s="131">
        <f t="shared" ref="K48" si="96">J48+I48</f>
        <v>0</v>
      </c>
      <c r="L48" s="148"/>
      <c r="M48" s="131">
        <f t="shared" ref="M48" si="97">L48/$J$3</f>
        <v>0</v>
      </c>
      <c r="N48" s="131">
        <f t="shared" ref="N48" si="98">K48-$J$2</f>
        <v>-48529</v>
      </c>
      <c r="O48" s="131">
        <f t="shared" ref="O48" si="99">N48/$J$3</f>
        <v>-4852.8999999999996</v>
      </c>
      <c r="P48" s="182">
        <f>WORKDAY($J$1,O48,JoursFeries!$C$3:$CH$15)</f>
        <v>36098</v>
      </c>
      <c r="Q48" s="182">
        <f>WORKDAY(P48,ROUND(SUMIF($P$8:$P$50,"&lt;="&amp;P48,$M$8:$M$50),0),JoursFeries!$C$3:$CH$15)</f>
        <v>36098</v>
      </c>
    </row>
    <row r="49" spans="1:17" x14ac:dyDescent="0.25">
      <c r="A49" s="181"/>
      <c r="B49" s="184"/>
      <c r="C49" s="184"/>
      <c r="D49" s="184"/>
      <c r="E49" s="184"/>
      <c r="F49" s="184"/>
      <c r="G49" s="184"/>
      <c r="H49" s="136"/>
      <c r="I49" s="139"/>
      <c r="J49" s="148"/>
      <c r="K49" s="131"/>
      <c r="L49" s="148"/>
      <c r="M49" s="131"/>
      <c r="N49" s="131"/>
      <c r="O49" s="131"/>
      <c r="P49" s="182"/>
      <c r="Q49" s="182"/>
    </row>
    <row r="50" spans="1:17" x14ac:dyDescent="0.25">
      <c r="A50" s="180">
        <f t="shared" ref="A50" si="100">Q50</f>
        <v>36098</v>
      </c>
      <c r="B50" s="184">
        <f>WORKDAY(A50,$I50/$J$3+ROUND(SUMIF(A$8:A$50,"&lt;="&amp;A50,$M$8:$M$50),0),JoursFeries!$C$3:$CH$15)</f>
        <v>36098</v>
      </c>
      <c r="C50" s="184">
        <f>WORKDAY(B50,$I50/$J$3+ROUND(SUMIF(B$8:B$50,"&lt;="&amp;B50,$M$8:$M$50),0),JoursFeries!$C$3:$CH$15)</f>
        <v>36098</v>
      </c>
      <c r="D50" s="184">
        <f>WORKDAY(C50,$I50/$J$3+ROUND(SUMIF(C$8:C$50,"&lt;="&amp;C50,$M$8:$M$50),0),JoursFeries!$C$3:$CH$15)</f>
        <v>36098</v>
      </c>
      <c r="E50" s="184">
        <f>WORKDAY(D50,$I50/$J$3+ROUND(SUMIF(D$8:D$50,"&lt;="&amp;D50,$M$8:$M$50),0),JoursFeries!$C$3:$CH$15)</f>
        <v>36098</v>
      </c>
      <c r="F50" s="184">
        <f>WORKDAY(E50,$I50/$J$3+ROUND(SUMIF(E$8:E$50,"&lt;="&amp;E50,$M$8:$M$50),0),JoursFeries!$C$3:$CH$15)</f>
        <v>36098</v>
      </c>
      <c r="G50" s="184">
        <f>WORKDAY(F50,$I50/$J$3+ROUND(SUMIF(F$8:F$50,"&lt;="&amp;F50,$M$8:$M$50),0),JoursFeries!$C$3:$CH$15)</f>
        <v>36098</v>
      </c>
      <c r="H50" s="131"/>
      <c r="I50" s="131"/>
      <c r="J50" s="148"/>
      <c r="K50" s="131">
        <f t="shared" ref="K50" si="101">J50+I50</f>
        <v>0</v>
      </c>
      <c r="L50" s="148"/>
      <c r="M50" s="131">
        <f t="shared" ref="M50" si="102">L50/$J$3</f>
        <v>0</v>
      </c>
      <c r="N50" s="131">
        <f t="shared" ref="N50" si="103">K50-$J$2</f>
        <v>-48529</v>
      </c>
      <c r="O50" s="131">
        <f t="shared" ref="O50" si="104">N50/$J$3</f>
        <v>-4852.8999999999996</v>
      </c>
      <c r="P50" s="182">
        <f>WORKDAY($J$1,O50,JoursFeries!$C$3:$CH$15)</f>
        <v>36098</v>
      </c>
      <c r="Q50" s="182">
        <f>WORKDAY(P50,ROUND(SUMIF($P$8:$P$50,"&lt;="&amp;P50,$M$8:$M$50),0),JoursFeries!$C$3:$CH$15)</f>
        <v>36098</v>
      </c>
    </row>
    <row r="51" spans="1:17" x14ac:dyDescent="0.25">
      <c r="A51" s="181"/>
      <c r="B51" s="184"/>
      <c r="C51" s="184"/>
      <c r="D51" s="184"/>
      <c r="E51" s="184"/>
      <c r="F51" s="184"/>
      <c r="G51" s="184"/>
      <c r="H51" s="131"/>
      <c r="I51" s="131"/>
      <c r="J51" s="148"/>
      <c r="K51" s="131"/>
      <c r="L51" s="148"/>
      <c r="M51" s="131"/>
      <c r="N51" s="131"/>
      <c r="O51" s="131"/>
      <c r="P51" s="182"/>
      <c r="Q51" s="182"/>
    </row>
    <row r="52" spans="1:17" x14ac:dyDescent="0.25">
      <c r="A52" s="180">
        <f t="shared" ref="A52" si="105">Q52</f>
        <v>36098</v>
      </c>
      <c r="B52" s="184">
        <f>WORKDAY(A52,$I52/$J$3+ROUND(SUMIF(A$8:A$50,"&lt;="&amp;A52,$M$8:$M$50),0),JoursFeries!$C$3:$CH$15)</f>
        <v>36098</v>
      </c>
      <c r="C52" s="184">
        <f>WORKDAY(B52,$I52/$J$3+ROUND(SUMIF(B$8:B$50,"&lt;="&amp;B52,$M$8:$M$50),0),JoursFeries!$C$3:$CH$15)</f>
        <v>36098</v>
      </c>
      <c r="D52" s="184">
        <f>WORKDAY(C52,$I52/$J$3+ROUND(SUMIF(C$8:C$50,"&lt;="&amp;C52,$M$8:$M$50),0),JoursFeries!$C$3:$CH$15)</f>
        <v>36098</v>
      </c>
      <c r="E52" s="184">
        <f>WORKDAY(D52,$I52/$J$3+ROUND(SUMIF(D$8:D$50,"&lt;="&amp;D52,$M$8:$M$50),0),JoursFeries!$C$3:$CH$15)</f>
        <v>36098</v>
      </c>
      <c r="F52" s="184">
        <f>WORKDAY(E52,$I52/$J$3+ROUND(SUMIF(E$8:E$50,"&lt;="&amp;E52,$M$8:$M$50),0),JoursFeries!$C$3:$CH$15)</f>
        <v>36098</v>
      </c>
      <c r="G52" s="184">
        <f>WORKDAY(F52,$I52/$J$3+ROUND(SUMIF(F$8:F$50,"&lt;="&amp;F52,$M$8:$M$50),0),JoursFeries!$C$3:$CH$15)</f>
        <v>36098</v>
      </c>
      <c r="H52" s="131"/>
      <c r="I52" s="131"/>
      <c r="J52" s="148"/>
      <c r="K52" s="131">
        <f t="shared" ref="K52" si="106">J52+I52</f>
        <v>0</v>
      </c>
      <c r="L52" s="148"/>
      <c r="M52" s="131">
        <f t="shared" ref="M52" si="107">L52/$J$3</f>
        <v>0</v>
      </c>
      <c r="N52" s="131">
        <f t="shared" ref="N52" si="108">K52-$J$2</f>
        <v>-48529</v>
      </c>
      <c r="O52" s="131">
        <f t="shared" ref="O52" si="109">N52/$J$3</f>
        <v>-4852.8999999999996</v>
      </c>
      <c r="P52" s="182">
        <f>WORKDAY($J$1,O52,JoursFeries!$C$3:$CH$15)</f>
        <v>36098</v>
      </c>
      <c r="Q52" s="182">
        <f>WORKDAY(P52,ROUND(SUMIF($P$8:$P$50,"&lt;="&amp;P52,$M$8:$M$50),0),JoursFeries!$C$3:$CH$15)</f>
        <v>36098</v>
      </c>
    </row>
    <row r="53" spans="1:17" x14ac:dyDescent="0.25">
      <c r="A53" s="181"/>
      <c r="B53" s="184"/>
      <c r="C53" s="184"/>
      <c r="D53" s="184"/>
      <c r="E53" s="184"/>
      <c r="F53" s="184"/>
      <c r="G53" s="184"/>
      <c r="H53" s="131"/>
      <c r="I53" s="131"/>
      <c r="J53" s="148"/>
      <c r="K53" s="131"/>
      <c r="L53" s="148"/>
      <c r="M53" s="131"/>
      <c r="N53" s="131"/>
      <c r="O53" s="131"/>
      <c r="P53" s="182"/>
      <c r="Q53" s="182"/>
    </row>
  </sheetData>
  <mergeCells count="399">
    <mergeCell ref="H6:H7"/>
    <mergeCell ref="A7:G7"/>
    <mergeCell ref="C50:C51"/>
    <mergeCell ref="D50:D51"/>
    <mergeCell ref="E50:E51"/>
    <mergeCell ref="F50:F51"/>
    <mergeCell ref="G50:G51"/>
    <mergeCell ref="C52:C53"/>
    <mergeCell ref="D52:D53"/>
    <mergeCell ref="E52:E53"/>
    <mergeCell ref="F52:F53"/>
    <mergeCell ref="G52:G53"/>
    <mergeCell ref="C46:C47"/>
    <mergeCell ref="D46:D47"/>
    <mergeCell ref="E46:E47"/>
    <mergeCell ref="F46:F47"/>
    <mergeCell ref="G46:G47"/>
    <mergeCell ref="C48:C49"/>
    <mergeCell ref="D48:D49"/>
    <mergeCell ref="E48:E49"/>
    <mergeCell ref="F48:F49"/>
    <mergeCell ref="G48:G49"/>
    <mergeCell ref="C42:C43"/>
    <mergeCell ref="D42:D43"/>
    <mergeCell ref="E42:E43"/>
    <mergeCell ref="F42:F43"/>
    <mergeCell ref="G42:G43"/>
    <mergeCell ref="C44:C45"/>
    <mergeCell ref="D44:D45"/>
    <mergeCell ref="E44:E45"/>
    <mergeCell ref="F44:F45"/>
    <mergeCell ref="G44:G45"/>
    <mergeCell ref="C38:C39"/>
    <mergeCell ref="D38:D39"/>
    <mergeCell ref="E38:E39"/>
    <mergeCell ref="F38:F39"/>
    <mergeCell ref="G38:G39"/>
    <mergeCell ref="C40:C41"/>
    <mergeCell ref="D40:D41"/>
    <mergeCell ref="E40:E41"/>
    <mergeCell ref="F40:F41"/>
    <mergeCell ref="G40:G41"/>
    <mergeCell ref="F32:F33"/>
    <mergeCell ref="G32:G33"/>
    <mergeCell ref="C34:C35"/>
    <mergeCell ref="D34:D35"/>
    <mergeCell ref="E34:E35"/>
    <mergeCell ref="F34:F35"/>
    <mergeCell ref="G34:G35"/>
    <mergeCell ref="C36:C37"/>
    <mergeCell ref="D36:D37"/>
    <mergeCell ref="E36:E37"/>
    <mergeCell ref="F36:F37"/>
    <mergeCell ref="G36:G37"/>
    <mergeCell ref="G26:G27"/>
    <mergeCell ref="C28:C29"/>
    <mergeCell ref="D28:D29"/>
    <mergeCell ref="E28:E29"/>
    <mergeCell ref="F28:F29"/>
    <mergeCell ref="G28:G29"/>
    <mergeCell ref="C30:C31"/>
    <mergeCell ref="D30:D31"/>
    <mergeCell ref="E30:E31"/>
    <mergeCell ref="F30:F31"/>
    <mergeCell ref="G30:G31"/>
    <mergeCell ref="G20:G21"/>
    <mergeCell ref="C22:C23"/>
    <mergeCell ref="D22:D23"/>
    <mergeCell ref="E22:E23"/>
    <mergeCell ref="F22:F23"/>
    <mergeCell ref="G22:G23"/>
    <mergeCell ref="C24:C25"/>
    <mergeCell ref="D24:D25"/>
    <mergeCell ref="E24:E25"/>
    <mergeCell ref="F24:F25"/>
    <mergeCell ref="G24:G25"/>
    <mergeCell ref="G14:G15"/>
    <mergeCell ref="C16:C17"/>
    <mergeCell ref="D16:D17"/>
    <mergeCell ref="E16:E17"/>
    <mergeCell ref="F16:F17"/>
    <mergeCell ref="G16:G17"/>
    <mergeCell ref="C18:C19"/>
    <mergeCell ref="D18:D19"/>
    <mergeCell ref="E18:E19"/>
    <mergeCell ref="F18:F19"/>
    <mergeCell ref="G18:G19"/>
    <mergeCell ref="G8:G9"/>
    <mergeCell ref="C10:C11"/>
    <mergeCell ref="D10:D11"/>
    <mergeCell ref="E10:E11"/>
    <mergeCell ref="F10:F11"/>
    <mergeCell ref="G10:G11"/>
    <mergeCell ref="C12:C13"/>
    <mergeCell ref="D12:D13"/>
    <mergeCell ref="E12:E13"/>
    <mergeCell ref="F12:F13"/>
    <mergeCell ref="G12:G13"/>
    <mergeCell ref="B44:B45"/>
    <mergeCell ref="B46:B47"/>
    <mergeCell ref="B48:B49"/>
    <mergeCell ref="B50:B51"/>
    <mergeCell ref="B52:B53"/>
    <mergeCell ref="C8:C9"/>
    <mergeCell ref="D8:D9"/>
    <mergeCell ref="E8:E9"/>
    <mergeCell ref="F8:F9"/>
    <mergeCell ref="C14:C15"/>
    <mergeCell ref="D14:D15"/>
    <mergeCell ref="E14:E15"/>
    <mergeCell ref="F14:F15"/>
    <mergeCell ref="C20:C21"/>
    <mergeCell ref="D20:D21"/>
    <mergeCell ref="E20:E21"/>
    <mergeCell ref="F20:F21"/>
    <mergeCell ref="C26:C27"/>
    <mergeCell ref="D26:D27"/>
    <mergeCell ref="E26:E27"/>
    <mergeCell ref="F26:F27"/>
    <mergeCell ref="C32:C33"/>
    <mergeCell ref="D32:D33"/>
    <mergeCell ref="E32:E33"/>
    <mergeCell ref="B26:B27"/>
    <mergeCell ref="B28:B29"/>
    <mergeCell ref="B30:B31"/>
    <mergeCell ref="B32:B33"/>
    <mergeCell ref="B34:B35"/>
    <mergeCell ref="B36:B37"/>
    <mergeCell ref="B38:B39"/>
    <mergeCell ref="B40:B41"/>
    <mergeCell ref="B42:B43"/>
    <mergeCell ref="B8:B9"/>
    <mergeCell ref="B10:B11"/>
    <mergeCell ref="B12:B13"/>
    <mergeCell ref="B14:B15"/>
    <mergeCell ref="B16:B17"/>
    <mergeCell ref="B18:B19"/>
    <mergeCell ref="B20:B21"/>
    <mergeCell ref="B22:B23"/>
    <mergeCell ref="B24:B25"/>
    <mergeCell ref="Q50:Q51"/>
    <mergeCell ref="H52:H53"/>
    <mergeCell ref="I52:I53"/>
    <mergeCell ref="J52:J53"/>
    <mergeCell ref="K52:K53"/>
    <mergeCell ref="L52:L53"/>
    <mergeCell ref="M52:M53"/>
    <mergeCell ref="H50:H51"/>
    <mergeCell ref="I50:I51"/>
    <mergeCell ref="J50:J51"/>
    <mergeCell ref="K50:K51"/>
    <mergeCell ref="L50:L51"/>
    <mergeCell ref="M50:M51"/>
    <mergeCell ref="N50:N51"/>
    <mergeCell ref="O50:O51"/>
    <mergeCell ref="P50:P51"/>
    <mergeCell ref="N48:N49"/>
    <mergeCell ref="O48:O49"/>
    <mergeCell ref="P48:P49"/>
    <mergeCell ref="Q48:Q49"/>
    <mergeCell ref="N52:N53"/>
    <mergeCell ref="Q46:Q47"/>
    <mergeCell ref="H48:H49"/>
    <mergeCell ref="I48:I49"/>
    <mergeCell ref="J48:J49"/>
    <mergeCell ref="K48:K49"/>
    <mergeCell ref="L48:L49"/>
    <mergeCell ref="M48:M49"/>
    <mergeCell ref="H46:H47"/>
    <mergeCell ref="I46:I47"/>
    <mergeCell ref="J46:J47"/>
    <mergeCell ref="K46:K47"/>
    <mergeCell ref="L46:L47"/>
    <mergeCell ref="M46:M47"/>
    <mergeCell ref="N46:N47"/>
    <mergeCell ref="O46:O47"/>
    <mergeCell ref="P46:P47"/>
    <mergeCell ref="O52:O53"/>
    <mergeCell ref="P52:P53"/>
    <mergeCell ref="Q52:Q53"/>
    <mergeCell ref="Q42:Q43"/>
    <mergeCell ref="H44:H45"/>
    <mergeCell ref="I44:I45"/>
    <mergeCell ref="J44:J45"/>
    <mergeCell ref="K44:K45"/>
    <mergeCell ref="L44:L45"/>
    <mergeCell ref="M44:M45"/>
    <mergeCell ref="N44:N45"/>
    <mergeCell ref="O44:O45"/>
    <mergeCell ref="P44:P45"/>
    <mergeCell ref="Q44:Q45"/>
    <mergeCell ref="H42:H43"/>
    <mergeCell ref="I42:I43"/>
    <mergeCell ref="J42:J43"/>
    <mergeCell ref="K42:K43"/>
    <mergeCell ref="L42:L43"/>
    <mergeCell ref="M42:M43"/>
    <mergeCell ref="N42:N43"/>
    <mergeCell ref="O42:O43"/>
    <mergeCell ref="P42:P43"/>
    <mergeCell ref="Q38:Q39"/>
    <mergeCell ref="H40:H41"/>
    <mergeCell ref="I40:I41"/>
    <mergeCell ref="J40:J41"/>
    <mergeCell ref="K40:K41"/>
    <mergeCell ref="L40:L41"/>
    <mergeCell ref="M40:M41"/>
    <mergeCell ref="N40:N41"/>
    <mergeCell ref="O40:O41"/>
    <mergeCell ref="P40:P41"/>
    <mergeCell ref="Q40:Q41"/>
    <mergeCell ref="H38:H39"/>
    <mergeCell ref="I38:I39"/>
    <mergeCell ref="J38:J39"/>
    <mergeCell ref="K38:K39"/>
    <mergeCell ref="L38:L39"/>
    <mergeCell ref="M38:M39"/>
    <mergeCell ref="N38:N39"/>
    <mergeCell ref="O38:O39"/>
    <mergeCell ref="P38:P39"/>
    <mergeCell ref="Q34:Q35"/>
    <mergeCell ref="H36:H37"/>
    <mergeCell ref="I36:I37"/>
    <mergeCell ref="J36:J37"/>
    <mergeCell ref="K36:K37"/>
    <mergeCell ref="L36:L37"/>
    <mergeCell ref="M36:M37"/>
    <mergeCell ref="N36:N37"/>
    <mergeCell ref="O36:O37"/>
    <mergeCell ref="P36:P37"/>
    <mergeCell ref="Q36:Q37"/>
    <mergeCell ref="H34:H35"/>
    <mergeCell ref="I34:I35"/>
    <mergeCell ref="J34:J35"/>
    <mergeCell ref="K34:K35"/>
    <mergeCell ref="L34:L35"/>
    <mergeCell ref="M34:M35"/>
    <mergeCell ref="N34:N35"/>
    <mergeCell ref="O34:O35"/>
    <mergeCell ref="P34:P35"/>
    <mergeCell ref="Q30:Q31"/>
    <mergeCell ref="H32:H33"/>
    <mergeCell ref="I32:I33"/>
    <mergeCell ref="J32:J33"/>
    <mergeCell ref="K32:K33"/>
    <mergeCell ref="L32:L33"/>
    <mergeCell ref="M32:M33"/>
    <mergeCell ref="N32:N33"/>
    <mergeCell ref="O32:O33"/>
    <mergeCell ref="P32:P33"/>
    <mergeCell ref="Q32:Q33"/>
    <mergeCell ref="H30:H31"/>
    <mergeCell ref="I30:I31"/>
    <mergeCell ref="J30:J31"/>
    <mergeCell ref="K30:K31"/>
    <mergeCell ref="L30:L31"/>
    <mergeCell ref="M30:M31"/>
    <mergeCell ref="N30:N31"/>
    <mergeCell ref="O30:O31"/>
    <mergeCell ref="P30:P31"/>
    <mergeCell ref="Q26:Q27"/>
    <mergeCell ref="H28:H29"/>
    <mergeCell ref="I28:I29"/>
    <mergeCell ref="J28:J29"/>
    <mergeCell ref="K28:K29"/>
    <mergeCell ref="L28:L29"/>
    <mergeCell ref="M28:M29"/>
    <mergeCell ref="N28:N29"/>
    <mergeCell ref="O28:O29"/>
    <mergeCell ref="P28:P29"/>
    <mergeCell ref="Q28:Q29"/>
    <mergeCell ref="H26:H27"/>
    <mergeCell ref="I26:I27"/>
    <mergeCell ref="J26:J27"/>
    <mergeCell ref="K26:K27"/>
    <mergeCell ref="L26:L27"/>
    <mergeCell ref="M26:M27"/>
    <mergeCell ref="N26:N27"/>
    <mergeCell ref="O26:O27"/>
    <mergeCell ref="P26:P27"/>
    <mergeCell ref="Q22:Q23"/>
    <mergeCell ref="H24:H25"/>
    <mergeCell ref="I24:I25"/>
    <mergeCell ref="J24:J25"/>
    <mergeCell ref="K24:K25"/>
    <mergeCell ref="L24:L25"/>
    <mergeCell ref="M24:M25"/>
    <mergeCell ref="N24:N25"/>
    <mergeCell ref="O24:O25"/>
    <mergeCell ref="P24:P25"/>
    <mergeCell ref="Q24:Q25"/>
    <mergeCell ref="H22:H23"/>
    <mergeCell ref="I22:I23"/>
    <mergeCell ref="J22:J23"/>
    <mergeCell ref="K22:K23"/>
    <mergeCell ref="L22:L23"/>
    <mergeCell ref="M22:M23"/>
    <mergeCell ref="N22:N23"/>
    <mergeCell ref="O22:O23"/>
    <mergeCell ref="P22:P23"/>
    <mergeCell ref="Q18:Q19"/>
    <mergeCell ref="H20:H21"/>
    <mergeCell ref="I20:I21"/>
    <mergeCell ref="J20:J21"/>
    <mergeCell ref="K20:K21"/>
    <mergeCell ref="L20:L21"/>
    <mergeCell ref="M20:M21"/>
    <mergeCell ref="N20:N21"/>
    <mergeCell ref="O20:O21"/>
    <mergeCell ref="P20:P21"/>
    <mergeCell ref="Q20:Q21"/>
    <mergeCell ref="H18:H19"/>
    <mergeCell ref="I18:I19"/>
    <mergeCell ref="J18:J19"/>
    <mergeCell ref="K18:K19"/>
    <mergeCell ref="L18:L19"/>
    <mergeCell ref="M18:M19"/>
    <mergeCell ref="N18:N19"/>
    <mergeCell ref="O18:O19"/>
    <mergeCell ref="P18:P19"/>
    <mergeCell ref="Q14:Q15"/>
    <mergeCell ref="H16:H17"/>
    <mergeCell ref="I16:I17"/>
    <mergeCell ref="J16:J17"/>
    <mergeCell ref="K16:K17"/>
    <mergeCell ref="L16:L17"/>
    <mergeCell ref="M16:M17"/>
    <mergeCell ref="N16:N17"/>
    <mergeCell ref="O16:O17"/>
    <mergeCell ref="P16:P17"/>
    <mergeCell ref="Q16:Q17"/>
    <mergeCell ref="H14:H15"/>
    <mergeCell ref="I14:I15"/>
    <mergeCell ref="J14:J15"/>
    <mergeCell ref="K14:K15"/>
    <mergeCell ref="L14:L15"/>
    <mergeCell ref="M14:M15"/>
    <mergeCell ref="N14:N15"/>
    <mergeCell ref="O14:O15"/>
    <mergeCell ref="P14:P15"/>
    <mergeCell ref="Q10:Q11"/>
    <mergeCell ref="H12:H13"/>
    <mergeCell ref="I12:I13"/>
    <mergeCell ref="J12:J13"/>
    <mergeCell ref="K12:K13"/>
    <mergeCell ref="L12:L13"/>
    <mergeCell ref="M12:M13"/>
    <mergeCell ref="N12:N13"/>
    <mergeCell ref="O12:O13"/>
    <mergeCell ref="P12:P13"/>
    <mergeCell ref="Q12:Q13"/>
    <mergeCell ref="I6:I7"/>
    <mergeCell ref="J6:J7"/>
    <mergeCell ref="K6:K7"/>
    <mergeCell ref="L6:M6"/>
    <mergeCell ref="N6:Q6"/>
    <mergeCell ref="H10:H11"/>
    <mergeCell ref="I10:I11"/>
    <mergeCell ref="J10:J11"/>
    <mergeCell ref="K10:K11"/>
    <mergeCell ref="L10:L11"/>
    <mergeCell ref="M10:M11"/>
    <mergeCell ref="N10:N11"/>
    <mergeCell ref="O10:O11"/>
    <mergeCell ref="P10:P11"/>
    <mergeCell ref="N8:N9"/>
    <mergeCell ref="O8:O9"/>
    <mergeCell ref="P8:P9"/>
    <mergeCell ref="Q8:Q9"/>
    <mergeCell ref="H8:H9"/>
    <mergeCell ref="I8:I9"/>
    <mergeCell ref="J8:J9"/>
    <mergeCell ref="K8:K9"/>
    <mergeCell ref="L8:L9"/>
    <mergeCell ref="M8:M9"/>
    <mergeCell ref="Q1:S5"/>
    <mergeCell ref="A50:A51"/>
    <mergeCell ref="A52:A53"/>
    <mergeCell ref="A8:A9"/>
    <mergeCell ref="A10:A11"/>
    <mergeCell ref="A12:A13"/>
    <mergeCell ref="A32:A33"/>
    <mergeCell ref="A34:A35"/>
    <mergeCell ref="A36:A37"/>
    <mergeCell ref="A38:A39"/>
    <mergeCell ref="A40:A41"/>
    <mergeCell ref="A42:A43"/>
    <mergeCell ref="A44:A45"/>
    <mergeCell ref="A46:A47"/>
    <mergeCell ref="A48:A49"/>
    <mergeCell ref="A14:A15"/>
    <mergeCell ref="A16:A17"/>
    <mergeCell ref="A18:A19"/>
    <mergeCell ref="A20:A21"/>
    <mergeCell ref="A22:A23"/>
    <mergeCell ref="A24:A25"/>
    <mergeCell ref="A26:A27"/>
    <mergeCell ref="A28:A29"/>
    <mergeCell ref="A30:A31"/>
  </mergeCells>
  <conditionalFormatting sqref="N8:O53">
    <cfRule type="cellIs" dxfId="7" priority="11" stopIfTrue="1" operator="lessThan">
      <formula>0</formula>
    </cfRule>
  </conditionalFormatting>
  <conditionalFormatting sqref="N8:N53">
    <cfRule type="cellIs" dxfId="6" priority="7" stopIfTrue="1" operator="greaterThan">
      <formula>100</formula>
    </cfRule>
    <cfRule type="cellIs" dxfId="5" priority="10" stopIfTrue="1" operator="greaterThan">
      <formula>0</formula>
    </cfRule>
  </conditionalFormatting>
  <conditionalFormatting sqref="O8:O53">
    <cfRule type="cellIs" dxfId="4" priority="8" stopIfTrue="1" operator="greaterThan">
      <formula>10</formula>
    </cfRule>
    <cfRule type="cellIs" dxfId="3" priority="9" stopIfTrue="1" operator="greaterThan">
      <formula>0</formula>
    </cfRule>
  </conditionalFormatting>
  <conditionalFormatting sqref="Q8:Q53">
    <cfRule type="cellIs" dxfId="2" priority="1" stopIfTrue="1" operator="greaterThan">
      <formula>WORKDAY($J$1,10)</formula>
    </cfRule>
    <cfRule type="cellIs" dxfId="1" priority="2" stopIfTrue="1" operator="greaterThan">
      <formula>$J$1</formula>
    </cfRule>
    <cfRule type="cellIs" dxfId="0" priority="3" stopIfTrue="1" operator="lessThan">
      <formula>$J$1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9090" r:id="rId4" name="DTPicker21">
          <controlPr defaultSize="0" autoLine="0" autoPict="0" linkedCell="J1" r:id="rId5">
            <anchor moveWithCells="1">
              <from>
                <xdr:col>9</xdr:col>
                <xdr:colOff>19050</xdr:colOff>
                <xdr:row>0</xdr:row>
                <xdr:rowOff>19050</xdr:rowOff>
              </from>
              <to>
                <xdr:col>10</xdr:col>
                <xdr:colOff>0</xdr:colOff>
                <xdr:row>1</xdr:row>
                <xdr:rowOff>9525</xdr:rowOff>
              </to>
            </anchor>
          </controlPr>
        </control>
      </mc:Choice>
      <mc:Fallback>
        <control shapeId="89090" r:id="rId4" name="DTPicker2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/>
  <dimension ref="A1:Y255"/>
  <sheetViews>
    <sheetView workbookViewId="0">
      <selection activeCell="D9" sqref="D9"/>
    </sheetView>
  </sheetViews>
  <sheetFormatPr baseColWidth="10" defaultRowHeight="15" x14ac:dyDescent="0.25"/>
  <cols>
    <col min="1" max="1" width="12.42578125" style="5" customWidth="1"/>
    <col min="2" max="2" width="12.85546875" style="5" customWidth="1"/>
    <col min="3" max="3" width="13" style="5" customWidth="1"/>
    <col min="4" max="4" width="11.42578125" style="106"/>
    <col min="5" max="5" width="11.42578125" style="5"/>
    <col min="6" max="6" width="11.42578125" style="5" customWidth="1"/>
    <col min="7" max="7" width="16.7109375" style="5" customWidth="1"/>
    <col min="8" max="8" width="12" customWidth="1"/>
    <col min="9" max="9" width="13.140625" style="101" customWidth="1"/>
    <col min="10" max="10" width="18.42578125" customWidth="1"/>
    <col min="15" max="25" width="11.42578125" style="4"/>
  </cols>
  <sheetData>
    <row r="1" spans="1:25" ht="19.5" customHeight="1" x14ac:dyDescent="0.25">
      <c r="A1" s="201" t="s">
        <v>428</v>
      </c>
      <c r="B1" s="201"/>
      <c r="C1" s="202" t="s">
        <v>166</v>
      </c>
      <c r="D1" s="202"/>
      <c r="E1" s="202"/>
      <c r="F1" s="106"/>
      <c r="G1" s="107" t="s">
        <v>156</v>
      </c>
      <c r="H1" s="109"/>
      <c r="I1" s="205" t="s">
        <v>439</v>
      </c>
      <c r="J1" s="205"/>
      <c r="K1" s="205"/>
      <c r="L1" s="205"/>
      <c r="M1" s="205"/>
      <c r="N1" s="205"/>
    </row>
    <row r="2" spans="1:25" x14ac:dyDescent="0.25">
      <c r="A2" s="201"/>
      <c r="B2" s="201"/>
      <c r="C2" s="202" t="s">
        <v>105</v>
      </c>
      <c r="D2" s="202"/>
      <c r="E2" s="202"/>
      <c r="F2" s="106"/>
      <c r="G2" s="108">
        <v>11060</v>
      </c>
      <c r="I2" s="205"/>
      <c r="J2" s="205"/>
      <c r="K2" s="205"/>
      <c r="L2" s="205"/>
      <c r="M2" s="205"/>
      <c r="N2" s="205"/>
      <c r="O2" s="198" t="s">
        <v>424</v>
      </c>
      <c r="P2" s="198"/>
      <c r="Q2" s="198"/>
      <c r="R2" s="198"/>
    </row>
    <row r="3" spans="1:25" x14ac:dyDescent="0.25">
      <c r="A3" s="201"/>
      <c r="B3" s="201"/>
      <c r="C3" s="202" t="s">
        <v>163</v>
      </c>
      <c r="D3" s="202"/>
      <c r="E3" s="202"/>
      <c r="F3" s="106"/>
      <c r="G3" s="108">
        <v>10</v>
      </c>
      <c r="I3" s="205"/>
      <c r="J3" s="205"/>
      <c r="K3" s="205"/>
      <c r="L3" s="205"/>
      <c r="M3" s="205"/>
      <c r="N3" s="205"/>
      <c r="O3" s="198"/>
      <c r="P3" s="198"/>
      <c r="Q3" s="198"/>
      <c r="R3" s="198"/>
    </row>
    <row r="4" spans="1:25" x14ac:dyDescent="0.25">
      <c r="I4" s="205"/>
      <c r="J4" s="205"/>
      <c r="K4" s="205"/>
      <c r="L4" s="205"/>
      <c r="M4" s="205"/>
      <c r="N4" s="205"/>
    </row>
    <row r="5" spans="1:25" x14ac:dyDescent="0.25">
      <c r="A5" s="136" t="s">
        <v>167</v>
      </c>
      <c r="B5" s="131" t="s">
        <v>168</v>
      </c>
      <c r="C5" s="131"/>
      <c r="D5" s="203" t="s">
        <v>169</v>
      </c>
      <c r="E5" s="136" t="s">
        <v>429</v>
      </c>
      <c r="F5" s="204" t="s">
        <v>433</v>
      </c>
      <c r="G5" s="198" t="s">
        <v>190</v>
      </c>
      <c r="H5" s="198"/>
      <c r="I5" s="198"/>
      <c r="J5" s="199" t="s">
        <v>418</v>
      </c>
      <c r="K5" s="206" t="s">
        <v>422</v>
      </c>
      <c r="L5" s="207"/>
      <c r="M5" s="208"/>
      <c r="O5" s="136" t="s">
        <v>27</v>
      </c>
      <c r="P5" s="136" t="s">
        <v>105</v>
      </c>
      <c r="Q5" s="136" t="s">
        <v>423</v>
      </c>
      <c r="R5" s="136"/>
      <c r="S5" s="136"/>
      <c r="T5" s="136"/>
      <c r="U5" s="136" t="s">
        <v>422</v>
      </c>
      <c r="V5" s="136"/>
      <c r="W5" s="136"/>
      <c r="X5" s="136"/>
      <c r="Y5" s="136"/>
    </row>
    <row r="6" spans="1:25" x14ac:dyDescent="0.25">
      <c r="A6" s="136"/>
      <c r="B6" s="102" t="s">
        <v>25</v>
      </c>
      <c r="C6" s="102" t="s">
        <v>26</v>
      </c>
      <c r="D6" s="203"/>
      <c r="E6" s="136"/>
      <c r="F6" s="204"/>
      <c r="G6" s="198"/>
      <c r="H6" s="198"/>
      <c r="I6" s="198"/>
      <c r="J6" s="200"/>
      <c r="K6" s="209"/>
      <c r="L6" s="210"/>
      <c r="M6" s="211"/>
      <c r="O6" s="136"/>
      <c r="P6" s="136"/>
      <c r="Q6" s="136"/>
      <c r="R6" s="136"/>
      <c r="S6" s="136"/>
      <c r="T6" s="136"/>
      <c r="U6" s="136"/>
      <c r="V6" s="136"/>
      <c r="W6" s="136"/>
      <c r="X6" s="136"/>
      <c r="Y6" s="136"/>
    </row>
    <row r="7" spans="1:25" x14ac:dyDescent="0.25">
      <c r="A7" s="101">
        <v>100</v>
      </c>
      <c r="B7" s="117">
        <f>A7-$G$2</f>
        <v>-10960</v>
      </c>
      <c r="C7" s="116">
        <f>B7/$G$3</f>
        <v>-1096</v>
      </c>
      <c r="D7" s="105">
        <f>WORKDAY(G1,C7,JoursFeries!B3:CH15)</f>
        <v>41348</v>
      </c>
      <c r="E7" s="5">
        <v>1</v>
      </c>
      <c r="F7" s="8">
        <f t="shared" ref="F7:F38" si="0">D7</f>
        <v>41348</v>
      </c>
      <c r="G7" t="s">
        <v>164</v>
      </c>
      <c r="J7" s="112"/>
      <c r="K7" s="197"/>
      <c r="L7" s="197"/>
      <c r="M7" s="212"/>
      <c r="O7" s="118"/>
      <c r="P7" s="114"/>
      <c r="Q7" s="196"/>
      <c r="R7" s="197"/>
      <c r="S7" s="197"/>
      <c r="T7" s="197"/>
      <c r="U7" s="196"/>
      <c r="V7" s="197"/>
      <c r="W7" s="197"/>
      <c r="X7" s="197"/>
      <c r="Y7" s="197"/>
    </row>
    <row r="8" spans="1:25" x14ac:dyDescent="0.25">
      <c r="A8" s="101">
        <v>200</v>
      </c>
      <c r="B8" s="117">
        <f t="shared" ref="B8:B71" si="1">A8-$G$2</f>
        <v>-10860</v>
      </c>
      <c r="C8" s="116">
        <f t="shared" ref="C8:C71" si="2">B8/$G$3</f>
        <v>-1086</v>
      </c>
      <c r="D8" s="105">
        <f>WORKDAY($G$1,C8+E7,JoursFeries!$B$3:$CH$15)</f>
        <v>41365</v>
      </c>
      <c r="E8" s="5">
        <v>1</v>
      </c>
      <c r="F8" s="8">
        <f t="shared" si="0"/>
        <v>41365</v>
      </c>
      <c r="G8" t="s">
        <v>213</v>
      </c>
      <c r="J8" s="112"/>
      <c r="K8" s="194"/>
      <c r="L8" s="194"/>
      <c r="M8" s="195"/>
      <c r="O8" s="115"/>
      <c r="P8" s="115"/>
      <c r="Q8" s="193"/>
      <c r="R8" s="194"/>
      <c r="S8" s="194"/>
      <c r="T8" s="194"/>
      <c r="U8" s="193"/>
      <c r="V8" s="194"/>
      <c r="W8" s="194"/>
      <c r="X8" s="194"/>
      <c r="Y8" s="194"/>
    </row>
    <row r="9" spans="1:25" x14ac:dyDescent="0.25">
      <c r="A9" s="101">
        <v>250</v>
      </c>
      <c r="B9" s="117">
        <f t="shared" si="1"/>
        <v>-10810</v>
      </c>
      <c r="C9" s="116">
        <f t="shared" si="2"/>
        <v>-1081</v>
      </c>
      <c r="D9" s="105">
        <f>WORKDAY($G$1,C9+E8,JoursFeries!$B$3:$CH$15)</f>
        <v>41372</v>
      </c>
      <c r="E9" s="5">
        <v>1</v>
      </c>
      <c r="F9" s="8">
        <f t="shared" si="0"/>
        <v>41372</v>
      </c>
      <c r="G9" t="s">
        <v>165</v>
      </c>
      <c r="J9" s="112"/>
      <c r="K9" s="194"/>
      <c r="L9" s="194"/>
      <c r="M9" s="195"/>
      <c r="O9" s="115"/>
      <c r="P9" s="115"/>
      <c r="Q9" s="193"/>
      <c r="R9" s="194"/>
      <c r="S9" s="194"/>
      <c r="T9" s="194"/>
      <c r="U9" s="193"/>
      <c r="V9" s="194"/>
      <c r="W9" s="194"/>
      <c r="X9" s="194"/>
      <c r="Y9" s="194"/>
    </row>
    <row r="10" spans="1:25" x14ac:dyDescent="0.25">
      <c r="A10" s="101">
        <v>300</v>
      </c>
      <c r="B10" s="117">
        <f t="shared" si="1"/>
        <v>-10760</v>
      </c>
      <c r="C10" s="116">
        <f t="shared" si="2"/>
        <v>-1076</v>
      </c>
      <c r="D10" s="105">
        <f>WORKDAY($G$1,C10+E9,JoursFeries!$B$3:$CH$15)</f>
        <v>41379</v>
      </c>
      <c r="E10" s="5">
        <v>1</v>
      </c>
      <c r="F10" s="8">
        <f t="shared" si="0"/>
        <v>41379</v>
      </c>
      <c r="G10" t="s">
        <v>214</v>
      </c>
      <c r="J10" s="112"/>
      <c r="K10" s="194"/>
      <c r="L10" s="194"/>
      <c r="M10" s="195"/>
      <c r="O10" s="115"/>
      <c r="P10" s="115"/>
      <c r="Q10" s="193"/>
      <c r="R10" s="194"/>
      <c r="S10" s="194"/>
      <c r="T10" s="194"/>
      <c r="U10" s="193"/>
      <c r="V10" s="194"/>
      <c r="W10" s="194"/>
      <c r="X10" s="194"/>
      <c r="Y10" s="194"/>
    </row>
    <row r="11" spans="1:25" x14ac:dyDescent="0.25">
      <c r="A11" s="101">
        <v>400</v>
      </c>
      <c r="B11" s="117">
        <f t="shared" si="1"/>
        <v>-10660</v>
      </c>
      <c r="C11" s="116">
        <f t="shared" si="2"/>
        <v>-1066</v>
      </c>
      <c r="D11" s="105">
        <f>WORKDAY($G$1,C11+E10,JoursFeries!$B$3:$CH$15)</f>
        <v>41393</v>
      </c>
      <c r="E11" s="5">
        <v>1</v>
      </c>
      <c r="F11" s="8">
        <f t="shared" si="0"/>
        <v>41393</v>
      </c>
      <c r="G11" t="s">
        <v>215</v>
      </c>
      <c r="J11" s="112"/>
      <c r="K11" s="194"/>
      <c r="L11" s="194"/>
      <c r="M11" s="195"/>
      <c r="O11" s="115"/>
      <c r="P11" s="115"/>
      <c r="Q11" s="193"/>
      <c r="R11" s="194"/>
      <c r="S11" s="194"/>
      <c r="T11" s="194"/>
      <c r="U11" s="193"/>
      <c r="V11" s="194"/>
      <c r="W11" s="194"/>
      <c r="X11" s="194"/>
      <c r="Y11" s="194"/>
    </row>
    <row r="12" spans="1:25" x14ac:dyDescent="0.25">
      <c r="A12" s="101">
        <v>500</v>
      </c>
      <c r="B12" s="117">
        <f t="shared" si="1"/>
        <v>-10560</v>
      </c>
      <c r="C12" s="116">
        <f t="shared" si="2"/>
        <v>-1056</v>
      </c>
      <c r="D12" s="105">
        <f>WORKDAY($G$1,C12+E11,JoursFeries!$B$3:$CH$15)</f>
        <v>41407</v>
      </c>
      <c r="E12" s="5">
        <v>1</v>
      </c>
      <c r="F12" s="8">
        <f t="shared" si="0"/>
        <v>41407</v>
      </c>
      <c r="G12" t="s">
        <v>216</v>
      </c>
      <c r="J12" s="112"/>
      <c r="K12" s="194"/>
      <c r="L12" s="194"/>
      <c r="M12" s="195"/>
      <c r="O12" s="115"/>
      <c r="P12" s="115"/>
      <c r="Q12" s="193"/>
      <c r="R12" s="194"/>
      <c r="S12" s="194"/>
      <c r="T12" s="194"/>
      <c r="U12" s="193"/>
      <c r="V12" s="194"/>
      <c r="W12" s="194"/>
      <c r="X12" s="194"/>
      <c r="Y12" s="194"/>
    </row>
    <row r="13" spans="1:25" x14ac:dyDescent="0.25">
      <c r="A13" s="101">
        <v>600</v>
      </c>
      <c r="B13" s="117">
        <f t="shared" si="1"/>
        <v>-10460</v>
      </c>
      <c r="C13" s="116">
        <f t="shared" si="2"/>
        <v>-1046</v>
      </c>
      <c r="D13" s="105">
        <f>WORKDAY($G$1,C13+E12,JoursFeries!$B$3:$CH$15)</f>
        <v>41421</v>
      </c>
      <c r="E13" s="5">
        <v>1</v>
      </c>
      <c r="F13" s="8">
        <f t="shared" si="0"/>
        <v>41421</v>
      </c>
      <c r="G13" s="4" t="s">
        <v>217</v>
      </c>
      <c r="J13" s="112"/>
      <c r="K13" s="194"/>
      <c r="L13" s="194"/>
      <c r="M13" s="195"/>
      <c r="O13" s="115"/>
      <c r="P13" s="115"/>
      <c r="Q13" s="193"/>
      <c r="R13" s="194"/>
      <c r="S13" s="194"/>
      <c r="T13" s="194"/>
      <c r="U13" s="193"/>
      <c r="V13" s="194"/>
      <c r="W13" s="194"/>
      <c r="X13" s="194"/>
      <c r="Y13" s="194"/>
    </row>
    <row r="14" spans="1:25" x14ac:dyDescent="0.25">
      <c r="A14" s="101">
        <v>700</v>
      </c>
      <c r="B14" s="117">
        <f t="shared" si="1"/>
        <v>-10360</v>
      </c>
      <c r="C14" s="116">
        <f t="shared" si="2"/>
        <v>-1036</v>
      </c>
      <c r="D14" s="105">
        <f>WORKDAY($G$1,C14+E13,JoursFeries!$B$3:$CH$15)</f>
        <v>41435</v>
      </c>
      <c r="E14" s="5">
        <v>1</v>
      </c>
      <c r="F14" s="8">
        <f t="shared" si="0"/>
        <v>41435</v>
      </c>
      <c r="G14" s="4" t="s">
        <v>218</v>
      </c>
      <c r="J14" s="112"/>
      <c r="K14" s="194"/>
      <c r="L14" s="194"/>
      <c r="M14" s="195"/>
      <c r="O14" s="115"/>
      <c r="P14" s="115"/>
      <c r="Q14" s="193"/>
      <c r="R14" s="194"/>
      <c r="S14" s="194"/>
      <c r="T14" s="194"/>
      <c r="U14" s="193"/>
      <c r="V14" s="194"/>
      <c r="W14" s="194"/>
      <c r="X14" s="194"/>
      <c r="Y14" s="194"/>
    </row>
    <row r="15" spans="1:25" x14ac:dyDescent="0.25">
      <c r="A15" s="101">
        <v>750</v>
      </c>
      <c r="B15" s="117">
        <f t="shared" si="1"/>
        <v>-10310</v>
      </c>
      <c r="C15" s="116">
        <f t="shared" si="2"/>
        <v>-1031</v>
      </c>
      <c r="D15" s="105">
        <f>WORKDAY($G$1,C15+E14,JoursFeries!$B$3:$CH$15)</f>
        <v>41442</v>
      </c>
      <c r="E15" s="5">
        <v>1</v>
      </c>
      <c r="F15" s="8">
        <f t="shared" si="0"/>
        <v>41442</v>
      </c>
      <c r="G15" s="4" t="s">
        <v>193</v>
      </c>
      <c r="J15" s="112"/>
      <c r="K15" s="194"/>
      <c r="L15" s="194"/>
      <c r="M15" s="195"/>
      <c r="O15" s="115"/>
      <c r="P15" s="115"/>
      <c r="Q15" s="193"/>
      <c r="R15" s="194"/>
      <c r="S15" s="194"/>
      <c r="T15" s="194"/>
      <c r="U15" s="193"/>
      <c r="V15" s="194"/>
      <c r="W15" s="194"/>
      <c r="X15" s="194"/>
      <c r="Y15" s="194"/>
    </row>
    <row r="16" spans="1:25" x14ac:dyDescent="0.25">
      <c r="A16" s="101">
        <v>800</v>
      </c>
      <c r="B16" s="117">
        <f t="shared" si="1"/>
        <v>-10260</v>
      </c>
      <c r="C16" s="116">
        <f t="shared" si="2"/>
        <v>-1026</v>
      </c>
      <c r="D16" s="105">
        <f>WORKDAY($G$1,C16+E15,JoursFeries!$B$3:$CH$15)</f>
        <v>41449</v>
      </c>
      <c r="E16" s="5">
        <v>1</v>
      </c>
      <c r="F16" s="8">
        <f t="shared" si="0"/>
        <v>41449</v>
      </c>
      <c r="G16" s="4" t="s">
        <v>219</v>
      </c>
      <c r="J16" s="112"/>
      <c r="K16" s="194"/>
      <c r="L16" s="194"/>
      <c r="M16" s="195"/>
      <c r="O16" s="115"/>
      <c r="P16" s="115"/>
      <c r="Q16" s="193"/>
      <c r="R16" s="194"/>
      <c r="S16" s="194"/>
      <c r="T16" s="194"/>
      <c r="U16" s="193"/>
      <c r="V16" s="194"/>
      <c r="W16" s="194"/>
      <c r="X16" s="194"/>
      <c r="Y16" s="194"/>
    </row>
    <row r="17" spans="1:25" x14ac:dyDescent="0.25">
      <c r="A17" s="101">
        <v>900</v>
      </c>
      <c r="B17" s="117">
        <f t="shared" si="1"/>
        <v>-10160</v>
      </c>
      <c r="C17" s="116">
        <f t="shared" si="2"/>
        <v>-1016</v>
      </c>
      <c r="D17" s="105">
        <f>WORKDAY($G$1,C17+E16,JoursFeries!$B$3:$CH$15)</f>
        <v>41463</v>
      </c>
      <c r="E17" s="5">
        <v>1</v>
      </c>
      <c r="F17" s="8">
        <f t="shared" si="0"/>
        <v>41463</v>
      </c>
      <c r="G17" s="4" t="s">
        <v>220</v>
      </c>
      <c r="J17" s="112"/>
      <c r="K17" s="194"/>
      <c r="L17" s="194"/>
      <c r="M17" s="195"/>
      <c r="O17" s="115"/>
      <c r="P17" s="115"/>
      <c r="Q17" s="193"/>
      <c r="R17" s="194"/>
      <c r="S17" s="194"/>
      <c r="T17" s="194"/>
      <c r="U17" s="193"/>
      <c r="V17" s="194"/>
      <c r="W17" s="194"/>
      <c r="X17" s="194"/>
      <c r="Y17" s="194"/>
    </row>
    <row r="18" spans="1:25" x14ac:dyDescent="0.25">
      <c r="A18" s="101">
        <f>I2+1000</f>
        <v>1000</v>
      </c>
      <c r="B18" s="117">
        <f t="shared" si="1"/>
        <v>-10060</v>
      </c>
      <c r="C18" s="116">
        <f t="shared" si="2"/>
        <v>-1006</v>
      </c>
      <c r="D18" s="105">
        <f>WORKDAY($G$1,C18+E17,JoursFeries!$B$3:$CH$15)</f>
        <v>41477</v>
      </c>
      <c r="E18" s="5">
        <v>2</v>
      </c>
      <c r="F18" s="8">
        <f t="shared" si="0"/>
        <v>41477</v>
      </c>
      <c r="G18" s="4" t="s">
        <v>221</v>
      </c>
      <c r="J18" s="112"/>
      <c r="K18" s="194"/>
      <c r="L18" s="194"/>
      <c r="M18" s="195"/>
      <c r="O18" s="115"/>
      <c r="P18" s="115"/>
      <c r="Q18" s="193"/>
      <c r="R18" s="194"/>
      <c r="S18" s="194"/>
      <c r="T18" s="194"/>
      <c r="U18" s="193"/>
      <c r="V18" s="194"/>
      <c r="W18" s="194"/>
      <c r="X18" s="194"/>
      <c r="Y18" s="194"/>
    </row>
    <row r="19" spans="1:25" x14ac:dyDescent="0.25">
      <c r="A19" s="101">
        <f t="shared" ref="A19:A29" si="3">A7+1000</f>
        <v>1100</v>
      </c>
      <c r="B19" s="117">
        <f t="shared" si="1"/>
        <v>-9960</v>
      </c>
      <c r="C19" s="116">
        <f t="shared" si="2"/>
        <v>-996</v>
      </c>
      <c r="D19" s="105">
        <f>WORKDAY($G$1,C19+E18,JoursFeries!$B$3:$CH$15)</f>
        <v>41492</v>
      </c>
      <c r="E19" s="5">
        <v>1</v>
      </c>
      <c r="F19" s="8">
        <f t="shared" si="0"/>
        <v>41492</v>
      </c>
      <c r="G19" s="4" t="s">
        <v>222</v>
      </c>
      <c r="J19" s="112"/>
      <c r="K19" s="194"/>
      <c r="L19" s="194"/>
      <c r="M19" s="195"/>
      <c r="O19" s="115"/>
      <c r="P19" s="115"/>
      <c r="Q19" s="193"/>
      <c r="R19" s="194"/>
      <c r="S19" s="194"/>
      <c r="T19" s="194"/>
      <c r="U19" s="193"/>
      <c r="V19" s="194"/>
      <c r="W19" s="194"/>
      <c r="X19" s="194"/>
      <c r="Y19" s="194"/>
    </row>
    <row r="20" spans="1:25" x14ac:dyDescent="0.25">
      <c r="A20" s="101">
        <f t="shared" si="3"/>
        <v>1200</v>
      </c>
      <c r="B20" s="117">
        <f t="shared" si="1"/>
        <v>-9860</v>
      </c>
      <c r="C20" s="116">
        <f t="shared" si="2"/>
        <v>-986</v>
      </c>
      <c r="D20" s="105">
        <f>WORKDAY($G$1,C20+E19,JoursFeries!$B$3:$CH$15)</f>
        <v>41505</v>
      </c>
      <c r="E20" s="5">
        <v>1</v>
      </c>
      <c r="F20" s="8">
        <f t="shared" si="0"/>
        <v>41505</v>
      </c>
      <c r="G20" s="4" t="s">
        <v>223</v>
      </c>
      <c r="J20" s="112"/>
      <c r="K20" s="194"/>
      <c r="L20" s="194"/>
      <c r="M20" s="195"/>
      <c r="O20" s="115"/>
      <c r="P20" s="115"/>
      <c r="Q20" s="193"/>
      <c r="R20" s="194"/>
      <c r="S20" s="194"/>
      <c r="T20" s="194"/>
      <c r="U20" s="193"/>
      <c r="V20" s="194"/>
      <c r="W20" s="194"/>
      <c r="X20" s="194"/>
      <c r="Y20" s="194"/>
    </row>
    <row r="21" spans="1:25" x14ac:dyDescent="0.25">
      <c r="A21" s="101">
        <f t="shared" si="3"/>
        <v>1250</v>
      </c>
      <c r="B21" s="117">
        <f t="shared" si="1"/>
        <v>-9810</v>
      </c>
      <c r="C21" s="116">
        <f t="shared" si="2"/>
        <v>-981</v>
      </c>
      <c r="D21" s="105">
        <f>WORKDAY($G$1,C21+E20,JoursFeries!$B$3:$CH$15)</f>
        <v>41512</v>
      </c>
      <c r="E21" s="5">
        <v>1</v>
      </c>
      <c r="F21" s="8">
        <f t="shared" si="0"/>
        <v>41512</v>
      </c>
      <c r="G21" s="4" t="s">
        <v>194</v>
      </c>
      <c r="J21" s="112"/>
      <c r="K21" s="194"/>
      <c r="L21" s="194"/>
      <c r="M21" s="195"/>
      <c r="O21" s="115"/>
      <c r="P21" s="115"/>
      <c r="Q21" s="193"/>
      <c r="R21" s="194"/>
      <c r="S21" s="194"/>
      <c r="T21" s="194"/>
      <c r="U21" s="193"/>
      <c r="V21" s="194"/>
      <c r="W21" s="194"/>
      <c r="X21" s="194"/>
      <c r="Y21" s="194"/>
    </row>
    <row r="22" spans="1:25" x14ac:dyDescent="0.25">
      <c r="A22" s="101">
        <f t="shared" si="3"/>
        <v>1300</v>
      </c>
      <c r="B22" s="117">
        <f t="shared" si="1"/>
        <v>-9760</v>
      </c>
      <c r="C22" s="116">
        <f t="shared" si="2"/>
        <v>-976</v>
      </c>
      <c r="D22" s="105">
        <f>WORKDAY($G$1,C22+E21,JoursFeries!$B$3:$CH$15)</f>
        <v>41519</v>
      </c>
      <c r="E22" s="5">
        <v>1</v>
      </c>
      <c r="F22" s="8">
        <f t="shared" si="0"/>
        <v>41519</v>
      </c>
      <c r="G22" s="4" t="s">
        <v>224</v>
      </c>
      <c r="J22" s="112"/>
      <c r="K22" s="194"/>
      <c r="L22" s="194"/>
      <c r="M22" s="195"/>
      <c r="O22" s="115"/>
      <c r="P22" s="115"/>
      <c r="Q22" s="193"/>
      <c r="R22" s="194"/>
      <c r="S22" s="194"/>
      <c r="T22" s="194"/>
      <c r="U22" s="193"/>
      <c r="V22" s="194"/>
      <c r="W22" s="194"/>
      <c r="X22" s="194"/>
      <c r="Y22" s="194"/>
    </row>
    <row r="23" spans="1:25" x14ac:dyDescent="0.25">
      <c r="A23" s="101">
        <f t="shared" si="3"/>
        <v>1400</v>
      </c>
      <c r="B23" s="117">
        <f t="shared" si="1"/>
        <v>-9660</v>
      </c>
      <c r="C23" s="116">
        <f t="shared" si="2"/>
        <v>-966</v>
      </c>
      <c r="D23" s="105">
        <f>WORKDAY($G$1,C23+E22,JoursFeries!$B$3:$CH$15)</f>
        <v>41533</v>
      </c>
      <c r="E23" s="5">
        <v>1</v>
      </c>
      <c r="F23" s="8">
        <f t="shared" si="0"/>
        <v>41533</v>
      </c>
      <c r="G23" s="4" t="s">
        <v>225</v>
      </c>
      <c r="J23" s="112"/>
      <c r="K23" s="194"/>
      <c r="L23" s="194"/>
      <c r="M23" s="195"/>
      <c r="O23" s="115"/>
      <c r="P23" s="115"/>
      <c r="Q23" s="193"/>
      <c r="R23" s="194"/>
      <c r="S23" s="194"/>
      <c r="T23" s="194"/>
      <c r="U23" s="193"/>
      <c r="V23" s="194"/>
      <c r="W23" s="194"/>
      <c r="X23" s="194"/>
      <c r="Y23" s="194"/>
    </row>
    <row r="24" spans="1:25" x14ac:dyDescent="0.25">
      <c r="A24" s="101">
        <f t="shared" si="3"/>
        <v>1500</v>
      </c>
      <c r="B24" s="117">
        <f t="shared" si="1"/>
        <v>-9560</v>
      </c>
      <c r="C24" s="116">
        <f t="shared" si="2"/>
        <v>-956</v>
      </c>
      <c r="D24" s="105">
        <f>WORKDAY($G$1,C24+E23,JoursFeries!$B$3:$CH$15)</f>
        <v>41547</v>
      </c>
      <c r="E24" s="5">
        <v>1</v>
      </c>
      <c r="F24" s="8">
        <f t="shared" si="0"/>
        <v>41547</v>
      </c>
      <c r="G24" s="4" t="s">
        <v>226</v>
      </c>
      <c r="J24" s="112"/>
      <c r="K24" s="194"/>
      <c r="L24" s="194"/>
      <c r="M24" s="195"/>
      <c r="O24" s="115"/>
      <c r="P24" s="115"/>
      <c r="Q24" s="193"/>
      <c r="R24" s="194"/>
      <c r="S24" s="194"/>
      <c r="T24" s="194"/>
      <c r="U24" s="193"/>
      <c r="V24" s="194"/>
      <c r="W24" s="194"/>
      <c r="X24" s="194"/>
      <c r="Y24" s="194"/>
    </row>
    <row r="25" spans="1:25" x14ac:dyDescent="0.25">
      <c r="A25" s="101">
        <f t="shared" si="3"/>
        <v>1600</v>
      </c>
      <c r="B25" s="117">
        <f t="shared" si="1"/>
        <v>-9460</v>
      </c>
      <c r="C25" s="116">
        <f t="shared" si="2"/>
        <v>-946</v>
      </c>
      <c r="D25" s="105">
        <f>WORKDAY($G$1,C25+E24,JoursFeries!$B$3:$CH$15)</f>
        <v>41561</v>
      </c>
      <c r="E25" s="5">
        <v>1</v>
      </c>
      <c r="F25" s="8">
        <f t="shared" si="0"/>
        <v>41561</v>
      </c>
      <c r="G25" s="4" t="s">
        <v>227</v>
      </c>
      <c r="J25" s="112"/>
      <c r="K25" s="194"/>
      <c r="L25" s="194"/>
      <c r="M25" s="195"/>
      <c r="O25" s="115"/>
      <c r="P25" s="115"/>
      <c r="Q25" s="193"/>
      <c r="R25" s="194"/>
      <c r="S25" s="194"/>
      <c r="T25" s="194"/>
      <c r="U25" s="193"/>
      <c r="V25" s="194"/>
      <c r="W25" s="194"/>
      <c r="X25" s="194"/>
      <c r="Y25" s="194"/>
    </row>
    <row r="26" spans="1:25" x14ac:dyDescent="0.25">
      <c r="A26" s="101">
        <f t="shared" si="3"/>
        <v>1700</v>
      </c>
      <c r="B26" s="117">
        <f t="shared" si="1"/>
        <v>-9360</v>
      </c>
      <c r="C26" s="116">
        <f t="shared" si="2"/>
        <v>-936</v>
      </c>
      <c r="D26" s="105">
        <f>WORKDAY($G$1,C26+E25,JoursFeries!$B$3:$CH$15)</f>
        <v>41575</v>
      </c>
      <c r="E26" s="5">
        <v>1</v>
      </c>
      <c r="F26" s="8">
        <f t="shared" si="0"/>
        <v>41575</v>
      </c>
      <c r="G26" s="4" t="s">
        <v>228</v>
      </c>
      <c r="J26" s="112"/>
      <c r="K26" s="194"/>
      <c r="L26" s="194"/>
      <c r="M26" s="195"/>
      <c r="O26" s="115"/>
      <c r="P26" s="115"/>
      <c r="Q26" s="193"/>
      <c r="R26" s="194"/>
      <c r="S26" s="194"/>
      <c r="T26" s="194"/>
      <c r="U26" s="193"/>
      <c r="V26" s="194"/>
      <c r="W26" s="194"/>
      <c r="X26" s="194"/>
      <c r="Y26" s="194"/>
    </row>
    <row r="27" spans="1:25" x14ac:dyDescent="0.25">
      <c r="A27" s="101">
        <f t="shared" si="3"/>
        <v>1750</v>
      </c>
      <c r="B27" s="117">
        <f t="shared" si="1"/>
        <v>-9310</v>
      </c>
      <c r="C27" s="116">
        <f t="shared" si="2"/>
        <v>-931</v>
      </c>
      <c r="D27" s="105">
        <f>WORKDAY($G$1,C27+E26,JoursFeries!$B$3:$CH$15)</f>
        <v>41582</v>
      </c>
      <c r="E27" s="5">
        <v>1</v>
      </c>
      <c r="F27" s="8">
        <f t="shared" si="0"/>
        <v>41582</v>
      </c>
      <c r="G27" s="4" t="s">
        <v>195</v>
      </c>
      <c r="J27" s="112"/>
      <c r="K27" s="194"/>
      <c r="L27" s="194"/>
      <c r="M27" s="195"/>
      <c r="O27" s="115"/>
      <c r="P27" s="115"/>
      <c r="Q27" s="193"/>
      <c r="R27" s="194"/>
      <c r="S27" s="194"/>
      <c r="T27" s="194"/>
      <c r="U27" s="193"/>
      <c r="V27" s="194"/>
      <c r="W27" s="194"/>
      <c r="X27" s="194"/>
      <c r="Y27" s="194"/>
    </row>
    <row r="28" spans="1:25" x14ac:dyDescent="0.25">
      <c r="A28" s="101">
        <f t="shared" si="3"/>
        <v>1800</v>
      </c>
      <c r="B28" s="117">
        <f t="shared" si="1"/>
        <v>-9260</v>
      </c>
      <c r="C28" s="116">
        <f t="shared" si="2"/>
        <v>-926</v>
      </c>
      <c r="D28" s="105">
        <f>WORKDAY($G$1,C28+E27,JoursFeries!$B$3:$CH$15)</f>
        <v>41589</v>
      </c>
      <c r="E28" s="5">
        <v>1</v>
      </c>
      <c r="F28" s="8">
        <f t="shared" si="0"/>
        <v>41589</v>
      </c>
      <c r="G28" s="4" t="s">
        <v>229</v>
      </c>
      <c r="J28" s="112"/>
      <c r="K28" s="194"/>
      <c r="L28" s="194"/>
      <c r="M28" s="195"/>
      <c r="O28" s="115"/>
      <c r="P28" s="115"/>
      <c r="Q28" s="193"/>
      <c r="R28" s="194"/>
      <c r="S28" s="194"/>
      <c r="T28" s="194"/>
      <c r="U28" s="193"/>
      <c r="V28" s="194"/>
      <c r="W28" s="194"/>
      <c r="X28" s="194"/>
      <c r="Y28" s="194"/>
    </row>
    <row r="29" spans="1:25" x14ac:dyDescent="0.25">
      <c r="A29" s="101">
        <f t="shared" si="3"/>
        <v>1900</v>
      </c>
      <c r="B29" s="117">
        <f t="shared" si="1"/>
        <v>-9160</v>
      </c>
      <c r="C29" s="116">
        <f t="shared" si="2"/>
        <v>-916</v>
      </c>
      <c r="D29" s="105">
        <f>WORKDAY($G$1,C29+E28,JoursFeries!$B$3:$CH$15)</f>
        <v>41603</v>
      </c>
      <c r="E29" s="5">
        <v>1</v>
      </c>
      <c r="F29" s="8">
        <f t="shared" si="0"/>
        <v>41603</v>
      </c>
      <c r="G29" s="4" t="s">
        <v>230</v>
      </c>
      <c r="J29" s="112"/>
      <c r="K29" s="194"/>
      <c r="L29" s="194"/>
      <c r="M29" s="195"/>
      <c r="O29" s="115"/>
      <c r="P29" s="115"/>
      <c r="Q29" s="193"/>
      <c r="R29" s="194"/>
      <c r="S29" s="194"/>
      <c r="T29" s="194"/>
      <c r="U29" s="193"/>
      <c r="V29" s="194"/>
      <c r="W29" s="194"/>
      <c r="X29" s="194"/>
      <c r="Y29" s="194"/>
    </row>
    <row r="30" spans="1:25" x14ac:dyDescent="0.25">
      <c r="A30" s="101">
        <f t="shared" ref="A30:A93" si="4">A18+1000</f>
        <v>2000</v>
      </c>
      <c r="B30" s="117">
        <f t="shared" si="1"/>
        <v>-9060</v>
      </c>
      <c r="C30" s="116">
        <f t="shared" si="2"/>
        <v>-906</v>
      </c>
      <c r="D30" s="105">
        <f>WORKDAY($G$1,C30+E29,JoursFeries!$B$3:$CH$15)</f>
        <v>41617</v>
      </c>
      <c r="E30" s="5">
        <v>2</v>
      </c>
      <c r="F30" s="8">
        <f t="shared" si="0"/>
        <v>41617</v>
      </c>
      <c r="G30" s="4" t="s">
        <v>231</v>
      </c>
      <c r="J30" s="112"/>
      <c r="K30" s="194"/>
      <c r="L30" s="194"/>
      <c r="M30" s="195"/>
      <c r="O30" s="115"/>
      <c r="P30" s="115"/>
      <c r="Q30" s="193"/>
      <c r="R30" s="194"/>
      <c r="S30" s="194"/>
      <c r="T30" s="194"/>
      <c r="U30" s="193"/>
      <c r="V30" s="194"/>
      <c r="W30" s="194"/>
      <c r="X30" s="194"/>
      <c r="Y30" s="194"/>
    </row>
    <row r="31" spans="1:25" x14ac:dyDescent="0.25">
      <c r="A31" s="101">
        <f t="shared" si="4"/>
        <v>2100</v>
      </c>
      <c r="B31" s="117">
        <f t="shared" si="1"/>
        <v>-8960</v>
      </c>
      <c r="C31" s="116">
        <f t="shared" si="2"/>
        <v>-896</v>
      </c>
      <c r="D31" s="105">
        <f>WORKDAY($G$1,C31+E30,JoursFeries!$B$3:$CH$15)</f>
        <v>41632</v>
      </c>
      <c r="E31" s="5">
        <v>1</v>
      </c>
      <c r="F31" s="8">
        <f t="shared" si="0"/>
        <v>41632</v>
      </c>
      <c r="G31" s="4" t="s">
        <v>232</v>
      </c>
      <c r="J31" s="112"/>
      <c r="K31" s="194"/>
      <c r="L31" s="194"/>
      <c r="M31" s="195"/>
      <c r="O31" s="115"/>
      <c r="P31" s="115"/>
      <c r="Q31" s="193"/>
      <c r="R31" s="194"/>
      <c r="S31" s="194"/>
      <c r="T31" s="194"/>
      <c r="U31" s="193"/>
      <c r="V31" s="194"/>
      <c r="W31" s="194"/>
      <c r="X31" s="194"/>
      <c r="Y31" s="194"/>
    </row>
    <row r="32" spans="1:25" x14ac:dyDescent="0.25">
      <c r="A32" s="101">
        <f t="shared" si="4"/>
        <v>2200</v>
      </c>
      <c r="B32" s="117">
        <f t="shared" si="1"/>
        <v>-8860</v>
      </c>
      <c r="C32" s="116">
        <f t="shared" si="2"/>
        <v>-886</v>
      </c>
      <c r="D32" s="105">
        <f>WORKDAY($G$1,C32+E31,JoursFeries!$B$3:$CH$15)</f>
        <v>41645</v>
      </c>
      <c r="E32" s="5">
        <v>1</v>
      </c>
      <c r="F32" s="8">
        <f t="shared" si="0"/>
        <v>41645</v>
      </c>
      <c r="G32" s="4" t="s">
        <v>233</v>
      </c>
      <c r="J32" s="112"/>
      <c r="K32" s="194"/>
      <c r="L32" s="194"/>
      <c r="M32" s="195"/>
      <c r="O32" s="115"/>
      <c r="P32" s="115"/>
      <c r="Q32" s="193"/>
      <c r="R32" s="194"/>
      <c r="S32" s="194"/>
      <c r="T32" s="194"/>
      <c r="U32" s="193"/>
      <c r="V32" s="194"/>
      <c r="W32" s="194"/>
      <c r="X32" s="194"/>
      <c r="Y32" s="194"/>
    </row>
    <row r="33" spans="1:25" x14ac:dyDescent="0.25">
      <c r="A33" s="101">
        <f t="shared" si="4"/>
        <v>2250</v>
      </c>
      <c r="B33" s="117">
        <f t="shared" si="1"/>
        <v>-8810</v>
      </c>
      <c r="C33" s="116">
        <f t="shared" si="2"/>
        <v>-881</v>
      </c>
      <c r="D33" s="105">
        <f>WORKDAY($G$1,C33+E32,JoursFeries!$B$3:$CH$15)</f>
        <v>41652</v>
      </c>
      <c r="E33" s="5">
        <v>1</v>
      </c>
      <c r="F33" s="8">
        <f t="shared" si="0"/>
        <v>41652</v>
      </c>
      <c r="G33" s="4" t="s">
        <v>196</v>
      </c>
      <c r="J33" s="112"/>
      <c r="K33" s="194"/>
      <c r="L33" s="194"/>
      <c r="M33" s="195"/>
      <c r="O33" s="115"/>
      <c r="P33" s="115"/>
      <c r="Q33" s="193"/>
      <c r="R33" s="194"/>
      <c r="S33" s="194"/>
      <c r="T33" s="194"/>
      <c r="U33" s="193"/>
      <c r="V33" s="194"/>
      <c r="W33" s="194"/>
      <c r="X33" s="194"/>
      <c r="Y33" s="194"/>
    </row>
    <row r="34" spans="1:25" x14ac:dyDescent="0.25">
      <c r="A34" s="101">
        <f t="shared" si="4"/>
        <v>2300</v>
      </c>
      <c r="B34" s="117">
        <f t="shared" si="1"/>
        <v>-8760</v>
      </c>
      <c r="C34" s="116">
        <f t="shared" si="2"/>
        <v>-876</v>
      </c>
      <c r="D34" s="105">
        <f>WORKDAY($G$1,C34+E33,JoursFeries!$B$3:$CH$15)</f>
        <v>41659</v>
      </c>
      <c r="E34" s="5">
        <v>1</v>
      </c>
      <c r="F34" s="8">
        <f t="shared" si="0"/>
        <v>41659</v>
      </c>
      <c r="G34" s="4" t="s">
        <v>234</v>
      </c>
      <c r="J34" s="112"/>
      <c r="K34" s="194"/>
      <c r="L34" s="194"/>
      <c r="M34" s="195"/>
      <c r="O34" s="115"/>
      <c r="P34" s="115"/>
      <c r="Q34" s="193"/>
      <c r="R34" s="194"/>
      <c r="S34" s="194"/>
      <c r="T34" s="194"/>
      <c r="U34" s="193"/>
      <c r="V34" s="194"/>
      <c r="W34" s="194"/>
      <c r="X34" s="194"/>
      <c r="Y34" s="194"/>
    </row>
    <row r="35" spans="1:25" x14ac:dyDescent="0.25">
      <c r="A35" s="101">
        <f t="shared" si="4"/>
        <v>2400</v>
      </c>
      <c r="B35" s="117">
        <f t="shared" si="1"/>
        <v>-8660</v>
      </c>
      <c r="C35" s="116">
        <f t="shared" si="2"/>
        <v>-866</v>
      </c>
      <c r="D35" s="105">
        <f>WORKDAY($G$1,C35+E34,JoursFeries!$B$3:$CH$15)</f>
        <v>41673</v>
      </c>
      <c r="E35" s="5">
        <v>1</v>
      </c>
      <c r="F35" s="8">
        <f t="shared" si="0"/>
        <v>41673</v>
      </c>
      <c r="G35" s="4" t="s">
        <v>235</v>
      </c>
      <c r="J35" s="112"/>
      <c r="K35" s="194"/>
      <c r="L35" s="194"/>
      <c r="M35" s="195"/>
      <c r="O35" s="115"/>
      <c r="P35" s="115"/>
      <c r="Q35" s="193"/>
      <c r="R35" s="194"/>
      <c r="S35" s="194"/>
      <c r="T35" s="194"/>
      <c r="U35" s="193"/>
      <c r="V35" s="194"/>
      <c r="W35" s="194"/>
      <c r="X35" s="194"/>
      <c r="Y35" s="194"/>
    </row>
    <row r="36" spans="1:25" x14ac:dyDescent="0.25">
      <c r="A36" s="101">
        <f t="shared" si="4"/>
        <v>2500</v>
      </c>
      <c r="B36" s="117">
        <f t="shared" si="1"/>
        <v>-8560</v>
      </c>
      <c r="C36" s="116">
        <f t="shared" si="2"/>
        <v>-856</v>
      </c>
      <c r="D36" s="105">
        <f>WORKDAY($G$1,C36+E35,JoursFeries!$B$3:$CH$15)</f>
        <v>41687</v>
      </c>
      <c r="E36" s="5">
        <v>1</v>
      </c>
      <c r="F36" s="8">
        <f t="shared" si="0"/>
        <v>41687</v>
      </c>
      <c r="G36" s="4" t="s">
        <v>236</v>
      </c>
      <c r="J36" s="112"/>
      <c r="K36" s="194"/>
      <c r="L36" s="194"/>
      <c r="M36" s="195"/>
      <c r="O36" s="115"/>
      <c r="P36" s="115"/>
      <c r="Q36" s="193"/>
      <c r="R36" s="194"/>
      <c r="S36" s="194"/>
      <c r="T36" s="194"/>
      <c r="U36" s="193"/>
      <c r="V36" s="194"/>
      <c r="W36" s="194"/>
      <c r="X36" s="194"/>
      <c r="Y36" s="194"/>
    </row>
    <row r="37" spans="1:25" x14ac:dyDescent="0.25">
      <c r="A37" s="101">
        <f t="shared" si="4"/>
        <v>2600</v>
      </c>
      <c r="B37" s="117">
        <f t="shared" si="1"/>
        <v>-8460</v>
      </c>
      <c r="C37" s="116">
        <f t="shared" si="2"/>
        <v>-846</v>
      </c>
      <c r="D37" s="105">
        <f>WORKDAY($G$1,C37+E36,JoursFeries!$B$3:$CH$15)</f>
        <v>41701</v>
      </c>
      <c r="E37" s="5">
        <v>1</v>
      </c>
      <c r="F37" s="8">
        <f t="shared" si="0"/>
        <v>41701</v>
      </c>
      <c r="G37" s="4" t="s">
        <v>237</v>
      </c>
      <c r="J37" s="112"/>
      <c r="K37" s="194"/>
      <c r="L37" s="194"/>
      <c r="M37" s="195"/>
      <c r="O37" s="115"/>
      <c r="P37" s="115"/>
      <c r="Q37" s="193"/>
      <c r="R37" s="194"/>
      <c r="S37" s="194"/>
      <c r="T37" s="194"/>
      <c r="U37" s="193"/>
      <c r="V37" s="194"/>
      <c r="W37" s="194"/>
      <c r="X37" s="194"/>
      <c r="Y37" s="194"/>
    </row>
    <row r="38" spans="1:25" x14ac:dyDescent="0.25">
      <c r="A38" s="101">
        <f t="shared" si="4"/>
        <v>2700</v>
      </c>
      <c r="B38" s="117">
        <f t="shared" si="1"/>
        <v>-8360</v>
      </c>
      <c r="C38" s="116">
        <f t="shared" si="2"/>
        <v>-836</v>
      </c>
      <c r="D38" s="105">
        <f>WORKDAY($G$1,C38+E37,JoursFeries!$B$3:$CH$15)</f>
        <v>41715</v>
      </c>
      <c r="E38" s="5">
        <v>1</v>
      </c>
      <c r="F38" s="8">
        <f t="shared" si="0"/>
        <v>41715</v>
      </c>
      <c r="G38" s="4" t="s">
        <v>238</v>
      </c>
      <c r="J38" s="112"/>
      <c r="K38" s="194"/>
      <c r="L38" s="194"/>
      <c r="M38" s="195"/>
      <c r="O38" s="115"/>
      <c r="P38" s="115"/>
      <c r="Q38" s="193"/>
      <c r="R38" s="194"/>
      <c r="S38" s="194"/>
      <c r="T38" s="194"/>
      <c r="U38" s="193"/>
      <c r="V38" s="194"/>
      <c r="W38" s="194"/>
      <c r="X38" s="194"/>
      <c r="Y38" s="194"/>
    </row>
    <row r="39" spans="1:25" x14ac:dyDescent="0.25">
      <c r="A39" s="101">
        <f t="shared" si="4"/>
        <v>2750</v>
      </c>
      <c r="B39" s="117">
        <f t="shared" si="1"/>
        <v>-8310</v>
      </c>
      <c r="C39" s="116">
        <f t="shared" si="2"/>
        <v>-831</v>
      </c>
      <c r="D39" s="105">
        <f>WORKDAY($G$1,C39+E38,JoursFeries!$B$3:$CH$15)</f>
        <v>41722</v>
      </c>
      <c r="E39" s="5">
        <v>1</v>
      </c>
      <c r="F39" s="8">
        <f t="shared" ref="F39:F70" si="5">D39</f>
        <v>41722</v>
      </c>
      <c r="G39" s="4" t="s">
        <v>197</v>
      </c>
      <c r="J39" s="112"/>
      <c r="K39" s="194"/>
      <c r="L39" s="194"/>
      <c r="M39" s="195"/>
      <c r="O39" s="115"/>
      <c r="P39" s="115"/>
      <c r="Q39" s="193"/>
      <c r="R39" s="194"/>
      <c r="S39" s="194"/>
      <c r="T39" s="194"/>
      <c r="U39" s="193"/>
      <c r="V39" s="194"/>
      <c r="W39" s="194"/>
      <c r="X39" s="194"/>
      <c r="Y39" s="194"/>
    </row>
    <row r="40" spans="1:25" x14ac:dyDescent="0.25">
      <c r="A40" s="101">
        <f t="shared" si="4"/>
        <v>2800</v>
      </c>
      <c r="B40" s="117">
        <f t="shared" si="1"/>
        <v>-8260</v>
      </c>
      <c r="C40" s="116">
        <f t="shared" si="2"/>
        <v>-826</v>
      </c>
      <c r="D40" s="105">
        <f>WORKDAY($G$1,C40+E39,JoursFeries!$B$3:$CH$15)</f>
        <v>41729</v>
      </c>
      <c r="E40" s="5">
        <v>1</v>
      </c>
      <c r="F40" s="8">
        <f t="shared" si="5"/>
        <v>41729</v>
      </c>
      <c r="G40" s="4" t="s">
        <v>239</v>
      </c>
      <c r="J40" s="112"/>
      <c r="K40" s="194"/>
      <c r="L40" s="194"/>
      <c r="M40" s="195"/>
      <c r="O40" s="115"/>
      <c r="P40" s="115"/>
      <c r="Q40" s="193"/>
      <c r="R40" s="194"/>
      <c r="S40" s="194"/>
      <c r="T40" s="194"/>
      <c r="U40" s="193"/>
      <c r="V40" s="194"/>
      <c r="W40" s="194"/>
      <c r="X40" s="194"/>
      <c r="Y40" s="194"/>
    </row>
    <row r="41" spans="1:25" x14ac:dyDescent="0.25">
      <c r="A41" s="101">
        <f t="shared" si="4"/>
        <v>2900</v>
      </c>
      <c r="B41" s="117">
        <f t="shared" si="1"/>
        <v>-8160</v>
      </c>
      <c r="C41" s="116">
        <f t="shared" si="2"/>
        <v>-816</v>
      </c>
      <c r="D41" s="105">
        <f>WORKDAY($G$1,C41+E40,JoursFeries!$B$3:$CH$15)</f>
        <v>41743</v>
      </c>
      <c r="E41" s="5">
        <v>1</v>
      </c>
      <c r="F41" s="8">
        <f t="shared" si="5"/>
        <v>41743</v>
      </c>
      <c r="G41" s="4" t="s">
        <v>240</v>
      </c>
      <c r="J41" s="112"/>
      <c r="K41" s="194"/>
      <c r="L41" s="194"/>
      <c r="M41" s="195"/>
      <c r="O41" s="115"/>
      <c r="P41" s="115"/>
      <c r="Q41" s="193"/>
      <c r="R41" s="194"/>
      <c r="S41" s="194"/>
      <c r="T41" s="194"/>
      <c r="U41" s="193"/>
      <c r="V41" s="194"/>
      <c r="W41" s="194"/>
      <c r="X41" s="194"/>
      <c r="Y41" s="194"/>
    </row>
    <row r="42" spans="1:25" x14ac:dyDescent="0.25">
      <c r="A42" s="101">
        <f t="shared" si="4"/>
        <v>3000</v>
      </c>
      <c r="B42" s="117">
        <f t="shared" si="1"/>
        <v>-8060</v>
      </c>
      <c r="C42" s="116">
        <f t="shared" si="2"/>
        <v>-806</v>
      </c>
      <c r="D42" s="105">
        <f>WORKDAY($G$1,C42+E41,JoursFeries!$B$3:$CH$15)</f>
        <v>41757</v>
      </c>
      <c r="E42" s="5">
        <v>2</v>
      </c>
      <c r="F42" s="8">
        <f t="shared" si="5"/>
        <v>41757</v>
      </c>
      <c r="G42" s="4" t="s">
        <v>241</v>
      </c>
      <c r="J42" s="112"/>
      <c r="K42" s="194"/>
      <c r="L42" s="194"/>
      <c r="M42" s="195"/>
      <c r="O42" s="115"/>
      <c r="P42" s="115"/>
      <c r="Q42" s="193"/>
      <c r="R42" s="194"/>
      <c r="S42" s="194"/>
      <c r="T42" s="194"/>
      <c r="U42" s="193"/>
      <c r="V42" s="194"/>
      <c r="W42" s="194"/>
      <c r="X42" s="194"/>
      <c r="Y42" s="194"/>
    </row>
    <row r="43" spans="1:25" x14ac:dyDescent="0.25">
      <c r="A43" s="101">
        <f t="shared" si="4"/>
        <v>3100</v>
      </c>
      <c r="B43" s="117">
        <f t="shared" si="1"/>
        <v>-7960</v>
      </c>
      <c r="C43" s="116">
        <f t="shared" si="2"/>
        <v>-796</v>
      </c>
      <c r="D43" s="105">
        <f>WORKDAY($G$1,C43+E42,JoursFeries!$B$3:$CH$15)</f>
        <v>41772</v>
      </c>
      <c r="E43" s="5">
        <v>1</v>
      </c>
      <c r="F43" s="8">
        <f t="shared" si="5"/>
        <v>41772</v>
      </c>
      <c r="G43" s="4" t="s">
        <v>242</v>
      </c>
      <c r="J43" s="112"/>
      <c r="K43" s="194"/>
      <c r="L43" s="194"/>
      <c r="M43" s="195"/>
      <c r="O43" s="115"/>
      <c r="P43" s="115"/>
      <c r="Q43" s="193"/>
      <c r="R43" s="194"/>
      <c r="S43" s="194"/>
      <c r="T43" s="194"/>
      <c r="U43" s="193"/>
      <c r="V43" s="194"/>
      <c r="W43" s="194"/>
      <c r="X43" s="194"/>
      <c r="Y43" s="194"/>
    </row>
    <row r="44" spans="1:25" x14ac:dyDescent="0.25">
      <c r="A44" s="101">
        <f t="shared" si="4"/>
        <v>3200</v>
      </c>
      <c r="B44" s="117">
        <f t="shared" si="1"/>
        <v>-7860</v>
      </c>
      <c r="C44" s="116">
        <f t="shared" si="2"/>
        <v>-786</v>
      </c>
      <c r="D44" s="105">
        <f>WORKDAY($G$1,C44+E43,JoursFeries!$B$3:$CH$15)</f>
        <v>41785</v>
      </c>
      <c r="E44" s="5">
        <v>1</v>
      </c>
      <c r="F44" s="8">
        <f t="shared" si="5"/>
        <v>41785</v>
      </c>
      <c r="G44" s="4" t="s">
        <v>243</v>
      </c>
      <c r="J44" s="112"/>
      <c r="K44" s="194"/>
      <c r="L44" s="194"/>
      <c r="M44" s="195"/>
      <c r="O44" s="115"/>
      <c r="P44" s="115"/>
      <c r="Q44" s="193"/>
      <c r="R44" s="194"/>
      <c r="S44" s="194"/>
      <c r="T44" s="194"/>
      <c r="U44" s="193"/>
      <c r="V44" s="194"/>
      <c r="W44" s="194"/>
      <c r="X44" s="194"/>
      <c r="Y44" s="194"/>
    </row>
    <row r="45" spans="1:25" x14ac:dyDescent="0.25">
      <c r="A45" s="101">
        <f t="shared" si="4"/>
        <v>3250</v>
      </c>
      <c r="B45" s="117">
        <f t="shared" si="1"/>
        <v>-7810</v>
      </c>
      <c r="C45" s="116">
        <f t="shared" si="2"/>
        <v>-781</v>
      </c>
      <c r="D45" s="105">
        <f>WORKDAY($G$1,C45+E44,JoursFeries!$B$3:$CH$15)</f>
        <v>41792</v>
      </c>
      <c r="E45" s="5">
        <v>1</v>
      </c>
      <c r="F45" s="8">
        <f t="shared" si="5"/>
        <v>41792</v>
      </c>
      <c r="G45" s="4" t="s">
        <v>198</v>
      </c>
      <c r="J45" s="112"/>
      <c r="K45" s="194"/>
      <c r="L45" s="194"/>
      <c r="M45" s="195"/>
      <c r="O45" s="115"/>
      <c r="P45" s="115"/>
      <c r="Q45" s="193"/>
      <c r="R45" s="194"/>
      <c r="S45" s="194"/>
      <c r="T45" s="194"/>
      <c r="U45" s="193"/>
      <c r="V45" s="194"/>
      <c r="W45" s="194"/>
      <c r="X45" s="194"/>
      <c r="Y45" s="194"/>
    </row>
    <row r="46" spans="1:25" x14ac:dyDescent="0.25">
      <c r="A46" s="101">
        <f t="shared" si="4"/>
        <v>3300</v>
      </c>
      <c r="B46" s="117">
        <f t="shared" si="1"/>
        <v>-7760</v>
      </c>
      <c r="C46" s="116">
        <f t="shared" si="2"/>
        <v>-776</v>
      </c>
      <c r="D46" s="105">
        <f>WORKDAY($G$1,C46+E45,JoursFeries!$B$3:$CH$15)</f>
        <v>41799</v>
      </c>
      <c r="E46" s="5">
        <v>1</v>
      </c>
      <c r="F46" s="8">
        <f t="shared" si="5"/>
        <v>41799</v>
      </c>
      <c r="G46" s="4" t="s">
        <v>244</v>
      </c>
      <c r="J46" s="112"/>
      <c r="K46" s="194"/>
      <c r="L46" s="194"/>
      <c r="M46" s="195"/>
      <c r="O46" s="115"/>
      <c r="P46" s="115"/>
      <c r="Q46" s="193"/>
      <c r="R46" s="194"/>
      <c r="S46" s="194"/>
      <c r="T46" s="194"/>
      <c r="U46" s="193"/>
      <c r="V46" s="194"/>
      <c r="W46" s="194"/>
      <c r="X46" s="194"/>
      <c r="Y46" s="194"/>
    </row>
    <row r="47" spans="1:25" x14ac:dyDescent="0.25">
      <c r="A47" s="101">
        <f t="shared" si="4"/>
        <v>3400</v>
      </c>
      <c r="B47" s="117">
        <f t="shared" si="1"/>
        <v>-7660</v>
      </c>
      <c r="C47" s="116">
        <f t="shared" si="2"/>
        <v>-766</v>
      </c>
      <c r="D47" s="105">
        <f>WORKDAY($G$1,C47+E46,JoursFeries!$B$3:$CH$15)</f>
        <v>41813</v>
      </c>
      <c r="E47" s="5">
        <v>1</v>
      </c>
      <c r="F47" s="8">
        <f t="shared" si="5"/>
        <v>41813</v>
      </c>
      <c r="G47" s="4" t="s">
        <v>245</v>
      </c>
      <c r="J47" s="112"/>
      <c r="K47" s="194"/>
      <c r="L47" s="194"/>
      <c r="M47" s="195"/>
      <c r="O47" s="115"/>
      <c r="P47" s="115"/>
      <c r="Q47" s="193"/>
      <c r="R47" s="194"/>
      <c r="S47" s="194"/>
      <c r="T47" s="194"/>
      <c r="U47" s="193"/>
      <c r="V47" s="194"/>
      <c r="W47" s="194"/>
      <c r="X47" s="194"/>
      <c r="Y47" s="194"/>
    </row>
    <row r="48" spans="1:25" x14ac:dyDescent="0.25">
      <c r="A48" s="101">
        <f t="shared" si="4"/>
        <v>3500</v>
      </c>
      <c r="B48" s="117">
        <f t="shared" si="1"/>
        <v>-7560</v>
      </c>
      <c r="C48" s="116">
        <f t="shared" si="2"/>
        <v>-756</v>
      </c>
      <c r="D48" s="105">
        <f>WORKDAY($G$1,C48+E47,JoursFeries!$B$3:$CH$15)</f>
        <v>41827</v>
      </c>
      <c r="E48" s="5">
        <v>1</v>
      </c>
      <c r="F48" s="8">
        <f t="shared" si="5"/>
        <v>41827</v>
      </c>
      <c r="G48" s="4" t="s">
        <v>246</v>
      </c>
      <c r="J48" s="112"/>
      <c r="K48" s="194"/>
      <c r="L48" s="194"/>
      <c r="M48" s="195"/>
      <c r="O48" s="115"/>
      <c r="P48" s="115"/>
      <c r="Q48" s="193"/>
      <c r="R48" s="194"/>
      <c r="S48" s="194"/>
      <c r="T48" s="194"/>
      <c r="U48" s="193"/>
      <c r="V48" s="194"/>
      <c r="W48" s="194"/>
      <c r="X48" s="194"/>
      <c r="Y48" s="194"/>
    </row>
    <row r="49" spans="1:25" x14ac:dyDescent="0.25">
      <c r="A49" s="101">
        <f t="shared" si="4"/>
        <v>3600</v>
      </c>
      <c r="B49" s="117">
        <f t="shared" si="1"/>
        <v>-7460</v>
      </c>
      <c r="C49" s="116">
        <f t="shared" si="2"/>
        <v>-746</v>
      </c>
      <c r="D49" s="105">
        <f>WORKDAY($G$1,C49+E48,JoursFeries!$B$3:$CH$15)</f>
        <v>41841</v>
      </c>
      <c r="E49" s="5">
        <v>1</v>
      </c>
      <c r="F49" s="8">
        <f t="shared" si="5"/>
        <v>41841</v>
      </c>
      <c r="G49" s="4" t="s">
        <v>247</v>
      </c>
      <c r="J49" s="112"/>
      <c r="K49" s="194"/>
      <c r="L49" s="194"/>
      <c r="M49" s="195"/>
      <c r="O49" s="115"/>
      <c r="P49" s="115"/>
      <c r="Q49" s="193"/>
      <c r="R49" s="194"/>
      <c r="S49" s="194"/>
      <c r="T49" s="194"/>
      <c r="U49" s="193"/>
      <c r="V49" s="194"/>
      <c r="W49" s="194"/>
      <c r="X49" s="194"/>
      <c r="Y49" s="194"/>
    </row>
    <row r="50" spans="1:25" x14ac:dyDescent="0.25">
      <c r="A50" s="101">
        <f t="shared" si="4"/>
        <v>3700</v>
      </c>
      <c r="B50" s="117">
        <f t="shared" si="1"/>
        <v>-7360</v>
      </c>
      <c r="C50" s="116">
        <f t="shared" si="2"/>
        <v>-736</v>
      </c>
      <c r="D50" s="105">
        <f>WORKDAY($G$1,C50+E49,JoursFeries!$B$3:$CH$15)</f>
        <v>41855</v>
      </c>
      <c r="E50" s="5">
        <v>1</v>
      </c>
      <c r="F50" s="8">
        <f t="shared" si="5"/>
        <v>41855</v>
      </c>
      <c r="G50" s="4" t="s">
        <v>248</v>
      </c>
      <c r="J50" s="112"/>
      <c r="K50" s="194"/>
      <c r="L50" s="194"/>
      <c r="M50" s="195"/>
      <c r="O50" s="115"/>
      <c r="P50" s="115"/>
      <c r="Q50" s="193"/>
      <c r="R50" s="194"/>
      <c r="S50" s="194"/>
      <c r="T50" s="194"/>
      <c r="U50" s="193"/>
      <c r="V50" s="194"/>
      <c r="W50" s="194"/>
      <c r="X50" s="194"/>
      <c r="Y50" s="194"/>
    </row>
    <row r="51" spans="1:25" x14ac:dyDescent="0.25">
      <c r="A51" s="101">
        <f t="shared" si="4"/>
        <v>3750</v>
      </c>
      <c r="B51" s="117">
        <f t="shared" si="1"/>
        <v>-7310</v>
      </c>
      <c r="C51" s="116">
        <f t="shared" si="2"/>
        <v>-731</v>
      </c>
      <c r="D51" s="105">
        <f>WORKDAY($G$1,C51+E50,JoursFeries!$B$3:$CH$15)</f>
        <v>41862</v>
      </c>
      <c r="E51" s="5">
        <v>1</v>
      </c>
      <c r="F51" s="8">
        <f t="shared" si="5"/>
        <v>41862</v>
      </c>
      <c r="G51" s="4" t="s">
        <v>199</v>
      </c>
      <c r="J51" s="112"/>
      <c r="K51" s="194"/>
      <c r="L51" s="194"/>
      <c r="M51" s="195"/>
      <c r="O51" s="115"/>
      <c r="P51" s="115"/>
      <c r="Q51" s="193"/>
      <c r="R51" s="194"/>
      <c r="S51" s="194"/>
      <c r="T51" s="194"/>
      <c r="U51" s="193"/>
      <c r="V51" s="194"/>
      <c r="W51" s="194"/>
      <c r="X51" s="194"/>
      <c r="Y51" s="194"/>
    </row>
    <row r="52" spans="1:25" x14ac:dyDescent="0.25">
      <c r="A52" s="101">
        <f t="shared" si="4"/>
        <v>3800</v>
      </c>
      <c r="B52" s="117">
        <f t="shared" si="1"/>
        <v>-7260</v>
      </c>
      <c r="C52" s="116">
        <f t="shared" si="2"/>
        <v>-726</v>
      </c>
      <c r="D52" s="105">
        <f>WORKDAY($G$1,C52+E51,JoursFeries!$B$3:$CH$15)</f>
        <v>41869</v>
      </c>
      <c r="E52" s="5">
        <v>1</v>
      </c>
      <c r="F52" s="8">
        <f t="shared" si="5"/>
        <v>41869</v>
      </c>
      <c r="G52" s="4" t="s">
        <v>249</v>
      </c>
      <c r="J52" s="112"/>
      <c r="K52" s="194"/>
      <c r="L52" s="194"/>
      <c r="M52" s="195"/>
      <c r="O52" s="115"/>
      <c r="P52" s="115"/>
      <c r="Q52" s="193"/>
      <c r="R52" s="194"/>
      <c r="S52" s="194"/>
      <c r="T52" s="194"/>
      <c r="U52" s="193"/>
      <c r="V52" s="194"/>
      <c r="W52" s="194"/>
      <c r="X52" s="194"/>
      <c r="Y52" s="194"/>
    </row>
    <row r="53" spans="1:25" x14ac:dyDescent="0.25">
      <c r="A53" s="101">
        <f t="shared" si="4"/>
        <v>3900</v>
      </c>
      <c r="B53" s="117">
        <f t="shared" si="1"/>
        <v>-7160</v>
      </c>
      <c r="C53" s="116">
        <f t="shared" si="2"/>
        <v>-716</v>
      </c>
      <c r="D53" s="105">
        <f>WORKDAY($G$1,C53+E52,JoursFeries!$B$3:$CH$15)</f>
        <v>41883</v>
      </c>
      <c r="E53" s="5">
        <v>1</v>
      </c>
      <c r="F53" s="8">
        <f t="shared" si="5"/>
        <v>41883</v>
      </c>
      <c r="G53" s="4" t="s">
        <v>250</v>
      </c>
      <c r="J53" s="112"/>
      <c r="K53" s="194"/>
      <c r="L53" s="194"/>
      <c r="M53" s="195"/>
      <c r="O53" s="115"/>
      <c r="P53" s="115"/>
      <c r="Q53" s="193"/>
      <c r="R53" s="194"/>
      <c r="S53" s="194"/>
      <c r="T53" s="194"/>
      <c r="U53" s="193"/>
      <c r="V53" s="194"/>
      <c r="W53" s="194"/>
      <c r="X53" s="194"/>
      <c r="Y53" s="194"/>
    </row>
    <row r="54" spans="1:25" x14ac:dyDescent="0.25">
      <c r="A54" s="101">
        <f t="shared" si="4"/>
        <v>4000</v>
      </c>
      <c r="B54" s="117">
        <f t="shared" si="1"/>
        <v>-7060</v>
      </c>
      <c r="C54" s="116">
        <f t="shared" si="2"/>
        <v>-706</v>
      </c>
      <c r="D54" s="105">
        <f>WORKDAY($G$1,C54+E53,JoursFeries!$B$3:$CH$15)</f>
        <v>41897</v>
      </c>
      <c r="E54" s="5">
        <v>2</v>
      </c>
      <c r="F54" s="8">
        <f t="shared" si="5"/>
        <v>41897</v>
      </c>
      <c r="G54" s="4" t="s">
        <v>251</v>
      </c>
      <c r="J54" s="112"/>
      <c r="K54" s="194"/>
      <c r="L54" s="194"/>
      <c r="M54" s="195"/>
      <c r="O54" s="115"/>
      <c r="P54" s="115"/>
      <c r="Q54" s="193"/>
      <c r="R54" s="194"/>
      <c r="S54" s="194"/>
      <c r="T54" s="194"/>
      <c r="U54" s="193"/>
      <c r="V54" s="194"/>
      <c r="W54" s="194"/>
      <c r="X54" s="194"/>
      <c r="Y54" s="194"/>
    </row>
    <row r="55" spans="1:25" x14ac:dyDescent="0.25">
      <c r="A55" s="101">
        <f t="shared" si="4"/>
        <v>4100</v>
      </c>
      <c r="B55" s="117">
        <f t="shared" si="1"/>
        <v>-6960</v>
      </c>
      <c r="C55" s="116">
        <f t="shared" si="2"/>
        <v>-696</v>
      </c>
      <c r="D55" s="105">
        <f>WORKDAY($G$1,C55+E54,JoursFeries!$B$3:$CH$15)</f>
        <v>41912</v>
      </c>
      <c r="E55" s="5">
        <v>1</v>
      </c>
      <c r="F55" s="8">
        <f t="shared" si="5"/>
        <v>41912</v>
      </c>
      <c r="G55" s="4" t="s">
        <v>252</v>
      </c>
      <c r="J55" s="112"/>
      <c r="K55" s="194"/>
      <c r="L55" s="194"/>
      <c r="M55" s="195"/>
      <c r="O55" s="115"/>
      <c r="P55" s="115"/>
      <c r="Q55" s="193"/>
      <c r="R55" s="194"/>
      <c r="S55" s="194"/>
      <c r="T55" s="194"/>
      <c r="U55" s="193"/>
      <c r="V55" s="194"/>
      <c r="W55" s="194"/>
      <c r="X55" s="194"/>
      <c r="Y55" s="194"/>
    </row>
    <row r="56" spans="1:25" x14ac:dyDescent="0.25">
      <c r="A56" s="101">
        <f t="shared" si="4"/>
        <v>4200</v>
      </c>
      <c r="B56" s="117">
        <f t="shared" si="1"/>
        <v>-6860</v>
      </c>
      <c r="C56" s="116">
        <f t="shared" si="2"/>
        <v>-686</v>
      </c>
      <c r="D56" s="105">
        <f>WORKDAY($G$1,C56+E55,JoursFeries!$B$3:$CH$15)</f>
        <v>41925</v>
      </c>
      <c r="E56" s="5">
        <v>1</v>
      </c>
      <c r="F56" s="8">
        <f t="shared" si="5"/>
        <v>41925</v>
      </c>
      <c r="G56" s="4" t="s">
        <v>253</v>
      </c>
      <c r="J56" s="112"/>
      <c r="K56" s="194"/>
      <c r="L56" s="194"/>
      <c r="M56" s="195"/>
      <c r="O56" s="115"/>
      <c r="P56" s="115"/>
      <c r="Q56" s="193"/>
      <c r="R56" s="194"/>
      <c r="S56" s="194"/>
      <c r="T56" s="194"/>
      <c r="U56" s="193"/>
      <c r="V56" s="194"/>
      <c r="W56" s="194"/>
      <c r="X56" s="194"/>
      <c r="Y56" s="194"/>
    </row>
    <row r="57" spans="1:25" x14ac:dyDescent="0.25">
      <c r="A57" s="101">
        <f t="shared" si="4"/>
        <v>4250</v>
      </c>
      <c r="B57" s="117">
        <f t="shared" si="1"/>
        <v>-6810</v>
      </c>
      <c r="C57" s="116">
        <f t="shared" si="2"/>
        <v>-681</v>
      </c>
      <c r="D57" s="105">
        <f>WORKDAY($G$1,C57+E56,JoursFeries!$B$3:$CH$15)</f>
        <v>41932</v>
      </c>
      <c r="E57" s="5">
        <v>1</v>
      </c>
      <c r="F57" s="8">
        <f t="shared" si="5"/>
        <v>41932</v>
      </c>
      <c r="G57" s="4" t="s">
        <v>200</v>
      </c>
      <c r="J57" s="112"/>
      <c r="K57" s="194"/>
      <c r="L57" s="194"/>
      <c r="M57" s="195"/>
      <c r="O57" s="115"/>
      <c r="P57" s="115"/>
      <c r="Q57" s="193"/>
      <c r="R57" s="194"/>
      <c r="S57" s="194"/>
      <c r="T57" s="194"/>
      <c r="U57" s="193"/>
      <c r="V57" s="194"/>
      <c r="W57" s="194"/>
      <c r="X57" s="194"/>
      <c r="Y57" s="194"/>
    </row>
    <row r="58" spans="1:25" x14ac:dyDescent="0.25">
      <c r="A58" s="101">
        <f t="shared" si="4"/>
        <v>4300</v>
      </c>
      <c r="B58" s="117">
        <f t="shared" si="1"/>
        <v>-6760</v>
      </c>
      <c r="C58" s="116">
        <f t="shared" si="2"/>
        <v>-676</v>
      </c>
      <c r="D58" s="105">
        <f>WORKDAY($G$1,C58+E57,JoursFeries!$B$3:$CH$15)</f>
        <v>41939</v>
      </c>
      <c r="E58" s="5">
        <v>1</v>
      </c>
      <c r="F58" s="8">
        <f t="shared" si="5"/>
        <v>41939</v>
      </c>
      <c r="G58" s="4" t="s">
        <v>254</v>
      </c>
      <c r="J58" s="112"/>
      <c r="K58" s="194"/>
      <c r="L58" s="194"/>
      <c r="M58" s="195"/>
      <c r="O58" s="115"/>
      <c r="P58" s="115"/>
      <c r="Q58" s="193"/>
      <c r="R58" s="194"/>
      <c r="S58" s="194"/>
      <c r="T58" s="194"/>
      <c r="U58" s="193"/>
      <c r="V58" s="194"/>
      <c r="W58" s="194"/>
      <c r="X58" s="194"/>
      <c r="Y58" s="194"/>
    </row>
    <row r="59" spans="1:25" x14ac:dyDescent="0.25">
      <c r="A59" s="101">
        <f t="shared" si="4"/>
        <v>4400</v>
      </c>
      <c r="B59" s="117">
        <f t="shared" si="1"/>
        <v>-6660</v>
      </c>
      <c r="C59" s="116">
        <f t="shared" si="2"/>
        <v>-666</v>
      </c>
      <c r="D59" s="105">
        <f>WORKDAY($G$1,C59+E58,JoursFeries!$B$3:$CH$15)</f>
        <v>41953</v>
      </c>
      <c r="E59" s="5">
        <v>1</v>
      </c>
      <c r="F59" s="8">
        <f t="shared" si="5"/>
        <v>41953</v>
      </c>
      <c r="G59" s="4" t="s">
        <v>255</v>
      </c>
      <c r="J59" s="112"/>
      <c r="K59" s="194"/>
      <c r="L59" s="194"/>
      <c r="M59" s="195"/>
      <c r="O59" s="115"/>
      <c r="P59" s="115"/>
      <c r="Q59" s="193"/>
      <c r="R59" s="194"/>
      <c r="S59" s="194"/>
      <c r="T59" s="194"/>
      <c r="U59" s="193"/>
      <c r="V59" s="194"/>
      <c r="W59" s="194"/>
      <c r="X59" s="194"/>
      <c r="Y59" s="194"/>
    </row>
    <row r="60" spans="1:25" x14ac:dyDescent="0.25">
      <c r="A60" s="101">
        <f t="shared" si="4"/>
        <v>4500</v>
      </c>
      <c r="B60" s="117">
        <f t="shared" si="1"/>
        <v>-6560</v>
      </c>
      <c r="C60" s="116">
        <f t="shared" si="2"/>
        <v>-656</v>
      </c>
      <c r="D60" s="105">
        <f>WORKDAY($G$1,C60+E59,JoursFeries!$B$3:$CH$15)</f>
        <v>41967</v>
      </c>
      <c r="E60" s="5">
        <v>1</v>
      </c>
      <c r="F60" s="8">
        <f t="shared" si="5"/>
        <v>41967</v>
      </c>
      <c r="G60" s="4" t="s">
        <v>256</v>
      </c>
      <c r="J60" s="112"/>
      <c r="K60" s="194"/>
      <c r="L60" s="194"/>
      <c r="M60" s="195"/>
      <c r="O60" s="115"/>
      <c r="P60" s="115"/>
      <c r="Q60" s="193"/>
      <c r="R60" s="194"/>
      <c r="S60" s="194"/>
      <c r="T60" s="194"/>
      <c r="U60" s="193"/>
      <c r="V60" s="194"/>
      <c r="W60" s="194"/>
      <c r="X60" s="194"/>
      <c r="Y60" s="194"/>
    </row>
    <row r="61" spans="1:25" x14ac:dyDescent="0.25">
      <c r="A61" s="101">
        <f t="shared" si="4"/>
        <v>4600</v>
      </c>
      <c r="B61" s="117">
        <f t="shared" si="1"/>
        <v>-6460</v>
      </c>
      <c r="C61" s="116">
        <f t="shared" si="2"/>
        <v>-646</v>
      </c>
      <c r="D61" s="105">
        <f>WORKDAY($G$1,C61+E60,JoursFeries!$B$3:$CH$15)</f>
        <v>41981</v>
      </c>
      <c r="E61" s="5">
        <v>1</v>
      </c>
      <c r="F61" s="8">
        <f t="shared" si="5"/>
        <v>41981</v>
      </c>
      <c r="G61" s="4" t="s">
        <v>257</v>
      </c>
      <c r="J61" s="112"/>
      <c r="K61" s="194"/>
      <c r="L61" s="194"/>
      <c r="M61" s="195"/>
      <c r="O61" s="115"/>
      <c r="P61" s="115"/>
      <c r="Q61" s="193"/>
      <c r="R61" s="194"/>
      <c r="S61" s="194"/>
      <c r="T61" s="194"/>
      <c r="U61" s="193"/>
      <c r="V61" s="194"/>
      <c r="W61" s="194"/>
      <c r="X61" s="194"/>
      <c r="Y61" s="194"/>
    </row>
    <row r="62" spans="1:25" x14ac:dyDescent="0.25">
      <c r="A62" s="101">
        <f t="shared" si="4"/>
        <v>4700</v>
      </c>
      <c r="B62" s="117">
        <f t="shared" si="1"/>
        <v>-6360</v>
      </c>
      <c r="C62" s="116">
        <f t="shared" si="2"/>
        <v>-636</v>
      </c>
      <c r="D62" s="105">
        <f>WORKDAY($G$1,C62+E61,JoursFeries!$B$3:$CH$15)</f>
        <v>41995</v>
      </c>
      <c r="E62" s="5">
        <v>1</v>
      </c>
      <c r="F62" s="8">
        <f t="shared" si="5"/>
        <v>41995</v>
      </c>
      <c r="G62" s="4" t="s">
        <v>258</v>
      </c>
      <c r="J62" s="112"/>
      <c r="K62" s="194"/>
      <c r="L62" s="194"/>
      <c r="M62" s="195"/>
      <c r="O62" s="115"/>
      <c r="P62" s="115"/>
      <c r="Q62" s="193"/>
      <c r="R62" s="194"/>
      <c r="S62" s="194"/>
      <c r="T62" s="194"/>
      <c r="U62" s="193"/>
      <c r="V62" s="194"/>
      <c r="W62" s="194"/>
      <c r="X62" s="194"/>
      <c r="Y62" s="194"/>
    </row>
    <row r="63" spans="1:25" x14ac:dyDescent="0.25">
      <c r="A63" s="101">
        <f t="shared" si="4"/>
        <v>4750</v>
      </c>
      <c r="B63" s="117">
        <f t="shared" si="1"/>
        <v>-6310</v>
      </c>
      <c r="C63" s="116">
        <f t="shared" si="2"/>
        <v>-631</v>
      </c>
      <c r="D63" s="105">
        <f>WORKDAY($G$1,C63+E62,JoursFeries!$B$3:$CH$15)</f>
        <v>42002</v>
      </c>
      <c r="E63" s="5">
        <v>1</v>
      </c>
      <c r="F63" s="8">
        <f t="shared" si="5"/>
        <v>42002</v>
      </c>
      <c r="G63" s="4" t="s">
        <v>201</v>
      </c>
      <c r="J63" s="112"/>
      <c r="K63" s="194"/>
      <c r="L63" s="194"/>
      <c r="M63" s="195"/>
      <c r="O63" s="115"/>
      <c r="P63" s="115"/>
      <c r="Q63" s="193"/>
      <c r="R63" s="194"/>
      <c r="S63" s="194"/>
      <c r="T63" s="194"/>
      <c r="U63" s="193"/>
      <c r="V63" s="194"/>
      <c r="W63" s="194"/>
      <c r="X63" s="194"/>
      <c r="Y63" s="194"/>
    </row>
    <row r="64" spans="1:25" x14ac:dyDescent="0.25">
      <c r="A64" s="101">
        <f t="shared" si="4"/>
        <v>4800</v>
      </c>
      <c r="B64" s="117">
        <f t="shared" si="1"/>
        <v>-6260</v>
      </c>
      <c r="C64" s="116">
        <f t="shared" si="2"/>
        <v>-626</v>
      </c>
      <c r="D64" s="105">
        <f>WORKDAY($G$1,C64+E63,JoursFeries!$B$3:$CH$15)</f>
        <v>42009</v>
      </c>
      <c r="E64" s="5">
        <v>1</v>
      </c>
      <c r="F64" s="8">
        <f t="shared" si="5"/>
        <v>42009</v>
      </c>
      <c r="G64" s="4" t="s">
        <v>259</v>
      </c>
      <c r="J64" s="112"/>
      <c r="K64" s="194"/>
      <c r="L64" s="194"/>
      <c r="M64" s="195"/>
      <c r="O64" s="115"/>
      <c r="P64" s="115"/>
      <c r="Q64" s="193"/>
      <c r="R64" s="194"/>
      <c r="S64" s="194"/>
      <c r="T64" s="194"/>
      <c r="U64" s="193"/>
      <c r="V64" s="194"/>
      <c r="W64" s="194"/>
      <c r="X64" s="194"/>
      <c r="Y64" s="194"/>
    </row>
    <row r="65" spans="1:25" x14ac:dyDescent="0.25">
      <c r="A65" s="101">
        <f t="shared" si="4"/>
        <v>4900</v>
      </c>
      <c r="B65" s="117">
        <f t="shared" si="1"/>
        <v>-6160</v>
      </c>
      <c r="C65" s="116">
        <f t="shared" si="2"/>
        <v>-616</v>
      </c>
      <c r="D65" s="105">
        <f>WORKDAY($G$1,C65+E64,JoursFeries!$B$3:$CH$15)</f>
        <v>42023</v>
      </c>
      <c r="E65" s="5">
        <v>1</v>
      </c>
      <c r="F65" s="8">
        <f t="shared" si="5"/>
        <v>42023</v>
      </c>
      <c r="G65" s="4" t="s">
        <v>260</v>
      </c>
      <c r="J65" s="112"/>
      <c r="K65" s="194"/>
      <c r="L65" s="194"/>
      <c r="M65" s="195"/>
      <c r="O65" s="115"/>
      <c r="P65" s="115"/>
      <c r="Q65" s="193"/>
      <c r="R65" s="194"/>
      <c r="S65" s="194"/>
      <c r="T65" s="194"/>
      <c r="U65" s="193"/>
      <c r="V65" s="194"/>
      <c r="W65" s="194"/>
      <c r="X65" s="194"/>
      <c r="Y65" s="194"/>
    </row>
    <row r="66" spans="1:25" x14ac:dyDescent="0.25">
      <c r="A66" s="101">
        <f t="shared" si="4"/>
        <v>5000</v>
      </c>
      <c r="B66" s="117">
        <f t="shared" si="1"/>
        <v>-6060</v>
      </c>
      <c r="C66" s="116">
        <f t="shared" si="2"/>
        <v>-606</v>
      </c>
      <c r="D66" s="105">
        <f>WORKDAY($G$1,C66+E65,JoursFeries!$B$3:$CH$15)</f>
        <v>42037</v>
      </c>
      <c r="E66" s="5">
        <v>2</v>
      </c>
      <c r="F66" s="8">
        <f t="shared" si="5"/>
        <v>42037</v>
      </c>
      <c r="G66" s="4" t="s">
        <v>261</v>
      </c>
      <c r="J66" s="112"/>
      <c r="K66" s="194"/>
      <c r="L66" s="194"/>
      <c r="M66" s="195"/>
      <c r="O66" s="115"/>
      <c r="P66" s="115"/>
      <c r="Q66" s="193"/>
      <c r="R66" s="194"/>
      <c r="S66" s="194"/>
      <c r="T66" s="194"/>
      <c r="U66" s="193"/>
      <c r="V66" s="194"/>
      <c r="W66" s="194"/>
      <c r="X66" s="194"/>
      <c r="Y66" s="194"/>
    </row>
    <row r="67" spans="1:25" x14ac:dyDescent="0.25">
      <c r="A67" s="101">
        <f t="shared" si="4"/>
        <v>5100</v>
      </c>
      <c r="B67" s="117">
        <f t="shared" si="1"/>
        <v>-5960</v>
      </c>
      <c r="C67" s="116">
        <f t="shared" si="2"/>
        <v>-596</v>
      </c>
      <c r="D67" s="105">
        <f>WORKDAY($G$1,C67+E66,JoursFeries!$B$3:$CH$15)</f>
        <v>42052</v>
      </c>
      <c r="E67" s="5">
        <v>1</v>
      </c>
      <c r="F67" s="8">
        <f t="shared" si="5"/>
        <v>42052</v>
      </c>
      <c r="G67" s="4" t="s">
        <v>262</v>
      </c>
      <c r="J67" s="112"/>
      <c r="K67" s="194"/>
      <c r="L67" s="194"/>
      <c r="M67" s="195"/>
      <c r="O67" s="115"/>
      <c r="P67" s="115"/>
      <c r="Q67" s="193"/>
      <c r="R67" s="194"/>
      <c r="S67" s="194"/>
      <c r="T67" s="194"/>
      <c r="U67" s="193"/>
      <c r="V67" s="194"/>
      <c r="W67" s="194"/>
      <c r="X67" s="194"/>
      <c r="Y67" s="194"/>
    </row>
    <row r="68" spans="1:25" x14ac:dyDescent="0.25">
      <c r="A68" s="101">
        <f t="shared" si="4"/>
        <v>5200</v>
      </c>
      <c r="B68" s="117">
        <f t="shared" si="1"/>
        <v>-5860</v>
      </c>
      <c r="C68" s="116">
        <f t="shared" si="2"/>
        <v>-586</v>
      </c>
      <c r="D68" s="105">
        <f>WORKDAY($G$1,C68+E67,JoursFeries!$B$3:$CH$15)</f>
        <v>42065</v>
      </c>
      <c r="E68" s="5">
        <v>1</v>
      </c>
      <c r="F68" s="8">
        <f t="shared" si="5"/>
        <v>42065</v>
      </c>
      <c r="G68" s="4" t="s">
        <v>263</v>
      </c>
      <c r="J68" s="112"/>
      <c r="K68" s="194"/>
      <c r="L68" s="194"/>
      <c r="M68" s="195"/>
      <c r="O68" s="115"/>
      <c r="P68" s="115"/>
      <c r="Q68" s="193"/>
      <c r="R68" s="194"/>
      <c r="S68" s="194"/>
      <c r="T68" s="194"/>
      <c r="U68" s="193"/>
      <c r="V68" s="194"/>
      <c r="W68" s="194"/>
      <c r="X68" s="194"/>
      <c r="Y68" s="194"/>
    </row>
    <row r="69" spans="1:25" x14ac:dyDescent="0.25">
      <c r="A69" s="101">
        <f t="shared" si="4"/>
        <v>5250</v>
      </c>
      <c r="B69" s="117">
        <f t="shared" si="1"/>
        <v>-5810</v>
      </c>
      <c r="C69" s="116">
        <f t="shared" si="2"/>
        <v>-581</v>
      </c>
      <c r="D69" s="105">
        <f>WORKDAY($G$1,C69+E68,JoursFeries!$B$3:$CH$15)</f>
        <v>42072</v>
      </c>
      <c r="E69" s="5">
        <v>1</v>
      </c>
      <c r="F69" s="8">
        <f t="shared" si="5"/>
        <v>42072</v>
      </c>
      <c r="G69" s="4" t="s">
        <v>202</v>
      </c>
      <c r="J69" s="112"/>
      <c r="K69" s="194"/>
      <c r="L69" s="194"/>
      <c r="M69" s="195"/>
      <c r="O69" s="115"/>
      <c r="P69" s="115"/>
      <c r="Q69" s="193"/>
      <c r="R69" s="194"/>
      <c r="S69" s="194"/>
      <c r="T69" s="194"/>
      <c r="U69" s="193"/>
      <c r="V69" s="194"/>
      <c r="W69" s="194"/>
      <c r="X69" s="194"/>
      <c r="Y69" s="194"/>
    </row>
    <row r="70" spans="1:25" x14ac:dyDescent="0.25">
      <c r="A70" s="101">
        <f t="shared" si="4"/>
        <v>5300</v>
      </c>
      <c r="B70" s="117">
        <f t="shared" si="1"/>
        <v>-5760</v>
      </c>
      <c r="C70" s="116">
        <f t="shared" si="2"/>
        <v>-576</v>
      </c>
      <c r="D70" s="105">
        <f>WORKDAY($G$1,C70+E69,JoursFeries!$B$3:$CH$15)</f>
        <v>42079</v>
      </c>
      <c r="E70" s="5">
        <v>1</v>
      </c>
      <c r="F70" s="8">
        <f t="shared" si="5"/>
        <v>42079</v>
      </c>
      <c r="G70" s="4" t="s">
        <v>264</v>
      </c>
      <c r="J70" s="112"/>
      <c r="K70" s="194"/>
      <c r="L70" s="194"/>
      <c r="M70" s="195"/>
      <c r="O70" s="115"/>
      <c r="P70" s="115"/>
      <c r="Q70" s="193"/>
      <c r="R70" s="194"/>
      <c r="S70" s="194"/>
      <c r="T70" s="194"/>
      <c r="U70" s="193"/>
      <c r="V70" s="194"/>
      <c r="W70" s="194"/>
      <c r="X70" s="194"/>
      <c r="Y70" s="194"/>
    </row>
    <row r="71" spans="1:25" x14ac:dyDescent="0.25">
      <c r="A71" s="101">
        <f t="shared" si="4"/>
        <v>5400</v>
      </c>
      <c r="B71" s="117">
        <f t="shared" si="1"/>
        <v>-5660</v>
      </c>
      <c r="C71" s="116">
        <f t="shared" si="2"/>
        <v>-566</v>
      </c>
      <c r="D71" s="105">
        <f>WORKDAY($G$1,C71+E70,JoursFeries!$B$3:$CH$15)</f>
        <v>42093</v>
      </c>
      <c r="E71" s="5">
        <v>1</v>
      </c>
      <c r="F71" s="8">
        <f t="shared" ref="F71:F102" si="6">D71</f>
        <v>42093</v>
      </c>
      <c r="G71" s="4" t="s">
        <v>265</v>
      </c>
      <c r="J71" s="112"/>
      <c r="K71" s="194"/>
      <c r="L71" s="194"/>
      <c r="M71" s="195"/>
      <c r="O71" s="115"/>
      <c r="P71" s="115"/>
      <c r="Q71" s="193"/>
      <c r="R71" s="194"/>
      <c r="S71" s="194"/>
      <c r="T71" s="194"/>
      <c r="U71" s="193"/>
      <c r="V71" s="194"/>
      <c r="W71" s="194"/>
      <c r="X71" s="194"/>
      <c r="Y71" s="194"/>
    </row>
    <row r="72" spans="1:25" x14ac:dyDescent="0.25">
      <c r="A72" s="101">
        <f t="shared" si="4"/>
        <v>5500</v>
      </c>
      <c r="B72" s="117">
        <f t="shared" ref="B72:B135" si="7">A72-$G$2</f>
        <v>-5560</v>
      </c>
      <c r="C72" s="116">
        <f t="shared" ref="C72:C135" si="8">B72/$G$3</f>
        <v>-556</v>
      </c>
      <c r="D72" s="105">
        <f>WORKDAY($G$1,C72+E71,JoursFeries!$B$3:$CH$15)</f>
        <v>42107</v>
      </c>
      <c r="E72" s="5">
        <v>1</v>
      </c>
      <c r="F72" s="8">
        <f t="shared" si="6"/>
        <v>42107</v>
      </c>
      <c r="G72" s="4" t="s">
        <v>266</v>
      </c>
      <c r="J72" s="112"/>
      <c r="K72" s="194"/>
      <c r="L72" s="194"/>
      <c r="M72" s="195"/>
      <c r="O72" s="115"/>
      <c r="P72" s="115"/>
      <c r="Q72" s="193"/>
      <c r="R72" s="194"/>
      <c r="S72" s="194"/>
      <c r="T72" s="194"/>
      <c r="U72" s="193"/>
      <c r="V72" s="194"/>
      <c r="W72" s="194"/>
      <c r="X72" s="194"/>
      <c r="Y72" s="194"/>
    </row>
    <row r="73" spans="1:25" x14ac:dyDescent="0.25">
      <c r="A73" s="101">
        <f t="shared" si="4"/>
        <v>5600</v>
      </c>
      <c r="B73" s="117">
        <f t="shared" si="7"/>
        <v>-5460</v>
      </c>
      <c r="C73" s="116">
        <f t="shared" si="8"/>
        <v>-546</v>
      </c>
      <c r="D73" s="105">
        <f>WORKDAY($G$1,C73+E72,JoursFeries!$B$3:$CH$15)</f>
        <v>42121</v>
      </c>
      <c r="E73" s="5">
        <v>1</v>
      </c>
      <c r="F73" s="8">
        <f t="shared" si="6"/>
        <v>42121</v>
      </c>
      <c r="G73" s="4" t="s">
        <v>267</v>
      </c>
      <c r="J73" s="112"/>
      <c r="K73" s="194"/>
      <c r="L73" s="194"/>
      <c r="M73" s="195"/>
      <c r="O73" s="115"/>
      <c r="P73" s="115"/>
      <c r="Q73" s="193"/>
      <c r="R73" s="194"/>
      <c r="S73" s="194"/>
      <c r="T73" s="194"/>
      <c r="U73" s="193"/>
      <c r="V73" s="194"/>
      <c r="W73" s="194"/>
      <c r="X73" s="194"/>
      <c r="Y73" s="194"/>
    </row>
    <row r="74" spans="1:25" x14ac:dyDescent="0.25">
      <c r="A74" s="101">
        <f t="shared" si="4"/>
        <v>5700</v>
      </c>
      <c r="B74" s="117">
        <f t="shared" si="7"/>
        <v>-5360</v>
      </c>
      <c r="C74" s="116">
        <f t="shared" si="8"/>
        <v>-536</v>
      </c>
      <c r="D74" s="105">
        <f>WORKDAY($G$1,C74+E73,JoursFeries!$B$3:$CH$15)</f>
        <v>42135</v>
      </c>
      <c r="E74" s="5">
        <v>1</v>
      </c>
      <c r="F74" s="8">
        <f t="shared" si="6"/>
        <v>42135</v>
      </c>
      <c r="G74" s="4" t="s">
        <v>268</v>
      </c>
      <c r="J74" s="112"/>
      <c r="K74" s="194"/>
      <c r="L74" s="194"/>
      <c r="M74" s="195"/>
      <c r="O74" s="115"/>
      <c r="P74" s="115"/>
      <c r="Q74" s="193"/>
      <c r="R74" s="194"/>
      <c r="S74" s="194"/>
      <c r="T74" s="194"/>
      <c r="U74" s="193"/>
      <c r="V74" s="194"/>
      <c r="W74" s="194"/>
      <c r="X74" s="194"/>
      <c r="Y74" s="194"/>
    </row>
    <row r="75" spans="1:25" x14ac:dyDescent="0.25">
      <c r="A75" s="101">
        <f t="shared" si="4"/>
        <v>5750</v>
      </c>
      <c r="B75" s="117">
        <f t="shared" si="7"/>
        <v>-5310</v>
      </c>
      <c r="C75" s="116">
        <f t="shared" si="8"/>
        <v>-531</v>
      </c>
      <c r="D75" s="105">
        <f>WORKDAY($G$1,C75+E74,JoursFeries!$B$3:$CH$15)</f>
        <v>42142</v>
      </c>
      <c r="E75" s="5">
        <v>1</v>
      </c>
      <c r="F75" s="8">
        <f t="shared" si="6"/>
        <v>42142</v>
      </c>
      <c r="G75" s="4" t="s">
        <v>203</v>
      </c>
      <c r="J75" s="112"/>
      <c r="K75" s="194"/>
      <c r="L75" s="194"/>
      <c r="M75" s="195"/>
      <c r="O75" s="115"/>
      <c r="P75" s="115"/>
      <c r="Q75" s="193"/>
      <c r="R75" s="194"/>
      <c r="S75" s="194"/>
      <c r="T75" s="194"/>
      <c r="U75" s="193"/>
      <c r="V75" s="194"/>
      <c r="W75" s="194"/>
      <c r="X75" s="194"/>
      <c r="Y75" s="194"/>
    </row>
    <row r="76" spans="1:25" x14ac:dyDescent="0.25">
      <c r="A76" s="101">
        <f t="shared" si="4"/>
        <v>5800</v>
      </c>
      <c r="B76" s="117">
        <f t="shared" si="7"/>
        <v>-5260</v>
      </c>
      <c r="C76" s="116">
        <f t="shared" si="8"/>
        <v>-526</v>
      </c>
      <c r="D76" s="105">
        <f>WORKDAY($G$1,C76+E75,JoursFeries!$B$3:$CH$15)</f>
        <v>42149</v>
      </c>
      <c r="E76" s="5">
        <v>1</v>
      </c>
      <c r="F76" s="8">
        <f t="shared" si="6"/>
        <v>42149</v>
      </c>
      <c r="G76" s="4" t="s">
        <v>269</v>
      </c>
      <c r="J76" s="112"/>
      <c r="K76" s="194"/>
      <c r="L76" s="194"/>
      <c r="M76" s="195"/>
      <c r="O76" s="115"/>
      <c r="P76" s="115"/>
      <c r="Q76" s="193"/>
      <c r="R76" s="194"/>
      <c r="S76" s="194"/>
      <c r="T76" s="194"/>
      <c r="U76" s="193"/>
      <c r="V76" s="194"/>
      <c r="W76" s="194"/>
      <c r="X76" s="194"/>
      <c r="Y76" s="194"/>
    </row>
    <row r="77" spans="1:25" x14ac:dyDescent="0.25">
      <c r="A77" s="101">
        <f t="shared" si="4"/>
        <v>5900</v>
      </c>
      <c r="B77" s="117">
        <f t="shared" si="7"/>
        <v>-5160</v>
      </c>
      <c r="C77" s="116">
        <f t="shared" si="8"/>
        <v>-516</v>
      </c>
      <c r="D77" s="105">
        <f>WORKDAY($G$1,C77+E76,JoursFeries!$B$3:$CH$15)</f>
        <v>42163</v>
      </c>
      <c r="E77" s="5">
        <v>1</v>
      </c>
      <c r="F77" s="8">
        <f t="shared" si="6"/>
        <v>42163</v>
      </c>
      <c r="G77" s="4" t="s">
        <v>270</v>
      </c>
      <c r="J77" s="112"/>
      <c r="K77" s="194"/>
      <c r="L77" s="194"/>
      <c r="M77" s="195"/>
      <c r="O77" s="115"/>
      <c r="P77" s="115"/>
      <c r="Q77" s="193"/>
      <c r="R77" s="194"/>
      <c r="S77" s="194"/>
      <c r="T77" s="194"/>
      <c r="U77" s="193"/>
      <c r="V77" s="194"/>
      <c r="W77" s="194"/>
      <c r="X77" s="194"/>
      <c r="Y77" s="194"/>
    </row>
    <row r="78" spans="1:25" x14ac:dyDescent="0.25">
      <c r="A78" s="101">
        <f t="shared" si="4"/>
        <v>6000</v>
      </c>
      <c r="B78" s="117">
        <f t="shared" si="7"/>
        <v>-5060</v>
      </c>
      <c r="C78" s="116">
        <f t="shared" si="8"/>
        <v>-506</v>
      </c>
      <c r="D78" s="105">
        <f>WORKDAY($G$1,C78+E77,JoursFeries!$B$3:$CH$15)</f>
        <v>42177</v>
      </c>
      <c r="E78" s="5">
        <v>2</v>
      </c>
      <c r="F78" s="8">
        <f t="shared" si="6"/>
        <v>42177</v>
      </c>
      <c r="G78" s="4" t="s">
        <v>271</v>
      </c>
      <c r="J78" s="112"/>
      <c r="K78" s="194"/>
      <c r="L78" s="194"/>
      <c r="M78" s="195"/>
      <c r="O78" s="115"/>
      <c r="P78" s="115"/>
      <c r="Q78" s="193"/>
      <c r="R78" s="194"/>
      <c r="S78" s="194"/>
      <c r="T78" s="194"/>
      <c r="U78" s="193"/>
      <c r="V78" s="194"/>
      <c r="W78" s="194"/>
      <c r="X78" s="194"/>
      <c r="Y78" s="194"/>
    </row>
    <row r="79" spans="1:25" x14ac:dyDescent="0.25">
      <c r="A79" s="101">
        <f t="shared" si="4"/>
        <v>6100</v>
      </c>
      <c r="B79" s="117">
        <f t="shared" si="7"/>
        <v>-4960</v>
      </c>
      <c r="C79" s="116">
        <f t="shared" si="8"/>
        <v>-496</v>
      </c>
      <c r="D79" s="105">
        <f>WORKDAY($G$1,C79+E78,JoursFeries!$B$3:$CH$15)</f>
        <v>42192</v>
      </c>
      <c r="E79" s="5">
        <v>1</v>
      </c>
      <c r="F79" s="8">
        <f t="shared" si="6"/>
        <v>42192</v>
      </c>
      <c r="G79" s="4" t="s">
        <v>272</v>
      </c>
      <c r="J79" s="112"/>
      <c r="K79" s="194"/>
      <c r="L79" s="194"/>
      <c r="M79" s="195"/>
      <c r="O79" s="115"/>
      <c r="P79" s="115"/>
      <c r="Q79" s="193"/>
      <c r="R79" s="194"/>
      <c r="S79" s="194"/>
      <c r="T79" s="194"/>
      <c r="U79" s="193"/>
      <c r="V79" s="194"/>
      <c r="W79" s="194"/>
      <c r="X79" s="194"/>
      <c r="Y79" s="194"/>
    </row>
    <row r="80" spans="1:25" x14ac:dyDescent="0.25">
      <c r="A80" s="101">
        <f t="shared" si="4"/>
        <v>6200</v>
      </c>
      <c r="B80" s="117">
        <f t="shared" si="7"/>
        <v>-4860</v>
      </c>
      <c r="C80" s="116">
        <f t="shared" si="8"/>
        <v>-486</v>
      </c>
      <c r="D80" s="105">
        <f>WORKDAY($G$1,C80+E79,JoursFeries!$B$3:$CH$15)</f>
        <v>42205</v>
      </c>
      <c r="E80" s="5">
        <v>1</v>
      </c>
      <c r="F80" s="8">
        <f t="shared" si="6"/>
        <v>42205</v>
      </c>
      <c r="G80" s="4" t="s">
        <v>273</v>
      </c>
      <c r="J80" s="112"/>
      <c r="K80" s="194"/>
      <c r="L80" s="194"/>
      <c r="M80" s="195"/>
      <c r="O80" s="115"/>
      <c r="P80" s="115"/>
      <c r="Q80" s="193"/>
      <c r="R80" s="194"/>
      <c r="S80" s="194"/>
      <c r="T80" s="194"/>
      <c r="U80" s="193"/>
      <c r="V80" s="194"/>
      <c r="W80" s="194"/>
      <c r="X80" s="194"/>
      <c r="Y80" s="194"/>
    </row>
    <row r="81" spans="1:25" x14ac:dyDescent="0.25">
      <c r="A81" s="101">
        <f t="shared" si="4"/>
        <v>6250</v>
      </c>
      <c r="B81" s="117">
        <f t="shared" si="7"/>
        <v>-4810</v>
      </c>
      <c r="C81" s="116">
        <f t="shared" si="8"/>
        <v>-481</v>
      </c>
      <c r="D81" s="105">
        <f>WORKDAY($G$1,C81+E80,JoursFeries!$B$3:$CH$15)</f>
        <v>42212</v>
      </c>
      <c r="E81" s="5">
        <v>1</v>
      </c>
      <c r="F81" s="8">
        <f t="shared" si="6"/>
        <v>42212</v>
      </c>
      <c r="G81" s="4" t="s">
        <v>204</v>
      </c>
      <c r="J81" s="112"/>
      <c r="K81" s="194"/>
      <c r="L81" s="194"/>
      <c r="M81" s="195"/>
      <c r="O81" s="115"/>
      <c r="P81" s="115"/>
      <c r="Q81" s="193"/>
      <c r="R81" s="194"/>
      <c r="S81" s="194"/>
      <c r="T81" s="194"/>
      <c r="U81" s="193"/>
      <c r="V81" s="194"/>
      <c r="W81" s="194"/>
      <c r="X81" s="194"/>
      <c r="Y81" s="194"/>
    </row>
    <row r="82" spans="1:25" x14ac:dyDescent="0.25">
      <c r="A82" s="101">
        <f t="shared" si="4"/>
        <v>6300</v>
      </c>
      <c r="B82" s="117">
        <f t="shared" si="7"/>
        <v>-4760</v>
      </c>
      <c r="C82" s="116">
        <f t="shared" si="8"/>
        <v>-476</v>
      </c>
      <c r="D82" s="105">
        <f>WORKDAY($G$1,C82+E81,JoursFeries!$B$3:$CH$15)</f>
        <v>42219</v>
      </c>
      <c r="E82" s="5">
        <v>1</v>
      </c>
      <c r="F82" s="8">
        <f t="shared" si="6"/>
        <v>42219</v>
      </c>
      <c r="G82" s="4" t="s">
        <v>274</v>
      </c>
      <c r="J82" s="112"/>
      <c r="K82" s="194"/>
      <c r="L82" s="194"/>
      <c r="M82" s="195"/>
      <c r="O82" s="115"/>
      <c r="P82" s="115"/>
      <c r="Q82" s="193"/>
      <c r="R82" s="194"/>
      <c r="S82" s="194"/>
      <c r="T82" s="194"/>
      <c r="U82" s="193"/>
      <c r="V82" s="194"/>
      <c r="W82" s="194"/>
      <c r="X82" s="194"/>
      <c r="Y82" s="194"/>
    </row>
    <row r="83" spans="1:25" x14ac:dyDescent="0.25">
      <c r="A83" s="101">
        <f t="shared" si="4"/>
        <v>6400</v>
      </c>
      <c r="B83" s="117">
        <f t="shared" si="7"/>
        <v>-4660</v>
      </c>
      <c r="C83" s="116">
        <f t="shared" si="8"/>
        <v>-466</v>
      </c>
      <c r="D83" s="105">
        <f>WORKDAY($G$1,C83+E82,JoursFeries!$B$3:$CH$15)</f>
        <v>42233</v>
      </c>
      <c r="E83" s="5">
        <v>1</v>
      </c>
      <c r="F83" s="8">
        <f t="shared" si="6"/>
        <v>42233</v>
      </c>
      <c r="G83" s="4" t="s">
        <v>275</v>
      </c>
      <c r="J83" s="112"/>
      <c r="K83" s="194"/>
      <c r="L83" s="194"/>
      <c r="M83" s="195"/>
      <c r="O83" s="115"/>
      <c r="P83" s="115"/>
      <c r="Q83" s="193"/>
      <c r="R83" s="194"/>
      <c r="S83" s="194"/>
      <c r="T83" s="194"/>
      <c r="U83" s="193"/>
      <c r="V83" s="194"/>
      <c r="W83" s="194"/>
      <c r="X83" s="194"/>
      <c r="Y83" s="194"/>
    </row>
    <row r="84" spans="1:25" x14ac:dyDescent="0.25">
      <c r="A84" s="101">
        <f t="shared" si="4"/>
        <v>6500</v>
      </c>
      <c r="B84" s="117">
        <f t="shared" si="7"/>
        <v>-4560</v>
      </c>
      <c r="C84" s="116">
        <f t="shared" si="8"/>
        <v>-456</v>
      </c>
      <c r="D84" s="105">
        <f>WORKDAY($G$1,C84+E83,JoursFeries!$B$3:$CH$15)</f>
        <v>42247</v>
      </c>
      <c r="E84" s="5">
        <v>1</v>
      </c>
      <c r="F84" s="8">
        <f t="shared" si="6"/>
        <v>42247</v>
      </c>
      <c r="G84" s="4" t="s">
        <v>276</v>
      </c>
      <c r="J84" s="112"/>
      <c r="K84" s="194"/>
      <c r="L84" s="194"/>
      <c r="M84" s="195"/>
      <c r="O84" s="115"/>
      <c r="P84" s="115"/>
      <c r="Q84" s="193"/>
      <c r="R84" s="194"/>
      <c r="S84" s="194"/>
      <c r="T84" s="194"/>
      <c r="U84" s="193"/>
      <c r="V84" s="194"/>
      <c r="W84" s="194"/>
      <c r="X84" s="194"/>
      <c r="Y84" s="194"/>
    </row>
    <row r="85" spans="1:25" x14ac:dyDescent="0.25">
      <c r="A85" s="101">
        <f t="shared" si="4"/>
        <v>6600</v>
      </c>
      <c r="B85" s="117">
        <f t="shared" si="7"/>
        <v>-4460</v>
      </c>
      <c r="C85" s="116">
        <f t="shared" si="8"/>
        <v>-446</v>
      </c>
      <c r="D85" s="105">
        <f>WORKDAY($G$1,C85+E84,JoursFeries!$B$3:$CH$15)</f>
        <v>42261</v>
      </c>
      <c r="E85" s="5">
        <v>1</v>
      </c>
      <c r="F85" s="8">
        <f t="shared" si="6"/>
        <v>42261</v>
      </c>
      <c r="G85" s="4" t="s">
        <v>277</v>
      </c>
      <c r="J85" s="112"/>
      <c r="K85" s="194"/>
      <c r="L85" s="194"/>
      <c r="M85" s="195"/>
      <c r="O85" s="115"/>
      <c r="P85" s="115"/>
      <c r="Q85" s="193"/>
      <c r="R85" s="194"/>
      <c r="S85" s="194"/>
      <c r="T85" s="194"/>
      <c r="U85" s="193"/>
      <c r="V85" s="194"/>
      <c r="W85" s="194"/>
      <c r="X85" s="194"/>
      <c r="Y85" s="194"/>
    </row>
    <row r="86" spans="1:25" x14ac:dyDescent="0.25">
      <c r="A86" s="101">
        <f t="shared" si="4"/>
        <v>6700</v>
      </c>
      <c r="B86" s="117">
        <f t="shared" si="7"/>
        <v>-4360</v>
      </c>
      <c r="C86" s="116">
        <f t="shared" si="8"/>
        <v>-436</v>
      </c>
      <c r="D86" s="105">
        <f>WORKDAY($G$1,C86+E85,JoursFeries!$B$3:$CH$15)</f>
        <v>42275</v>
      </c>
      <c r="E86" s="5">
        <v>1</v>
      </c>
      <c r="F86" s="8">
        <f t="shared" si="6"/>
        <v>42275</v>
      </c>
      <c r="G86" s="4" t="s">
        <v>278</v>
      </c>
      <c r="J86" s="112"/>
      <c r="K86" s="194"/>
      <c r="L86" s="194"/>
      <c r="M86" s="195"/>
      <c r="O86" s="115"/>
      <c r="P86" s="115"/>
      <c r="Q86" s="193"/>
      <c r="R86" s="194"/>
      <c r="S86" s="194"/>
      <c r="T86" s="194"/>
      <c r="U86" s="193"/>
      <c r="V86" s="194"/>
      <c r="W86" s="194"/>
      <c r="X86" s="194"/>
      <c r="Y86" s="194"/>
    </row>
    <row r="87" spans="1:25" x14ac:dyDescent="0.25">
      <c r="A87" s="101">
        <f t="shared" si="4"/>
        <v>6750</v>
      </c>
      <c r="B87" s="117">
        <f t="shared" si="7"/>
        <v>-4310</v>
      </c>
      <c r="C87" s="116">
        <f t="shared" si="8"/>
        <v>-431</v>
      </c>
      <c r="D87" s="105">
        <f>WORKDAY($G$1,C87+E86,JoursFeries!$B$3:$CH$15)</f>
        <v>42282</v>
      </c>
      <c r="E87" s="5">
        <v>1</v>
      </c>
      <c r="F87" s="8">
        <f t="shared" si="6"/>
        <v>42282</v>
      </c>
      <c r="G87" s="4" t="s">
        <v>205</v>
      </c>
      <c r="J87" s="112"/>
      <c r="K87" s="194"/>
      <c r="L87" s="194"/>
      <c r="M87" s="195"/>
      <c r="O87" s="115"/>
      <c r="P87" s="115"/>
      <c r="Q87" s="193"/>
      <c r="R87" s="194"/>
      <c r="S87" s="194"/>
      <c r="T87" s="194"/>
      <c r="U87" s="193"/>
      <c r="V87" s="194"/>
      <c r="W87" s="194"/>
      <c r="X87" s="194"/>
      <c r="Y87" s="194"/>
    </row>
    <row r="88" spans="1:25" x14ac:dyDescent="0.25">
      <c r="A88" s="101">
        <f t="shared" si="4"/>
        <v>6800</v>
      </c>
      <c r="B88" s="117">
        <f t="shared" si="7"/>
        <v>-4260</v>
      </c>
      <c r="C88" s="116">
        <f t="shared" si="8"/>
        <v>-426</v>
      </c>
      <c r="D88" s="105">
        <f>WORKDAY($G$1,C88+E87,JoursFeries!$B$3:$CH$15)</f>
        <v>42289</v>
      </c>
      <c r="E88" s="5">
        <v>1</v>
      </c>
      <c r="F88" s="8">
        <f t="shared" si="6"/>
        <v>42289</v>
      </c>
      <c r="G88" s="4" t="s">
        <v>279</v>
      </c>
      <c r="J88" s="112"/>
      <c r="K88" s="194"/>
      <c r="L88" s="194"/>
      <c r="M88" s="195"/>
      <c r="O88" s="115"/>
      <c r="P88" s="115"/>
      <c r="Q88" s="193"/>
      <c r="R88" s="194"/>
      <c r="S88" s="194"/>
      <c r="T88" s="194"/>
      <c r="U88" s="193"/>
      <c r="V88" s="194"/>
      <c r="W88" s="194"/>
      <c r="X88" s="194"/>
      <c r="Y88" s="194"/>
    </row>
    <row r="89" spans="1:25" x14ac:dyDescent="0.25">
      <c r="A89" s="101">
        <f t="shared" si="4"/>
        <v>6900</v>
      </c>
      <c r="B89" s="117">
        <f t="shared" si="7"/>
        <v>-4160</v>
      </c>
      <c r="C89" s="116">
        <f t="shared" si="8"/>
        <v>-416</v>
      </c>
      <c r="D89" s="105">
        <f>WORKDAY($G$1,C89+E88,JoursFeries!$B$3:$CH$15)</f>
        <v>42303</v>
      </c>
      <c r="E89" s="5">
        <v>1</v>
      </c>
      <c r="F89" s="8">
        <f t="shared" si="6"/>
        <v>42303</v>
      </c>
      <c r="G89" s="4" t="s">
        <v>280</v>
      </c>
      <c r="J89" s="112"/>
      <c r="K89" s="194"/>
      <c r="L89" s="194"/>
      <c r="M89" s="195"/>
      <c r="O89" s="115"/>
      <c r="P89" s="115"/>
      <c r="Q89" s="193"/>
      <c r="R89" s="194"/>
      <c r="S89" s="194"/>
      <c r="T89" s="194"/>
      <c r="U89" s="193"/>
      <c r="V89" s="194"/>
      <c r="W89" s="194"/>
      <c r="X89" s="194"/>
      <c r="Y89" s="194"/>
    </row>
    <row r="90" spans="1:25" x14ac:dyDescent="0.25">
      <c r="A90" s="101">
        <f t="shared" si="4"/>
        <v>7000</v>
      </c>
      <c r="B90" s="117">
        <f t="shared" si="7"/>
        <v>-4060</v>
      </c>
      <c r="C90" s="116">
        <f t="shared" si="8"/>
        <v>-406</v>
      </c>
      <c r="D90" s="105">
        <f>WORKDAY($G$1,C90+E89,JoursFeries!$B$3:$CH$15)</f>
        <v>42317</v>
      </c>
      <c r="E90" s="5">
        <v>2</v>
      </c>
      <c r="F90" s="8">
        <f t="shared" si="6"/>
        <v>42317</v>
      </c>
      <c r="G90" s="4" t="s">
        <v>281</v>
      </c>
      <c r="J90" s="112"/>
      <c r="K90" s="194"/>
      <c r="L90" s="194"/>
      <c r="M90" s="195"/>
      <c r="O90" s="115"/>
      <c r="P90" s="115"/>
      <c r="Q90" s="193"/>
      <c r="R90" s="194"/>
      <c r="S90" s="194"/>
      <c r="T90" s="194"/>
      <c r="U90" s="193"/>
      <c r="V90" s="194"/>
      <c r="W90" s="194"/>
      <c r="X90" s="194"/>
      <c r="Y90" s="194"/>
    </row>
    <row r="91" spans="1:25" x14ac:dyDescent="0.25">
      <c r="A91" s="101">
        <f t="shared" si="4"/>
        <v>7100</v>
      </c>
      <c r="B91" s="117">
        <f t="shared" si="7"/>
        <v>-3960</v>
      </c>
      <c r="C91" s="116">
        <f t="shared" si="8"/>
        <v>-396</v>
      </c>
      <c r="D91" s="105">
        <f>WORKDAY($G$1,C91+E90,JoursFeries!$B$3:$CH$15)</f>
        <v>42332</v>
      </c>
      <c r="E91" s="5">
        <v>1</v>
      </c>
      <c r="F91" s="8">
        <f t="shared" si="6"/>
        <v>42332</v>
      </c>
      <c r="G91" s="4" t="s">
        <v>282</v>
      </c>
      <c r="J91" s="112"/>
      <c r="K91" s="194"/>
      <c r="L91" s="194"/>
      <c r="M91" s="195"/>
      <c r="O91" s="115"/>
      <c r="P91" s="115"/>
      <c r="Q91" s="193"/>
      <c r="R91" s="194"/>
      <c r="S91" s="194"/>
      <c r="T91" s="194"/>
      <c r="U91" s="193"/>
      <c r="V91" s="194"/>
      <c r="W91" s="194"/>
      <c r="X91" s="194"/>
      <c r="Y91" s="194"/>
    </row>
    <row r="92" spans="1:25" x14ac:dyDescent="0.25">
      <c r="A92" s="101">
        <f t="shared" si="4"/>
        <v>7200</v>
      </c>
      <c r="B92" s="117">
        <f t="shared" si="7"/>
        <v>-3860</v>
      </c>
      <c r="C92" s="116">
        <f t="shared" si="8"/>
        <v>-386</v>
      </c>
      <c r="D92" s="105">
        <f>WORKDAY($G$1,C92+E91,JoursFeries!$B$3:$CH$15)</f>
        <v>42345</v>
      </c>
      <c r="E92" s="5">
        <v>1</v>
      </c>
      <c r="F92" s="8">
        <f t="shared" si="6"/>
        <v>42345</v>
      </c>
      <c r="G92" s="4" t="s">
        <v>283</v>
      </c>
      <c r="J92" s="112"/>
      <c r="K92" s="194"/>
      <c r="L92" s="194"/>
      <c r="M92" s="195"/>
      <c r="O92" s="115"/>
      <c r="P92" s="115"/>
      <c r="Q92" s="193"/>
      <c r="R92" s="194"/>
      <c r="S92" s="194"/>
      <c r="T92" s="194"/>
      <c r="U92" s="193"/>
      <c r="V92" s="194"/>
      <c r="W92" s="194"/>
      <c r="X92" s="194"/>
      <c r="Y92" s="194"/>
    </row>
    <row r="93" spans="1:25" x14ac:dyDescent="0.25">
      <c r="A93" s="101">
        <f t="shared" si="4"/>
        <v>7250</v>
      </c>
      <c r="B93" s="117">
        <f t="shared" si="7"/>
        <v>-3810</v>
      </c>
      <c r="C93" s="116">
        <f t="shared" si="8"/>
        <v>-381</v>
      </c>
      <c r="D93" s="105">
        <f>WORKDAY($G$1,C93+E92,JoursFeries!$B$3:$CH$15)</f>
        <v>42352</v>
      </c>
      <c r="E93" s="5">
        <v>1</v>
      </c>
      <c r="F93" s="8">
        <f t="shared" si="6"/>
        <v>42352</v>
      </c>
      <c r="G93" s="4" t="s">
        <v>206</v>
      </c>
      <c r="J93" s="112"/>
      <c r="K93" s="194"/>
      <c r="L93" s="194"/>
      <c r="M93" s="195"/>
      <c r="O93" s="115"/>
      <c r="P93" s="115"/>
      <c r="Q93" s="193"/>
      <c r="R93" s="194"/>
      <c r="S93" s="194"/>
      <c r="T93" s="194"/>
      <c r="U93" s="193"/>
      <c r="V93" s="194"/>
      <c r="W93" s="194"/>
      <c r="X93" s="194"/>
      <c r="Y93" s="194"/>
    </row>
    <row r="94" spans="1:25" x14ac:dyDescent="0.25">
      <c r="A94" s="101">
        <f t="shared" ref="A94:A157" si="9">A82+1000</f>
        <v>7300</v>
      </c>
      <c r="B94" s="117">
        <f t="shared" si="7"/>
        <v>-3760</v>
      </c>
      <c r="C94" s="116">
        <f t="shared" si="8"/>
        <v>-376</v>
      </c>
      <c r="D94" s="105">
        <f>WORKDAY($G$1,C94+E93,JoursFeries!$B$3:$CH$15)</f>
        <v>42359</v>
      </c>
      <c r="E94" s="5">
        <v>1</v>
      </c>
      <c r="F94" s="8">
        <f t="shared" si="6"/>
        <v>42359</v>
      </c>
      <c r="G94" s="4" t="s">
        <v>284</v>
      </c>
      <c r="J94" s="112"/>
      <c r="K94" s="194"/>
      <c r="L94" s="194"/>
      <c r="M94" s="195"/>
      <c r="O94" s="115"/>
      <c r="P94" s="115"/>
      <c r="Q94" s="193"/>
      <c r="R94" s="194"/>
      <c r="S94" s="194"/>
      <c r="T94" s="194"/>
      <c r="U94" s="193"/>
      <c r="V94" s="194"/>
      <c r="W94" s="194"/>
      <c r="X94" s="194"/>
      <c r="Y94" s="194"/>
    </row>
    <row r="95" spans="1:25" x14ac:dyDescent="0.25">
      <c r="A95" s="101">
        <f t="shared" si="9"/>
        <v>7400</v>
      </c>
      <c r="B95" s="117">
        <f t="shared" si="7"/>
        <v>-3660</v>
      </c>
      <c r="C95" s="116">
        <f t="shared" si="8"/>
        <v>-366</v>
      </c>
      <c r="D95" s="105">
        <f>WORKDAY($G$1,C95+E94,JoursFeries!$B$3:$CH$15)</f>
        <v>42374</v>
      </c>
      <c r="E95" s="5">
        <v>1</v>
      </c>
      <c r="F95" s="8">
        <f t="shared" si="6"/>
        <v>42374</v>
      </c>
      <c r="G95" s="4" t="s">
        <v>285</v>
      </c>
      <c r="J95" s="112"/>
      <c r="K95" s="194"/>
      <c r="L95" s="194"/>
      <c r="M95" s="195"/>
      <c r="O95" s="115"/>
      <c r="P95" s="115"/>
      <c r="Q95" s="193"/>
      <c r="R95" s="194"/>
      <c r="S95" s="194"/>
      <c r="T95" s="194"/>
      <c r="U95" s="193"/>
      <c r="V95" s="194"/>
      <c r="W95" s="194"/>
      <c r="X95" s="194"/>
      <c r="Y95" s="194"/>
    </row>
    <row r="96" spans="1:25" x14ac:dyDescent="0.25">
      <c r="A96" s="101">
        <f t="shared" si="9"/>
        <v>7500</v>
      </c>
      <c r="B96" s="117">
        <f t="shared" si="7"/>
        <v>-3560</v>
      </c>
      <c r="C96" s="116">
        <f t="shared" si="8"/>
        <v>-356</v>
      </c>
      <c r="D96" s="105">
        <f>WORKDAY($G$1,C96+E95,JoursFeries!$B$3:$CH$15)</f>
        <v>42388</v>
      </c>
      <c r="E96" s="5">
        <v>1</v>
      </c>
      <c r="F96" s="8">
        <f t="shared" si="6"/>
        <v>42388</v>
      </c>
      <c r="G96" s="4" t="s">
        <v>286</v>
      </c>
      <c r="J96" s="112"/>
      <c r="K96" s="194"/>
      <c r="L96" s="194"/>
      <c r="M96" s="195"/>
      <c r="O96" s="115"/>
      <c r="P96" s="115"/>
      <c r="Q96" s="193"/>
      <c r="R96" s="194"/>
      <c r="S96" s="194"/>
      <c r="T96" s="194"/>
      <c r="U96" s="193"/>
      <c r="V96" s="194"/>
      <c r="W96" s="194"/>
      <c r="X96" s="194"/>
      <c r="Y96" s="194"/>
    </row>
    <row r="97" spans="1:25" x14ac:dyDescent="0.25">
      <c r="A97" s="101">
        <f t="shared" si="9"/>
        <v>7600</v>
      </c>
      <c r="B97" s="117">
        <f t="shared" si="7"/>
        <v>-3460</v>
      </c>
      <c r="C97" s="116">
        <f t="shared" si="8"/>
        <v>-346</v>
      </c>
      <c r="D97" s="105">
        <f>WORKDAY($G$1,C97+E96,JoursFeries!$B$3:$CH$15)</f>
        <v>42402</v>
      </c>
      <c r="E97" s="5">
        <v>1</v>
      </c>
      <c r="F97" s="8">
        <f t="shared" si="6"/>
        <v>42402</v>
      </c>
      <c r="G97" s="4" t="s">
        <v>287</v>
      </c>
      <c r="J97" s="112"/>
      <c r="K97" s="194"/>
      <c r="L97" s="194"/>
      <c r="M97" s="195"/>
      <c r="O97" s="115"/>
      <c r="P97" s="115"/>
      <c r="Q97" s="193"/>
      <c r="R97" s="194"/>
      <c r="S97" s="194"/>
      <c r="T97" s="194"/>
      <c r="U97" s="193"/>
      <c r="V97" s="194"/>
      <c r="W97" s="194"/>
      <c r="X97" s="194"/>
      <c r="Y97" s="194"/>
    </row>
    <row r="98" spans="1:25" x14ac:dyDescent="0.25">
      <c r="A98" s="101">
        <f t="shared" si="9"/>
        <v>7700</v>
      </c>
      <c r="B98" s="117">
        <f t="shared" si="7"/>
        <v>-3360</v>
      </c>
      <c r="C98" s="116">
        <f t="shared" si="8"/>
        <v>-336</v>
      </c>
      <c r="D98" s="105">
        <f>WORKDAY($G$1,C98+E97,JoursFeries!$B$3:$CH$15)</f>
        <v>42416</v>
      </c>
      <c r="E98" s="5">
        <v>1</v>
      </c>
      <c r="F98" s="8">
        <f t="shared" si="6"/>
        <v>42416</v>
      </c>
      <c r="G98" s="4" t="s">
        <v>288</v>
      </c>
      <c r="J98" s="112"/>
      <c r="K98" s="194"/>
      <c r="L98" s="194"/>
      <c r="M98" s="195"/>
      <c r="O98" s="115"/>
      <c r="P98" s="115"/>
      <c r="Q98" s="193"/>
      <c r="R98" s="194"/>
      <c r="S98" s="194"/>
      <c r="T98" s="194"/>
      <c r="U98" s="193"/>
      <c r="V98" s="194"/>
      <c r="W98" s="194"/>
      <c r="X98" s="194"/>
      <c r="Y98" s="194"/>
    </row>
    <row r="99" spans="1:25" x14ac:dyDescent="0.25">
      <c r="A99" s="101">
        <f t="shared" si="9"/>
        <v>7750</v>
      </c>
      <c r="B99" s="117">
        <f t="shared" si="7"/>
        <v>-3310</v>
      </c>
      <c r="C99" s="116">
        <f t="shared" si="8"/>
        <v>-331</v>
      </c>
      <c r="D99" s="105">
        <f>WORKDAY($G$1,C99+E98,JoursFeries!$B$3:$CH$15)</f>
        <v>42423</v>
      </c>
      <c r="E99" s="5">
        <v>1</v>
      </c>
      <c r="F99" s="8">
        <f t="shared" si="6"/>
        <v>42423</v>
      </c>
      <c r="G99" s="4" t="s">
        <v>207</v>
      </c>
      <c r="J99" s="112"/>
      <c r="K99" s="194"/>
      <c r="L99" s="194"/>
      <c r="M99" s="195"/>
      <c r="O99" s="115"/>
      <c r="P99" s="115"/>
      <c r="Q99" s="193"/>
      <c r="R99" s="194"/>
      <c r="S99" s="194"/>
      <c r="T99" s="194"/>
      <c r="U99" s="193"/>
      <c r="V99" s="194"/>
      <c r="W99" s="194"/>
      <c r="X99" s="194"/>
      <c r="Y99" s="194"/>
    </row>
    <row r="100" spans="1:25" x14ac:dyDescent="0.25">
      <c r="A100" s="101">
        <f t="shared" si="9"/>
        <v>7800</v>
      </c>
      <c r="B100" s="117">
        <f t="shared" si="7"/>
        <v>-3260</v>
      </c>
      <c r="C100" s="116">
        <f t="shared" si="8"/>
        <v>-326</v>
      </c>
      <c r="D100" s="105">
        <f>WORKDAY($G$1,C100+E99,JoursFeries!$B$3:$CH$15)</f>
        <v>42430</v>
      </c>
      <c r="E100" s="5">
        <v>1</v>
      </c>
      <c r="F100" s="8">
        <f t="shared" si="6"/>
        <v>42430</v>
      </c>
      <c r="G100" s="4" t="s">
        <v>289</v>
      </c>
      <c r="J100" s="112"/>
      <c r="K100" s="194"/>
      <c r="L100" s="194"/>
      <c r="M100" s="195"/>
      <c r="O100" s="115"/>
      <c r="P100" s="115"/>
      <c r="Q100" s="193"/>
      <c r="R100" s="194"/>
      <c r="S100" s="194"/>
      <c r="T100" s="194"/>
      <c r="U100" s="193"/>
      <c r="V100" s="194"/>
      <c r="W100" s="194"/>
      <c r="X100" s="194"/>
      <c r="Y100" s="194"/>
    </row>
    <row r="101" spans="1:25" x14ac:dyDescent="0.25">
      <c r="A101" s="101">
        <f t="shared" si="9"/>
        <v>7900</v>
      </c>
      <c r="B101" s="117">
        <f t="shared" si="7"/>
        <v>-3160</v>
      </c>
      <c r="C101" s="116">
        <f t="shared" si="8"/>
        <v>-316</v>
      </c>
      <c r="D101" s="105">
        <f>WORKDAY($G$1,C101+E100,JoursFeries!$B$3:$CH$15)</f>
        <v>42444</v>
      </c>
      <c r="E101" s="5">
        <v>1</v>
      </c>
      <c r="F101" s="8">
        <f t="shared" si="6"/>
        <v>42444</v>
      </c>
      <c r="G101" s="4" t="s">
        <v>290</v>
      </c>
      <c r="J101" s="112"/>
      <c r="K101" s="194"/>
      <c r="L101" s="194"/>
      <c r="M101" s="195"/>
      <c r="O101" s="115"/>
      <c r="P101" s="115"/>
      <c r="Q101" s="193"/>
      <c r="R101" s="194"/>
      <c r="S101" s="194"/>
      <c r="T101" s="194"/>
      <c r="U101" s="193"/>
      <c r="V101" s="194"/>
      <c r="W101" s="194"/>
      <c r="X101" s="194"/>
      <c r="Y101" s="194"/>
    </row>
    <row r="102" spans="1:25" x14ac:dyDescent="0.25">
      <c r="A102" s="101">
        <f t="shared" si="9"/>
        <v>8000</v>
      </c>
      <c r="B102" s="117">
        <f t="shared" si="7"/>
        <v>-3060</v>
      </c>
      <c r="C102" s="116">
        <f t="shared" si="8"/>
        <v>-306</v>
      </c>
      <c r="D102" s="105">
        <f>WORKDAY($G$1,C102+E101,JoursFeries!$B$3:$CH$15)</f>
        <v>42459</v>
      </c>
      <c r="E102" s="5">
        <v>2</v>
      </c>
      <c r="F102" s="8">
        <f t="shared" si="6"/>
        <v>42459</v>
      </c>
      <c r="G102" s="4" t="s">
        <v>291</v>
      </c>
      <c r="J102" s="112"/>
      <c r="K102" s="194"/>
      <c r="L102" s="194"/>
      <c r="M102" s="195"/>
      <c r="O102" s="115"/>
      <c r="P102" s="115"/>
      <c r="Q102" s="193"/>
      <c r="R102" s="194"/>
      <c r="S102" s="194"/>
      <c r="T102" s="194"/>
      <c r="U102" s="193"/>
      <c r="V102" s="194"/>
      <c r="W102" s="194"/>
      <c r="X102" s="194"/>
      <c r="Y102" s="194"/>
    </row>
    <row r="103" spans="1:25" x14ac:dyDescent="0.25">
      <c r="A103" s="101">
        <f t="shared" si="9"/>
        <v>8100</v>
      </c>
      <c r="B103" s="117">
        <f t="shared" si="7"/>
        <v>-2960</v>
      </c>
      <c r="C103" s="116">
        <f t="shared" si="8"/>
        <v>-296</v>
      </c>
      <c r="D103" s="105">
        <f>WORKDAY($G$1,C103+E102,JoursFeries!$B$3:$CH$15)</f>
        <v>42474</v>
      </c>
      <c r="E103" s="5">
        <v>1</v>
      </c>
      <c r="F103" s="8">
        <f t="shared" ref="F103:F134" si="10">D103</f>
        <v>42474</v>
      </c>
      <c r="G103" s="4" t="s">
        <v>292</v>
      </c>
      <c r="J103" s="112"/>
      <c r="K103" s="194"/>
      <c r="L103" s="194"/>
      <c r="M103" s="195"/>
      <c r="O103" s="115"/>
      <c r="P103" s="115"/>
      <c r="Q103" s="193"/>
      <c r="R103" s="194"/>
      <c r="S103" s="194"/>
      <c r="T103" s="194"/>
      <c r="U103" s="193"/>
      <c r="V103" s="194"/>
      <c r="W103" s="194"/>
      <c r="X103" s="194"/>
      <c r="Y103" s="194"/>
    </row>
    <row r="104" spans="1:25" x14ac:dyDescent="0.25">
      <c r="A104" s="101">
        <f t="shared" si="9"/>
        <v>8200</v>
      </c>
      <c r="B104" s="117">
        <f t="shared" si="7"/>
        <v>-2860</v>
      </c>
      <c r="C104" s="116">
        <f t="shared" si="8"/>
        <v>-286</v>
      </c>
      <c r="D104" s="105">
        <f>WORKDAY($G$1,C104+E103,JoursFeries!$B$3:$CH$15)</f>
        <v>42487</v>
      </c>
      <c r="E104" s="5">
        <v>1</v>
      </c>
      <c r="F104" s="8">
        <f t="shared" si="10"/>
        <v>42487</v>
      </c>
      <c r="G104" s="4" t="s">
        <v>293</v>
      </c>
      <c r="J104" s="112"/>
      <c r="K104" s="194"/>
      <c r="L104" s="194"/>
      <c r="M104" s="195"/>
      <c r="O104" s="115"/>
      <c r="P104" s="115"/>
      <c r="Q104" s="193"/>
      <c r="R104" s="194"/>
      <c r="S104" s="194"/>
      <c r="T104" s="194"/>
      <c r="U104" s="193"/>
      <c r="V104" s="194"/>
      <c r="W104" s="194"/>
      <c r="X104" s="194"/>
      <c r="Y104" s="194"/>
    </row>
    <row r="105" spans="1:25" x14ac:dyDescent="0.25">
      <c r="A105" s="101">
        <f t="shared" si="9"/>
        <v>8250</v>
      </c>
      <c r="B105" s="117">
        <f t="shared" si="7"/>
        <v>-2810</v>
      </c>
      <c r="C105" s="116">
        <f t="shared" si="8"/>
        <v>-281</v>
      </c>
      <c r="D105" s="105">
        <f>WORKDAY($G$1,C105+E104,JoursFeries!$B$3:$CH$15)</f>
        <v>42494</v>
      </c>
      <c r="E105" s="5">
        <v>1</v>
      </c>
      <c r="F105" s="8">
        <f t="shared" si="10"/>
        <v>42494</v>
      </c>
      <c r="G105" s="4" t="s">
        <v>208</v>
      </c>
      <c r="J105" s="112"/>
      <c r="K105" s="194"/>
      <c r="L105" s="194"/>
      <c r="M105" s="195"/>
      <c r="O105" s="115"/>
      <c r="P105" s="115"/>
      <c r="Q105" s="193"/>
      <c r="R105" s="194"/>
      <c r="S105" s="194"/>
      <c r="T105" s="194"/>
      <c r="U105" s="193"/>
      <c r="V105" s="194"/>
      <c r="W105" s="194"/>
      <c r="X105" s="194"/>
      <c r="Y105" s="194"/>
    </row>
    <row r="106" spans="1:25" x14ac:dyDescent="0.25">
      <c r="A106" s="101">
        <f t="shared" si="9"/>
        <v>8300</v>
      </c>
      <c r="B106" s="117">
        <f t="shared" si="7"/>
        <v>-2760</v>
      </c>
      <c r="C106" s="116">
        <f t="shared" si="8"/>
        <v>-276</v>
      </c>
      <c r="D106" s="105">
        <f>WORKDAY($G$1,C106+E105,JoursFeries!$B$3:$CH$15)</f>
        <v>42502</v>
      </c>
      <c r="E106" s="5">
        <v>1</v>
      </c>
      <c r="F106" s="8">
        <f t="shared" si="10"/>
        <v>42502</v>
      </c>
      <c r="G106" s="4" t="s">
        <v>294</v>
      </c>
      <c r="J106" s="112"/>
      <c r="K106" s="194"/>
      <c r="L106" s="194"/>
      <c r="M106" s="195"/>
      <c r="O106" s="115"/>
      <c r="P106" s="115"/>
      <c r="Q106" s="193"/>
      <c r="R106" s="194"/>
      <c r="S106" s="194"/>
      <c r="T106" s="194"/>
      <c r="U106" s="193"/>
      <c r="V106" s="194"/>
      <c r="W106" s="194"/>
      <c r="X106" s="194"/>
      <c r="Y106" s="194"/>
    </row>
    <row r="107" spans="1:25" x14ac:dyDescent="0.25">
      <c r="A107" s="101">
        <f t="shared" si="9"/>
        <v>8400</v>
      </c>
      <c r="B107" s="117">
        <f t="shared" si="7"/>
        <v>-2660</v>
      </c>
      <c r="C107" s="116">
        <f t="shared" si="8"/>
        <v>-266</v>
      </c>
      <c r="D107" s="105">
        <f>WORKDAY($G$1,C107+E106,JoursFeries!$B$3:$CH$15)</f>
        <v>42517</v>
      </c>
      <c r="E107" s="5">
        <v>1</v>
      </c>
      <c r="F107" s="8">
        <f t="shared" si="10"/>
        <v>42517</v>
      </c>
      <c r="G107" s="4" t="s">
        <v>295</v>
      </c>
      <c r="J107" s="112"/>
      <c r="K107" s="194"/>
      <c r="L107" s="194"/>
      <c r="M107" s="195"/>
      <c r="O107" s="115"/>
      <c r="P107" s="115"/>
      <c r="Q107" s="193"/>
      <c r="R107" s="194"/>
      <c r="S107" s="194"/>
      <c r="T107" s="194"/>
      <c r="U107" s="193"/>
      <c r="V107" s="194"/>
      <c r="W107" s="194"/>
      <c r="X107" s="194"/>
      <c r="Y107" s="194"/>
    </row>
    <row r="108" spans="1:25" x14ac:dyDescent="0.25">
      <c r="A108" s="101">
        <f t="shared" si="9"/>
        <v>8500</v>
      </c>
      <c r="B108" s="117">
        <f t="shared" si="7"/>
        <v>-2560</v>
      </c>
      <c r="C108" s="116">
        <f t="shared" si="8"/>
        <v>-256</v>
      </c>
      <c r="D108" s="105">
        <f>WORKDAY($G$1,C108+E107,JoursFeries!$B$3:$CH$15)</f>
        <v>42531</v>
      </c>
      <c r="E108" s="5">
        <v>1</v>
      </c>
      <c r="F108" s="8">
        <f t="shared" si="10"/>
        <v>42531</v>
      </c>
      <c r="G108" s="4" t="s">
        <v>296</v>
      </c>
      <c r="J108" s="112"/>
      <c r="K108" s="194"/>
      <c r="L108" s="194"/>
      <c r="M108" s="195"/>
      <c r="O108" s="115"/>
      <c r="P108" s="115"/>
      <c r="Q108" s="193"/>
      <c r="R108" s="194"/>
      <c r="S108" s="194"/>
      <c r="T108" s="194"/>
      <c r="U108" s="193"/>
      <c r="V108" s="194"/>
      <c r="W108" s="194"/>
      <c r="X108" s="194"/>
      <c r="Y108" s="194"/>
    </row>
    <row r="109" spans="1:25" x14ac:dyDescent="0.25">
      <c r="A109" s="101">
        <f t="shared" si="9"/>
        <v>8600</v>
      </c>
      <c r="B109" s="117">
        <f t="shared" si="7"/>
        <v>-2460</v>
      </c>
      <c r="C109" s="116">
        <f t="shared" si="8"/>
        <v>-246</v>
      </c>
      <c r="D109" s="105">
        <f>WORKDAY($G$1,C109+E108,JoursFeries!$B$3:$CH$15)</f>
        <v>42545</v>
      </c>
      <c r="E109" s="5">
        <v>1</v>
      </c>
      <c r="F109" s="8">
        <f t="shared" si="10"/>
        <v>42545</v>
      </c>
      <c r="G109" s="4" t="s">
        <v>297</v>
      </c>
      <c r="J109" s="112"/>
      <c r="K109" s="194"/>
      <c r="L109" s="194"/>
      <c r="M109" s="195"/>
      <c r="O109" s="115"/>
      <c r="P109" s="115"/>
      <c r="Q109" s="193"/>
      <c r="R109" s="194"/>
      <c r="S109" s="194"/>
      <c r="T109" s="194"/>
      <c r="U109" s="193"/>
      <c r="V109" s="194"/>
      <c r="W109" s="194"/>
      <c r="X109" s="194"/>
      <c r="Y109" s="194"/>
    </row>
    <row r="110" spans="1:25" x14ac:dyDescent="0.25">
      <c r="A110" s="101">
        <f t="shared" si="9"/>
        <v>8700</v>
      </c>
      <c r="B110" s="117">
        <f t="shared" si="7"/>
        <v>-2360</v>
      </c>
      <c r="C110" s="116">
        <f t="shared" si="8"/>
        <v>-236</v>
      </c>
      <c r="D110" s="105">
        <f>WORKDAY($G$1,C110+E109,JoursFeries!$B$3:$CH$15)</f>
        <v>42559</v>
      </c>
      <c r="E110" s="5">
        <v>1</v>
      </c>
      <c r="F110" s="8">
        <f t="shared" si="10"/>
        <v>42559</v>
      </c>
      <c r="G110" s="4" t="s">
        <v>298</v>
      </c>
      <c r="J110" s="112"/>
      <c r="K110" s="194"/>
      <c r="L110" s="194"/>
      <c r="M110" s="195"/>
      <c r="O110" s="115"/>
      <c r="P110" s="115"/>
      <c r="Q110" s="193"/>
      <c r="R110" s="194"/>
      <c r="S110" s="194"/>
      <c r="T110" s="194"/>
      <c r="U110" s="193"/>
      <c r="V110" s="194"/>
      <c r="W110" s="194"/>
      <c r="X110" s="194"/>
      <c r="Y110" s="194"/>
    </row>
    <row r="111" spans="1:25" x14ac:dyDescent="0.25">
      <c r="A111" s="101">
        <f t="shared" si="9"/>
        <v>8750</v>
      </c>
      <c r="B111" s="117">
        <f t="shared" si="7"/>
        <v>-2310</v>
      </c>
      <c r="C111" s="116">
        <f t="shared" si="8"/>
        <v>-231</v>
      </c>
      <c r="D111" s="105">
        <f>WORKDAY($G$1,C111+E110,JoursFeries!$B$3:$CH$15)</f>
        <v>42569</v>
      </c>
      <c r="E111" s="5">
        <v>1</v>
      </c>
      <c r="F111" s="8">
        <f t="shared" si="10"/>
        <v>42569</v>
      </c>
      <c r="G111" s="4" t="s">
        <v>209</v>
      </c>
      <c r="J111" s="112"/>
      <c r="K111" s="194"/>
      <c r="L111" s="194"/>
      <c r="M111" s="195"/>
      <c r="O111" s="115"/>
      <c r="P111" s="115"/>
      <c r="Q111" s="193"/>
      <c r="R111" s="194"/>
      <c r="S111" s="194"/>
      <c r="T111" s="194"/>
      <c r="U111" s="193"/>
      <c r="V111" s="194"/>
      <c r="W111" s="194"/>
      <c r="X111" s="194"/>
      <c r="Y111" s="194"/>
    </row>
    <row r="112" spans="1:25" x14ac:dyDescent="0.25">
      <c r="A112" s="101">
        <f t="shared" si="9"/>
        <v>8800</v>
      </c>
      <c r="B112" s="117">
        <f t="shared" si="7"/>
        <v>-2260</v>
      </c>
      <c r="C112" s="116">
        <f t="shared" si="8"/>
        <v>-226</v>
      </c>
      <c r="D112" s="105">
        <f>WORKDAY($G$1,C112+E111,JoursFeries!$B$3:$CH$15)</f>
        <v>42576</v>
      </c>
      <c r="E112" s="5">
        <v>1</v>
      </c>
      <c r="F112" s="8">
        <f t="shared" si="10"/>
        <v>42576</v>
      </c>
      <c r="G112" s="4" t="s">
        <v>299</v>
      </c>
      <c r="J112" s="112"/>
      <c r="K112" s="194"/>
      <c r="L112" s="194"/>
      <c r="M112" s="195"/>
      <c r="O112" s="115"/>
      <c r="P112" s="115"/>
      <c r="Q112" s="193"/>
      <c r="R112" s="194"/>
      <c r="S112" s="194"/>
      <c r="T112" s="194"/>
      <c r="U112" s="193"/>
      <c r="V112" s="194"/>
      <c r="W112" s="194"/>
      <c r="X112" s="194"/>
      <c r="Y112" s="194"/>
    </row>
    <row r="113" spans="1:25" x14ac:dyDescent="0.25">
      <c r="A113" s="101">
        <f t="shared" si="9"/>
        <v>8900</v>
      </c>
      <c r="B113" s="117">
        <f t="shared" si="7"/>
        <v>-2160</v>
      </c>
      <c r="C113" s="116">
        <f t="shared" si="8"/>
        <v>-216</v>
      </c>
      <c r="D113" s="105">
        <f>WORKDAY($G$1,C113+E112,JoursFeries!$B$3:$CH$15)</f>
        <v>42590</v>
      </c>
      <c r="E113" s="5">
        <v>1</v>
      </c>
      <c r="F113" s="8">
        <f t="shared" si="10"/>
        <v>42590</v>
      </c>
      <c r="G113" s="4" t="s">
        <v>300</v>
      </c>
      <c r="J113" s="112"/>
      <c r="K113" s="194"/>
      <c r="L113" s="194"/>
      <c r="M113" s="195"/>
      <c r="O113" s="115"/>
      <c r="P113" s="115"/>
      <c r="Q113" s="193"/>
      <c r="R113" s="194"/>
      <c r="S113" s="194"/>
      <c r="T113" s="194"/>
      <c r="U113" s="193"/>
      <c r="V113" s="194"/>
      <c r="W113" s="194"/>
      <c r="X113" s="194"/>
      <c r="Y113" s="194"/>
    </row>
    <row r="114" spans="1:25" x14ac:dyDescent="0.25">
      <c r="A114" s="101">
        <f t="shared" si="9"/>
        <v>9000</v>
      </c>
      <c r="B114" s="117">
        <f t="shared" si="7"/>
        <v>-2060</v>
      </c>
      <c r="C114" s="116">
        <f t="shared" si="8"/>
        <v>-206</v>
      </c>
      <c r="D114" s="105">
        <f>WORKDAY($G$1,C114+E113,JoursFeries!$B$3:$CH$15)</f>
        <v>42605</v>
      </c>
      <c r="E114" s="5">
        <v>2</v>
      </c>
      <c r="F114" s="8">
        <f t="shared" si="10"/>
        <v>42605</v>
      </c>
      <c r="G114" s="4" t="s">
        <v>301</v>
      </c>
      <c r="J114" s="112"/>
      <c r="K114" s="194"/>
      <c r="L114" s="194"/>
      <c r="M114" s="195"/>
      <c r="O114" s="115"/>
      <c r="P114" s="115"/>
      <c r="Q114" s="193"/>
      <c r="R114" s="194"/>
      <c r="S114" s="194"/>
      <c r="T114" s="194"/>
      <c r="U114" s="193"/>
      <c r="V114" s="194"/>
      <c r="W114" s="194"/>
      <c r="X114" s="194"/>
      <c r="Y114" s="194"/>
    </row>
    <row r="115" spans="1:25" x14ac:dyDescent="0.25">
      <c r="A115" s="101">
        <f t="shared" si="9"/>
        <v>9100</v>
      </c>
      <c r="B115" s="117">
        <f t="shared" si="7"/>
        <v>-1960</v>
      </c>
      <c r="C115" s="116">
        <f t="shared" si="8"/>
        <v>-196</v>
      </c>
      <c r="D115" s="105">
        <f>WORKDAY($G$1,C115+E114,JoursFeries!$B$3:$CH$15)</f>
        <v>42620</v>
      </c>
      <c r="E115" s="5">
        <v>1</v>
      </c>
      <c r="F115" s="8">
        <f t="shared" si="10"/>
        <v>42620</v>
      </c>
      <c r="G115" s="4" t="s">
        <v>302</v>
      </c>
      <c r="J115" s="112"/>
      <c r="K115" s="194"/>
      <c r="L115" s="194"/>
      <c r="M115" s="195"/>
      <c r="O115" s="115"/>
      <c r="P115" s="115"/>
      <c r="Q115" s="193"/>
      <c r="R115" s="194"/>
      <c r="S115" s="194"/>
      <c r="T115" s="194"/>
      <c r="U115" s="193"/>
      <c r="V115" s="194"/>
      <c r="W115" s="194"/>
      <c r="X115" s="194"/>
      <c r="Y115" s="194"/>
    </row>
    <row r="116" spans="1:25" x14ac:dyDescent="0.25">
      <c r="A116" s="101">
        <f t="shared" si="9"/>
        <v>9200</v>
      </c>
      <c r="B116" s="117">
        <f t="shared" si="7"/>
        <v>-1860</v>
      </c>
      <c r="C116" s="116">
        <f t="shared" si="8"/>
        <v>-186</v>
      </c>
      <c r="D116" s="105">
        <f>WORKDAY($G$1,C116+E115,JoursFeries!$B$3:$CH$15)</f>
        <v>42633</v>
      </c>
      <c r="E116" s="5">
        <v>1</v>
      </c>
      <c r="F116" s="8">
        <f t="shared" si="10"/>
        <v>42633</v>
      </c>
      <c r="G116" s="4" t="s">
        <v>303</v>
      </c>
      <c r="J116" s="112"/>
      <c r="K116" s="194"/>
      <c r="L116" s="194"/>
      <c r="M116" s="195"/>
      <c r="O116" s="115"/>
      <c r="P116" s="115"/>
      <c r="Q116" s="193"/>
      <c r="R116" s="194"/>
      <c r="S116" s="194"/>
      <c r="T116" s="194"/>
      <c r="U116" s="193"/>
      <c r="V116" s="194"/>
      <c r="W116" s="194"/>
      <c r="X116" s="194"/>
      <c r="Y116" s="194"/>
    </row>
    <row r="117" spans="1:25" x14ac:dyDescent="0.25">
      <c r="A117" s="101">
        <f t="shared" si="9"/>
        <v>9250</v>
      </c>
      <c r="B117" s="117">
        <f t="shared" si="7"/>
        <v>-1810</v>
      </c>
      <c r="C117" s="116">
        <f t="shared" si="8"/>
        <v>-181</v>
      </c>
      <c r="D117" s="105">
        <f>WORKDAY($G$1,C117+E116,JoursFeries!$B$3:$CH$15)</f>
        <v>42640</v>
      </c>
      <c r="E117" s="5">
        <v>1</v>
      </c>
      <c r="F117" s="8">
        <f t="shared" si="10"/>
        <v>42640</v>
      </c>
      <c r="G117" s="4" t="s">
        <v>210</v>
      </c>
      <c r="J117" s="112"/>
      <c r="K117" s="194"/>
      <c r="L117" s="194"/>
      <c r="M117" s="195"/>
      <c r="O117" s="115"/>
      <c r="P117" s="115"/>
      <c r="Q117" s="193"/>
      <c r="R117" s="194"/>
      <c r="S117" s="194"/>
      <c r="T117" s="194"/>
      <c r="U117" s="193"/>
      <c r="V117" s="194"/>
      <c r="W117" s="194"/>
      <c r="X117" s="194"/>
      <c r="Y117" s="194"/>
    </row>
    <row r="118" spans="1:25" x14ac:dyDescent="0.25">
      <c r="A118" s="101">
        <f t="shared" si="9"/>
        <v>9300</v>
      </c>
      <c r="B118" s="117">
        <f t="shared" si="7"/>
        <v>-1760</v>
      </c>
      <c r="C118" s="116">
        <f t="shared" si="8"/>
        <v>-176</v>
      </c>
      <c r="D118" s="105">
        <f>WORKDAY($G$1,C118+E117,JoursFeries!$B$3:$CH$15)</f>
        <v>42647</v>
      </c>
      <c r="E118" s="5">
        <v>1</v>
      </c>
      <c r="F118" s="8">
        <f t="shared" si="10"/>
        <v>42647</v>
      </c>
      <c r="G118" s="4" t="s">
        <v>304</v>
      </c>
      <c r="J118" s="112"/>
      <c r="K118" s="194"/>
      <c r="L118" s="194"/>
      <c r="M118" s="195"/>
      <c r="O118" s="115"/>
      <c r="P118" s="115"/>
      <c r="Q118" s="193"/>
      <c r="R118" s="194"/>
      <c r="S118" s="194"/>
      <c r="T118" s="194"/>
      <c r="U118" s="193"/>
      <c r="V118" s="194"/>
      <c r="W118" s="194"/>
      <c r="X118" s="194"/>
      <c r="Y118" s="194"/>
    </row>
    <row r="119" spans="1:25" x14ac:dyDescent="0.25">
      <c r="A119" s="101">
        <f t="shared" si="9"/>
        <v>9400</v>
      </c>
      <c r="B119" s="117">
        <f t="shared" si="7"/>
        <v>-1660</v>
      </c>
      <c r="C119" s="116">
        <f t="shared" si="8"/>
        <v>-166</v>
      </c>
      <c r="D119" s="105">
        <f>WORKDAY($G$1,C119+E118,JoursFeries!$B$3:$CH$15)</f>
        <v>42661</v>
      </c>
      <c r="E119" s="5">
        <v>1</v>
      </c>
      <c r="F119" s="8">
        <f t="shared" si="10"/>
        <v>42661</v>
      </c>
      <c r="G119" s="4" t="s">
        <v>305</v>
      </c>
      <c r="J119" s="112"/>
      <c r="K119" s="194"/>
      <c r="L119" s="194"/>
      <c r="M119" s="195"/>
      <c r="O119" s="115"/>
      <c r="P119" s="115"/>
      <c r="Q119" s="193"/>
      <c r="R119" s="194"/>
      <c r="S119" s="194"/>
      <c r="T119" s="194"/>
      <c r="U119" s="193"/>
      <c r="V119" s="194"/>
      <c r="W119" s="194"/>
      <c r="X119" s="194"/>
      <c r="Y119" s="194"/>
    </row>
    <row r="120" spans="1:25" x14ac:dyDescent="0.25">
      <c r="A120" s="101">
        <f t="shared" si="9"/>
        <v>9500</v>
      </c>
      <c r="B120" s="117">
        <f t="shared" si="7"/>
        <v>-1560</v>
      </c>
      <c r="C120" s="116">
        <f t="shared" si="8"/>
        <v>-156</v>
      </c>
      <c r="D120" s="105">
        <f>WORKDAY($G$1,C120+E119,JoursFeries!$B$3:$CH$15)</f>
        <v>42675</v>
      </c>
      <c r="E120" s="5">
        <v>1</v>
      </c>
      <c r="F120" s="8">
        <f t="shared" si="10"/>
        <v>42675</v>
      </c>
      <c r="G120" s="4" t="s">
        <v>306</v>
      </c>
      <c r="J120" s="112"/>
      <c r="K120" s="194"/>
      <c r="L120" s="194"/>
      <c r="M120" s="195"/>
      <c r="O120" s="115"/>
      <c r="P120" s="115"/>
      <c r="Q120" s="193"/>
      <c r="R120" s="194"/>
      <c r="S120" s="194"/>
      <c r="T120" s="194"/>
      <c r="U120" s="193"/>
      <c r="V120" s="194"/>
      <c r="W120" s="194"/>
      <c r="X120" s="194"/>
      <c r="Y120" s="194"/>
    </row>
    <row r="121" spans="1:25" x14ac:dyDescent="0.25">
      <c r="A121" s="101">
        <f t="shared" si="9"/>
        <v>9600</v>
      </c>
      <c r="B121" s="117">
        <f t="shared" si="7"/>
        <v>-1460</v>
      </c>
      <c r="C121" s="116">
        <f t="shared" si="8"/>
        <v>-146</v>
      </c>
      <c r="D121" s="105">
        <f>WORKDAY($G$1,C121+E120,JoursFeries!$B$3:$CH$15)</f>
        <v>42690</v>
      </c>
      <c r="E121" s="5">
        <v>1</v>
      </c>
      <c r="F121" s="8">
        <f t="shared" si="10"/>
        <v>42690</v>
      </c>
      <c r="G121" s="4" t="s">
        <v>307</v>
      </c>
      <c r="J121" s="112"/>
      <c r="K121" s="194"/>
      <c r="L121" s="194"/>
      <c r="M121" s="195"/>
      <c r="O121" s="115"/>
      <c r="P121" s="115"/>
      <c r="Q121" s="193"/>
      <c r="R121" s="194"/>
      <c r="S121" s="194"/>
      <c r="T121" s="194"/>
      <c r="U121" s="193"/>
      <c r="V121" s="194"/>
      <c r="W121" s="194"/>
      <c r="X121" s="194"/>
      <c r="Y121" s="194"/>
    </row>
    <row r="122" spans="1:25" x14ac:dyDescent="0.25">
      <c r="A122" s="101">
        <f t="shared" si="9"/>
        <v>9700</v>
      </c>
      <c r="B122" s="117">
        <f t="shared" si="7"/>
        <v>-1360</v>
      </c>
      <c r="C122" s="116">
        <f t="shared" si="8"/>
        <v>-136</v>
      </c>
      <c r="D122" s="105">
        <f>WORKDAY($G$1,C122+E121,JoursFeries!$B$3:$CH$15)</f>
        <v>42704</v>
      </c>
      <c r="E122" s="5">
        <v>1</v>
      </c>
      <c r="F122" s="8">
        <f t="shared" si="10"/>
        <v>42704</v>
      </c>
      <c r="G122" s="4" t="s">
        <v>308</v>
      </c>
      <c r="J122" s="112"/>
      <c r="K122" s="194"/>
      <c r="L122" s="194"/>
      <c r="M122" s="195"/>
      <c r="O122" s="115"/>
      <c r="P122" s="115"/>
      <c r="Q122" s="193"/>
      <c r="R122" s="194"/>
      <c r="S122" s="194"/>
      <c r="T122" s="194"/>
      <c r="U122" s="193"/>
      <c r="V122" s="194"/>
      <c r="W122" s="194"/>
      <c r="X122" s="194"/>
      <c r="Y122" s="194"/>
    </row>
    <row r="123" spans="1:25" x14ac:dyDescent="0.25">
      <c r="A123" s="101">
        <f t="shared" si="9"/>
        <v>9750</v>
      </c>
      <c r="B123" s="117">
        <f t="shared" si="7"/>
        <v>-1310</v>
      </c>
      <c r="C123" s="116">
        <f t="shared" si="8"/>
        <v>-131</v>
      </c>
      <c r="D123" s="105">
        <f>WORKDAY($G$1,C123+E122,JoursFeries!$B$3:$CH$15)</f>
        <v>42711</v>
      </c>
      <c r="E123" s="5">
        <v>1</v>
      </c>
      <c r="F123" s="8">
        <f t="shared" si="10"/>
        <v>42711</v>
      </c>
      <c r="G123" s="4" t="s">
        <v>211</v>
      </c>
      <c r="J123" s="112"/>
      <c r="K123" s="194"/>
      <c r="L123" s="194"/>
      <c r="M123" s="195"/>
      <c r="O123" s="115"/>
      <c r="P123" s="115"/>
      <c r="Q123" s="193"/>
      <c r="R123" s="194"/>
      <c r="S123" s="194"/>
      <c r="T123" s="194"/>
      <c r="U123" s="193"/>
      <c r="V123" s="194"/>
      <c r="W123" s="194"/>
      <c r="X123" s="194"/>
      <c r="Y123" s="194"/>
    </row>
    <row r="124" spans="1:25" x14ac:dyDescent="0.25">
      <c r="A124" s="101">
        <f t="shared" si="9"/>
        <v>9800</v>
      </c>
      <c r="B124" s="117">
        <f t="shared" si="7"/>
        <v>-1260</v>
      </c>
      <c r="C124" s="116">
        <f t="shared" si="8"/>
        <v>-126</v>
      </c>
      <c r="D124" s="105">
        <f>WORKDAY($G$1,C124+E123,JoursFeries!$B$3:$CH$15)</f>
        <v>42718</v>
      </c>
      <c r="E124" s="5">
        <v>1</v>
      </c>
      <c r="F124" s="8">
        <f t="shared" si="10"/>
        <v>42718</v>
      </c>
      <c r="G124" s="4" t="s">
        <v>309</v>
      </c>
      <c r="J124" s="112"/>
      <c r="K124" s="194"/>
      <c r="L124" s="194"/>
      <c r="M124" s="195"/>
      <c r="O124" s="115"/>
      <c r="P124" s="115"/>
      <c r="Q124" s="193"/>
      <c r="R124" s="194"/>
      <c r="S124" s="194"/>
      <c r="T124" s="194"/>
      <c r="U124" s="193"/>
      <c r="V124" s="194"/>
      <c r="W124" s="194"/>
      <c r="X124" s="194"/>
      <c r="Y124" s="194"/>
    </row>
    <row r="125" spans="1:25" x14ac:dyDescent="0.25">
      <c r="A125" s="101">
        <f t="shared" si="9"/>
        <v>9900</v>
      </c>
      <c r="B125" s="117">
        <f t="shared" si="7"/>
        <v>-1160</v>
      </c>
      <c r="C125" s="116">
        <f t="shared" si="8"/>
        <v>-116</v>
      </c>
      <c r="D125" s="105">
        <f>WORKDAY($G$1,C125+E124,JoursFeries!$B$3:$CH$15)</f>
        <v>42732</v>
      </c>
      <c r="E125" s="5">
        <v>1</v>
      </c>
      <c r="F125" s="8">
        <f t="shared" si="10"/>
        <v>42732</v>
      </c>
      <c r="G125" s="4" t="s">
        <v>310</v>
      </c>
      <c r="J125" s="112"/>
      <c r="K125" s="194"/>
      <c r="L125" s="194"/>
      <c r="M125" s="195"/>
      <c r="O125" s="115"/>
      <c r="P125" s="115"/>
      <c r="Q125" s="193"/>
      <c r="R125" s="194"/>
      <c r="S125" s="194"/>
      <c r="T125" s="194"/>
      <c r="U125" s="193"/>
      <c r="V125" s="194"/>
      <c r="W125" s="194"/>
      <c r="X125" s="194"/>
      <c r="Y125" s="194"/>
    </row>
    <row r="126" spans="1:25" x14ac:dyDescent="0.25">
      <c r="A126" s="101">
        <f t="shared" si="9"/>
        <v>10000</v>
      </c>
      <c r="B126" s="117">
        <f t="shared" si="7"/>
        <v>-1060</v>
      </c>
      <c r="C126" s="116">
        <f t="shared" si="8"/>
        <v>-106</v>
      </c>
      <c r="D126" s="105">
        <f>WORKDAY($G$1,C126+E125,JoursFeries!$B$3:$CH$15)</f>
        <v>42746</v>
      </c>
      <c r="E126" s="5">
        <v>2</v>
      </c>
      <c r="F126" s="8">
        <f t="shared" si="10"/>
        <v>42746</v>
      </c>
      <c r="G126" s="4" t="s">
        <v>311</v>
      </c>
      <c r="J126" s="112"/>
      <c r="K126" s="194"/>
      <c r="L126" s="194"/>
      <c r="M126" s="195"/>
      <c r="O126" s="115"/>
      <c r="P126" s="115"/>
      <c r="Q126" s="193"/>
      <c r="R126" s="194"/>
      <c r="S126" s="194"/>
      <c r="T126" s="194"/>
      <c r="U126" s="193"/>
      <c r="V126" s="194"/>
      <c r="W126" s="194"/>
      <c r="X126" s="194"/>
      <c r="Y126" s="194"/>
    </row>
    <row r="127" spans="1:25" x14ac:dyDescent="0.25">
      <c r="A127" s="101">
        <f t="shared" si="9"/>
        <v>10100</v>
      </c>
      <c r="B127" s="117">
        <f t="shared" si="7"/>
        <v>-960</v>
      </c>
      <c r="C127" s="116">
        <f t="shared" si="8"/>
        <v>-96</v>
      </c>
      <c r="D127" s="105">
        <f>WORKDAY($G$1,C127+E126,JoursFeries!$B$3:$CH$15)</f>
        <v>42761</v>
      </c>
      <c r="E127" s="5">
        <v>1</v>
      </c>
      <c r="F127" s="8">
        <f t="shared" si="10"/>
        <v>42761</v>
      </c>
      <c r="G127" s="4" t="s">
        <v>312</v>
      </c>
      <c r="J127" s="112"/>
      <c r="K127" s="194"/>
      <c r="L127" s="194"/>
      <c r="M127" s="195"/>
      <c r="O127" s="115"/>
      <c r="P127" s="115"/>
      <c r="Q127" s="193"/>
      <c r="R127" s="194"/>
      <c r="S127" s="194"/>
      <c r="T127" s="194"/>
      <c r="U127" s="193"/>
      <c r="V127" s="194"/>
      <c r="W127" s="194"/>
      <c r="X127" s="194"/>
      <c r="Y127" s="194"/>
    </row>
    <row r="128" spans="1:25" x14ac:dyDescent="0.25">
      <c r="A128" s="101">
        <f t="shared" si="9"/>
        <v>10200</v>
      </c>
      <c r="B128" s="117">
        <f t="shared" si="7"/>
        <v>-860</v>
      </c>
      <c r="C128" s="116">
        <f t="shared" si="8"/>
        <v>-86</v>
      </c>
      <c r="D128" s="105">
        <f>WORKDAY($G$1,C128+E127,JoursFeries!$B$3:$CH$15)</f>
        <v>42774</v>
      </c>
      <c r="E128" s="5">
        <v>1</v>
      </c>
      <c r="F128" s="8">
        <f t="shared" si="10"/>
        <v>42774</v>
      </c>
      <c r="G128" s="4" t="s">
        <v>313</v>
      </c>
      <c r="J128" s="112"/>
      <c r="K128" s="194"/>
      <c r="L128" s="194"/>
      <c r="M128" s="195"/>
      <c r="O128" s="115"/>
      <c r="P128" s="115"/>
      <c r="Q128" s="193"/>
      <c r="R128" s="194"/>
      <c r="S128" s="194"/>
      <c r="T128" s="194"/>
      <c r="U128" s="193"/>
      <c r="V128" s="194"/>
      <c r="W128" s="194"/>
      <c r="X128" s="194"/>
      <c r="Y128" s="194"/>
    </row>
    <row r="129" spans="1:25" x14ac:dyDescent="0.25">
      <c r="A129" s="101">
        <f t="shared" si="9"/>
        <v>10250</v>
      </c>
      <c r="B129" s="117">
        <f t="shared" si="7"/>
        <v>-810</v>
      </c>
      <c r="C129" s="116">
        <f t="shared" si="8"/>
        <v>-81</v>
      </c>
      <c r="D129" s="105">
        <f>WORKDAY($G$1,C129+E128,JoursFeries!$B$3:$CH$15)</f>
        <v>42781</v>
      </c>
      <c r="E129" s="5">
        <v>1</v>
      </c>
      <c r="F129" s="8">
        <f t="shared" si="10"/>
        <v>42781</v>
      </c>
      <c r="G129" s="4" t="s">
        <v>188</v>
      </c>
      <c r="J129" s="112"/>
      <c r="K129" s="194"/>
      <c r="L129" s="194"/>
      <c r="M129" s="195"/>
      <c r="O129" s="115"/>
      <c r="P129" s="115"/>
      <c r="Q129" s="193"/>
      <c r="R129" s="194"/>
      <c r="S129" s="194"/>
      <c r="T129" s="194"/>
      <c r="U129" s="193"/>
      <c r="V129" s="194"/>
      <c r="W129" s="194"/>
      <c r="X129" s="194"/>
      <c r="Y129" s="194"/>
    </row>
    <row r="130" spans="1:25" x14ac:dyDescent="0.25">
      <c r="A130" s="101">
        <f t="shared" si="9"/>
        <v>10300</v>
      </c>
      <c r="B130" s="117">
        <f t="shared" si="7"/>
        <v>-760</v>
      </c>
      <c r="C130" s="116">
        <f t="shared" si="8"/>
        <v>-76</v>
      </c>
      <c r="D130" s="105">
        <f>WORKDAY($G$1,C130+E129,JoursFeries!$B$3:$CH$15)</f>
        <v>42788</v>
      </c>
      <c r="E130" s="5">
        <v>1</v>
      </c>
      <c r="F130" s="8">
        <f t="shared" si="10"/>
        <v>42788</v>
      </c>
      <c r="G130" s="4" t="s">
        <v>314</v>
      </c>
      <c r="J130" s="112"/>
      <c r="K130" s="194"/>
      <c r="L130" s="194"/>
      <c r="M130" s="195"/>
      <c r="O130" s="115"/>
      <c r="P130" s="115"/>
      <c r="Q130" s="193"/>
      <c r="R130" s="194"/>
      <c r="S130" s="194"/>
      <c r="T130" s="194"/>
      <c r="U130" s="193"/>
      <c r="V130" s="194"/>
      <c r="W130" s="194"/>
      <c r="X130" s="194"/>
      <c r="Y130" s="194"/>
    </row>
    <row r="131" spans="1:25" x14ac:dyDescent="0.25">
      <c r="A131" s="101">
        <f t="shared" si="9"/>
        <v>10400</v>
      </c>
      <c r="B131" s="117">
        <f t="shared" si="7"/>
        <v>-660</v>
      </c>
      <c r="C131" s="116">
        <f t="shared" si="8"/>
        <v>-66</v>
      </c>
      <c r="D131" s="105">
        <f>WORKDAY($G$1,C131+E130,JoursFeries!$B$3:$CH$15)</f>
        <v>42802</v>
      </c>
      <c r="E131" s="5">
        <v>1</v>
      </c>
      <c r="F131" s="8">
        <f t="shared" si="10"/>
        <v>42802</v>
      </c>
      <c r="G131" s="4" t="s">
        <v>315</v>
      </c>
      <c r="J131" s="112"/>
      <c r="K131" s="194"/>
      <c r="L131" s="194"/>
      <c r="M131" s="195"/>
      <c r="O131" s="115"/>
      <c r="P131" s="115"/>
      <c r="Q131" s="193"/>
      <c r="R131" s="194"/>
      <c r="S131" s="194"/>
      <c r="T131" s="194"/>
      <c r="U131" s="193"/>
      <c r="V131" s="194"/>
      <c r="W131" s="194"/>
      <c r="X131" s="194"/>
      <c r="Y131" s="194"/>
    </row>
    <row r="132" spans="1:25" x14ac:dyDescent="0.25">
      <c r="A132" s="101">
        <f t="shared" si="9"/>
        <v>10500</v>
      </c>
      <c r="B132" s="117">
        <f t="shared" si="7"/>
        <v>-560</v>
      </c>
      <c r="C132" s="116">
        <f t="shared" si="8"/>
        <v>-56</v>
      </c>
      <c r="D132" s="105">
        <f>WORKDAY($G$1,C132+E131,JoursFeries!$B$3:$CH$15)</f>
        <v>42816</v>
      </c>
      <c r="E132" s="5">
        <v>1</v>
      </c>
      <c r="F132" s="8">
        <f t="shared" si="10"/>
        <v>42816</v>
      </c>
      <c r="G132" s="4" t="s">
        <v>316</v>
      </c>
      <c r="J132" s="112"/>
      <c r="K132" s="194"/>
      <c r="L132" s="194"/>
      <c r="M132" s="195"/>
      <c r="O132" s="115"/>
      <c r="P132" s="115"/>
      <c r="Q132" s="193"/>
      <c r="R132" s="194"/>
      <c r="S132" s="194"/>
      <c r="T132" s="194"/>
      <c r="U132" s="193"/>
      <c r="V132" s="194"/>
      <c r="W132" s="194"/>
      <c r="X132" s="194"/>
      <c r="Y132" s="194"/>
    </row>
    <row r="133" spans="1:25" x14ac:dyDescent="0.25">
      <c r="A133" s="101">
        <f t="shared" si="9"/>
        <v>10600</v>
      </c>
      <c r="B133" s="117">
        <f t="shared" si="7"/>
        <v>-460</v>
      </c>
      <c r="C133" s="116">
        <f t="shared" si="8"/>
        <v>-46</v>
      </c>
      <c r="D133" s="105">
        <f>WORKDAY($G$1,C133+E132,JoursFeries!$B$3:$CH$15)</f>
        <v>42830</v>
      </c>
      <c r="E133" s="5">
        <v>1</v>
      </c>
      <c r="F133" s="8">
        <f t="shared" si="10"/>
        <v>42830</v>
      </c>
      <c r="G133" s="4" t="s">
        <v>317</v>
      </c>
      <c r="J133" s="112"/>
      <c r="K133" s="194"/>
      <c r="L133" s="194"/>
      <c r="M133" s="195"/>
      <c r="O133" s="115"/>
      <c r="P133" s="115"/>
      <c r="Q133" s="193"/>
      <c r="R133" s="194"/>
      <c r="S133" s="194"/>
      <c r="T133" s="194"/>
      <c r="U133" s="193"/>
      <c r="V133" s="194"/>
      <c r="W133" s="194"/>
      <c r="X133" s="194"/>
      <c r="Y133" s="194"/>
    </row>
    <row r="134" spans="1:25" x14ac:dyDescent="0.25">
      <c r="A134" s="101">
        <f t="shared" si="9"/>
        <v>10700</v>
      </c>
      <c r="B134" s="117">
        <f t="shared" si="7"/>
        <v>-360</v>
      </c>
      <c r="C134" s="116">
        <f t="shared" si="8"/>
        <v>-36</v>
      </c>
      <c r="D134" s="105">
        <f>WORKDAY($G$1,C134+E133,JoursFeries!$B$3:$CH$15)</f>
        <v>42845</v>
      </c>
      <c r="E134" s="5">
        <v>1</v>
      </c>
      <c r="F134" s="8">
        <f t="shared" si="10"/>
        <v>42845</v>
      </c>
      <c r="G134" s="4" t="s">
        <v>318</v>
      </c>
      <c r="J134" s="112"/>
      <c r="K134" s="194"/>
      <c r="L134" s="194"/>
      <c r="M134" s="195"/>
      <c r="O134" s="115"/>
      <c r="P134" s="115"/>
      <c r="Q134" s="193"/>
      <c r="R134" s="194"/>
      <c r="S134" s="194"/>
      <c r="T134" s="194"/>
      <c r="U134" s="193"/>
      <c r="V134" s="194"/>
      <c r="W134" s="194"/>
      <c r="X134" s="194"/>
      <c r="Y134" s="194"/>
    </row>
    <row r="135" spans="1:25" x14ac:dyDescent="0.25">
      <c r="A135" s="101">
        <f t="shared" si="9"/>
        <v>10750</v>
      </c>
      <c r="B135" s="117">
        <f t="shared" si="7"/>
        <v>-310</v>
      </c>
      <c r="C135" s="116">
        <f t="shared" si="8"/>
        <v>-31</v>
      </c>
      <c r="D135" s="105">
        <f>WORKDAY($G$1,C135+E134,JoursFeries!$B$3:$CH$15)</f>
        <v>42852</v>
      </c>
      <c r="E135" s="5">
        <v>1</v>
      </c>
      <c r="F135" s="8">
        <f t="shared" ref="F135:F147" si="11">D135</f>
        <v>42852</v>
      </c>
      <c r="G135" s="4" t="s">
        <v>189</v>
      </c>
      <c r="J135" s="112"/>
      <c r="K135" s="194"/>
      <c r="L135" s="194"/>
      <c r="M135" s="195"/>
      <c r="O135" s="115"/>
      <c r="P135" s="115"/>
      <c r="Q135" s="193"/>
      <c r="R135" s="194"/>
      <c r="S135" s="194"/>
      <c r="T135" s="194"/>
      <c r="U135" s="193"/>
      <c r="V135" s="194"/>
      <c r="W135" s="194"/>
      <c r="X135" s="194"/>
      <c r="Y135" s="194"/>
    </row>
    <row r="136" spans="1:25" x14ac:dyDescent="0.25">
      <c r="A136" s="101">
        <f t="shared" si="9"/>
        <v>10800</v>
      </c>
      <c r="B136" s="117">
        <f t="shared" ref="B136:B199" si="12">A136-$G$2</f>
        <v>-260</v>
      </c>
      <c r="C136" s="116">
        <f t="shared" ref="C136:C199" si="13">B136/$G$3</f>
        <v>-26</v>
      </c>
      <c r="D136" s="105">
        <f>WORKDAY($G$1,C136+E135,JoursFeries!$B$3:$CH$15)</f>
        <v>42860</v>
      </c>
      <c r="E136" s="5">
        <v>1</v>
      </c>
      <c r="F136" s="8">
        <f t="shared" si="11"/>
        <v>42860</v>
      </c>
      <c r="G136" s="4" t="s">
        <v>319</v>
      </c>
      <c r="J136" s="112"/>
      <c r="K136" s="194"/>
      <c r="L136" s="194"/>
      <c r="M136" s="195"/>
      <c r="O136" s="115"/>
      <c r="P136" s="115"/>
      <c r="Q136" s="193"/>
      <c r="R136" s="194"/>
      <c r="S136" s="194"/>
      <c r="T136" s="194"/>
      <c r="U136" s="193"/>
      <c r="V136" s="194"/>
      <c r="W136" s="194"/>
      <c r="X136" s="194"/>
      <c r="Y136" s="194"/>
    </row>
    <row r="137" spans="1:25" x14ac:dyDescent="0.25">
      <c r="A137" s="101">
        <f t="shared" si="9"/>
        <v>10900</v>
      </c>
      <c r="B137" s="117">
        <f t="shared" si="12"/>
        <v>-160</v>
      </c>
      <c r="C137" s="116">
        <f t="shared" si="13"/>
        <v>-16</v>
      </c>
      <c r="D137" s="105">
        <f>WORKDAY($G$1,C137+E136,JoursFeries!$B$3:$CH$15)</f>
        <v>42877</v>
      </c>
      <c r="E137" s="5">
        <v>1</v>
      </c>
      <c r="F137" s="8">
        <f t="shared" si="11"/>
        <v>42877</v>
      </c>
      <c r="G137" s="4" t="s">
        <v>320</v>
      </c>
      <c r="J137" s="112"/>
      <c r="K137" s="194"/>
      <c r="L137" s="194"/>
      <c r="M137" s="195"/>
      <c r="O137" s="115"/>
      <c r="P137" s="115"/>
      <c r="Q137" s="193"/>
      <c r="R137" s="194"/>
      <c r="S137" s="194"/>
      <c r="T137" s="194"/>
      <c r="U137" s="193"/>
      <c r="V137" s="194"/>
      <c r="W137" s="194"/>
      <c r="X137" s="194"/>
      <c r="Y137" s="194"/>
    </row>
    <row r="138" spans="1:25" x14ac:dyDescent="0.25">
      <c r="A138" s="101">
        <f t="shared" si="9"/>
        <v>11000</v>
      </c>
      <c r="B138" s="117">
        <f t="shared" si="12"/>
        <v>-60</v>
      </c>
      <c r="C138" s="116">
        <f t="shared" si="13"/>
        <v>-6</v>
      </c>
      <c r="D138" s="105">
        <f>WORKDAY($G$1,C138+E137,JoursFeries!$B$3:$CH$15)</f>
        <v>42893</v>
      </c>
      <c r="E138" s="5">
        <v>2</v>
      </c>
      <c r="F138" s="8">
        <f t="shared" si="11"/>
        <v>42893</v>
      </c>
      <c r="G138" s="4" t="s">
        <v>321</v>
      </c>
      <c r="J138" s="112"/>
      <c r="K138" s="194"/>
      <c r="L138" s="194"/>
      <c r="M138" s="195"/>
      <c r="O138" s="115"/>
      <c r="P138" s="115"/>
      <c r="Q138" s="193"/>
      <c r="R138" s="194"/>
      <c r="S138" s="194"/>
      <c r="T138" s="194"/>
      <c r="U138" s="193"/>
      <c r="V138" s="194"/>
      <c r="W138" s="194"/>
      <c r="X138" s="194"/>
      <c r="Y138" s="194"/>
    </row>
    <row r="139" spans="1:25" x14ac:dyDescent="0.25">
      <c r="A139" s="101">
        <f t="shared" si="9"/>
        <v>11100</v>
      </c>
      <c r="B139" s="117">
        <f t="shared" si="12"/>
        <v>40</v>
      </c>
      <c r="C139" s="116">
        <f t="shared" si="13"/>
        <v>4</v>
      </c>
      <c r="D139" s="105">
        <f>WORKDAY($G$1,C139+E138,JoursFeries!$B$3:$CH$15)</f>
        <v>42908</v>
      </c>
      <c r="E139" s="5">
        <v>1</v>
      </c>
      <c r="F139" s="8">
        <f t="shared" si="11"/>
        <v>42908</v>
      </c>
      <c r="G139" s="4" t="s">
        <v>322</v>
      </c>
      <c r="J139" s="112"/>
      <c r="K139" s="194"/>
      <c r="L139" s="194"/>
      <c r="M139" s="195"/>
      <c r="O139" s="115"/>
      <c r="P139" s="115"/>
      <c r="Q139" s="193"/>
      <c r="R139" s="194"/>
      <c r="S139" s="194"/>
      <c r="T139" s="194"/>
      <c r="U139" s="193"/>
      <c r="V139" s="194"/>
      <c r="W139" s="194"/>
      <c r="X139" s="194"/>
      <c r="Y139" s="194"/>
    </row>
    <row r="140" spans="1:25" x14ac:dyDescent="0.25">
      <c r="A140" s="101">
        <f t="shared" si="9"/>
        <v>11200</v>
      </c>
      <c r="B140" s="117">
        <f t="shared" si="12"/>
        <v>140</v>
      </c>
      <c r="C140" s="116">
        <f t="shared" si="13"/>
        <v>14</v>
      </c>
      <c r="D140" s="105">
        <f>WORKDAY($G$1,C140+E139,JoursFeries!$B$3:$CH$15)</f>
        <v>42921</v>
      </c>
      <c r="E140" s="5">
        <v>1</v>
      </c>
      <c r="F140" s="8">
        <f t="shared" si="11"/>
        <v>42921</v>
      </c>
      <c r="G140" s="4" t="s">
        <v>323</v>
      </c>
      <c r="J140" s="112"/>
      <c r="K140" s="194"/>
      <c r="L140" s="194"/>
      <c r="M140" s="195"/>
      <c r="O140" s="115"/>
      <c r="P140" s="115"/>
      <c r="Q140" s="193"/>
      <c r="R140" s="194"/>
      <c r="S140" s="194"/>
      <c r="T140" s="194"/>
      <c r="U140" s="193"/>
      <c r="V140" s="194"/>
      <c r="W140" s="194"/>
      <c r="X140" s="194"/>
      <c r="Y140" s="194"/>
    </row>
    <row r="141" spans="1:25" x14ac:dyDescent="0.25">
      <c r="A141" s="101">
        <f t="shared" si="9"/>
        <v>11250</v>
      </c>
      <c r="B141" s="117">
        <f t="shared" si="12"/>
        <v>190</v>
      </c>
      <c r="C141" s="116">
        <f t="shared" si="13"/>
        <v>19</v>
      </c>
      <c r="D141" s="105">
        <f>WORKDAY($G$1,C141+E140,JoursFeries!$B$3:$CH$15)</f>
        <v>42928</v>
      </c>
      <c r="E141" s="5">
        <v>1</v>
      </c>
      <c r="F141" s="8">
        <f t="shared" si="11"/>
        <v>42928</v>
      </c>
      <c r="G141" s="4" t="s">
        <v>170</v>
      </c>
      <c r="J141" s="112"/>
      <c r="K141" s="194"/>
      <c r="L141" s="194"/>
      <c r="M141" s="195"/>
      <c r="O141" s="115"/>
      <c r="P141" s="115"/>
      <c r="Q141" s="193"/>
      <c r="R141" s="194"/>
      <c r="S141" s="194"/>
      <c r="T141" s="194"/>
      <c r="U141" s="193"/>
      <c r="V141" s="194"/>
      <c r="W141" s="194"/>
      <c r="X141" s="194"/>
      <c r="Y141" s="194"/>
    </row>
    <row r="142" spans="1:25" x14ac:dyDescent="0.25">
      <c r="A142" s="101">
        <f t="shared" si="9"/>
        <v>11300</v>
      </c>
      <c r="B142" s="117">
        <f t="shared" si="12"/>
        <v>240</v>
      </c>
      <c r="C142" s="116">
        <f t="shared" si="13"/>
        <v>24</v>
      </c>
      <c r="D142" s="105">
        <f>WORKDAY($G$1,C142+E141,JoursFeries!$B$3:$CH$15)</f>
        <v>42936</v>
      </c>
      <c r="E142" s="5">
        <v>1</v>
      </c>
      <c r="F142" s="8">
        <f t="shared" si="11"/>
        <v>42936</v>
      </c>
      <c r="G142" s="4" t="s">
        <v>324</v>
      </c>
      <c r="J142" s="112"/>
      <c r="K142" s="194"/>
      <c r="L142" s="194"/>
      <c r="M142" s="195"/>
      <c r="O142" s="115"/>
      <c r="P142" s="115"/>
      <c r="Q142" s="193"/>
      <c r="R142" s="194"/>
      <c r="S142" s="194"/>
      <c r="T142" s="194"/>
      <c r="U142" s="193"/>
      <c r="V142" s="194"/>
      <c r="W142" s="194"/>
      <c r="X142" s="194"/>
      <c r="Y142" s="194"/>
    </row>
    <row r="143" spans="1:25" x14ac:dyDescent="0.25">
      <c r="A143" s="101">
        <f t="shared" si="9"/>
        <v>11400</v>
      </c>
      <c r="B143" s="117">
        <f t="shared" si="12"/>
        <v>340</v>
      </c>
      <c r="C143" s="116">
        <f t="shared" si="13"/>
        <v>34</v>
      </c>
      <c r="D143" s="105">
        <f>WORKDAY($G$1,C143+E142,JoursFeries!$B$3:$CH$15)</f>
        <v>42950</v>
      </c>
      <c r="E143" s="5">
        <v>1</v>
      </c>
      <c r="F143" s="8">
        <f t="shared" si="11"/>
        <v>42950</v>
      </c>
      <c r="G143" s="4" t="s">
        <v>325</v>
      </c>
      <c r="J143" s="112"/>
      <c r="K143" s="194"/>
      <c r="L143" s="194"/>
      <c r="M143" s="195"/>
      <c r="O143" s="115"/>
      <c r="P143" s="115"/>
      <c r="Q143" s="193"/>
      <c r="R143" s="194"/>
      <c r="S143" s="194"/>
      <c r="T143" s="194"/>
      <c r="U143" s="193"/>
      <c r="V143" s="194"/>
      <c r="W143" s="194"/>
      <c r="X143" s="194"/>
      <c r="Y143" s="194"/>
    </row>
    <row r="144" spans="1:25" x14ac:dyDescent="0.25">
      <c r="A144" s="101">
        <f t="shared" si="9"/>
        <v>11500</v>
      </c>
      <c r="B144" s="117">
        <f t="shared" si="12"/>
        <v>440</v>
      </c>
      <c r="C144" s="116">
        <f t="shared" si="13"/>
        <v>44</v>
      </c>
      <c r="D144" s="105">
        <f>WORKDAY($G$1,C144+E143,JoursFeries!$B$3:$CH$15)</f>
        <v>42965</v>
      </c>
      <c r="E144" s="5">
        <v>1</v>
      </c>
      <c r="F144" s="8">
        <f t="shared" si="11"/>
        <v>42965</v>
      </c>
      <c r="G144" s="4" t="s">
        <v>326</v>
      </c>
      <c r="J144" s="112"/>
      <c r="K144" s="194"/>
      <c r="L144" s="194"/>
      <c r="M144" s="195"/>
      <c r="O144" s="115"/>
      <c r="P144" s="115"/>
      <c r="Q144" s="193"/>
      <c r="R144" s="194"/>
      <c r="S144" s="194"/>
      <c r="T144" s="194"/>
      <c r="U144" s="193"/>
      <c r="V144" s="194"/>
      <c r="W144" s="194"/>
      <c r="X144" s="194"/>
      <c r="Y144" s="194"/>
    </row>
    <row r="145" spans="1:25" x14ac:dyDescent="0.25">
      <c r="A145" s="101">
        <f t="shared" si="9"/>
        <v>11600</v>
      </c>
      <c r="B145" s="117">
        <f t="shared" si="12"/>
        <v>540</v>
      </c>
      <c r="C145" s="116">
        <f t="shared" si="13"/>
        <v>54</v>
      </c>
      <c r="D145" s="105">
        <f>WORKDAY($G$1,C145+E144,JoursFeries!$B$3:$CH$15)</f>
        <v>42979</v>
      </c>
      <c r="E145" s="5">
        <v>1</v>
      </c>
      <c r="F145" s="8">
        <f t="shared" si="11"/>
        <v>42979</v>
      </c>
      <c r="G145" s="4" t="s">
        <v>327</v>
      </c>
      <c r="J145" s="112"/>
      <c r="K145" s="194"/>
      <c r="L145" s="194"/>
      <c r="M145" s="195"/>
      <c r="O145" s="115"/>
      <c r="P145" s="115"/>
      <c r="Q145" s="193"/>
      <c r="R145" s="194"/>
      <c r="S145" s="194"/>
      <c r="T145" s="194"/>
      <c r="U145" s="193"/>
      <c r="V145" s="194"/>
      <c r="W145" s="194"/>
      <c r="X145" s="194"/>
      <c r="Y145" s="194"/>
    </row>
    <row r="146" spans="1:25" x14ac:dyDescent="0.25">
      <c r="A146" s="101">
        <f t="shared" si="9"/>
        <v>11700</v>
      </c>
      <c r="B146" s="117">
        <f t="shared" si="12"/>
        <v>640</v>
      </c>
      <c r="C146" s="116">
        <f t="shared" si="13"/>
        <v>64</v>
      </c>
      <c r="D146" s="105">
        <f>WORKDAY($G$1,C146+E145,JoursFeries!$B$3:$CH$15)</f>
        <v>42993</v>
      </c>
      <c r="E146" s="5">
        <v>1</v>
      </c>
      <c r="F146" s="8">
        <f t="shared" si="11"/>
        <v>42993</v>
      </c>
      <c r="G146" s="4" t="s">
        <v>328</v>
      </c>
      <c r="J146" s="112"/>
      <c r="K146" s="194"/>
      <c r="L146" s="194"/>
      <c r="M146" s="195"/>
      <c r="O146" s="115"/>
      <c r="P146" s="115"/>
      <c r="Q146" s="193"/>
      <c r="R146" s="194"/>
      <c r="S146" s="194"/>
      <c r="T146" s="194"/>
      <c r="U146" s="193"/>
      <c r="V146" s="194"/>
      <c r="W146" s="194"/>
      <c r="X146" s="194"/>
      <c r="Y146" s="194"/>
    </row>
    <row r="147" spans="1:25" x14ac:dyDescent="0.25">
      <c r="A147" s="101">
        <f t="shared" si="9"/>
        <v>11750</v>
      </c>
      <c r="B147" s="117">
        <f t="shared" si="12"/>
        <v>690</v>
      </c>
      <c r="C147" s="116">
        <f t="shared" si="13"/>
        <v>69</v>
      </c>
      <c r="D147" s="105">
        <f>WORKDAY($G$1,C147+E146,JoursFeries!$B$3:$CH$15)</f>
        <v>43000</v>
      </c>
      <c r="E147" s="5">
        <v>1</v>
      </c>
      <c r="F147" s="8">
        <f t="shared" si="11"/>
        <v>43000</v>
      </c>
      <c r="G147" s="4" t="s">
        <v>171</v>
      </c>
      <c r="J147" s="112"/>
      <c r="K147" s="194"/>
      <c r="L147" s="194"/>
      <c r="M147" s="195"/>
      <c r="O147" s="115"/>
      <c r="P147" s="115"/>
      <c r="Q147" s="193"/>
      <c r="R147" s="194"/>
      <c r="S147" s="194"/>
      <c r="T147" s="194"/>
      <c r="U147" s="193"/>
      <c r="V147" s="194"/>
      <c r="W147" s="194"/>
      <c r="X147" s="194"/>
      <c r="Y147" s="194"/>
    </row>
    <row r="148" spans="1:25" x14ac:dyDescent="0.25">
      <c r="A148" s="101">
        <f t="shared" si="9"/>
        <v>11800</v>
      </c>
      <c r="B148" s="117">
        <f t="shared" si="12"/>
        <v>740</v>
      </c>
      <c r="C148" s="116">
        <f t="shared" si="13"/>
        <v>74</v>
      </c>
      <c r="D148" s="105">
        <f>WORKDAY($G$1,C148+E147,JoursFeries!$B$3:$CH$15)</f>
        <v>43007</v>
      </c>
      <c r="E148" s="5">
        <v>1</v>
      </c>
      <c r="F148" s="8">
        <f t="shared" ref="F148:F211" si="14">D148</f>
        <v>43007</v>
      </c>
      <c r="G148" s="4" t="s">
        <v>329</v>
      </c>
      <c r="J148" s="112"/>
      <c r="K148" s="194"/>
      <c r="L148" s="194"/>
      <c r="M148" s="195"/>
      <c r="O148" s="115"/>
      <c r="P148" s="115"/>
      <c r="Q148" s="193"/>
      <c r="R148" s="194"/>
      <c r="S148" s="194"/>
      <c r="T148" s="194"/>
      <c r="U148" s="193"/>
      <c r="V148" s="194"/>
      <c r="W148" s="194"/>
      <c r="X148" s="194"/>
      <c r="Y148" s="194"/>
    </row>
    <row r="149" spans="1:25" x14ac:dyDescent="0.25">
      <c r="A149" s="101">
        <f t="shared" si="9"/>
        <v>11900</v>
      </c>
      <c r="B149" s="117">
        <f t="shared" si="12"/>
        <v>840</v>
      </c>
      <c r="C149" s="116">
        <f t="shared" si="13"/>
        <v>84</v>
      </c>
      <c r="D149" s="105">
        <f>WORKDAY($G$1,C149+E148,JoursFeries!$B$3:$CH$15)</f>
        <v>43021</v>
      </c>
      <c r="E149" s="5">
        <v>1</v>
      </c>
      <c r="F149" s="8">
        <f t="shared" si="14"/>
        <v>43021</v>
      </c>
      <c r="G149" s="4" t="s">
        <v>330</v>
      </c>
      <c r="J149" s="112"/>
      <c r="K149" s="194"/>
      <c r="L149" s="194"/>
      <c r="M149" s="195"/>
      <c r="O149" s="115"/>
      <c r="P149" s="115"/>
      <c r="Q149" s="193"/>
      <c r="R149" s="194"/>
      <c r="S149" s="194"/>
      <c r="T149" s="194"/>
      <c r="U149" s="193"/>
      <c r="V149" s="194"/>
      <c r="W149" s="194"/>
      <c r="X149" s="194"/>
      <c r="Y149" s="194"/>
    </row>
    <row r="150" spans="1:25" x14ac:dyDescent="0.25">
      <c r="A150" s="101">
        <f t="shared" si="9"/>
        <v>12000</v>
      </c>
      <c r="B150" s="117">
        <f t="shared" si="12"/>
        <v>940</v>
      </c>
      <c r="C150" s="116">
        <f t="shared" si="13"/>
        <v>94</v>
      </c>
      <c r="D150" s="105">
        <f>WORKDAY($G$1,C150+E149,JoursFeries!$B$3:$CH$15)</f>
        <v>43035</v>
      </c>
      <c r="E150" s="5">
        <v>2</v>
      </c>
      <c r="F150" s="8">
        <f t="shared" si="14"/>
        <v>43035</v>
      </c>
      <c r="G150" s="4" t="s">
        <v>331</v>
      </c>
      <c r="J150" s="112"/>
      <c r="K150" s="194"/>
      <c r="L150" s="194"/>
      <c r="M150" s="195"/>
      <c r="O150" s="115"/>
      <c r="P150" s="115"/>
      <c r="Q150" s="193"/>
      <c r="R150" s="194"/>
      <c r="S150" s="194"/>
      <c r="T150" s="194"/>
      <c r="U150" s="193"/>
      <c r="V150" s="194"/>
      <c r="W150" s="194"/>
      <c r="X150" s="194"/>
      <c r="Y150" s="194"/>
    </row>
    <row r="151" spans="1:25" x14ac:dyDescent="0.25">
      <c r="A151" s="101">
        <f t="shared" si="9"/>
        <v>12100</v>
      </c>
      <c r="B151" s="117">
        <f t="shared" si="12"/>
        <v>1040</v>
      </c>
      <c r="C151" s="116">
        <f t="shared" si="13"/>
        <v>104</v>
      </c>
      <c r="D151" s="105">
        <f>WORKDAY($G$1,C151+E150,JoursFeries!$B$3:$CH$15)</f>
        <v>43052</v>
      </c>
      <c r="E151" s="5">
        <v>1</v>
      </c>
      <c r="F151" s="8">
        <f t="shared" si="14"/>
        <v>43052</v>
      </c>
      <c r="G151" s="4" t="s">
        <v>332</v>
      </c>
      <c r="J151" s="112"/>
      <c r="K151" s="194"/>
      <c r="L151" s="194"/>
      <c r="M151" s="195"/>
      <c r="O151" s="115"/>
      <c r="P151" s="115"/>
      <c r="Q151" s="193"/>
      <c r="R151" s="194"/>
      <c r="S151" s="194"/>
      <c r="T151" s="194"/>
      <c r="U151" s="193"/>
      <c r="V151" s="194"/>
      <c r="W151" s="194"/>
      <c r="X151" s="194"/>
      <c r="Y151" s="194"/>
    </row>
    <row r="152" spans="1:25" x14ac:dyDescent="0.25">
      <c r="A152" s="101">
        <f t="shared" si="9"/>
        <v>12200</v>
      </c>
      <c r="B152" s="117">
        <f t="shared" si="12"/>
        <v>1140</v>
      </c>
      <c r="C152" s="116">
        <f t="shared" si="13"/>
        <v>114</v>
      </c>
      <c r="D152" s="105">
        <f>WORKDAY($G$1,C152+E151,JoursFeries!$B$3:$CH$15)</f>
        <v>43063</v>
      </c>
      <c r="E152" s="5">
        <v>1</v>
      </c>
      <c r="F152" s="8">
        <f t="shared" si="14"/>
        <v>43063</v>
      </c>
      <c r="G152" s="4" t="s">
        <v>333</v>
      </c>
      <c r="J152" s="112"/>
      <c r="K152" s="194"/>
      <c r="L152" s="194"/>
      <c r="M152" s="195"/>
      <c r="O152" s="115"/>
      <c r="P152" s="115"/>
      <c r="Q152" s="193"/>
      <c r="R152" s="194"/>
      <c r="S152" s="194"/>
      <c r="T152" s="194"/>
      <c r="U152" s="193"/>
      <c r="V152" s="194"/>
      <c r="W152" s="194"/>
      <c r="X152" s="194"/>
      <c r="Y152" s="194"/>
    </row>
    <row r="153" spans="1:25" x14ac:dyDescent="0.25">
      <c r="A153" s="101">
        <f t="shared" si="9"/>
        <v>12250</v>
      </c>
      <c r="B153" s="117">
        <f t="shared" si="12"/>
        <v>1190</v>
      </c>
      <c r="C153" s="116">
        <f t="shared" si="13"/>
        <v>119</v>
      </c>
      <c r="D153" s="105">
        <f>WORKDAY($G$1,C153+E152,JoursFeries!$B$3:$CH$15)</f>
        <v>43070</v>
      </c>
      <c r="E153" s="5">
        <v>1</v>
      </c>
      <c r="F153" s="8">
        <f t="shared" si="14"/>
        <v>43070</v>
      </c>
      <c r="G153" s="4" t="s">
        <v>172</v>
      </c>
      <c r="J153" s="112"/>
      <c r="K153" s="194"/>
      <c r="L153" s="194"/>
      <c r="M153" s="195"/>
      <c r="O153" s="115"/>
      <c r="P153" s="115"/>
      <c r="Q153" s="193"/>
      <c r="R153" s="194"/>
      <c r="S153" s="194"/>
      <c r="T153" s="194"/>
      <c r="U153" s="193"/>
      <c r="V153" s="194"/>
      <c r="W153" s="194"/>
      <c r="X153" s="194"/>
      <c r="Y153" s="194"/>
    </row>
    <row r="154" spans="1:25" x14ac:dyDescent="0.25">
      <c r="A154" s="101">
        <f t="shared" si="9"/>
        <v>12300</v>
      </c>
      <c r="B154" s="117">
        <f t="shared" si="12"/>
        <v>1240</v>
      </c>
      <c r="C154" s="116">
        <f t="shared" si="13"/>
        <v>124</v>
      </c>
      <c r="D154" s="105">
        <f>WORKDAY($G$1,C154+E153,JoursFeries!$B$3:$CH$15)</f>
        <v>43077</v>
      </c>
      <c r="E154" s="5">
        <v>1</v>
      </c>
      <c r="F154" s="8">
        <f t="shared" si="14"/>
        <v>43077</v>
      </c>
      <c r="G154" s="4" t="s">
        <v>334</v>
      </c>
      <c r="J154" s="112"/>
      <c r="K154" s="194"/>
      <c r="L154" s="194"/>
      <c r="M154" s="195"/>
      <c r="O154" s="115"/>
      <c r="P154" s="115"/>
      <c r="Q154" s="193"/>
      <c r="R154" s="194"/>
      <c r="S154" s="194"/>
      <c r="T154" s="194"/>
      <c r="U154" s="193"/>
      <c r="V154" s="194"/>
      <c r="W154" s="194"/>
      <c r="X154" s="194"/>
      <c r="Y154" s="194"/>
    </row>
    <row r="155" spans="1:25" x14ac:dyDescent="0.25">
      <c r="A155" s="101">
        <f t="shared" si="9"/>
        <v>12400</v>
      </c>
      <c r="B155" s="117">
        <f t="shared" si="12"/>
        <v>1340</v>
      </c>
      <c r="C155" s="116">
        <f t="shared" si="13"/>
        <v>134</v>
      </c>
      <c r="D155" s="105">
        <f>WORKDAY($G$1,C155+E154,JoursFeries!$B$3:$CH$15)</f>
        <v>43091</v>
      </c>
      <c r="E155" s="5">
        <v>1</v>
      </c>
      <c r="F155" s="8">
        <f t="shared" si="14"/>
        <v>43091</v>
      </c>
      <c r="G155" s="4" t="s">
        <v>335</v>
      </c>
      <c r="J155" s="112"/>
      <c r="K155" s="194"/>
      <c r="L155" s="194"/>
      <c r="M155" s="195"/>
      <c r="O155" s="115"/>
      <c r="P155" s="115"/>
      <c r="Q155" s="193"/>
      <c r="R155" s="194"/>
      <c r="S155" s="194"/>
      <c r="T155" s="194"/>
      <c r="U155" s="193"/>
      <c r="V155" s="194"/>
      <c r="W155" s="194"/>
      <c r="X155" s="194"/>
      <c r="Y155" s="194"/>
    </row>
    <row r="156" spans="1:25" x14ac:dyDescent="0.25">
      <c r="A156" s="101">
        <f t="shared" si="9"/>
        <v>12500</v>
      </c>
      <c r="B156" s="117">
        <f t="shared" si="12"/>
        <v>1440</v>
      </c>
      <c r="C156" s="116">
        <f t="shared" si="13"/>
        <v>144</v>
      </c>
      <c r="D156" s="105">
        <f>WORKDAY($G$1,C156+E155,JoursFeries!$B$3:$CH$15)</f>
        <v>43109</v>
      </c>
      <c r="E156" s="5">
        <v>1</v>
      </c>
      <c r="F156" s="8">
        <f t="shared" si="14"/>
        <v>43109</v>
      </c>
      <c r="G156" s="4" t="s">
        <v>336</v>
      </c>
      <c r="J156" s="112"/>
      <c r="K156" s="194"/>
      <c r="L156" s="194"/>
      <c r="M156" s="195"/>
      <c r="O156" s="115"/>
      <c r="P156" s="115"/>
      <c r="Q156" s="193"/>
      <c r="R156" s="194"/>
      <c r="S156" s="194"/>
      <c r="T156" s="194"/>
      <c r="U156" s="193"/>
      <c r="V156" s="194"/>
      <c r="W156" s="194"/>
      <c r="X156" s="194"/>
      <c r="Y156" s="194"/>
    </row>
    <row r="157" spans="1:25" x14ac:dyDescent="0.25">
      <c r="A157" s="101">
        <f t="shared" si="9"/>
        <v>12600</v>
      </c>
      <c r="B157" s="117">
        <f t="shared" si="12"/>
        <v>1540</v>
      </c>
      <c r="C157" s="116">
        <f t="shared" si="13"/>
        <v>154</v>
      </c>
      <c r="D157" s="105">
        <f>WORKDAY($G$1,C157+E156,JoursFeries!$B$3:$CH$15)</f>
        <v>43123</v>
      </c>
      <c r="E157" s="5">
        <v>1</v>
      </c>
      <c r="F157" s="8">
        <f t="shared" si="14"/>
        <v>43123</v>
      </c>
      <c r="G157" s="4" t="s">
        <v>337</v>
      </c>
      <c r="J157" s="112"/>
      <c r="K157" s="194"/>
      <c r="L157" s="194"/>
      <c r="M157" s="195"/>
      <c r="O157" s="115"/>
      <c r="P157" s="115"/>
      <c r="Q157" s="193"/>
      <c r="R157" s="194"/>
      <c r="S157" s="194"/>
      <c r="T157" s="194"/>
      <c r="U157" s="193"/>
      <c r="V157" s="194"/>
      <c r="W157" s="194"/>
      <c r="X157" s="194"/>
      <c r="Y157" s="194"/>
    </row>
    <row r="158" spans="1:25" x14ac:dyDescent="0.25">
      <c r="A158" s="101">
        <f t="shared" ref="A158:A221" si="15">A146+1000</f>
        <v>12700</v>
      </c>
      <c r="B158" s="117">
        <f t="shared" si="12"/>
        <v>1640</v>
      </c>
      <c r="C158" s="116">
        <f t="shared" si="13"/>
        <v>164</v>
      </c>
      <c r="D158" s="105">
        <f>WORKDAY($G$1,C158+E157,JoursFeries!$B$3:$CH$15)</f>
        <v>43137</v>
      </c>
      <c r="E158" s="5">
        <v>1</v>
      </c>
      <c r="F158" s="8">
        <f t="shared" si="14"/>
        <v>43137</v>
      </c>
      <c r="G158" s="4" t="s">
        <v>338</v>
      </c>
      <c r="J158" s="112"/>
      <c r="K158" s="194"/>
      <c r="L158" s="194"/>
      <c r="M158" s="195"/>
      <c r="O158" s="115"/>
      <c r="P158" s="115"/>
      <c r="Q158" s="193"/>
      <c r="R158" s="194"/>
      <c r="S158" s="194"/>
      <c r="T158" s="194"/>
      <c r="U158" s="193"/>
      <c r="V158" s="194"/>
      <c r="W158" s="194"/>
      <c r="X158" s="194"/>
      <c r="Y158" s="194"/>
    </row>
    <row r="159" spans="1:25" x14ac:dyDescent="0.25">
      <c r="A159" s="101">
        <f t="shared" si="15"/>
        <v>12750</v>
      </c>
      <c r="B159" s="117">
        <f t="shared" si="12"/>
        <v>1690</v>
      </c>
      <c r="C159" s="116">
        <f t="shared" si="13"/>
        <v>169</v>
      </c>
      <c r="D159" s="105">
        <f>WORKDAY($G$1,C159+E158,JoursFeries!$B$3:$CH$15)</f>
        <v>43144</v>
      </c>
      <c r="E159" s="5">
        <v>1</v>
      </c>
      <c r="F159" s="8">
        <f t="shared" si="14"/>
        <v>43144</v>
      </c>
      <c r="G159" s="4" t="s">
        <v>173</v>
      </c>
      <c r="J159" s="112"/>
      <c r="K159" s="194"/>
      <c r="L159" s="194"/>
      <c r="M159" s="195"/>
      <c r="O159" s="115"/>
      <c r="P159" s="115"/>
      <c r="Q159" s="193"/>
      <c r="R159" s="194"/>
      <c r="S159" s="194"/>
      <c r="T159" s="194"/>
      <c r="U159" s="193"/>
      <c r="V159" s="194"/>
      <c r="W159" s="194"/>
      <c r="X159" s="194"/>
      <c r="Y159" s="194"/>
    </row>
    <row r="160" spans="1:25" x14ac:dyDescent="0.25">
      <c r="A160" s="101">
        <f t="shared" si="15"/>
        <v>12800</v>
      </c>
      <c r="B160" s="117">
        <f t="shared" si="12"/>
        <v>1740</v>
      </c>
      <c r="C160" s="116">
        <f t="shared" si="13"/>
        <v>174</v>
      </c>
      <c r="D160" s="105">
        <f>WORKDAY($G$1,C160+E159,JoursFeries!$B$3:$CH$15)</f>
        <v>43151</v>
      </c>
      <c r="E160" s="5">
        <v>1</v>
      </c>
      <c r="F160" s="8">
        <f t="shared" si="14"/>
        <v>43151</v>
      </c>
      <c r="G160" s="4" t="s">
        <v>339</v>
      </c>
      <c r="J160" s="112"/>
      <c r="K160" s="194"/>
      <c r="L160" s="194"/>
      <c r="M160" s="195"/>
      <c r="O160" s="115"/>
      <c r="P160" s="115"/>
      <c r="Q160" s="193"/>
      <c r="R160" s="194"/>
      <c r="S160" s="194"/>
      <c r="T160" s="194"/>
      <c r="U160" s="193"/>
      <c r="V160" s="194"/>
      <c r="W160" s="194"/>
      <c r="X160" s="194"/>
      <c r="Y160" s="194"/>
    </row>
    <row r="161" spans="1:25" x14ac:dyDescent="0.25">
      <c r="A161" s="101">
        <f t="shared" si="15"/>
        <v>12900</v>
      </c>
      <c r="B161" s="117">
        <f t="shared" si="12"/>
        <v>1840</v>
      </c>
      <c r="C161" s="116">
        <f t="shared" si="13"/>
        <v>184</v>
      </c>
      <c r="D161" s="105">
        <f>WORKDAY($G$1,C161+E160,JoursFeries!$B$3:$CH$15)</f>
        <v>43165</v>
      </c>
      <c r="E161" s="5">
        <v>1</v>
      </c>
      <c r="F161" s="8">
        <f t="shared" si="14"/>
        <v>43165</v>
      </c>
      <c r="G161" s="4" t="s">
        <v>340</v>
      </c>
      <c r="J161" s="112"/>
      <c r="K161" s="194"/>
      <c r="L161" s="194"/>
      <c r="M161" s="195"/>
      <c r="O161" s="115"/>
      <c r="P161" s="115"/>
      <c r="Q161" s="193"/>
      <c r="R161" s="194"/>
      <c r="S161" s="194"/>
      <c r="T161" s="194"/>
      <c r="U161" s="193"/>
      <c r="V161" s="194"/>
      <c r="W161" s="194"/>
      <c r="X161" s="194"/>
      <c r="Y161" s="194"/>
    </row>
    <row r="162" spans="1:25" x14ac:dyDescent="0.25">
      <c r="A162" s="101">
        <f t="shared" si="15"/>
        <v>13000</v>
      </c>
      <c r="B162" s="117">
        <f t="shared" si="12"/>
        <v>1940</v>
      </c>
      <c r="C162" s="116">
        <f t="shared" si="13"/>
        <v>194</v>
      </c>
      <c r="D162" s="105">
        <f>WORKDAY($G$1,C162+E161,JoursFeries!$B$3:$CH$15)</f>
        <v>43179</v>
      </c>
      <c r="E162" s="5">
        <v>2</v>
      </c>
      <c r="F162" s="8">
        <f t="shared" si="14"/>
        <v>43179</v>
      </c>
      <c r="G162" s="4" t="s">
        <v>341</v>
      </c>
      <c r="J162" s="112"/>
      <c r="K162" s="194"/>
      <c r="L162" s="194"/>
      <c r="M162" s="195"/>
      <c r="O162" s="115"/>
      <c r="P162" s="115"/>
      <c r="Q162" s="193"/>
      <c r="R162" s="194"/>
      <c r="S162" s="194"/>
      <c r="T162" s="194"/>
      <c r="U162" s="193"/>
      <c r="V162" s="194"/>
      <c r="W162" s="194"/>
      <c r="X162" s="194"/>
      <c r="Y162" s="194"/>
    </row>
    <row r="163" spans="1:25" x14ac:dyDescent="0.25">
      <c r="A163" s="101">
        <f t="shared" si="15"/>
        <v>13100</v>
      </c>
      <c r="B163" s="117">
        <f t="shared" si="12"/>
        <v>2040</v>
      </c>
      <c r="C163" s="116">
        <f t="shared" si="13"/>
        <v>204</v>
      </c>
      <c r="D163" s="105">
        <f>WORKDAY($G$1,C163+E162,JoursFeries!$B$3:$CH$15)</f>
        <v>43195</v>
      </c>
      <c r="E163" s="5">
        <v>1</v>
      </c>
      <c r="F163" s="8">
        <f t="shared" si="14"/>
        <v>43195</v>
      </c>
      <c r="G163" s="4" t="s">
        <v>342</v>
      </c>
      <c r="J163" s="112"/>
      <c r="K163" s="194"/>
      <c r="L163" s="194"/>
      <c r="M163" s="195"/>
      <c r="O163" s="115"/>
      <c r="P163" s="115"/>
      <c r="Q163" s="193"/>
      <c r="R163" s="194"/>
      <c r="S163" s="194"/>
      <c r="T163" s="194"/>
      <c r="U163" s="193"/>
      <c r="V163" s="194"/>
      <c r="W163" s="194"/>
      <c r="X163" s="194"/>
      <c r="Y163" s="194"/>
    </row>
    <row r="164" spans="1:25" x14ac:dyDescent="0.25">
      <c r="A164" s="101">
        <f t="shared" si="15"/>
        <v>13200</v>
      </c>
      <c r="B164" s="117">
        <f t="shared" si="12"/>
        <v>2140</v>
      </c>
      <c r="C164" s="116">
        <f t="shared" si="13"/>
        <v>214</v>
      </c>
      <c r="D164" s="105">
        <f>WORKDAY($G$1,C164+E163,JoursFeries!$B$3:$CH$15)</f>
        <v>43208</v>
      </c>
      <c r="E164" s="5">
        <v>1</v>
      </c>
      <c r="F164" s="8">
        <f t="shared" si="14"/>
        <v>43208</v>
      </c>
      <c r="G164" s="4" t="s">
        <v>343</v>
      </c>
      <c r="J164" s="112"/>
      <c r="K164" s="194"/>
      <c r="L164" s="194"/>
      <c r="M164" s="195"/>
      <c r="O164" s="115"/>
      <c r="P164" s="115"/>
      <c r="Q164" s="193"/>
      <c r="R164" s="194"/>
      <c r="S164" s="194"/>
      <c r="T164" s="194"/>
      <c r="U164" s="193"/>
      <c r="V164" s="194"/>
      <c r="W164" s="194"/>
      <c r="X164" s="194"/>
      <c r="Y164" s="194"/>
    </row>
    <row r="165" spans="1:25" x14ac:dyDescent="0.25">
      <c r="A165" s="101">
        <f t="shared" si="15"/>
        <v>13250</v>
      </c>
      <c r="B165" s="117">
        <f t="shared" si="12"/>
        <v>2190</v>
      </c>
      <c r="C165" s="116">
        <f t="shared" si="13"/>
        <v>219</v>
      </c>
      <c r="D165" s="105">
        <f>WORKDAY($G$1,C165+E164,JoursFeries!$B$3:$CH$15)</f>
        <v>43215</v>
      </c>
      <c r="E165" s="5">
        <v>1</v>
      </c>
      <c r="F165" s="8">
        <f t="shared" si="14"/>
        <v>43215</v>
      </c>
      <c r="G165" s="4" t="s">
        <v>174</v>
      </c>
      <c r="J165" s="112"/>
      <c r="K165" s="194"/>
      <c r="L165" s="194"/>
      <c r="M165" s="195"/>
      <c r="O165" s="115"/>
      <c r="P165" s="115"/>
      <c r="Q165" s="193"/>
      <c r="R165" s="194"/>
      <c r="S165" s="194"/>
      <c r="T165" s="194"/>
      <c r="U165" s="193"/>
      <c r="V165" s="194"/>
      <c r="W165" s="194"/>
      <c r="X165" s="194"/>
      <c r="Y165" s="194"/>
    </row>
    <row r="166" spans="1:25" x14ac:dyDescent="0.25">
      <c r="A166" s="101">
        <f t="shared" si="15"/>
        <v>13300</v>
      </c>
      <c r="B166" s="117">
        <f t="shared" si="12"/>
        <v>2240</v>
      </c>
      <c r="C166" s="116">
        <f t="shared" si="13"/>
        <v>224</v>
      </c>
      <c r="D166" s="105">
        <f>WORKDAY($G$1,C166+E165,JoursFeries!$B$3:$CH$15)</f>
        <v>43223</v>
      </c>
      <c r="E166" s="5">
        <v>1</v>
      </c>
      <c r="F166" s="8">
        <f t="shared" si="14"/>
        <v>43223</v>
      </c>
      <c r="G166" s="4" t="s">
        <v>344</v>
      </c>
      <c r="J166" s="112"/>
      <c r="K166" s="194"/>
      <c r="L166" s="194"/>
      <c r="M166" s="195"/>
      <c r="O166" s="115"/>
      <c r="P166" s="115"/>
      <c r="Q166" s="193"/>
      <c r="R166" s="194"/>
      <c r="S166" s="194"/>
      <c r="T166" s="194"/>
      <c r="U166" s="193"/>
      <c r="V166" s="194"/>
      <c r="W166" s="194"/>
      <c r="X166" s="194"/>
      <c r="Y166" s="194"/>
    </row>
    <row r="167" spans="1:25" x14ac:dyDescent="0.25">
      <c r="A167" s="101">
        <f t="shared" si="15"/>
        <v>13400</v>
      </c>
      <c r="B167" s="117">
        <f t="shared" si="12"/>
        <v>2340</v>
      </c>
      <c r="C167" s="116">
        <f t="shared" si="13"/>
        <v>234</v>
      </c>
      <c r="D167" s="105">
        <f>WORKDAY($G$1,C167+E166,JoursFeries!$B$3:$CH$15)</f>
        <v>43242</v>
      </c>
      <c r="E167" s="5">
        <v>1</v>
      </c>
      <c r="F167" s="8">
        <f t="shared" si="14"/>
        <v>43242</v>
      </c>
      <c r="G167" s="4" t="s">
        <v>345</v>
      </c>
      <c r="J167" s="112"/>
      <c r="K167" s="194"/>
      <c r="L167" s="194"/>
      <c r="M167" s="195"/>
      <c r="O167" s="115"/>
      <c r="P167" s="115"/>
      <c r="Q167" s="193"/>
      <c r="R167" s="194"/>
      <c r="S167" s="194"/>
      <c r="T167" s="194"/>
      <c r="U167" s="193"/>
      <c r="V167" s="194"/>
      <c r="W167" s="194"/>
      <c r="X167" s="194"/>
      <c r="Y167" s="194"/>
    </row>
    <row r="168" spans="1:25" x14ac:dyDescent="0.25">
      <c r="A168" s="101">
        <f t="shared" si="15"/>
        <v>13500</v>
      </c>
      <c r="B168" s="117">
        <f t="shared" si="12"/>
        <v>2440</v>
      </c>
      <c r="C168" s="116">
        <f t="shared" si="13"/>
        <v>244</v>
      </c>
      <c r="D168" s="105">
        <f>WORKDAY($G$1,C168+E167,JoursFeries!$B$3:$CH$15)</f>
        <v>43256</v>
      </c>
      <c r="E168" s="5">
        <v>1</v>
      </c>
      <c r="F168" s="8">
        <f t="shared" si="14"/>
        <v>43256</v>
      </c>
      <c r="G168" s="4" t="s">
        <v>346</v>
      </c>
      <c r="J168" s="112"/>
      <c r="K168" s="194"/>
      <c r="L168" s="194"/>
      <c r="M168" s="195"/>
      <c r="O168" s="115"/>
      <c r="P168" s="115"/>
      <c r="Q168" s="193"/>
      <c r="R168" s="194"/>
      <c r="S168" s="194"/>
      <c r="T168" s="194"/>
      <c r="U168" s="193"/>
      <c r="V168" s="194"/>
      <c r="W168" s="194"/>
      <c r="X168" s="194"/>
      <c r="Y168" s="194"/>
    </row>
    <row r="169" spans="1:25" x14ac:dyDescent="0.25">
      <c r="A169" s="101">
        <f t="shared" si="15"/>
        <v>13600</v>
      </c>
      <c r="B169" s="117">
        <f t="shared" si="12"/>
        <v>2540</v>
      </c>
      <c r="C169" s="116">
        <f t="shared" si="13"/>
        <v>254</v>
      </c>
      <c r="D169" s="105">
        <f>WORKDAY($G$1,C169+E168,JoursFeries!$B$3:$CH$15)</f>
        <v>43270</v>
      </c>
      <c r="E169" s="5">
        <v>1</v>
      </c>
      <c r="F169" s="8">
        <f t="shared" si="14"/>
        <v>43270</v>
      </c>
      <c r="G169" s="4" t="s">
        <v>347</v>
      </c>
      <c r="J169" s="112"/>
      <c r="K169" s="194"/>
      <c r="L169" s="194"/>
      <c r="M169" s="195"/>
      <c r="O169" s="115"/>
      <c r="P169" s="115"/>
      <c r="Q169" s="193"/>
      <c r="R169" s="194"/>
      <c r="S169" s="194"/>
      <c r="T169" s="194"/>
      <c r="U169" s="193"/>
      <c r="V169" s="194"/>
      <c r="W169" s="194"/>
      <c r="X169" s="194"/>
      <c r="Y169" s="194"/>
    </row>
    <row r="170" spans="1:25" x14ac:dyDescent="0.25">
      <c r="A170" s="101">
        <f t="shared" si="15"/>
        <v>13700</v>
      </c>
      <c r="B170" s="117">
        <f t="shared" si="12"/>
        <v>2640</v>
      </c>
      <c r="C170" s="116">
        <f t="shared" si="13"/>
        <v>264</v>
      </c>
      <c r="D170" s="105">
        <f>WORKDAY($G$1,C170+E169,JoursFeries!$B$3:$CH$15)</f>
        <v>43284</v>
      </c>
      <c r="E170" s="5">
        <v>1</v>
      </c>
      <c r="F170" s="8">
        <f t="shared" si="14"/>
        <v>43284</v>
      </c>
      <c r="G170" s="4" t="s">
        <v>348</v>
      </c>
      <c r="J170" s="112"/>
      <c r="K170" s="194"/>
      <c r="L170" s="194"/>
      <c r="M170" s="195"/>
      <c r="O170" s="115"/>
      <c r="P170" s="115"/>
      <c r="Q170" s="193"/>
      <c r="R170" s="194"/>
      <c r="S170" s="194"/>
      <c r="T170" s="194"/>
      <c r="U170" s="193"/>
      <c r="V170" s="194"/>
      <c r="W170" s="194"/>
      <c r="X170" s="194"/>
      <c r="Y170" s="194"/>
    </row>
    <row r="171" spans="1:25" x14ac:dyDescent="0.25">
      <c r="A171" s="101">
        <f t="shared" si="15"/>
        <v>13750</v>
      </c>
      <c r="B171" s="117">
        <f t="shared" si="12"/>
        <v>2690</v>
      </c>
      <c r="C171" s="116">
        <f t="shared" si="13"/>
        <v>269</v>
      </c>
      <c r="D171" s="105">
        <f>WORKDAY($G$1,C171+E170,JoursFeries!$B$3:$CH$15)</f>
        <v>43291</v>
      </c>
      <c r="E171" s="5">
        <v>1</v>
      </c>
      <c r="F171" s="8">
        <f t="shared" si="14"/>
        <v>43291</v>
      </c>
      <c r="G171" s="4" t="s">
        <v>175</v>
      </c>
      <c r="J171" s="112"/>
      <c r="K171" s="194"/>
      <c r="L171" s="194"/>
      <c r="M171" s="195"/>
      <c r="O171" s="115"/>
      <c r="P171" s="115"/>
      <c r="Q171" s="193"/>
      <c r="R171" s="194"/>
      <c r="S171" s="194"/>
      <c r="T171" s="194"/>
      <c r="U171" s="193"/>
      <c r="V171" s="194"/>
      <c r="W171" s="194"/>
      <c r="X171" s="194"/>
      <c r="Y171" s="194"/>
    </row>
    <row r="172" spans="1:25" x14ac:dyDescent="0.25">
      <c r="A172" s="101">
        <f t="shared" si="15"/>
        <v>13800</v>
      </c>
      <c r="B172" s="117">
        <f t="shared" si="12"/>
        <v>2740</v>
      </c>
      <c r="C172" s="116">
        <f t="shared" si="13"/>
        <v>274</v>
      </c>
      <c r="D172" s="105">
        <f>WORKDAY($G$1,C172+E171,JoursFeries!$B$3:$CH$15)</f>
        <v>43298</v>
      </c>
      <c r="E172" s="5">
        <v>1</v>
      </c>
      <c r="F172" s="8">
        <f t="shared" si="14"/>
        <v>43298</v>
      </c>
      <c r="G172" s="4" t="s">
        <v>349</v>
      </c>
      <c r="J172" s="112"/>
      <c r="K172" s="194"/>
      <c r="L172" s="194"/>
      <c r="M172" s="195"/>
      <c r="O172" s="115"/>
      <c r="P172" s="115"/>
      <c r="Q172" s="193"/>
      <c r="R172" s="194"/>
      <c r="S172" s="194"/>
      <c r="T172" s="194"/>
      <c r="U172" s="193"/>
      <c r="V172" s="194"/>
      <c r="W172" s="194"/>
      <c r="X172" s="194"/>
      <c r="Y172" s="194"/>
    </row>
    <row r="173" spans="1:25" x14ac:dyDescent="0.25">
      <c r="A173" s="101">
        <f t="shared" si="15"/>
        <v>13900</v>
      </c>
      <c r="B173" s="117">
        <f t="shared" si="12"/>
        <v>2840</v>
      </c>
      <c r="C173" s="116">
        <f t="shared" si="13"/>
        <v>284</v>
      </c>
      <c r="D173" s="105">
        <f>WORKDAY($G$1,C173+E172,JoursFeries!$B$3:$CH$15)</f>
        <v>43312</v>
      </c>
      <c r="E173" s="5">
        <v>1</v>
      </c>
      <c r="F173" s="8">
        <f t="shared" si="14"/>
        <v>43312</v>
      </c>
      <c r="G173" s="4" t="s">
        <v>350</v>
      </c>
      <c r="J173" s="112"/>
      <c r="K173" s="194"/>
      <c r="L173" s="194"/>
      <c r="M173" s="195"/>
      <c r="O173" s="115"/>
      <c r="P173" s="115"/>
      <c r="Q173" s="193"/>
      <c r="R173" s="194"/>
      <c r="S173" s="194"/>
      <c r="T173" s="194"/>
      <c r="U173" s="193"/>
      <c r="V173" s="194"/>
      <c r="W173" s="194"/>
      <c r="X173" s="194"/>
      <c r="Y173" s="194"/>
    </row>
    <row r="174" spans="1:25" x14ac:dyDescent="0.25">
      <c r="A174" s="101">
        <f t="shared" si="15"/>
        <v>14000</v>
      </c>
      <c r="B174" s="117">
        <f t="shared" si="12"/>
        <v>2940</v>
      </c>
      <c r="C174" s="116">
        <f t="shared" si="13"/>
        <v>294</v>
      </c>
      <c r="D174" s="105">
        <f>WORKDAY($G$1,C174+E173,JoursFeries!$B$3:$CH$15)</f>
        <v>43326</v>
      </c>
      <c r="E174" s="5">
        <v>2</v>
      </c>
      <c r="F174" s="8">
        <f t="shared" si="14"/>
        <v>43326</v>
      </c>
      <c r="G174" s="4" t="s">
        <v>351</v>
      </c>
      <c r="J174" s="112"/>
      <c r="K174" s="194"/>
      <c r="L174" s="194"/>
      <c r="M174" s="195"/>
      <c r="O174" s="115"/>
      <c r="P174" s="115"/>
      <c r="Q174" s="193"/>
      <c r="R174" s="194"/>
      <c r="S174" s="194"/>
      <c r="T174" s="194"/>
      <c r="U174" s="193"/>
      <c r="V174" s="194"/>
      <c r="W174" s="194"/>
      <c r="X174" s="194"/>
      <c r="Y174" s="194"/>
    </row>
    <row r="175" spans="1:25" x14ac:dyDescent="0.25">
      <c r="A175" s="101">
        <f t="shared" si="15"/>
        <v>14100</v>
      </c>
      <c r="B175" s="117">
        <f t="shared" si="12"/>
        <v>3040</v>
      </c>
      <c r="C175" s="116">
        <f t="shared" si="13"/>
        <v>304</v>
      </c>
      <c r="D175" s="105">
        <f>WORKDAY($G$1,C175+E174,JoursFeries!$B$3:$CH$15)</f>
        <v>43342</v>
      </c>
      <c r="E175" s="5">
        <v>1</v>
      </c>
      <c r="F175" s="8">
        <f t="shared" si="14"/>
        <v>43342</v>
      </c>
      <c r="G175" s="4" t="s">
        <v>352</v>
      </c>
      <c r="J175" s="112"/>
      <c r="K175" s="194"/>
      <c r="L175" s="194"/>
      <c r="M175" s="195"/>
      <c r="O175" s="115"/>
      <c r="P175" s="115"/>
      <c r="Q175" s="193"/>
      <c r="R175" s="194"/>
      <c r="S175" s="194"/>
      <c r="T175" s="194"/>
      <c r="U175" s="193"/>
      <c r="V175" s="194"/>
      <c r="W175" s="194"/>
      <c r="X175" s="194"/>
      <c r="Y175" s="194"/>
    </row>
    <row r="176" spans="1:25" x14ac:dyDescent="0.25">
      <c r="A176" s="101">
        <f t="shared" si="15"/>
        <v>14200</v>
      </c>
      <c r="B176" s="117">
        <f t="shared" si="12"/>
        <v>3140</v>
      </c>
      <c r="C176" s="116">
        <f t="shared" si="13"/>
        <v>314</v>
      </c>
      <c r="D176" s="105">
        <f>WORKDAY($G$1,C176+E175,JoursFeries!$B$3:$CH$15)</f>
        <v>43355</v>
      </c>
      <c r="E176" s="5">
        <v>1</v>
      </c>
      <c r="F176" s="8">
        <f t="shared" si="14"/>
        <v>43355</v>
      </c>
      <c r="G176" s="4" t="s">
        <v>353</v>
      </c>
      <c r="J176" s="112"/>
      <c r="K176" s="194"/>
      <c r="L176" s="194"/>
      <c r="M176" s="195"/>
      <c r="O176" s="115"/>
      <c r="P176" s="115"/>
      <c r="Q176" s="193"/>
      <c r="R176" s="194"/>
      <c r="S176" s="194"/>
      <c r="T176" s="194"/>
      <c r="U176" s="193"/>
      <c r="V176" s="194"/>
      <c r="W176" s="194"/>
      <c r="X176" s="194"/>
      <c r="Y176" s="194"/>
    </row>
    <row r="177" spans="1:25" x14ac:dyDescent="0.25">
      <c r="A177" s="101">
        <f t="shared" si="15"/>
        <v>14250</v>
      </c>
      <c r="B177" s="117">
        <f t="shared" si="12"/>
        <v>3190</v>
      </c>
      <c r="C177" s="116">
        <f t="shared" si="13"/>
        <v>319</v>
      </c>
      <c r="D177" s="105">
        <f>WORKDAY($G$1,C177+E176,JoursFeries!$B$3:$CH$15)</f>
        <v>43362</v>
      </c>
      <c r="E177" s="5">
        <v>1</v>
      </c>
      <c r="F177" s="8">
        <f t="shared" si="14"/>
        <v>43362</v>
      </c>
      <c r="G177" s="4" t="s">
        <v>176</v>
      </c>
      <c r="J177" s="112"/>
      <c r="K177" s="194"/>
      <c r="L177" s="194"/>
      <c r="M177" s="195"/>
      <c r="O177" s="115"/>
      <c r="P177" s="115"/>
      <c r="Q177" s="193"/>
      <c r="R177" s="194"/>
      <c r="S177" s="194"/>
      <c r="T177" s="194"/>
      <c r="U177" s="193"/>
      <c r="V177" s="194"/>
      <c r="W177" s="194"/>
      <c r="X177" s="194"/>
      <c r="Y177" s="194"/>
    </row>
    <row r="178" spans="1:25" x14ac:dyDescent="0.25">
      <c r="A178" s="101">
        <f t="shared" si="15"/>
        <v>14300</v>
      </c>
      <c r="B178" s="117">
        <f t="shared" si="12"/>
        <v>3240</v>
      </c>
      <c r="C178" s="116">
        <f t="shared" si="13"/>
        <v>324</v>
      </c>
      <c r="D178" s="105">
        <f>WORKDAY($G$1,C178+E177,JoursFeries!$B$3:$CH$15)</f>
        <v>43369</v>
      </c>
      <c r="E178" s="5">
        <v>1</v>
      </c>
      <c r="F178" s="8">
        <f t="shared" si="14"/>
        <v>43369</v>
      </c>
      <c r="G178" s="4" t="s">
        <v>354</v>
      </c>
      <c r="J178" s="112"/>
      <c r="K178" s="194"/>
      <c r="L178" s="194"/>
      <c r="M178" s="195"/>
      <c r="O178" s="115"/>
      <c r="P178" s="115"/>
      <c r="Q178" s="193"/>
      <c r="R178" s="194"/>
      <c r="S178" s="194"/>
      <c r="T178" s="194"/>
      <c r="U178" s="193"/>
      <c r="V178" s="194"/>
      <c r="W178" s="194"/>
      <c r="X178" s="194"/>
      <c r="Y178" s="194"/>
    </row>
    <row r="179" spans="1:25" x14ac:dyDescent="0.25">
      <c r="A179" s="101">
        <f t="shared" si="15"/>
        <v>14400</v>
      </c>
      <c r="B179" s="117">
        <f t="shared" si="12"/>
        <v>3340</v>
      </c>
      <c r="C179" s="116">
        <f t="shared" si="13"/>
        <v>334</v>
      </c>
      <c r="D179" s="105">
        <f>WORKDAY($G$1,C179+E178,JoursFeries!$B$3:$CH$15)</f>
        <v>43383</v>
      </c>
      <c r="E179" s="5">
        <v>1</v>
      </c>
      <c r="F179" s="8">
        <f t="shared" si="14"/>
        <v>43383</v>
      </c>
      <c r="G179" s="4" t="s">
        <v>355</v>
      </c>
      <c r="J179" s="112"/>
      <c r="K179" s="194"/>
      <c r="L179" s="194"/>
      <c r="M179" s="195"/>
      <c r="O179" s="115"/>
      <c r="P179" s="115"/>
      <c r="Q179" s="193"/>
      <c r="R179" s="194"/>
      <c r="S179" s="194"/>
      <c r="T179" s="194"/>
      <c r="U179" s="193"/>
      <c r="V179" s="194"/>
      <c r="W179" s="194"/>
      <c r="X179" s="194"/>
      <c r="Y179" s="194"/>
    </row>
    <row r="180" spans="1:25" x14ac:dyDescent="0.25">
      <c r="A180" s="101">
        <f t="shared" si="15"/>
        <v>14500</v>
      </c>
      <c r="B180" s="117">
        <f t="shared" si="12"/>
        <v>3440</v>
      </c>
      <c r="C180" s="116">
        <f t="shared" si="13"/>
        <v>344</v>
      </c>
      <c r="D180" s="105">
        <f>WORKDAY($G$1,C180+E179,JoursFeries!$B$3:$CH$15)</f>
        <v>43397</v>
      </c>
      <c r="E180" s="5">
        <v>1</v>
      </c>
      <c r="F180" s="8">
        <f t="shared" si="14"/>
        <v>43397</v>
      </c>
      <c r="G180" s="4" t="s">
        <v>356</v>
      </c>
      <c r="J180" s="112"/>
      <c r="K180" s="194"/>
      <c r="L180" s="194"/>
      <c r="M180" s="195"/>
      <c r="O180" s="115"/>
      <c r="P180" s="115"/>
      <c r="Q180" s="193"/>
      <c r="R180" s="194"/>
      <c r="S180" s="194"/>
      <c r="T180" s="194"/>
      <c r="U180" s="193"/>
      <c r="V180" s="194"/>
      <c r="W180" s="194"/>
      <c r="X180" s="194"/>
      <c r="Y180" s="194"/>
    </row>
    <row r="181" spans="1:25" x14ac:dyDescent="0.25">
      <c r="A181" s="101">
        <f t="shared" si="15"/>
        <v>14600</v>
      </c>
      <c r="B181" s="117">
        <f t="shared" si="12"/>
        <v>3540</v>
      </c>
      <c r="C181" s="116">
        <f t="shared" si="13"/>
        <v>354</v>
      </c>
      <c r="D181" s="105">
        <f>WORKDAY($G$1,C181+E180,JoursFeries!$B$3:$CH$15)</f>
        <v>43411</v>
      </c>
      <c r="E181" s="5">
        <v>1</v>
      </c>
      <c r="F181" s="8">
        <f t="shared" si="14"/>
        <v>43411</v>
      </c>
      <c r="G181" s="4" t="s">
        <v>357</v>
      </c>
      <c r="J181" s="112"/>
      <c r="K181" s="194"/>
      <c r="L181" s="194"/>
      <c r="M181" s="195"/>
      <c r="O181" s="115"/>
      <c r="P181" s="115"/>
      <c r="Q181" s="193"/>
      <c r="R181" s="194"/>
      <c r="S181" s="194"/>
      <c r="T181" s="194"/>
      <c r="U181" s="193"/>
      <c r="V181" s="194"/>
      <c r="W181" s="194"/>
      <c r="X181" s="194"/>
      <c r="Y181" s="194"/>
    </row>
    <row r="182" spans="1:25" x14ac:dyDescent="0.25">
      <c r="A182" s="101">
        <f t="shared" si="15"/>
        <v>14700</v>
      </c>
      <c r="B182" s="117">
        <f t="shared" si="12"/>
        <v>3640</v>
      </c>
      <c r="C182" s="116">
        <f t="shared" si="13"/>
        <v>364</v>
      </c>
      <c r="D182" s="105">
        <f>WORKDAY($G$1,C182+E181,JoursFeries!$B$3:$CH$15)</f>
        <v>43425</v>
      </c>
      <c r="E182" s="5">
        <v>1</v>
      </c>
      <c r="F182" s="8">
        <f t="shared" si="14"/>
        <v>43425</v>
      </c>
      <c r="G182" s="4" t="s">
        <v>358</v>
      </c>
      <c r="J182" s="112"/>
      <c r="K182" s="194"/>
      <c r="L182" s="194"/>
      <c r="M182" s="195"/>
      <c r="O182" s="115"/>
      <c r="P182" s="115"/>
      <c r="Q182" s="193"/>
      <c r="R182" s="194"/>
      <c r="S182" s="194"/>
      <c r="T182" s="194"/>
      <c r="U182" s="193"/>
      <c r="V182" s="194"/>
      <c r="W182" s="194"/>
      <c r="X182" s="194"/>
      <c r="Y182" s="194"/>
    </row>
    <row r="183" spans="1:25" x14ac:dyDescent="0.25">
      <c r="A183" s="101">
        <f t="shared" si="15"/>
        <v>14750</v>
      </c>
      <c r="B183" s="117">
        <f t="shared" si="12"/>
        <v>3690</v>
      </c>
      <c r="C183" s="116">
        <f t="shared" si="13"/>
        <v>369</v>
      </c>
      <c r="D183" s="105">
        <f>WORKDAY($G$1,C183+E182,JoursFeries!$B$3:$CH$15)</f>
        <v>43432</v>
      </c>
      <c r="E183" s="5">
        <v>1</v>
      </c>
      <c r="F183" s="8">
        <f t="shared" si="14"/>
        <v>43432</v>
      </c>
      <c r="G183" s="4" t="s">
        <v>359</v>
      </c>
      <c r="J183" s="112"/>
      <c r="K183" s="194"/>
      <c r="L183" s="194"/>
      <c r="M183" s="195"/>
      <c r="O183" s="115"/>
      <c r="P183" s="115"/>
      <c r="Q183" s="193"/>
      <c r="R183" s="194"/>
      <c r="S183" s="194"/>
      <c r="T183" s="194"/>
      <c r="U183" s="193"/>
      <c r="V183" s="194"/>
      <c r="W183" s="194"/>
      <c r="X183" s="194"/>
      <c r="Y183" s="194"/>
    </row>
    <row r="184" spans="1:25" x14ac:dyDescent="0.25">
      <c r="A184" s="101">
        <f t="shared" si="15"/>
        <v>14800</v>
      </c>
      <c r="B184" s="117">
        <f t="shared" si="12"/>
        <v>3740</v>
      </c>
      <c r="C184" s="116">
        <f t="shared" si="13"/>
        <v>374</v>
      </c>
      <c r="D184" s="105">
        <f>WORKDAY($G$1,C184+E183,JoursFeries!$B$3:$CH$15)</f>
        <v>43439</v>
      </c>
      <c r="E184" s="5">
        <v>1</v>
      </c>
      <c r="F184" s="8">
        <f t="shared" si="14"/>
        <v>43439</v>
      </c>
      <c r="G184" s="4" t="s">
        <v>360</v>
      </c>
      <c r="J184" s="112"/>
      <c r="K184" s="194"/>
      <c r="L184" s="194"/>
      <c r="M184" s="195"/>
      <c r="O184" s="115"/>
      <c r="P184" s="115"/>
      <c r="Q184" s="193"/>
      <c r="R184" s="194"/>
      <c r="S184" s="194"/>
      <c r="T184" s="194"/>
      <c r="U184" s="193"/>
      <c r="V184" s="194"/>
      <c r="W184" s="194"/>
      <c r="X184" s="194"/>
      <c r="Y184" s="194"/>
    </row>
    <row r="185" spans="1:25" x14ac:dyDescent="0.25">
      <c r="A185" s="101">
        <f t="shared" si="15"/>
        <v>14900</v>
      </c>
      <c r="B185" s="117">
        <f t="shared" si="12"/>
        <v>3840</v>
      </c>
      <c r="C185" s="116">
        <f t="shared" si="13"/>
        <v>384</v>
      </c>
      <c r="D185" s="105">
        <f>WORKDAY($G$1,C185+E184,JoursFeries!$B$3:$CH$15)</f>
        <v>43453</v>
      </c>
      <c r="E185" s="5">
        <v>1</v>
      </c>
      <c r="F185" s="8">
        <f t="shared" si="14"/>
        <v>43453</v>
      </c>
      <c r="G185" s="4" t="s">
        <v>361</v>
      </c>
      <c r="J185" s="112"/>
      <c r="K185" s="194"/>
      <c r="L185" s="194"/>
      <c r="M185" s="195"/>
      <c r="O185" s="115"/>
      <c r="P185" s="115"/>
      <c r="Q185" s="193"/>
      <c r="R185" s="194"/>
      <c r="S185" s="194"/>
      <c r="T185" s="194"/>
      <c r="U185" s="193"/>
      <c r="V185" s="194"/>
      <c r="W185" s="194"/>
      <c r="X185" s="194"/>
      <c r="Y185" s="194"/>
    </row>
    <row r="186" spans="1:25" x14ac:dyDescent="0.25">
      <c r="A186" s="101">
        <f t="shared" si="15"/>
        <v>15000</v>
      </c>
      <c r="B186" s="117">
        <f t="shared" si="12"/>
        <v>3940</v>
      </c>
      <c r="C186" s="116">
        <f t="shared" si="13"/>
        <v>394</v>
      </c>
      <c r="D186" s="105">
        <f>WORKDAY($G$1,C186+E185,JoursFeries!$B$3:$CH$15)</f>
        <v>43469</v>
      </c>
      <c r="E186" s="5">
        <v>2</v>
      </c>
      <c r="F186" s="8">
        <f t="shared" si="14"/>
        <v>43469</v>
      </c>
      <c r="G186" s="4" t="s">
        <v>362</v>
      </c>
      <c r="J186" s="112"/>
      <c r="K186" s="194"/>
      <c r="L186" s="194"/>
      <c r="M186" s="195"/>
      <c r="O186" s="115"/>
      <c r="P186" s="115"/>
      <c r="Q186" s="193"/>
      <c r="R186" s="194"/>
      <c r="S186" s="194"/>
      <c r="T186" s="194"/>
      <c r="U186" s="193"/>
      <c r="V186" s="194"/>
      <c r="W186" s="194"/>
      <c r="X186" s="194"/>
      <c r="Y186" s="194"/>
    </row>
    <row r="187" spans="1:25" x14ac:dyDescent="0.25">
      <c r="A187" s="101">
        <f t="shared" si="15"/>
        <v>15100</v>
      </c>
      <c r="B187" s="117">
        <f t="shared" si="12"/>
        <v>4040</v>
      </c>
      <c r="C187" s="116">
        <f t="shared" si="13"/>
        <v>404</v>
      </c>
      <c r="D187" s="105">
        <f>WORKDAY($G$1,C187+E186,JoursFeries!$B$3:$CH$15)</f>
        <v>43486</v>
      </c>
      <c r="E187" s="5">
        <v>1</v>
      </c>
      <c r="F187" s="8">
        <f t="shared" si="14"/>
        <v>43486</v>
      </c>
      <c r="G187" s="4" t="s">
        <v>363</v>
      </c>
      <c r="J187" s="112"/>
      <c r="K187" s="194"/>
      <c r="L187" s="194"/>
      <c r="M187" s="195"/>
      <c r="O187" s="115"/>
      <c r="P187" s="115"/>
      <c r="Q187" s="193"/>
      <c r="R187" s="194"/>
      <c r="S187" s="194"/>
      <c r="T187" s="194"/>
      <c r="U187" s="193"/>
      <c r="V187" s="194"/>
      <c r="W187" s="194"/>
      <c r="X187" s="194"/>
      <c r="Y187" s="194"/>
    </row>
    <row r="188" spans="1:25" x14ac:dyDescent="0.25">
      <c r="A188" s="101">
        <f t="shared" si="15"/>
        <v>15200</v>
      </c>
      <c r="B188" s="117">
        <f t="shared" si="12"/>
        <v>4140</v>
      </c>
      <c r="C188" s="116">
        <f t="shared" si="13"/>
        <v>414</v>
      </c>
      <c r="D188" s="105">
        <f>WORKDAY($G$1,C188+E187,JoursFeries!$B$3:$CH$15)</f>
        <v>43497</v>
      </c>
      <c r="E188" s="5">
        <v>1</v>
      </c>
      <c r="F188" s="8">
        <f t="shared" si="14"/>
        <v>43497</v>
      </c>
      <c r="G188" s="4" t="s">
        <v>364</v>
      </c>
      <c r="J188" s="112"/>
      <c r="K188" s="194"/>
      <c r="L188" s="194"/>
      <c r="M188" s="195"/>
      <c r="O188" s="115"/>
      <c r="P188" s="115"/>
      <c r="Q188" s="193"/>
      <c r="R188" s="194"/>
      <c r="S188" s="194"/>
      <c r="T188" s="194"/>
      <c r="U188" s="193"/>
      <c r="V188" s="194"/>
      <c r="W188" s="194"/>
      <c r="X188" s="194"/>
      <c r="Y188" s="194"/>
    </row>
    <row r="189" spans="1:25" x14ac:dyDescent="0.25">
      <c r="A189" s="101">
        <f t="shared" si="15"/>
        <v>15250</v>
      </c>
      <c r="B189" s="117">
        <f t="shared" si="12"/>
        <v>4190</v>
      </c>
      <c r="C189" s="116">
        <f t="shared" si="13"/>
        <v>419</v>
      </c>
      <c r="D189" s="105">
        <f>WORKDAY($G$1,C189+E188,JoursFeries!$B$3:$CH$15)</f>
        <v>43504</v>
      </c>
      <c r="E189" s="5">
        <v>1</v>
      </c>
      <c r="F189" s="8">
        <f t="shared" si="14"/>
        <v>43504</v>
      </c>
      <c r="G189" s="4" t="s">
        <v>178</v>
      </c>
      <c r="J189" s="112"/>
      <c r="K189" s="194"/>
      <c r="L189" s="194"/>
      <c r="M189" s="195"/>
      <c r="O189" s="115"/>
      <c r="P189" s="115"/>
      <c r="Q189" s="193"/>
      <c r="R189" s="194"/>
      <c r="S189" s="194"/>
      <c r="T189" s="194"/>
      <c r="U189" s="193"/>
      <c r="V189" s="194"/>
      <c r="W189" s="194"/>
      <c r="X189" s="194"/>
      <c r="Y189" s="194"/>
    </row>
    <row r="190" spans="1:25" x14ac:dyDescent="0.25">
      <c r="A190" s="101">
        <f t="shared" si="15"/>
        <v>15300</v>
      </c>
      <c r="B190" s="117">
        <f t="shared" si="12"/>
        <v>4240</v>
      </c>
      <c r="C190" s="116">
        <f t="shared" si="13"/>
        <v>424</v>
      </c>
      <c r="D190" s="105">
        <f>WORKDAY($G$1,C190+E189,JoursFeries!$B$3:$CH$15)</f>
        <v>43511</v>
      </c>
      <c r="E190" s="5">
        <v>1</v>
      </c>
      <c r="F190" s="8">
        <f t="shared" si="14"/>
        <v>43511</v>
      </c>
      <c r="G190" s="4" t="s">
        <v>365</v>
      </c>
      <c r="J190" s="112"/>
      <c r="K190" s="194"/>
      <c r="L190" s="194"/>
      <c r="M190" s="195"/>
      <c r="O190" s="115"/>
      <c r="P190" s="115"/>
      <c r="Q190" s="193"/>
      <c r="R190" s="194"/>
      <c r="S190" s="194"/>
      <c r="T190" s="194"/>
      <c r="U190" s="193"/>
      <c r="V190" s="194"/>
      <c r="W190" s="194"/>
      <c r="X190" s="194"/>
      <c r="Y190" s="194"/>
    </row>
    <row r="191" spans="1:25" x14ac:dyDescent="0.25">
      <c r="A191" s="101">
        <f t="shared" si="15"/>
        <v>15400</v>
      </c>
      <c r="B191" s="117">
        <f t="shared" si="12"/>
        <v>4340</v>
      </c>
      <c r="C191" s="116">
        <f t="shared" si="13"/>
        <v>434</v>
      </c>
      <c r="D191" s="105">
        <f>WORKDAY($G$1,C191+E190,JoursFeries!$B$3:$CH$15)</f>
        <v>43525</v>
      </c>
      <c r="E191" s="5">
        <v>1</v>
      </c>
      <c r="F191" s="8">
        <f t="shared" si="14"/>
        <v>43525</v>
      </c>
      <c r="G191" s="4" t="s">
        <v>366</v>
      </c>
      <c r="J191" s="112"/>
      <c r="K191" s="194"/>
      <c r="L191" s="194"/>
      <c r="M191" s="195"/>
      <c r="O191" s="115"/>
      <c r="P191" s="115"/>
      <c r="Q191" s="193"/>
      <c r="R191" s="194"/>
      <c r="S191" s="194"/>
      <c r="T191" s="194"/>
      <c r="U191" s="193"/>
      <c r="V191" s="194"/>
      <c r="W191" s="194"/>
      <c r="X191" s="194"/>
      <c r="Y191" s="194"/>
    </row>
    <row r="192" spans="1:25" x14ac:dyDescent="0.25">
      <c r="A192" s="101">
        <f t="shared" si="15"/>
        <v>15500</v>
      </c>
      <c r="B192" s="117">
        <f t="shared" si="12"/>
        <v>4440</v>
      </c>
      <c r="C192" s="116">
        <f t="shared" si="13"/>
        <v>444</v>
      </c>
      <c r="D192" s="105">
        <f>WORKDAY($G$1,C192+E191,JoursFeries!$B$3:$CH$15)</f>
        <v>43539</v>
      </c>
      <c r="E192" s="5">
        <v>1</v>
      </c>
      <c r="F192" s="8">
        <f t="shared" si="14"/>
        <v>43539</v>
      </c>
      <c r="G192" s="4" t="s">
        <v>367</v>
      </c>
      <c r="J192" s="112"/>
      <c r="K192" s="194"/>
      <c r="L192" s="194"/>
      <c r="M192" s="195"/>
      <c r="O192" s="115"/>
      <c r="P192" s="115"/>
      <c r="Q192" s="193"/>
      <c r="R192" s="194"/>
      <c r="S192" s="194"/>
      <c r="T192" s="194"/>
      <c r="U192" s="193"/>
      <c r="V192" s="194"/>
      <c r="W192" s="194"/>
      <c r="X192" s="194"/>
      <c r="Y192" s="194"/>
    </row>
    <row r="193" spans="1:25" x14ac:dyDescent="0.25">
      <c r="A193" s="101">
        <f t="shared" si="15"/>
        <v>15600</v>
      </c>
      <c r="B193" s="117">
        <f t="shared" si="12"/>
        <v>4540</v>
      </c>
      <c r="C193" s="116">
        <f t="shared" si="13"/>
        <v>454</v>
      </c>
      <c r="D193" s="105">
        <f>WORKDAY($G$1,C193+E192,JoursFeries!$B$3:$CH$15)</f>
        <v>43553</v>
      </c>
      <c r="E193" s="5">
        <v>1</v>
      </c>
      <c r="F193" s="8">
        <f t="shared" si="14"/>
        <v>43553</v>
      </c>
      <c r="G193" s="4" t="s">
        <v>368</v>
      </c>
      <c r="J193" s="112"/>
      <c r="K193" s="194"/>
      <c r="L193" s="194"/>
      <c r="M193" s="195"/>
      <c r="O193" s="115"/>
      <c r="P193" s="115"/>
      <c r="Q193" s="193"/>
      <c r="R193" s="194"/>
      <c r="S193" s="194"/>
      <c r="T193" s="194"/>
      <c r="U193" s="193"/>
      <c r="V193" s="194"/>
      <c r="W193" s="194"/>
      <c r="X193" s="194"/>
      <c r="Y193" s="194"/>
    </row>
    <row r="194" spans="1:25" x14ac:dyDescent="0.25">
      <c r="A194" s="101">
        <f t="shared" si="15"/>
        <v>15700</v>
      </c>
      <c r="B194" s="117">
        <f t="shared" si="12"/>
        <v>4640</v>
      </c>
      <c r="C194" s="116">
        <f t="shared" si="13"/>
        <v>464</v>
      </c>
      <c r="D194" s="105">
        <f>WORKDAY($G$1,C194+E193,JoursFeries!$B$3:$CH$15)</f>
        <v>43567</v>
      </c>
      <c r="E194" s="5">
        <v>1</v>
      </c>
      <c r="F194" s="8">
        <f t="shared" si="14"/>
        <v>43567</v>
      </c>
      <c r="G194" s="4" t="s">
        <v>369</v>
      </c>
      <c r="J194" s="112"/>
      <c r="K194" s="194"/>
      <c r="L194" s="194"/>
      <c r="M194" s="195"/>
      <c r="O194" s="115"/>
      <c r="P194" s="115"/>
      <c r="Q194" s="193"/>
      <c r="R194" s="194"/>
      <c r="S194" s="194"/>
      <c r="T194" s="194"/>
      <c r="U194" s="193"/>
      <c r="V194" s="194"/>
      <c r="W194" s="194"/>
      <c r="X194" s="194"/>
      <c r="Y194" s="194"/>
    </row>
    <row r="195" spans="1:25" x14ac:dyDescent="0.25">
      <c r="A195" s="101">
        <f t="shared" si="15"/>
        <v>15750</v>
      </c>
      <c r="B195" s="117">
        <f t="shared" si="12"/>
        <v>4690</v>
      </c>
      <c r="C195" s="116">
        <f t="shared" si="13"/>
        <v>469</v>
      </c>
      <c r="D195" s="105">
        <f>WORKDAY($G$1,C195+E194,JoursFeries!$B$3:$CH$15)</f>
        <v>43574</v>
      </c>
      <c r="E195" s="5">
        <v>1</v>
      </c>
      <c r="F195" s="8">
        <f t="shared" si="14"/>
        <v>43574</v>
      </c>
      <c r="G195" s="4" t="s">
        <v>177</v>
      </c>
      <c r="J195" s="112"/>
      <c r="K195" s="194"/>
      <c r="L195" s="194"/>
      <c r="M195" s="195"/>
      <c r="O195" s="115"/>
      <c r="P195" s="115"/>
      <c r="Q195" s="193"/>
      <c r="R195" s="194"/>
      <c r="S195" s="194"/>
      <c r="T195" s="194"/>
      <c r="U195" s="193"/>
      <c r="V195" s="194"/>
      <c r="W195" s="194"/>
      <c r="X195" s="194"/>
      <c r="Y195" s="194"/>
    </row>
    <row r="196" spans="1:25" x14ac:dyDescent="0.25">
      <c r="A196" s="101">
        <f t="shared" si="15"/>
        <v>15800</v>
      </c>
      <c r="B196" s="117">
        <f t="shared" si="12"/>
        <v>4740</v>
      </c>
      <c r="C196" s="116">
        <f t="shared" si="13"/>
        <v>474</v>
      </c>
      <c r="D196" s="105">
        <f>WORKDAY($G$1,C196+E195,JoursFeries!$B$3:$CH$15)</f>
        <v>43584</v>
      </c>
      <c r="E196" s="5">
        <v>1</v>
      </c>
      <c r="F196" s="8">
        <f t="shared" si="14"/>
        <v>43584</v>
      </c>
      <c r="G196" s="4" t="s">
        <v>370</v>
      </c>
      <c r="J196" s="112"/>
      <c r="K196" s="194"/>
      <c r="L196" s="194"/>
      <c r="M196" s="195"/>
      <c r="O196" s="115"/>
      <c r="P196" s="115"/>
      <c r="Q196" s="193"/>
      <c r="R196" s="194"/>
      <c r="S196" s="194"/>
      <c r="T196" s="194"/>
      <c r="U196" s="193"/>
      <c r="V196" s="194"/>
      <c r="W196" s="194"/>
      <c r="X196" s="194"/>
      <c r="Y196" s="194"/>
    </row>
    <row r="197" spans="1:25" x14ac:dyDescent="0.25">
      <c r="A197" s="101">
        <f t="shared" si="15"/>
        <v>15900</v>
      </c>
      <c r="B197" s="117">
        <f t="shared" si="12"/>
        <v>4840</v>
      </c>
      <c r="C197" s="116">
        <f t="shared" si="13"/>
        <v>484</v>
      </c>
      <c r="D197" s="105">
        <f>WORKDAY($G$1,C197+E196,JoursFeries!$B$3:$CH$15)</f>
        <v>43600</v>
      </c>
      <c r="E197" s="5">
        <v>1</v>
      </c>
      <c r="F197" s="8">
        <f t="shared" si="14"/>
        <v>43600</v>
      </c>
      <c r="G197" s="4" t="s">
        <v>371</v>
      </c>
      <c r="J197" s="112"/>
      <c r="K197" s="194"/>
      <c r="L197" s="194"/>
      <c r="M197" s="195"/>
      <c r="O197" s="115"/>
      <c r="P197" s="115"/>
      <c r="Q197" s="193"/>
      <c r="R197" s="194"/>
      <c r="S197" s="194"/>
      <c r="T197" s="194"/>
      <c r="U197" s="193"/>
      <c r="V197" s="194"/>
      <c r="W197" s="194"/>
      <c r="X197" s="194"/>
      <c r="Y197" s="194"/>
    </row>
    <row r="198" spans="1:25" x14ac:dyDescent="0.25">
      <c r="A198" s="101">
        <f t="shared" si="15"/>
        <v>16000</v>
      </c>
      <c r="B198" s="117">
        <f t="shared" si="12"/>
        <v>4940</v>
      </c>
      <c r="C198" s="116">
        <f t="shared" si="13"/>
        <v>494</v>
      </c>
      <c r="D198" s="105">
        <f>WORKDAY($G$1,C198+E197,JoursFeries!$B$3:$CH$15)</f>
        <v>43614</v>
      </c>
      <c r="E198" s="5">
        <v>2</v>
      </c>
      <c r="F198" s="8">
        <f t="shared" si="14"/>
        <v>43614</v>
      </c>
      <c r="G198" s="4" t="s">
        <v>372</v>
      </c>
      <c r="J198" s="112"/>
      <c r="K198" s="194"/>
      <c r="L198" s="194"/>
      <c r="M198" s="195"/>
      <c r="O198" s="115"/>
      <c r="P198" s="115"/>
      <c r="Q198" s="193"/>
      <c r="R198" s="194"/>
      <c r="S198" s="194"/>
      <c r="T198" s="194"/>
      <c r="U198" s="193"/>
      <c r="V198" s="194"/>
      <c r="W198" s="194"/>
      <c r="X198" s="194"/>
      <c r="Y198" s="194"/>
    </row>
    <row r="199" spans="1:25" x14ac:dyDescent="0.25">
      <c r="A199" s="101">
        <f t="shared" si="15"/>
        <v>16100</v>
      </c>
      <c r="B199" s="117">
        <f t="shared" si="12"/>
        <v>5040</v>
      </c>
      <c r="C199" s="116">
        <f t="shared" si="13"/>
        <v>504</v>
      </c>
      <c r="D199" s="105">
        <f>WORKDAY($G$1,C199+E198,JoursFeries!$B$3:$CH$15)</f>
        <v>43633</v>
      </c>
      <c r="E199" s="5">
        <v>1</v>
      </c>
      <c r="F199" s="8">
        <f t="shared" si="14"/>
        <v>43633</v>
      </c>
      <c r="G199" s="4" t="s">
        <v>373</v>
      </c>
      <c r="J199" s="112"/>
      <c r="K199" s="194"/>
      <c r="L199" s="194"/>
      <c r="M199" s="195"/>
      <c r="O199" s="115"/>
      <c r="P199" s="115"/>
      <c r="Q199" s="193"/>
      <c r="R199" s="194"/>
      <c r="S199" s="194"/>
      <c r="T199" s="194"/>
      <c r="U199" s="193"/>
      <c r="V199" s="194"/>
      <c r="W199" s="194"/>
      <c r="X199" s="194"/>
      <c r="Y199" s="194"/>
    </row>
    <row r="200" spans="1:25" x14ac:dyDescent="0.25">
      <c r="A200" s="101">
        <f t="shared" si="15"/>
        <v>16200</v>
      </c>
      <c r="B200" s="117">
        <f t="shared" ref="B200:B252" si="16">A200-$G$2</f>
        <v>5140</v>
      </c>
      <c r="C200" s="116">
        <f t="shared" ref="C200:C252" si="17">B200/$G$3</f>
        <v>514</v>
      </c>
      <c r="D200" s="105">
        <f>WORKDAY($G$1,C200+E199,JoursFeries!$B$3:$CH$15)</f>
        <v>43644</v>
      </c>
      <c r="E200" s="5">
        <v>1</v>
      </c>
      <c r="F200" s="8">
        <f t="shared" si="14"/>
        <v>43644</v>
      </c>
      <c r="G200" s="4" t="s">
        <v>374</v>
      </c>
      <c r="J200" s="112"/>
      <c r="K200" s="194"/>
      <c r="L200" s="194"/>
      <c r="M200" s="195"/>
      <c r="O200" s="115"/>
      <c r="P200" s="115"/>
      <c r="Q200" s="193"/>
      <c r="R200" s="194"/>
      <c r="S200" s="194"/>
      <c r="T200" s="194"/>
      <c r="U200" s="193"/>
      <c r="V200" s="194"/>
      <c r="W200" s="194"/>
      <c r="X200" s="194"/>
      <c r="Y200" s="194"/>
    </row>
    <row r="201" spans="1:25" x14ac:dyDescent="0.25">
      <c r="A201" s="101">
        <f t="shared" si="15"/>
        <v>16250</v>
      </c>
      <c r="B201" s="117">
        <f t="shared" si="16"/>
        <v>5190</v>
      </c>
      <c r="C201" s="116">
        <f t="shared" si="17"/>
        <v>519</v>
      </c>
      <c r="D201" s="105">
        <f>WORKDAY($G$1,C201+E200,JoursFeries!$B$3:$CH$15)</f>
        <v>43651</v>
      </c>
      <c r="E201" s="5">
        <v>1</v>
      </c>
      <c r="F201" s="8">
        <f t="shared" si="14"/>
        <v>43651</v>
      </c>
      <c r="G201" s="4" t="s">
        <v>179</v>
      </c>
      <c r="J201" s="112"/>
      <c r="K201" s="194"/>
      <c r="L201" s="194"/>
      <c r="M201" s="195"/>
      <c r="O201" s="115"/>
      <c r="P201" s="115"/>
      <c r="Q201" s="193"/>
      <c r="R201" s="194"/>
      <c r="S201" s="194"/>
      <c r="T201" s="194"/>
      <c r="U201" s="193"/>
      <c r="V201" s="194"/>
      <c r="W201" s="194"/>
      <c r="X201" s="194"/>
      <c r="Y201" s="194"/>
    </row>
    <row r="202" spans="1:25" x14ac:dyDescent="0.25">
      <c r="A202" s="101">
        <f t="shared" si="15"/>
        <v>16300</v>
      </c>
      <c r="B202" s="117">
        <f t="shared" si="16"/>
        <v>5240</v>
      </c>
      <c r="C202" s="116">
        <f t="shared" si="17"/>
        <v>524</v>
      </c>
      <c r="D202" s="105">
        <f>WORKDAY($G$1,C202+E201,JoursFeries!$B$3:$CH$15)</f>
        <v>43658</v>
      </c>
      <c r="E202" s="5">
        <v>1</v>
      </c>
      <c r="F202" s="8">
        <f t="shared" si="14"/>
        <v>43658</v>
      </c>
      <c r="G202" s="4" t="s">
        <v>375</v>
      </c>
      <c r="J202" s="112"/>
      <c r="K202" s="194"/>
      <c r="L202" s="194"/>
      <c r="M202" s="195"/>
      <c r="O202" s="115"/>
      <c r="P202" s="115"/>
      <c r="Q202" s="193"/>
      <c r="R202" s="194"/>
      <c r="S202" s="194"/>
      <c r="T202" s="194"/>
      <c r="U202" s="193"/>
      <c r="V202" s="194"/>
      <c r="W202" s="194"/>
      <c r="X202" s="194"/>
      <c r="Y202" s="194"/>
    </row>
    <row r="203" spans="1:25" x14ac:dyDescent="0.25">
      <c r="A203" s="101">
        <f t="shared" si="15"/>
        <v>16400</v>
      </c>
      <c r="B203" s="117">
        <f t="shared" si="16"/>
        <v>5340</v>
      </c>
      <c r="C203" s="116">
        <f t="shared" si="17"/>
        <v>534</v>
      </c>
      <c r="D203" s="105">
        <f>WORKDAY($G$1,C203+E202,JoursFeries!$B$3:$CH$15)</f>
        <v>43672</v>
      </c>
      <c r="E203" s="5">
        <v>1</v>
      </c>
      <c r="F203" s="8">
        <f t="shared" si="14"/>
        <v>43672</v>
      </c>
      <c r="G203" s="4" t="s">
        <v>376</v>
      </c>
      <c r="J203" s="112"/>
      <c r="K203" s="194"/>
      <c r="L203" s="194"/>
      <c r="M203" s="195"/>
      <c r="O203" s="115"/>
      <c r="P203" s="115"/>
      <c r="Q203" s="193"/>
      <c r="R203" s="194"/>
      <c r="S203" s="194"/>
      <c r="T203" s="194"/>
      <c r="U203" s="193"/>
      <c r="V203" s="194"/>
      <c r="W203" s="194"/>
      <c r="X203" s="194"/>
      <c r="Y203" s="194"/>
    </row>
    <row r="204" spans="1:25" x14ac:dyDescent="0.25">
      <c r="A204" s="101">
        <f t="shared" si="15"/>
        <v>16500</v>
      </c>
      <c r="B204" s="117">
        <f t="shared" si="16"/>
        <v>5440</v>
      </c>
      <c r="C204" s="116">
        <f t="shared" si="17"/>
        <v>544</v>
      </c>
      <c r="D204" s="105">
        <f>WORKDAY($G$1,C204+E203,JoursFeries!$B$3:$CH$15)</f>
        <v>43686</v>
      </c>
      <c r="E204" s="5">
        <v>1</v>
      </c>
      <c r="F204" s="8">
        <f t="shared" si="14"/>
        <v>43686</v>
      </c>
      <c r="G204" s="4" t="s">
        <v>377</v>
      </c>
      <c r="J204" s="112"/>
      <c r="K204" s="194"/>
      <c r="L204" s="194"/>
      <c r="M204" s="195"/>
      <c r="O204" s="115"/>
      <c r="P204" s="115"/>
      <c r="Q204" s="193"/>
      <c r="R204" s="194"/>
      <c r="S204" s="194"/>
      <c r="T204" s="194"/>
      <c r="U204" s="193"/>
      <c r="V204" s="194"/>
      <c r="W204" s="194"/>
      <c r="X204" s="194"/>
      <c r="Y204" s="194"/>
    </row>
    <row r="205" spans="1:25" x14ac:dyDescent="0.25">
      <c r="A205" s="101">
        <f t="shared" si="15"/>
        <v>16600</v>
      </c>
      <c r="B205" s="117">
        <f t="shared" si="16"/>
        <v>5540</v>
      </c>
      <c r="C205" s="116">
        <f t="shared" si="17"/>
        <v>554</v>
      </c>
      <c r="D205" s="105">
        <f>WORKDAY($G$1,C205+E204,JoursFeries!$B$3:$CH$15)</f>
        <v>43703</v>
      </c>
      <c r="E205" s="5">
        <v>1</v>
      </c>
      <c r="F205" s="8">
        <f t="shared" si="14"/>
        <v>43703</v>
      </c>
      <c r="G205" s="4" t="s">
        <v>378</v>
      </c>
      <c r="J205" s="112"/>
      <c r="K205" s="194"/>
      <c r="L205" s="194"/>
      <c r="M205" s="195"/>
      <c r="O205" s="115"/>
      <c r="P205" s="115"/>
      <c r="Q205" s="193"/>
      <c r="R205" s="194"/>
      <c r="S205" s="194"/>
      <c r="T205" s="194"/>
      <c r="U205" s="193"/>
      <c r="V205" s="194"/>
      <c r="W205" s="194"/>
      <c r="X205" s="194"/>
      <c r="Y205" s="194"/>
    </row>
    <row r="206" spans="1:25" x14ac:dyDescent="0.25">
      <c r="A206" s="101">
        <f t="shared" si="15"/>
        <v>16700</v>
      </c>
      <c r="B206" s="117">
        <f t="shared" si="16"/>
        <v>5640</v>
      </c>
      <c r="C206" s="116">
        <f t="shared" si="17"/>
        <v>564</v>
      </c>
      <c r="D206" s="105">
        <f>WORKDAY($G$1,C206+E205,JoursFeries!$B$3:$CH$15)</f>
        <v>43717</v>
      </c>
      <c r="E206" s="5">
        <v>1</v>
      </c>
      <c r="F206" s="8">
        <f t="shared" si="14"/>
        <v>43717</v>
      </c>
      <c r="G206" s="4" t="s">
        <v>379</v>
      </c>
      <c r="J206" s="112"/>
      <c r="K206" s="194"/>
      <c r="L206" s="194"/>
      <c r="M206" s="195"/>
      <c r="O206" s="115"/>
      <c r="P206" s="115"/>
      <c r="Q206" s="193"/>
      <c r="R206" s="194"/>
      <c r="S206" s="194"/>
      <c r="T206" s="194"/>
      <c r="U206" s="193"/>
      <c r="V206" s="194"/>
      <c r="W206" s="194"/>
      <c r="X206" s="194"/>
      <c r="Y206" s="194"/>
    </row>
    <row r="207" spans="1:25" x14ac:dyDescent="0.25">
      <c r="A207" s="101">
        <f t="shared" si="15"/>
        <v>16750</v>
      </c>
      <c r="B207" s="117">
        <f t="shared" si="16"/>
        <v>5690</v>
      </c>
      <c r="C207" s="116">
        <f t="shared" si="17"/>
        <v>569</v>
      </c>
      <c r="D207" s="105">
        <f>WORKDAY($G$1,C207+E206,JoursFeries!$B$3:$CH$15)</f>
        <v>43724</v>
      </c>
      <c r="E207" s="5">
        <v>1</v>
      </c>
      <c r="F207" s="8">
        <f t="shared" si="14"/>
        <v>43724</v>
      </c>
      <c r="G207" s="4" t="s">
        <v>180</v>
      </c>
      <c r="J207" s="112"/>
      <c r="K207" s="194"/>
      <c r="L207" s="194"/>
      <c r="M207" s="195"/>
      <c r="O207" s="115"/>
      <c r="P207" s="115"/>
      <c r="Q207" s="193"/>
      <c r="R207" s="194"/>
      <c r="S207" s="194"/>
      <c r="T207" s="194"/>
      <c r="U207" s="193"/>
      <c r="V207" s="194"/>
      <c r="W207" s="194"/>
      <c r="X207" s="194"/>
      <c r="Y207" s="194"/>
    </row>
    <row r="208" spans="1:25" x14ac:dyDescent="0.25">
      <c r="A208" s="101">
        <f t="shared" si="15"/>
        <v>16800</v>
      </c>
      <c r="B208" s="117">
        <f t="shared" si="16"/>
        <v>5740</v>
      </c>
      <c r="C208" s="116">
        <f t="shared" si="17"/>
        <v>574</v>
      </c>
      <c r="D208" s="105">
        <f>WORKDAY($G$1,C208+E207,JoursFeries!$B$3:$CH$15)</f>
        <v>43731</v>
      </c>
      <c r="E208" s="5">
        <v>1</v>
      </c>
      <c r="F208" s="8">
        <f t="shared" si="14"/>
        <v>43731</v>
      </c>
      <c r="G208" s="4" t="s">
        <v>380</v>
      </c>
      <c r="J208" s="112"/>
      <c r="K208" s="194"/>
      <c r="L208" s="194"/>
      <c r="M208" s="195"/>
      <c r="O208" s="115"/>
      <c r="P208" s="115"/>
      <c r="Q208" s="193"/>
      <c r="R208" s="194"/>
      <c r="S208" s="194"/>
      <c r="T208" s="194"/>
      <c r="U208" s="193"/>
      <c r="V208" s="194"/>
      <c r="W208" s="194"/>
      <c r="X208" s="194"/>
      <c r="Y208" s="194"/>
    </row>
    <row r="209" spans="1:25" x14ac:dyDescent="0.25">
      <c r="A209" s="101">
        <f t="shared" si="15"/>
        <v>16900</v>
      </c>
      <c r="B209" s="117">
        <f t="shared" si="16"/>
        <v>5840</v>
      </c>
      <c r="C209" s="116">
        <f t="shared" si="17"/>
        <v>584</v>
      </c>
      <c r="D209" s="105">
        <f>WORKDAY($G$1,C209+E208,JoursFeries!$B$3:$CH$15)</f>
        <v>43745</v>
      </c>
      <c r="E209" s="5">
        <v>1</v>
      </c>
      <c r="F209" s="8">
        <f t="shared" si="14"/>
        <v>43745</v>
      </c>
      <c r="G209" s="4" t="s">
        <v>381</v>
      </c>
      <c r="J209" s="112"/>
      <c r="K209" s="194"/>
      <c r="L209" s="194"/>
      <c r="M209" s="195"/>
      <c r="O209" s="115"/>
      <c r="P209" s="115"/>
      <c r="Q209" s="193"/>
      <c r="R209" s="194"/>
      <c r="S209" s="194"/>
      <c r="T209" s="194"/>
      <c r="U209" s="193"/>
      <c r="V209" s="194"/>
      <c r="W209" s="194"/>
      <c r="X209" s="194"/>
      <c r="Y209" s="194"/>
    </row>
    <row r="210" spans="1:25" x14ac:dyDescent="0.25">
      <c r="A210" s="101">
        <f t="shared" si="15"/>
        <v>17000</v>
      </c>
      <c r="B210" s="117">
        <f t="shared" si="16"/>
        <v>5940</v>
      </c>
      <c r="C210" s="116">
        <f t="shared" si="17"/>
        <v>594</v>
      </c>
      <c r="D210" s="105">
        <f>WORKDAY($G$1,C210+E209,JoursFeries!$B$3:$CH$15)</f>
        <v>43759</v>
      </c>
      <c r="E210" s="5">
        <v>2</v>
      </c>
      <c r="F210" s="8">
        <f t="shared" si="14"/>
        <v>43759</v>
      </c>
      <c r="G210" s="4" t="s">
        <v>382</v>
      </c>
      <c r="J210" s="112"/>
      <c r="K210" s="194"/>
      <c r="L210" s="194"/>
      <c r="M210" s="195"/>
      <c r="O210" s="115"/>
      <c r="P210" s="115"/>
      <c r="Q210" s="193"/>
      <c r="R210" s="194"/>
      <c r="S210" s="194"/>
      <c r="T210" s="194"/>
      <c r="U210" s="193"/>
      <c r="V210" s="194"/>
      <c r="W210" s="194"/>
      <c r="X210" s="194"/>
      <c r="Y210" s="194"/>
    </row>
    <row r="211" spans="1:25" x14ac:dyDescent="0.25">
      <c r="A211" s="101">
        <f t="shared" si="15"/>
        <v>17100</v>
      </c>
      <c r="B211" s="117">
        <f t="shared" si="16"/>
        <v>6040</v>
      </c>
      <c r="C211" s="116">
        <f t="shared" si="17"/>
        <v>604</v>
      </c>
      <c r="D211" s="105">
        <f>WORKDAY($G$1,C211+E210,JoursFeries!$B$3:$CH$15)</f>
        <v>43774</v>
      </c>
      <c r="E211" s="5">
        <v>1</v>
      </c>
      <c r="F211" s="8">
        <f t="shared" si="14"/>
        <v>43774</v>
      </c>
      <c r="G211" s="4" t="s">
        <v>383</v>
      </c>
      <c r="J211" s="112"/>
      <c r="K211" s="194"/>
      <c r="L211" s="194"/>
      <c r="M211" s="195"/>
      <c r="O211" s="115"/>
      <c r="P211" s="115"/>
      <c r="Q211" s="193"/>
      <c r="R211" s="194"/>
      <c r="S211" s="194"/>
      <c r="T211" s="194"/>
      <c r="U211" s="193"/>
      <c r="V211" s="194"/>
      <c r="W211" s="194"/>
      <c r="X211" s="194"/>
      <c r="Y211" s="194"/>
    </row>
    <row r="212" spans="1:25" x14ac:dyDescent="0.25">
      <c r="A212" s="101">
        <f t="shared" si="15"/>
        <v>17200</v>
      </c>
      <c r="B212" s="117">
        <f t="shared" si="16"/>
        <v>6140</v>
      </c>
      <c r="C212" s="116">
        <f t="shared" si="17"/>
        <v>614</v>
      </c>
      <c r="D212" s="105">
        <f>WORKDAY($G$1,C212+E211,JoursFeries!$B$3:$CH$15)</f>
        <v>43788</v>
      </c>
      <c r="E212" s="5">
        <v>1</v>
      </c>
      <c r="F212" s="8">
        <f t="shared" ref="F212:F253" si="18">D212</f>
        <v>43788</v>
      </c>
      <c r="G212" s="4" t="s">
        <v>384</v>
      </c>
      <c r="J212" s="112"/>
      <c r="K212" s="194"/>
      <c r="L212" s="194"/>
      <c r="M212" s="195"/>
      <c r="O212" s="115"/>
      <c r="P212" s="115"/>
      <c r="Q212" s="193"/>
      <c r="R212" s="194"/>
      <c r="S212" s="194"/>
      <c r="T212" s="194"/>
      <c r="U212" s="193"/>
      <c r="V212" s="194"/>
      <c r="W212" s="194"/>
      <c r="X212" s="194"/>
      <c r="Y212" s="194"/>
    </row>
    <row r="213" spans="1:25" x14ac:dyDescent="0.25">
      <c r="A213" s="101">
        <f t="shared" si="15"/>
        <v>17250</v>
      </c>
      <c r="B213" s="117">
        <f t="shared" si="16"/>
        <v>6190</v>
      </c>
      <c r="C213" s="116">
        <f t="shared" si="17"/>
        <v>619</v>
      </c>
      <c r="D213" s="105">
        <f>WORKDAY($G$1,C213+E212,JoursFeries!$B$3:$CH$15)</f>
        <v>43795</v>
      </c>
      <c r="E213" s="5">
        <v>1</v>
      </c>
      <c r="F213" s="8">
        <f t="shared" si="18"/>
        <v>43795</v>
      </c>
      <c r="G213" s="4" t="s">
        <v>181</v>
      </c>
      <c r="J213" s="112"/>
      <c r="K213" s="194"/>
      <c r="L213" s="194"/>
      <c r="M213" s="195"/>
      <c r="O213" s="115"/>
      <c r="P213" s="115"/>
      <c r="Q213" s="193"/>
      <c r="R213" s="194"/>
      <c r="S213" s="194"/>
      <c r="T213" s="194"/>
      <c r="U213" s="193"/>
      <c r="V213" s="194"/>
      <c r="W213" s="194"/>
      <c r="X213" s="194"/>
      <c r="Y213" s="194"/>
    </row>
    <row r="214" spans="1:25" x14ac:dyDescent="0.25">
      <c r="A214" s="101">
        <f t="shared" si="15"/>
        <v>17300</v>
      </c>
      <c r="B214" s="117">
        <f t="shared" si="16"/>
        <v>6240</v>
      </c>
      <c r="C214" s="116">
        <f t="shared" si="17"/>
        <v>624</v>
      </c>
      <c r="D214" s="105">
        <f>WORKDAY($G$1,C214+E213,JoursFeries!$B$3:$CH$15)</f>
        <v>43802</v>
      </c>
      <c r="E214" s="5">
        <v>1</v>
      </c>
      <c r="F214" s="8">
        <f t="shared" si="18"/>
        <v>43802</v>
      </c>
      <c r="G214" s="4" t="s">
        <v>385</v>
      </c>
      <c r="J214" s="112"/>
      <c r="K214" s="194"/>
      <c r="L214" s="194"/>
      <c r="M214" s="195"/>
      <c r="O214" s="115"/>
      <c r="P214" s="115"/>
      <c r="Q214" s="193"/>
      <c r="R214" s="194"/>
      <c r="S214" s="194"/>
      <c r="T214" s="194"/>
      <c r="U214" s="193"/>
      <c r="V214" s="194"/>
      <c r="W214" s="194"/>
      <c r="X214" s="194"/>
      <c r="Y214" s="194"/>
    </row>
    <row r="215" spans="1:25" x14ac:dyDescent="0.25">
      <c r="A215" s="101">
        <f t="shared" si="15"/>
        <v>17400</v>
      </c>
      <c r="B215" s="117">
        <f t="shared" si="16"/>
        <v>6340</v>
      </c>
      <c r="C215" s="116">
        <f t="shared" si="17"/>
        <v>634</v>
      </c>
      <c r="D215" s="105">
        <f>WORKDAY($G$1,C215+E214,JoursFeries!$B$3:$CH$15)</f>
        <v>43816</v>
      </c>
      <c r="E215" s="5">
        <v>1</v>
      </c>
      <c r="F215" s="8">
        <f t="shared" si="18"/>
        <v>43816</v>
      </c>
      <c r="G215" s="4" t="s">
        <v>386</v>
      </c>
      <c r="J215" s="112"/>
      <c r="K215" s="194"/>
      <c r="L215" s="194"/>
      <c r="M215" s="195"/>
      <c r="O215" s="115"/>
      <c r="P215" s="115"/>
      <c r="Q215" s="193"/>
      <c r="R215" s="194"/>
      <c r="S215" s="194"/>
      <c r="T215" s="194"/>
      <c r="U215" s="193"/>
      <c r="V215" s="194"/>
      <c r="W215" s="194"/>
      <c r="X215" s="194"/>
      <c r="Y215" s="194"/>
    </row>
    <row r="216" spans="1:25" x14ac:dyDescent="0.25">
      <c r="A216" s="101">
        <f t="shared" si="15"/>
        <v>17500</v>
      </c>
      <c r="B216" s="117">
        <f t="shared" si="16"/>
        <v>6440</v>
      </c>
      <c r="C216" s="116">
        <f t="shared" si="17"/>
        <v>644</v>
      </c>
      <c r="D216" s="105">
        <f>WORKDAY($G$1,C216+E215,JoursFeries!$B$3:$CH$15)</f>
        <v>43832</v>
      </c>
      <c r="E216" s="5">
        <v>1</v>
      </c>
      <c r="F216" s="8">
        <f t="shared" si="18"/>
        <v>43832</v>
      </c>
      <c r="G216" s="4" t="s">
        <v>387</v>
      </c>
      <c r="J216" s="112"/>
      <c r="K216" s="194"/>
      <c r="L216" s="194"/>
      <c r="M216" s="195"/>
      <c r="O216" s="115"/>
      <c r="P216" s="115"/>
      <c r="Q216" s="193"/>
      <c r="R216" s="194"/>
      <c r="S216" s="194"/>
      <c r="T216" s="194"/>
      <c r="U216" s="193"/>
      <c r="V216" s="194"/>
      <c r="W216" s="194"/>
      <c r="X216" s="194"/>
      <c r="Y216" s="194"/>
    </row>
    <row r="217" spans="1:25" x14ac:dyDescent="0.25">
      <c r="A217" s="101">
        <f t="shared" si="15"/>
        <v>17600</v>
      </c>
      <c r="B217" s="117">
        <f t="shared" si="16"/>
        <v>6540</v>
      </c>
      <c r="C217" s="116">
        <f t="shared" si="17"/>
        <v>654</v>
      </c>
      <c r="D217" s="105">
        <f>WORKDAY($G$1,C217+E216,JoursFeries!$B$3:$CH$15)</f>
        <v>43846</v>
      </c>
      <c r="E217" s="5">
        <v>1</v>
      </c>
      <c r="F217" s="8">
        <f t="shared" si="18"/>
        <v>43846</v>
      </c>
      <c r="G217" s="4" t="s">
        <v>388</v>
      </c>
      <c r="J217" s="112"/>
      <c r="K217" s="194"/>
      <c r="L217" s="194"/>
      <c r="M217" s="195"/>
      <c r="O217" s="115"/>
      <c r="P217" s="115"/>
      <c r="Q217" s="193"/>
      <c r="R217" s="194"/>
      <c r="S217" s="194"/>
      <c r="T217" s="194"/>
      <c r="U217" s="193"/>
      <c r="V217" s="194"/>
      <c r="W217" s="194"/>
      <c r="X217" s="194"/>
      <c r="Y217" s="194"/>
    </row>
    <row r="218" spans="1:25" x14ac:dyDescent="0.25">
      <c r="A218" s="101">
        <f t="shared" si="15"/>
        <v>17700</v>
      </c>
      <c r="B218" s="117">
        <f t="shared" si="16"/>
        <v>6640</v>
      </c>
      <c r="C218" s="116">
        <f t="shared" si="17"/>
        <v>664</v>
      </c>
      <c r="D218" s="105">
        <f>WORKDAY($G$1,C218+E217,JoursFeries!$B$3:$CH$15)</f>
        <v>43860</v>
      </c>
      <c r="E218" s="5">
        <v>1</v>
      </c>
      <c r="F218" s="8">
        <f t="shared" si="18"/>
        <v>43860</v>
      </c>
      <c r="G218" s="4" t="s">
        <v>389</v>
      </c>
      <c r="J218" s="112"/>
      <c r="K218" s="194"/>
      <c r="L218" s="194"/>
      <c r="M218" s="195"/>
      <c r="O218" s="115"/>
      <c r="P218" s="115"/>
      <c r="Q218" s="193"/>
      <c r="R218" s="194"/>
      <c r="S218" s="194"/>
      <c r="T218" s="194"/>
      <c r="U218" s="193"/>
      <c r="V218" s="194"/>
      <c r="W218" s="194"/>
      <c r="X218" s="194"/>
      <c r="Y218" s="194"/>
    </row>
    <row r="219" spans="1:25" x14ac:dyDescent="0.25">
      <c r="A219" s="101">
        <f t="shared" si="15"/>
        <v>17750</v>
      </c>
      <c r="B219" s="117">
        <f t="shared" si="16"/>
        <v>6690</v>
      </c>
      <c r="C219" s="116">
        <f t="shared" si="17"/>
        <v>669</v>
      </c>
      <c r="D219" s="105">
        <f>WORKDAY($G$1,C219+E218,JoursFeries!$B$3:$CH$15)</f>
        <v>43867</v>
      </c>
      <c r="E219" s="5">
        <v>1</v>
      </c>
      <c r="F219" s="8">
        <f t="shared" si="18"/>
        <v>43867</v>
      </c>
      <c r="G219" s="4" t="s">
        <v>182</v>
      </c>
      <c r="J219" s="112"/>
      <c r="K219" s="194"/>
      <c r="L219" s="194"/>
      <c r="M219" s="195"/>
      <c r="O219" s="115"/>
      <c r="P219" s="115"/>
      <c r="Q219" s="193"/>
      <c r="R219" s="194"/>
      <c r="S219" s="194"/>
      <c r="T219" s="194"/>
      <c r="U219" s="193"/>
      <c r="V219" s="194"/>
      <c r="W219" s="194"/>
      <c r="X219" s="194"/>
      <c r="Y219" s="194"/>
    </row>
    <row r="220" spans="1:25" x14ac:dyDescent="0.25">
      <c r="A220" s="101">
        <f t="shared" si="15"/>
        <v>17800</v>
      </c>
      <c r="B220" s="117">
        <f t="shared" si="16"/>
        <v>6740</v>
      </c>
      <c r="C220" s="116">
        <f t="shared" si="17"/>
        <v>674</v>
      </c>
      <c r="D220" s="105">
        <f>WORKDAY($G$1,C220+E219,JoursFeries!$B$3:$CH$15)</f>
        <v>43874</v>
      </c>
      <c r="E220" s="5">
        <v>1</v>
      </c>
      <c r="F220" s="8">
        <f t="shared" si="18"/>
        <v>43874</v>
      </c>
      <c r="G220" s="4" t="s">
        <v>390</v>
      </c>
      <c r="J220" s="112"/>
      <c r="K220" s="194"/>
      <c r="L220" s="194"/>
      <c r="M220" s="195"/>
      <c r="O220" s="115"/>
      <c r="P220" s="115"/>
      <c r="Q220" s="193"/>
      <c r="R220" s="194"/>
      <c r="S220" s="194"/>
      <c r="T220" s="194"/>
      <c r="U220" s="193"/>
      <c r="V220" s="194"/>
      <c r="W220" s="194"/>
      <c r="X220" s="194"/>
      <c r="Y220" s="194"/>
    </row>
    <row r="221" spans="1:25" x14ac:dyDescent="0.25">
      <c r="A221" s="101">
        <f t="shared" si="15"/>
        <v>17900</v>
      </c>
      <c r="B221" s="117">
        <f t="shared" si="16"/>
        <v>6840</v>
      </c>
      <c r="C221" s="116">
        <f t="shared" si="17"/>
        <v>684</v>
      </c>
      <c r="D221" s="105">
        <f>WORKDAY($G$1,C221+E220,JoursFeries!$B$3:$CH$15)</f>
        <v>43888</v>
      </c>
      <c r="E221" s="5">
        <v>1</v>
      </c>
      <c r="F221" s="8">
        <f t="shared" si="18"/>
        <v>43888</v>
      </c>
      <c r="G221" s="4" t="s">
        <v>391</v>
      </c>
      <c r="J221" s="112"/>
      <c r="K221" s="194"/>
      <c r="L221" s="194"/>
      <c r="M221" s="195"/>
      <c r="O221" s="115"/>
      <c r="P221" s="115"/>
      <c r="Q221" s="193"/>
      <c r="R221" s="194"/>
      <c r="S221" s="194"/>
      <c r="T221" s="194"/>
      <c r="U221" s="193"/>
      <c r="V221" s="194"/>
      <c r="W221" s="194"/>
      <c r="X221" s="194"/>
      <c r="Y221" s="194"/>
    </row>
    <row r="222" spans="1:25" x14ac:dyDescent="0.25">
      <c r="A222" s="101">
        <f t="shared" ref="A222:A252" si="19">A210+1000</f>
        <v>18000</v>
      </c>
      <c r="B222" s="117">
        <f t="shared" si="16"/>
        <v>6940</v>
      </c>
      <c r="C222" s="116">
        <f t="shared" si="17"/>
        <v>694</v>
      </c>
      <c r="D222" s="105">
        <f>WORKDAY($G$1,C222+E221,JoursFeries!$B$3:$CH$15)</f>
        <v>43902</v>
      </c>
      <c r="E222" s="5">
        <v>2</v>
      </c>
      <c r="F222" s="8">
        <f t="shared" si="18"/>
        <v>43902</v>
      </c>
      <c r="G222" s="4" t="s">
        <v>392</v>
      </c>
      <c r="J222" s="112"/>
      <c r="K222" s="194"/>
      <c r="L222" s="194"/>
      <c r="M222" s="195"/>
      <c r="O222" s="115"/>
      <c r="P222" s="115"/>
      <c r="Q222" s="193"/>
      <c r="R222" s="194"/>
      <c r="S222" s="194"/>
      <c r="T222" s="194"/>
      <c r="U222" s="193"/>
      <c r="V222" s="194"/>
      <c r="W222" s="194"/>
      <c r="X222" s="194"/>
      <c r="Y222" s="194"/>
    </row>
    <row r="223" spans="1:25" x14ac:dyDescent="0.25">
      <c r="A223" s="101">
        <f t="shared" si="19"/>
        <v>18100</v>
      </c>
      <c r="B223" s="117">
        <f t="shared" si="16"/>
        <v>7040</v>
      </c>
      <c r="C223" s="116">
        <f t="shared" si="17"/>
        <v>704</v>
      </c>
      <c r="D223" s="105">
        <f>WORKDAY($G$1,C223+E222,JoursFeries!$B$3:$CH$15)</f>
        <v>43917</v>
      </c>
      <c r="E223" s="5">
        <v>1</v>
      </c>
      <c r="F223" s="8">
        <f t="shared" si="18"/>
        <v>43917</v>
      </c>
      <c r="G223" s="4" t="s">
        <v>393</v>
      </c>
      <c r="J223" s="112"/>
      <c r="K223" s="194"/>
      <c r="L223" s="194"/>
      <c r="M223" s="195"/>
      <c r="O223" s="115"/>
      <c r="P223" s="115"/>
      <c r="Q223" s="193"/>
      <c r="R223" s="194"/>
      <c r="S223" s="194"/>
      <c r="T223" s="194"/>
      <c r="U223" s="193"/>
      <c r="V223" s="194"/>
      <c r="W223" s="194"/>
      <c r="X223" s="194"/>
      <c r="Y223" s="194"/>
    </row>
    <row r="224" spans="1:25" x14ac:dyDescent="0.25">
      <c r="A224" s="101">
        <f t="shared" si="19"/>
        <v>18200</v>
      </c>
      <c r="B224" s="117">
        <f t="shared" si="16"/>
        <v>7140</v>
      </c>
      <c r="C224" s="116">
        <f t="shared" si="17"/>
        <v>714</v>
      </c>
      <c r="D224" s="105">
        <f>WORKDAY($G$1,C224+E223,JoursFeries!$B$3:$CH$15)</f>
        <v>43930</v>
      </c>
      <c r="E224" s="5">
        <v>1</v>
      </c>
      <c r="F224" s="8">
        <f t="shared" si="18"/>
        <v>43930</v>
      </c>
      <c r="G224" s="4" t="s">
        <v>394</v>
      </c>
      <c r="J224" s="112"/>
      <c r="K224" s="194"/>
      <c r="L224" s="194"/>
      <c r="M224" s="195"/>
      <c r="O224" s="115"/>
      <c r="P224" s="115"/>
      <c r="Q224" s="193"/>
      <c r="R224" s="194"/>
      <c r="S224" s="194"/>
      <c r="T224" s="194"/>
      <c r="U224" s="193"/>
      <c r="V224" s="194"/>
      <c r="W224" s="194"/>
      <c r="X224" s="194"/>
      <c r="Y224" s="194"/>
    </row>
    <row r="225" spans="1:25" x14ac:dyDescent="0.25">
      <c r="A225" s="101">
        <f t="shared" si="19"/>
        <v>18250</v>
      </c>
      <c r="B225" s="117">
        <f t="shared" si="16"/>
        <v>7190</v>
      </c>
      <c r="C225" s="116">
        <f t="shared" si="17"/>
        <v>719</v>
      </c>
      <c r="D225" s="105">
        <f>WORKDAY($G$1,C225+E224,JoursFeries!$B$3:$CH$15)</f>
        <v>43938</v>
      </c>
      <c r="E225" s="5">
        <v>1</v>
      </c>
      <c r="F225" s="8">
        <f t="shared" si="18"/>
        <v>43938</v>
      </c>
      <c r="G225" s="4" t="s">
        <v>183</v>
      </c>
      <c r="J225" s="112"/>
      <c r="K225" s="194"/>
      <c r="L225" s="194"/>
      <c r="M225" s="195"/>
      <c r="O225" s="115"/>
      <c r="P225" s="115"/>
      <c r="Q225" s="193"/>
      <c r="R225" s="194"/>
      <c r="S225" s="194"/>
      <c r="T225" s="194"/>
      <c r="U225" s="193"/>
      <c r="V225" s="194"/>
      <c r="W225" s="194"/>
      <c r="X225" s="194"/>
      <c r="Y225" s="194"/>
    </row>
    <row r="226" spans="1:25" x14ac:dyDescent="0.25">
      <c r="A226" s="101">
        <f t="shared" si="19"/>
        <v>18300</v>
      </c>
      <c r="B226" s="117">
        <f t="shared" si="16"/>
        <v>7240</v>
      </c>
      <c r="C226" s="116">
        <f t="shared" si="17"/>
        <v>724</v>
      </c>
      <c r="D226" s="105">
        <f>WORKDAY($G$1,C226+E225,JoursFeries!$B$3:$CH$15)</f>
        <v>43945</v>
      </c>
      <c r="E226" s="5">
        <v>1</v>
      </c>
      <c r="F226" s="8">
        <f t="shared" si="18"/>
        <v>43945</v>
      </c>
      <c r="G226" s="4" t="s">
        <v>395</v>
      </c>
      <c r="J226" s="112"/>
      <c r="K226" s="194"/>
      <c r="L226" s="194"/>
      <c r="M226" s="195"/>
      <c r="O226" s="115"/>
      <c r="P226" s="115"/>
      <c r="Q226" s="193"/>
      <c r="R226" s="194"/>
      <c r="S226" s="194"/>
      <c r="T226" s="194"/>
      <c r="U226" s="193"/>
      <c r="V226" s="194"/>
      <c r="W226" s="194"/>
      <c r="X226" s="194"/>
      <c r="Y226" s="194"/>
    </row>
    <row r="227" spans="1:25" x14ac:dyDescent="0.25">
      <c r="A227" s="101">
        <f t="shared" si="19"/>
        <v>18400</v>
      </c>
      <c r="B227" s="117">
        <f t="shared" si="16"/>
        <v>7340</v>
      </c>
      <c r="C227" s="116">
        <f t="shared" si="17"/>
        <v>734</v>
      </c>
      <c r="D227" s="105">
        <f>WORKDAY($G$1,C227+E226,JoursFeries!$B$3:$CH$15)</f>
        <v>43963</v>
      </c>
      <c r="E227" s="5">
        <v>1</v>
      </c>
      <c r="F227" s="8">
        <f t="shared" si="18"/>
        <v>43963</v>
      </c>
      <c r="G227" s="4" t="s">
        <v>396</v>
      </c>
      <c r="J227" s="112"/>
      <c r="K227" s="194"/>
      <c r="L227" s="194"/>
      <c r="M227" s="195"/>
      <c r="O227" s="115"/>
      <c r="P227" s="115"/>
      <c r="Q227" s="193"/>
      <c r="R227" s="194"/>
      <c r="S227" s="194"/>
      <c r="T227" s="194"/>
      <c r="U227" s="193"/>
      <c r="V227" s="194"/>
      <c r="W227" s="194"/>
      <c r="X227" s="194"/>
      <c r="Y227" s="194"/>
    </row>
    <row r="228" spans="1:25" x14ac:dyDescent="0.25">
      <c r="A228" s="101">
        <f t="shared" si="19"/>
        <v>18500</v>
      </c>
      <c r="B228" s="117">
        <f t="shared" si="16"/>
        <v>7440</v>
      </c>
      <c r="C228" s="116">
        <f t="shared" si="17"/>
        <v>744</v>
      </c>
      <c r="D228" s="105">
        <f>WORKDAY($G$1,C228+E227,JoursFeries!$B$3:$CH$15)</f>
        <v>43978</v>
      </c>
      <c r="E228" s="5">
        <v>1</v>
      </c>
      <c r="F228" s="8">
        <f t="shared" si="18"/>
        <v>43978</v>
      </c>
      <c r="G228" s="4" t="s">
        <v>397</v>
      </c>
      <c r="J228" s="112"/>
      <c r="K228" s="194"/>
      <c r="L228" s="194"/>
      <c r="M228" s="195"/>
      <c r="O228" s="115"/>
      <c r="P228" s="115"/>
      <c r="Q228" s="193"/>
      <c r="R228" s="194"/>
      <c r="S228" s="194"/>
      <c r="T228" s="194"/>
      <c r="U228" s="193"/>
      <c r="V228" s="194"/>
      <c r="W228" s="194"/>
      <c r="X228" s="194"/>
      <c r="Y228" s="194"/>
    </row>
    <row r="229" spans="1:25" x14ac:dyDescent="0.25">
      <c r="A229" s="101">
        <f t="shared" si="19"/>
        <v>18600</v>
      </c>
      <c r="B229" s="117">
        <f t="shared" si="16"/>
        <v>7540</v>
      </c>
      <c r="C229" s="116">
        <f t="shared" si="17"/>
        <v>754</v>
      </c>
      <c r="D229" s="105">
        <f>WORKDAY($G$1,C229+E228,JoursFeries!$B$3:$CH$15)</f>
        <v>43993</v>
      </c>
      <c r="E229" s="5">
        <v>1</v>
      </c>
      <c r="F229" s="8">
        <f t="shared" si="18"/>
        <v>43993</v>
      </c>
      <c r="G229" s="4" t="s">
        <v>398</v>
      </c>
      <c r="J229" s="112"/>
      <c r="K229" s="194"/>
      <c r="L229" s="194"/>
      <c r="M229" s="195"/>
      <c r="O229" s="115"/>
      <c r="P229" s="115"/>
      <c r="Q229" s="193"/>
      <c r="R229" s="194"/>
      <c r="S229" s="194"/>
      <c r="T229" s="194"/>
      <c r="U229" s="193"/>
      <c r="V229" s="194"/>
      <c r="W229" s="194"/>
      <c r="X229" s="194"/>
      <c r="Y229" s="194"/>
    </row>
    <row r="230" spans="1:25" x14ac:dyDescent="0.25">
      <c r="A230" s="101">
        <f t="shared" si="19"/>
        <v>18700</v>
      </c>
      <c r="B230" s="117">
        <f t="shared" si="16"/>
        <v>7640</v>
      </c>
      <c r="C230" s="116">
        <f t="shared" si="17"/>
        <v>764</v>
      </c>
      <c r="D230" s="105">
        <f>WORKDAY($G$1,C230+E229,JoursFeries!$B$3:$CH$15)</f>
        <v>44007</v>
      </c>
      <c r="E230" s="5">
        <v>1</v>
      </c>
      <c r="F230" s="8">
        <f t="shared" si="18"/>
        <v>44007</v>
      </c>
      <c r="G230" s="4" t="s">
        <v>399</v>
      </c>
      <c r="J230" s="112"/>
      <c r="K230" s="194"/>
      <c r="L230" s="194"/>
      <c r="M230" s="195"/>
      <c r="O230" s="115"/>
      <c r="P230" s="115"/>
      <c r="Q230" s="193"/>
      <c r="R230" s="194"/>
      <c r="S230" s="194"/>
      <c r="T230" s="194"/>
      <c r="U230" s="193"/>
      <c r="V230" s="194"/>
      <c r="W230" s="194"/>
      <c r="X230" s="194"/>
      <c r="Y230" s="194"/>
    </row>
    <row r="231" spans="1:25" x14ac:dyDescent="0.25">
      <c r="A231" s="101">
        <f t="shared" si="19"/>
        <v>18750</v>
      </c>
      <c r="B231" s="117">
        <f t="shared" si="16"/>
        <v>7690</v>
      </c>
      <c r="C231" s="116">
        <f t="shared" si="17"/>
        <v>769</v>
      </c>
      <c r="D231" s="105">
        <f>WORKDAY($G$1,C231+E230,JoursFeries!$B$3:$CH$15)</f>
        <v>44014</v>
      </c>
      <c r="E231" s="5">
        <v>1</v>
      </c>
      <c r="F231" s="8">
        <f t="shared" si="18"/>
        <v>44014</v>
      </c>
      <c r="G231" s="4" t="s">
        <v>184</v>
      </c>
      <c r="J231" s="112"/>
      <c r="K231" s="194"/>
      <c r="L231" s="194"/>
      <c r="M231" s="195"/>
      <c r="O231" s="115"/>
      <c r="P231" s="115"/>
      <c r="Q231" s="193"/>
      <c r="R231" s="194"/>
      <c r="S231" s="194"/>
      <c r="T231" s="194"/>
      <c r="U231" s="193"/>
      <c r="V231" s="194"/>
      <c r="W231" s="194"/>
      <c r="X231" s="194"/>
      <c r="Y231" s="194"/>
    </row>
    <row r="232" spans="1:25" x14ac:dyDescent="0.25">
      <c r="A232" s="101">
        <f t="shared" si="19"/>
        <v>18800</v>
      </c>
      <c r="B232" s="117">
        <f t="shared" si="16"/>
        <v>7740</v>
      </c>
      <c r="C232" s="116">
        <f t="shared" si="17"/>
        <v>774</v>
      </c>
      <c r="D232" s="105">
        <f>WORKDAY($G$1,C232+E231,JoursFeries!$B$3:$CH$15)</f>
        <v>44021</v>
      </c>
      <c r="E232" s="5">
        <v>1</v>
      </c>
      <c r="F232" s="8">
        <f t="shared" si="18"/>
        <v>44021</v>
      </c>
      <c r="G232" s="4" t="s">
        <v>400</v>
      </c>
      <c r="J232" s="112"/>
      <c r="K232" s="194"/>
      <c r="L232" s="194"/>
      <c r="M232" s="195"/>
      <c r="O232" s="115"/>
      <c r="P232" s="115"/>
      <c r="Q232" s="193"/>
      <c r="R232" s="194"/>
      <c r="S232" s="194"/>
      <c r="T232" s="194"/>
      <c r="U232" s="193"/>
      <c r="V232" s="194"/>
      <c r="W232" s="194"/>
      <c r="X232" s="194"/>
      <c r="Y232" s="194"/>
    </row>
    <row r="233" spans="1:25" x14ac:dyDescent="0.25">
      <c r="A233" s="101">
        <f t="shared" si="19"/>
        <v>18900</v>
      </c>
      <c r="B233" s="117">
        <f t="shared" si="16"/>
        <v>7840</v>
      </c>
      <c r="C233" s="116">
        <f t="shared" si="17"/>
        <v>784</v>
      </c>
      <c r="D233" s="105">
        <f>WORKDAY($G$1,C233+E232,JoursFeries!$B$3:$CH$15)</f>
        <v>44036</v>
      </c>
      <c r="E233" s="5">
        <v>1</v>
      </c>
      <c r="F233" s="8">
        <f t="shared" si="18"/>
        <v>44036</v>
      </c>
      <c r="G233" s="4" t="s">
        <v>401</v>
      </c>
      <c r="J233" s="112"/>
      <c r="K233" s="194"/>
      <c r="L233" s="194"/>
      <c r="M233" s="195"/>
      <c r="O233" s="115"/>
      <c r="P233" s="115"/>
      <c r="Q233" s="193"/>
      <c r="R233" s="194"/>
      <c r="S233" s="194"/>
      <c r="T233" s="194"/>
      <c r="U233" s="193"/>
      <c r="V233" s="194"/>
      <c r="W233" s="194"/>
      <c r="X233" s="194"/>
      <c r="Y233" s="194"/>
    </row>
    <row r="234" spans="1:25" x14ac:dyDescent="0.25">
      <c r="A234" s="101">
        <f t="shared" si="19"/>
        <v>19000</v>
      </c>
      <c r="B234" s="117">
        <f t="shared" si="16"/>
        <v>7940</v>
      </c>
      <c r="C234" s="116">
        <f t="shared" si="17"/>
        <v>794</v>
      </c>
      <c r="D234" s="105">
        <f>WORKDAY($G$1,C234+E233,JoursFeries!$B$3:$CH$15)</f>
        <v>44050</v>
      </c>
      <c r="E234" s="5">
        <v>2</v>
      </c>
      <c r="F234" s="8">
        <f t="shared" si="18"/>
        <v>44050</v>
      </c>
      <c r="G234" s="4" t="s">
        <v>402</v>
      </c>
      <c r="J234" s="112"/>
      <c r="K234" s="194"/>
      <c r="L234" s="194"/>
      <c r="M234" s="195"/>
      <c r="O234" s="115"/>
      <c r="P234" s="115"/>
      <c r="Q234" s="193"/>
      <c r="R234" s="194"/>
      <c r="S234" s="194"/>
      <c r="T234" s="194"/>
      <c r="U234" s="193"/>
      <c r="V234" s="194"/>
      <c r="W234" s="194"/>
      <c r="X234" s="194"/>
      <c r="Y234" s="194"/>
    </row>
    <row r="235" spans="1:25" x14ac:dyDescent="0.25">
      <c r="A235" s="101">
        <f t="shared" si="19"/>
        <v>19100</v>
      </c>
      <c r="B235" s="117">
        <f t="shared" si="16"/>
        <v>8040</v>
      </c>
      <c r="C235" s="116">
        <f t="shared" si="17"/>
        <v>804</v>
      </c>
      <c r="D235" s="105">
        <f>WORKDAY($G$1,C235+E234,JoursFeries!$B$3:$CH$15)</f>
        <v>44067</v>
      </c>
      <c r="E235" s="5">
        <v>1</v>
      </c>
      <c r="F235" s="8">
        <f t="shared" si="18"/>
        <v>44067</v>
      </c>
      <c r="G235" s="4" t="s">
        <v>403</v>
      </c>
      <c r="J235" s="112"/>
      <c r="K235" s="194"/>
      <c r="L235" s="194"/>
      <c r="M235" s="195"/>
      <c r="O235" s="115"/>
      <c r="P235" s="115"/>
      <c r="Q235" s="193"/>
      <c r="R235" s="194"/>
      <c r="S235" s="194"/>
      <c r="T235" s="194"/>
      <c r="U235" s="193"/>
      <c r="V235" s="194"/>
      <c r="W235" s="194"/>
      <c r="X235" s="194"/>
      <c r="Y235" s="194"/>
    </row>
    <row r="236" spans="1:25" x14ac:dyDescent="0.25">
      <c r="A236" s="101">
        <f t="shared" si="19"/>
        <v>19200</v>
      </c>
      <c r="B236" s="117">
        <f t="shared" si="16"/>
        <v>8140</v>
      </c>
      <c r="C236" s="116">
        <f t="shared" si="17"/>
        <v>814</v>
      </c>
      <c r="D236" s="105">
        <f>WORKDAY($G$1,C236+E235,JoursFeries!$B$3:$CH$15)</f>
        <v>44078</v>
      </c>
      <c r="E236" s="5">
        <v>1</v>
      </c>
      <c r="F236" s="8">
        <f t="shared" si="18"/>
        <v>44078</v>
      </c>
      <c r="G236" s="4" t="s">
        <v>404</v>
      </c>
      <c r="J236" s="112"/>
      <c r="K236" s="194"/>
      <c r="L236" s="194"/>
      <c r="M236" s="195"/>
      <c r="O236" s="115"/>
      <c r="P236" s="115"/>
      <c r="Q236" s="193"/>
      <c r="R236" s="194"/>
      <c r="S236" s="194"/>
      <c r="T236" s="194"/>
      <c r="U236" s="193"/>
      <c r="V236" s="194"/>
      <c r="W236" s="194"/>
      <c r="X236" s="194"/>
      <c r="Y236" s="194"/>
    </row>
    <row r="237" spans="1:25" x14ac:dyDescent="0.25">
      <c r="A237" s="101">
        <f t="shared" si="19"/>
        <v>19250</v>
      </c>
      <c r="B237" s="117">
        <f t="shared" si="16"/>
        <v>8190</v>
      </c>
      <c r="C237" s="116">
        <f t="shared" si="17"/>
        <v>819</v>
      </c>
      <c r="D237" s="105">
        <f>WORKDAY($G$1,C237+E236,JoursFeries!$B$3:$CH$15)</f>
        <v>44085</v>
      </c>
      <c r="E237" s="5">
        <v>1</v>
      </c>
      <c r="F237" s="8">
        <f t="shared" si="18"/>
        <v>44085</v>
      </c>
      <c r="G237" s="4" t="s">
        <v>185</v>
      </c>
      <c r="J237" s="112"/>
      <c r="K237" s="194"/>
      <c r="L237" s="194"/>
      <c r="M237" s="195"/>
      <c r="O237" s="115"/>
      <c r="P237" s="115"/>
      <c r="Q237" s="193"/>
      <c r="R237" s="194"/>
      <c r="S237" s="194"/>
      <c r="T237" s="194"/>
      <c r="U237" s="193"/>
      <c r="V237" s="194"/>
      <c r="W237" s="194"/>
      <c r="X237" s="194"/>
      <c r="Y237" s="194"/>
    </row>
    <row r="238" spans="1:25" x14ac:dyDescent="0.25">
      <c r="A238" s="101">
        <f t="shared" si="19"/>
        <v>19300</v>
      </c>
      <c r="B238" s="117">
        <f t="shared" si="16"/>
        <v>8240</v>
      </c>
      <c r="C238" s="116">
        <f t="shared" si="17"/>
        <v>824</v>
      </c>
      <c r="D238" s="105">
        <f>WORKDAY($G$1,C238+E237,JoursFeries!$B$3:$CH$15)</f>
        <v>44092</v>
      </c>
      <c r="E238" s="5">
        <v>1</v>
      </c>
      <c r="F238" s="8">
        <f t="shared" si="18"/>
        <v>44092</v>
      </c>
      <c r="G238" s="4" t="s">
        <v>405</v>
      </c>
      <c r="J238" s="112"/>
      <c r="K238" s="194"/>
      <c r="L238" s="194"/>
      <c r="M238" s="195"/>
      <c r="O238" s="115"/>
      <c r="P238" s="115"/>
      <c r="Q238" s="193"/>
      <c r="R238" s="194"/>
      <c r="S238" s="194"/>
      <c r="T238" s="194"/>
      <c r="U238" s="193"/>
      <c r="V238" s="194"/>
      <c r="W238" s="194"/>
      <c r="X238" s="194"/>
      <c r="Y238" s="194"/>
    </row>
    <row r="239" spans="1:25" x14ac:dyDescent="0.25">
      <c r="A239" s="101">
        <f t="shared" si="19"/>
        <v>19400</v>
      </c>
      <c r="B239" s="117">
        <f t="shared" si="16"/>
        <v>8340</v>
      </c>
      <c r="C239" s="116">
        <f t="shared" si="17"/>
        <v>834</v>
      </c>
      <c r="D239" s="105">
        <f>WORKDAY($G$1,C239+E238,JoursFeries!$B$3:$CH$15)</f>
        <v>44106</v>
      </c>
      <c r="E239" s="5">
        <v>1</v>
      </c>
      <c r="F239" s="8">
        <f t="shared" si="18"/>
        <v>44106</v>
      </c>
      <c r="G239" s="4" t="s">
        <v>406</v>
      </c>
      <c r="J239" s="112"/>
      <c r="K239" s="194"/>
      <c r="L239" s="194"/>
      <c r="M239" s="195"/>
      <c r="O239" s="115"/>
      <c r="P239" s="115"/>
      <c r="Q239" s="193"/>
      <c r="R239" s="194"/>
      <c r="S239" s="194"/>
      <c r="T239" s="194"/>
      <c r="U239" s="193"/>
      <c r="V239" s="194"/>
      <c r="W239" s="194"/>
      <c r="X239" s="194"/>
      <c r="Y239" s="194"/>
    </row>
    <row r="240" spans="1:25" x14ac:dyDescent="0.25">
      <c r="A240" s="101">
        <f t="shared" si="19"/>
        <v>19500</v>
      </c>
      <c r="B240" s="117">
        <f t="shared" si="16"/>
        <v>8440</v>
      </c>
      <c r="C240" s="116">
        <f t="shared" si="17"/>
        <v>844</v>
      </c>
      <c r="D240" s="105">
        <f>WORKDAY($G$1,C240+E239,JoursFeries!$B$3:$CH$15)</f>
        <v>44120</v>
      </c>
      <c r="E240" s="5">
        <v>1</v>
      </c>
      <c r="F240" s="8">
        <f t="shared" si="18"/>
        <v>44120</v>
      </c>
      <c r="G240" s="4" t="s">
        <v>407</v>
      </c>
      <c r="J240" s="112"/>
      <c r="K240" s="194"/>
      <c r="L240" s="194"/>
      <c r="M240" s="195"/>
      <c r="O240" s="115"/>
      <c r="P240" s="115"/>
      <c r="Q240" s="193"/>
      <c r="R240" s="194"/>
      <c r="S240" s="194"/>
      <c r="T240" s="194"/>
      <c r="U240" s="193"/>
      <c r="V240" s="194"/>
      <c r="W240" s="194"/>
      <c r="X240" s="194"/>
      <c r="Y240" s="194"/>
    </row>
    <row r="241" spans="1:25" x14ac:dyDescent="0.25">
      <c r="A241" s="101">
        <f t="shared" si="19"/>
        <v>19600</v>
      </c>
      <c r="B241" s="117">
        <f t="shared" si="16"/>
        <v>8540</v>
      </c>
      <c r="C241" s="116">
        <f t="shared" si="17"/>
        <v>854</v>
      </c>
      <c r="D241" s="105">
        <f>WORKDAY($G$1,C241+E240,JoursFeries!$B$3:$CH$15)</f>
        <v>44134</v>
      </c>
      <c r="E241" s="5">
        <v>1</v>
      </c>
      <c r="F241" s="8">
        <f t="shared" si="18"/>
        <v>44134</v>
      </c>
      <c r="G241" s="4" t="s">
        <v>408</v>
      </c>
      <c r="J241" s="112"/>
      <c r="K241" s="194"/>
      <c r="L241" s="194"/>
      <c r="M241" s="195"/>
      <c r="O241" s="115"/>
      <c r="P241" s="115"/>
      <c r="Q241" s="193"/>
      <c r="R241" s="194"/>
      <c r="S241" s="194"/>
      <c r="T241" s="194"/>
      <c r="U241" s="193"/>
      <c r="V241" s="194"/>
      <c r="W241" s="194"/>
      <c r="X241" s="194"/>
      <c r="Y241" s="194"/>
    </row>
    <row r="242" spans="1:25" x14ac:dyDescent="0.25">
      <c r="A242" s="101">
        <f t="shared" si="19"/>
        <v>19700</v>
      </c>
      <c r="B242" s="117">
        <f t="shared" si="16"/>
        <v>8640</v>
      </c>
      <c r="C242" s="116">
        <f t="shared" si="17"/>
        <v>864</v>
      </c>
      <c r="D242" s="105">
        <f>WORKDAY($G$1,C242+E241,JoursFeries!$B$3:$CH$15)</f>
        <v>44151</v>
      </c>
      <c r="E242" s="5">
        <v>1</v>
      </c>
      <c r="F242" s="8">
        <f t="shared" si="18"/>
        <v>44151</v>
      </c>
      <c r="G242" s="4" t="s">
        <v>409</v>
      </c>
      <c r="J242" s="112"/>
      <c r="K242" s="194"/>
      <c r="L242" s="194"/>
      <c r="M242" s="195"/>
      <c r="O242" s="115"/>
      <c r="P242" s="115"/>
      <c r="Q242" s="193"/>
      <c r="R242" s="194"/>
      <c r="S242" s="194"/>
      <c r="T242" s="194"/>
      <c r="U242" s="193"/>
      <c r="V242" s="194"/>
      <c r="W242" s="194"/>
      <c r="X242" s="194"/>
      <c r="Y242" s="194"/>
    </row>
    <row r="243" spans="1:25" x14ac:dyDescent="0.25">
      <c r="A243" s="101">
        <f t="shared" si="19"/>
        <v>19750</v>
      </c>
      <c r="B243" s="117">
        <f t="shared" si="16"/>
        <v>8690</v>
      </c>
      <c r="C243" s="116">
        <f t="shared" si="17"/>
        <v>869</v>
      </c>
      <c r="D243" s="105">
        <f>WORKDAY($G$1,C243+E242,JoursFeries!$B$3:$CH$15)</f>
        <v>44158</v>
      </c>
      <c r="E243" s="5">
        <v>1</v>
      </c>
      <c r="F243" s="8">
        <f t="shared" si="18"/>
        <v>44158</v>
      </c>
      <c r="G243" s="4" t="s">
        <v>186</v>
      </c>
      <c r="J243" s="112"/>
      <c r="K243" s="194"/>
      <c r="L243" s="194"/>
      <c r="M243" s="195"/>
      <c r="O243" s="115"/>
      <c r="P243" s="115"/>
      <c r="Q243" s="193"/>
      <c r="R243" s="194"/>
      <c r="S243" s="194"/>
      <c r="T243" s="194"/>
      <c r="U243" s="193"/>
      <c r="V243" s="194"/>
      <c r="W243" s="194"/>
      <c r="X243" s="194"/>
      <c r="Y243" s="194"/>
    </row>
    <row r="244" spans="1:25" x14ac:dyDescent="0.25">
      <c r="A244" s="101">
        <f t="shared" si="19"/>
        <v>19800</v>
      </c>
      <c r="B244" s="117">
        <f t="shared" si="16"/>
        <v>8740</v>
      </c>
      <c r="C244" s="116">
        <f t="shared" si="17"/>
        <v>874</v>
      </c>
      <c r="D244" s="105">
        <f>WORKDAY($G$1,C244+E243,JoursFeries!$B$3:$CH$15)</f>
        <v>44165</v>
      </c>
      <c r="E244" s="5">
        <v>1</v>
      </c>
      <c r="F244" s="8">
        <f t="shared" si="18"/>
        <v>44165</v>
      </c>
      <c r="G244" s="4" t="s">
        <v>410</v>
      </c>
      <c r="J244" s="112"/>
      <c r="K244" s="194"/>
      <c r="L244" s="194"/>
      <c r="M244" s="195"/>
      <c r="O244" s="115"/>
      <c r="P244" s="115"/>
      <c r="Q244" s="193"/>
      <c r="R244" s="194"/>
      <c r="S244" s="194"/>
      <c r="T244" s="194"/>
      <c r="U244" s="193"/>
      <c r="V244" s="194"/>
      <c r="W244" s="194"/>
      <c r="X244" s="194"/>
      <c r="Y244" s="194"/>
    </row>
    <row r="245" spans="1:25" x14ac:dyDescent="0.25">
      <c r="A245" s="101">
        <f t="shared" si="19"/>
        <v>19900</v>
      </c>
      <c r="B245" s="117">
        <f t="shared" si="16"/>
        <v>8840</v>
      </c>
      <c r="C245" s="116">
        <f t="shared" si="17"/>
        <v>884</v>
      </c>
      <c r="D245" s="105">
        <f>WORKDAY($G$1,C245+E244,JoursFeries!$B$3:$CH$15)</f>
        <v>44179</v>
      </c>
      <c r="E245" s="5">
        <v>1</v>
      </c>
      <c r="F245" s="8">
        <f t="shared" si="18"/>
        <v>44179</v>
      </c>
      <c r="G245" s="4" t="s">
        <v>411</v>
      </c>
      <c r="J245" s="112"/>
      <c r="K245" s="194"/>
      <c r="L245" s="194"/>
      <c r="M245" s="195"/>
      <c r="O245" s="115"/>
      <c r="P245" s="115"/>
      <c r="Q245" s="193"/>
      <c r="R245" s="194"/>
      <c r="S245" s="194"/>
      <c r="T245" s="194"/>
      <c r="U245" s="193"/>
      <c r="V245" s="194"/>
      <c r="W245" s="194"/>
      <c r="X245" s="194"/>
      <c r="Y245" s="194"/>
    </row>
    <row r="246" spans="1:25" x14ac:dyDescent="0.25">
      <c r="A246" s="101">
        <f t="shared" si="19"/>
        <v>20000</v>
      </c>
      <c r="B246" s="117">
        <f t="shared" si="16"/>
        <v>8940</v>
      </c>
      <c r="C246" s="116">
        <f t="shared" si="17"/>
        <v>894</v>
      </c>
      <c r="D246" s="105">
        <f>WORKDAY($G$1,C246+E245,JoursFeries!$B$3:$CH$15)</f>
        <v>44194</v>
      </c>
      <c r="E246" s="5">
        <v>2</v>
      </c>
      <c r="F246" s="8">
        <f t="shared" si="18"/>
        <v>44194</v>
      </c>
      <c r="G246" s="4" t="s">
        <v>412</v>
      </c>
      <c r="J246" s="112"/>
      <c r="K246" s="194"/>
      <c r="L246" s="194"/>
      <c r="M246" s="195"/>
      <c r="O246" s="115"/>
      <c r="P246" s="115"/>
      <c r="Q246" s="193"/>
      <c r="R246" s="194"/>
      <c r="S246" s="194"/>
      <c r="T246" s="194"/>
      <c r="U246" s="193"/>
      <c r="V246" s="194"/>
      <c r="W246" s="194"/>
      <c r="X246" s="194"/>
      <c r="Y246" s="194"/>
    </row>
    <row r="247" spans="1:25" x14ac:dyDescent="0.25">
      <c r="A247" s="101">
        <f t="shared" si="19"/>
        <v>20100</v>
      </c>
      <c r="B247" s="117">
        <f t="shared" si="16"/>
        <v>9040</v>
      </c>
      <c r="C247" s="116">
        <f t="shared" si="17"/>
        <v>904</v>
      </c>
      <c r="D247" s="105">
        <f>WORKDAY($G$1,C247+E246,JoursFeries!$B$3:$CH$15)</f>
        <v>44210</v>
      </c>
      <c r="E247" s="5">
        <v>1</v>
      </c>
      <c r="F247" s="8">
        <f t="shared" si="18"/>
        <v>44210</v>
      </c>
      <c r="G247" s="4" t="s">
        <v>413</v>
      </c>
      <c r="J247" s="112"/>
      <c r="K247" s="194"/>
      <c r="L247" s="194"/>
      <c r="M247" s="195"/>
      <c r="O247" s="115"/>
      <c r="P247" s="115"/>
      <c r="Q247" s="193"/>
      <c r="R247" s="194"/>
      <c r="S247" s="194"/>
      <c r="T247" s="194"/>
      <c r="U247" s="193"/>
      <c r="V247" s="194"/>
      <c r="W247" s="194"/>
      <c r="X247" s="194"/>
      <c r="Y247" s="194"/>
    </row>
    <row r="248" spans="1:25" x14ac:dyDescent="0.25">
      <c r="A248" s="101">
        <f t="shared" si="19"/>
        <v>20200</v>
      </c>
      <c r="B248" s="117">
        <f t="shared" si="16"/>
        <v>9140</v>
      </c>
      <c r="C248" s="116">
        <f t="shared" si="17"/>
        <v>914</v>
      </c>
      <c r="D248" s="105">
        <f>WORKDAY($G$1,C248+E247,JoursFeries!$B$3:$CH$15)</f>
        <v>44223</v>
      </c>
      <c r="E248" s="5">
        <v>1</v>
      </c>
      <c r="F248" s="8">
        <f t="shared" si="18"/>
        <v>44223</v>
      </c>
      <c r="G248" s="4" t="s">
        <v>414</v>
      </c>
      <c r="J248" s="112"/>
      <c r="K248" s="194"/>
      <c r="L248" s="194"/>
      <c r="M248" s="195"/>
      <c r="O248" s="115"/>
      <c r="P248" s="115"/>
      <c r="Q248" s="193"/>
      <c r="R248" s="194"/>
      <c r="S248" s="194"/>
      <c r="T248" s="194"/>
      <c r="U248" s="193"/>
      <c r="V248" s="194"/>
      <c r="W248" s="194"/>
      <c r="X248" s="194"/>
      <c r="Y248" s="194"/>
    </row>
    <row r="249" spans="1:25" x14ac:dyDescent="0.25">
      <c r="A249" s="101">
        <f t="shared" si="19"/>
        <v>20250</v>
      </c>
      <c r="B249" s="117">
        <f t="shared" si="16"/>
        <v>9190</v>
      </c>
      <c r="C249" s="116">
        <f t="shared" si="17"/>
        <v>919</v>
      </c>
      <c r="D249" s="105">
        <f>WORKDAY($G$1,C249+E248,JoursFeries!$B$3:$CH$15)</f>
        <v>44230</v>
      </c>
      <c r="E249" s="5">
        <v>1</v>
      </c>
      <c r="F249" s="8">
        <f t="shared" si="18"/>
        <v>44230</v>
      </c>
      <c r="G249" s="4" t="s">
        <v>187</v>
      </c>
      <c r="J249" s="112"/>
      <c r="K249" s="194"/>
      <c r="L249" s="194"/>
      <c r="M249" s="195"/>
      <c r="O249" s="115"/>
      <c r="P249" s="115"/>
      <c r="Q249" s="193"/>
      <c r="R249" s="194"/>
      <c r="S249" s="194"/>
      <c r="T249" s="194"/>
      <c r="U249" s="193"/>
      <c r="V249" s="194"/>
      <c r="W249" s="194"/>
      <c r="X249" s="194"/>
      <c r="Y249" s="194"/>
    </row>
    <row r="250" spans="1:25" x14ac:dyDescent="0.25">
      <c r="A250" s="101">
        <f t="shared" si="19"/>
        <v>20300</v>
      </c>
      <c r="B250" s="117">
        <f t="shared" si="16"/>
        <v>9240</v>
      </c>
      <c r="C250" s="116">
        <f t="shared" si="17"/>
        <v>924</v>
      </c>
      <c r="D250" s="105">
        <f>WORKDAY($G$1,C250+E249,JoursFeries!$B$3:$CH$15)</f>
        <v>44237</v>
      </c>
      <c r="E250" s="5">
        <v>1</v>
      </c>
      <c r="F250" s="8">
        <f t="shared" si="18"/>
        <v>44237</v>
      </c>
      <c r="G250" s="4" t="s">
        <v>415</v>
      </c>
      <c r="J250" s="112"/>
      <c r="K250" s="194"/>
      <c r="L250" s="194"/>
      <c r="M250" s="195"/>
      <c r="O250" s="115"/>
      <c r="P250" s="115"/>
      <c r="Q250" s="193"/>
      <c r="R250" s="194"/>
      <c r="S250" s="194"/>
      <c r="T250" s="194"/>
      <c r="U250" s="193"/>
      <c r="V250" s="194"/>
      <c r="W250" s="194"/>
      <c r="X250" s="194"/>
      <c r="Y250" s="194"/>
    </row>
    <row r="251" spans="1:25" x14ac:dyDescent="0.25">
      <c r="A251" s="101">
        <f t="shared" si="19"/>
        <v>20400</v>
      </c>
      <c r="B251" s="117">
        <f t="shared" si="16"/>
        <v>9340</v>
      </c>
      <c r="C251" s="116">
        <f t="shared" si="17"/>
        <v>934</v>
      </c>
      <c r="D251" s="105">
        <f>WORKDAY($G$1,C251+E250,JoursFeries!$B$3:$CH$15)</f>
        <v>44251</v>
      </c>
      <c r="E251" s="5">
        <v>1</v>
      </c>
      <c r="F251" s="8">
        <f t="shared" si="18"/>
        <v>44251</v>
      </c>
      <c r="G251" s="4" t="s">
        <v>416</v>
      </c>
      <c r="J251" s="112"/>
      <c r="K251" s="194"/>
      <c r="L251" s="194"/>
      <c r="M251" s="195"/>
      <c r="O251" s="115"/>
      <c r="P251" s="115"/>
      <c r="Q251" s="193"/>
      <c r="R251" s="194"/>
      <c r="S251" s="194"/>
      <c r="T251" s="194"/>
      <c r="U251" s="193"/>
      <c r="V251" s="194"/>
      <c r="W251" s="194"/>
      <c r="X251" s="194"/>
      <c r="Y251" s="194"/>
    </row>
    <row r="252" spans="1:25" x14ac:dyDescent="0.25">
      <c r="A252" s="101">
        <f t="shared" si="19"/>
        <v>20500</v>
      </c>
      <c r="B252" s="117">
        <f t="shared" si="16"/>
        <v>9440</v>
      </c>
      <c r="C252" s="116">
        <f t="shared" si="17"/>
        <v>944</v>
      </c>
      <c r="D252" s="105">
        <f>WORKDAY($G$1,C252+E251,JoursFeries!$B$3:$CH$15)</f>
        <v>44265</v>
      </c>
      <c r="E252" s="5">
        <v>1</v>
      </c>
      <c r="F252" s="8">
        <f t="shared" si="18"/>
        <v>44265</v>
      </c>
      <c r="G252" s="4" t="s">
        <v>417</v>
      </c>
      <c r="J252" s="112"/>
      <c r="K252" s="194"/>
      <c r="L252" s="194"/>
      <c r="M252" s="195"/>
      <c r="O252" s="115"/>
      <c r="P252" s="115"/>
      <c r="Q252" s="193"/>
      <c r="R252" s="194"/>
      <c r="S252" s="194"/>
      <c r="T252" s="194"/>
      <c r="U252" s="193"/>
      <c r="V252" s="194"/>
      <c r="W252" s="194"/>
      <c r="X252" s="194"/>
      <c r="Y252" s="194"/>
    </row>
    <row r="253" spans="1:25" ht="19.5" customHeight="1" x14ac:dyDescent="0.25">
      <c r="A253" s="164" t="s">
        <v>192</v>
      </c>
      <c r="B253" s="164"/>
      <c r="C253" s="5" t="s">
        <v>212</v>
      </c>
      <c r="D253" s="105">
        <f>DATE(YEAR(C253)+3,MONTH(C253),DAY(C253))</f>
        <v>43997</v>
      </c>
      <c r="E253" s="5">
        <v>1</v>
      </c>
      <c r="F253" s="8">
        <f t="shared" si="18"/>
        <v>43997</v>
      </c>
      <c r="G253" s="5" t="s">
        <v>191</v>
      </c>
      <c r="J253" s="112"/>
    </row>
    <row r="254" spans="1:25" ht="19.5" customHeight="1" x14ac:dyDescent="0.25"/>
    <row r="255" spans="1:25" ht="19.5" customHeight="1" x14ac:dyDescent="0.25"/>
  </sheetData>
  <mergeCells count="757">
    <mergeCell ref="J5:J6"/>
    <mergeCell ref="A253:B253"/>
    <mergeCell ref="G5:I6"/>
    <mergeCell ref="A1:B3"/>
    <mergeCell ref="C1:E1"/>
    <mergeCell ref="C2:E2"/>
    <mergeCell ref="C3:E3"/>
    <mergeCell ref="A5:A6"/>
    <mergeCell ref="B5:C5"/>
    <mergeCell ref="D5:D6"/>
    <mergeCell ref="E5:E6"/>
    <mergeCell ref="F5:F6"/>
    <mergeCell ref="I1:N4"/>
    <mergeCell ref="K5:M6"/>
    <mergeCell ref="K7:M7"/>
    <mergeCell ref="K8:M8"/>
    <mergeCell ref="K9:M9"/>
    <mergeCell ref="K10:M10"/>
    <mergeCell ref="K16:M16"/>
    <mergeCell ref="K17:M17"/>
    <mergeCell ref="K18:M18"/>
    <mergeCell ref="K19:M19"/>
    <mergeCell ref="K20:M20"/>
    <mergeCell ref="K11:M11"/>
    <mergeCell ref="Q7:T7"/>
    <mergeCell ref="U7:Y7"/>
    <mergeCell ref="Q8:T8"/>
    <mergeCell ref="U8:Y8"/>
    <mergeCell ref="Q9:T9"/>
    <mergeCell ref="U9:Y9"/>
    <mergeCell ref="O2:R3"/>
    <mergeCell ref="O5:O6"/>
    <mergeCell ref="P5:P6"/>
    <mergeCell ref="Q5:T6"/>
    <mergeCell ref="U5:Y6"/>
    <mergeCell ref="Q13:T13"/>
    <mergeCell ref="U13:Y13"/>
    <mergeCell ref="Q14:T14"/>
    <mergeCell ref="U14:Y14"/>
    <mergeCell ref="Q15:T15"/>
    <mergeCell ref="U15:Y15"/>
    <mergeCell ref="Q10:T10"/>
    <mergeCell ref="U10:Y10"/>
    <mergeCell ref="Q11:T11"/>
    <mergeCell ref="U11:Y11"/>
    <mergeCell ref="Q12:T12"/>
    <mergeCell ref="U12:Y12"/>
    <mergeCell ref="Q19:T19"/>
    <mergeCell ref="U19:Y19"/>
    <mergeCell ref="Q20:T20"/>
    <mergeCell ref="U20:Y20"/>
    <mergeCell ref="Q21:T21"/>
    <mergeCell ref="U21:Y21"/>
    <mergeCell ref="Q16:T16"/>
    <mergeCell ref="U16:Y16"/>
    <mergeCell ref="Q17:T17"/>
    <mergeCell ref="U17:Y17"/>
    <mergeCell ref="Q18:T18"/>
    <mergeCell ref="U18:Y18"/>
    <mergeCell ref="Q25:T25"/>
    <mergeCell ref="U25:Y25"/>
    <mergeCell ref="Q26:T26"/>
    <mergeCell ref="U26:Y26"/>
    <mergeCell ref="Q27:T27"/>
    <mergeCell ref="U27:Y27"/>
    <mergeCell ref="Q22:T22"/>
    <mergeCell ref="U22:Y22"/>
    <mergeCell ref="Q23:T23"/>
    <mergeCell ref="U23:Y23"/>
    <mergeCell ref="Q24:T24"/>
    <mergeCell ref="U24:Y24"/>
    <mergeCell ref="Q31:T31"/>
    <mergeCell ref="U31:Y31"/>
    <mergeCell ref="Q32:T32"/>
    <mergeCell ref="U32:Y32"/>
    <mergeCell ref="Q33:T33"/>
    <mergeCell ref="U33:Y33"/>
    <mergeCell ref="Q28:T28"/>
    <mergeCell ref="U28:Y28"/>
    <mergeCell ref="Q29:T29"/>
    <mergeCell ref="U29:Y29"/>
    <mergeCell ref="Q30:T30"/>
    <mergeCell ref="U30:Y30"/>
    <mergeCell ref="Q37:T37"/>
    <mergeCell ref="U37:Y37"/>
    <mergeCell ref="Q38:T38"/>
    <mergeCell ref="U38:Y38"/>
    <mergeCell ref="Q39:T39"/>
    <mergeCell ref="U39:Y39"/>
    <mergeCell ref="Q34:T34"/>
    <mergeCell ref="U34:Y34"/>
    <mergeCell ref="Q35:T35"/>
    <mergeCell ref="U35:Y35"/>
    <mergeCell ref="Q36:T36"/>
    <mergeCell ref="U36:Y36"/>
    <mergeCell ref="Q43:T43"/>
    <mergeCell ref="U43:Y43"/>
    <mergeCell ref="Q44:T44"/>
    <mergeCell ref="U44:Y44"/>
    <mergeCell ref="Q45:T45"/>
    <mergeCell ref="U45:Y45"/>
    <mergeCell ref="Q40:T40"/>
    <mergeCell ref="U40:Y40"/>
    <mergeCell ref="Q41:T41"/>
    <mergeCell ref="U41:Y41"/>
    <mergeCell ref="Q42:T42"/>
    <mergeCell ref="U42:Y42"/>
    <mergeCell ref="Q49:T49"/>
    <mergeCell ref="U49:Y49"/>
    <mergeCell ref="Q50:T50"/>
    <mergeCell ref="U50:Y50"/>
    <mergeCell ref="Q51:T51"/>
    <mergeCell ref="U51:Y51"/>
    <mergeCell ref="Q46:T46"/>
    <mergeCell ref="U46:Y46"/>
    <mergeCell ref="Q47:T47"/>
    <mergeCell ref="U47:Y47"/>
    <mergeCell ref="Q48:T48"/>
    <mergeCell ref="U48:Y48"/>
    <mergeCell ref="Q55:T55"/>
    <mergeCell ref="U55:Y55"/>
    <mergeCell ref="Q56:T56"/>
    <mergeCell ref="U56:Y56"/>
    <mergeCell ref="Q57:T57"/>
    <mergeCell ref="U57:Y57"/>
    <mergeCell ref="Q52:T52"/>
    <mergeCell ref="U52:Y52"/>
    <mergeCell ref="Q53:T53"/>
    <mergeCell ref="U53:Y53"/>
    <mergeCell ref="Q54:T54"/>
    <mergeCell ref="U54:Y54"/>
    <mergeCell ref="Q61:T61"/>
    <mergeCell ref="U61:Y61"/>
    <mergeCell ref="Q62:T62"/>
    <mergeCell ref="U62:Y62"/>
    <mergeCell ref="Q63:T63"/>
    <mergeCell ref="U63:Y63"/>
    <mergeCell ref="Q58:T58"/>
    <mergeCell ref="U58:Y58"/>
    <mergeCell ref="Q59:T59"/>
    <mergeCell ref="U59:Y59"/>
    <mergeCell ref="Q60:T60"/>
    <mergeCell ref="U60:Y60"/>
    <mergeCell ref="Q67:T67"/>
    <mergeCell ref="U67:Y67"/>
    <mergeCell ref="Q68:T68"/>
    <mergeCell ref="U68:Y68"/>
    <mergeCell ref="Q69:T69"/>
    <mergeCell ref="U69:Y69"/>
    <mergeCell ref="Q64:T64"/>
    <mergeCell ref="U64:Y64"/>
    <mergeCell ref="Q65:T65"/>
    <mergeCell ref="U65:Y65"/>
    <mergeCell ref="Q66:T66"/>
    <mergeCell ref="U66:Y66"/>
    <mergeCell ref="Q73:T73"/>
    <mergeCell ref="U73:Y73"/>
    <mergeCell ref="Q74:T74"/>
    <mergeCell ref="U74:Y74"/>
    <mergeCell ref="Q75:T75"/>
    <mergeCell ref="U75:Y75"/>
    <mergeCell ref="Q70:T70"/>
    <mergeCell ref="U70:Y70"/>
    <mergeCell ref="Q71:T71"/>
    <mergeCell ref="U71:Y71"/>
    <mergeCell ref="Q72:T72"/>
    <mergeCell ref="U72:Y72"/>
    <mergeCell ref="Q79:T79"/>
    <mergeCell ref="U79:Y79"/>
    <mergeCell ref="Q80:T80"/>
    <mergeCell ref="U80:Y80"/>
    <mergeCell ref="Q81:T81"/>
    <mergeCell ref="U81:Y81"/>
    <mergeCell ref="Q76:T76"/>
    <mergeCell ref="U76:Y76"/>
    <mergeCell ref="Q77:T77"/>
    <mergeCell ref="U77:Y77"/>
    <mergeCell ref="Q78:T78"/>
    <mergeCell ref="U78:Y78"/>
    <mergeCell ref="U86:Y86"/>
    <mergeCell ref="Q87:T87"/>
    <mergeCell ref="U87:Y87"/>
    <mergeCell ref="Q82:T82"/>
    <mergeCell ref="U82:Y82"/>
    <mergeCell ref="Q83:T83"/>
    <mergeCell ref="U83:Y83"/>
    <mergeCell ref="Q84:T84"/>
    <mergeCell ref="U84:Y84"/>
    <mergeCell ref="Q85:T85"/>
    <mergeCell ref="U85:Y85"/>
    <mergeCell ref="Q86:T86"/>
    <mergeCell ref="Q102:T102"/>
    <mergeCell ref="U102:Y102"/>
    <mergeCell ref="Q97:T97"/>
    <mergeCell ref="U97:Y97"/>
    <mergeCell ref="Q98:T98"/>
    <mergeCell ref="U98:Y98"/>
    <mergeCell ref="Q99:T99"/>
    <mergeCell ref="U99:Y99"/>
    <mergeCell ref="Q94:T94"/>
    <mergeCell ref="U94:Y94"/>
    <mergeCell ref="Q95:T95"/>
    <mergeCell ref="U95:Y95"/>
    <mergeCell ref="Q96:T96"/>
    <mergeCell ref="U96:Y96"/>
    <mergeCell ref="Q100:T100"/>
    <mergeCell ref="U100:Y100"/>
    <mergeCell ref="Q101:T101"/>
    <mergeCell ref="U101:Y101"/>
    <mergeCell ref="Q91:T91"/>
    <mergeCell ref="U91:Y91"/>
    <mergeCell ref="Q92:T92"/>
    <mergeCell ref="U92:Y92"/>
    <mergeCell ref="Q93:T93"/>
    <mergeCell ref="U93:Y93"/>
    <mergeCell ref="Q88:T88"/>
    <mergeCell ref="U88:Y88"/>
    <mergeCell ref="Q89:T89"/>
    <mergeCell ref="U89:Y89"/>
    <mergeCell ref="Q90:T90"/>
    <mergeCell ref="U90:Y90"/>
    <mergeCell ref="K12:M12"/>
    <mergeCell ref="K13:M13"/>
    <mergeCell ref="K14:M14"/>
    <mergeCell ref="K15:M15"/>
    <mergeCell ref="K26:M26"/>
    <mergeCell ref="K27:M27"/>
    <mergeCell ref="K28:M28"/>
    <mergeCell ref="K29:M29"/>
    <mergeCell ref="K30:M30"/>
    <mergeCell ref="K21:M21"/>
    <mergeCell ref="K22:M22"/>
    <mergeCell ref="K23:M23"/>
    <mergeCell ref="K24:M24"/>
    <mergeCell ref="K25:M25"/>
    <mergeCell ref="K36:M36"/>
    <mergeCell ref="K37:M37"/>
    <mergeCell ref="K38:M38"/>
    <mergeCell ref="K39:M39"/>
    <mergeCell ref="K40:M40"/>
    <mergeCell ref="K31:M31"/>
    <mergeCell ref="K32:M32"/>
    <mergeCell ref="K33:M33"/>
    <mergeCell ref="K34:M34"/>
    <mergeCell ref="K35:M35"/>
    <mergeCell ref="K46:M46"/>
    <mergeCell ref="K47:M47"/>
    <mergeCell ref="K48:M48"/>
    <mergeCell ref="K49:M49"/>
    <mergeCell ref="K50:M50"/>
    <mergeCell ref="K41:M41"/>
    <mergeCell ref="K42:M42"/>
    <mergeCell ref="K43:M43"/>
    <mergeCell ref="K44:M44"/>
    <mergeCell ref="K45:M45"/>
    <mergeCell ref="K56:M56"/>
    <mergeCell ref="K57:M57"/>
    <mergeCell ref="K58:M58"/>
    <mergeCell ref="K59:M59"/>
    <mergeCell ref="K60:M60"/>
    <mergeCell ref="K51:M51"/>
    <mergeCell ref="K52:M52"/>
    <mergeCell ref="K53:M53"/>
    <mergeCell ref="K54:M54"/>
    <mergeCell ref="K55:M55"/>
    <mergeCell ref="K66:M66"/>
    <mergeCell ref="K67:M67"/>
    <mergeCell ref="K68:M68"/>
    <mergeCell ref="K69:M69"/>
    <mergeCell ref="K70:M70"/>
    <mergeCell ref="K61:M61"/>
    <mergeCell ref="K62:M62"/>
    <mergeCell ref="K63:M63"/>
    <mergeCell ref="K64:M64"/>
    <mergeCell ref="K65:M65"/>
    <mergeCell ref="K76:M76"/>
    <mergeCell ref="K77:M77"/>
    <mergeCell ref="K78:M78"/>
    <mergeCell ref="K79:M79"/>
    <mergeCell ref="K80:M80"/>
    <mergeCell ref="K71:M71"/>
    <mergeCell ref="K72:M72"/>
    <mergeCell ref="K73:M73"/>
    <mergeCell ref="K74:M74"/>
    <mergeCell ref="K75:M75"/>
    <mergeCell ref="K86:M86"/>
    <mergeCell ref="K87:M87"/>
    <mergeCell ref="K88:M88"/>
    <mergeCell ref="K89:M89"/>
    <mergeCell ref="K90:M90"/>
    <mergeCell ref="K81:M81"/>
    <mergeCell ref="K82:M82"/>
    <mergeCell ref="K83:M83"/>
    <mergeCell ref="K84:M84"/>
    <mergeCell ref="K85:M85"/>
    <mergeCell ref="K96:M96"/>
    <mergeCell ref="K97:M97"/>
    <mergeCell ref="K98:M98"/>
    <mergeCell ref="K99:M99"/>
    <mergeCell ref="K100:M100"/>
    <mergeCell ref="K91:M91"/>
    <mergeCell ref="K92:M92"/>
    <mergeCell ref="K93:M93"/>
    <mergeCell ref="K94:M94"/>
    <mergeCell ref="K95:M95"/>
    <mergeCell ref="K106:M106"/>
    <mergeCell ref="K107:M107"/>
    <mergeCell ref="K108:M108"/>
    <mergeCell ref="K109:M109"/>
    <mergeCell ref="K110:M110"/>
    <mergeCell ref="K101:M101"/>
    <mergeCell ref="K102:M102"/>
    <mergeCell ref="K103:M103"/>
    <mergeCell ref="K104:M104"/>
    <mergeCell ref="K105:M105"/>
    <mergeCell ref="K116:M116"/>
    <mergeCell ref="K117:M117"/>
    <mergeCell ref="K118:M118"/>
    <mergeCell ref="K119:M119"/>
    <mergeCell ref="K120:M120"/>
    <mergeCell ref="K111:M111"/>
    <mergeCell ref="K112:M112"/>
    <mergeCell ref="K113:M113"/>
    <mergeCell ref="K114:M114"/>
    <mergeCell ref="K115:M115"/>
    <mergeCell ref="K126:M126"/>
    <mergeCell ref="K127:M127"/>
    <mergeCell ref="K128:M128"/>
    <mergeCell ref="K129:M129"/>
    <mergeCell ref="K130:M130"/>
    <mergeCell ref="K121:M121"/>
    <mergeCell ref="K122:M122"/>
    <mergeCell ref="K123:M123"/>
    <mergeCell ref="K124:M124"/>
    <mergeCell ref="K125:M125"/>
    <mergeCell ref="K136:M136"/>
    <mergeCell ref="K137:M137"/>
    <mergeCell ref="K138:M138"/>
    <mergeCell ref="K139:M139"/>
    <mergeCell ref="K140:M140"/>
    <mergeCell ref="K131:M131"/>
    <mergeCell ref="K132:M132"/>
    <mergeCell ref="K133:M133"/>
    <mergeCell ref="K134:M134"/>
    <mergeCell ref="K135:M135"/>
    <mergeCell ref="K146:M146"/>
    <mergeCell ref="K147:M147"/>
    <mergeCell ref="K148:M148"/>
    <mergeCell ref="K149:M149"/>
    <mergeCell ref="K150:M150"/>
    <mergeCell ref="K141:M141"/>
    <mergeCell ref="K142:M142"/>
    <mergeCell ref="K143:M143"/>
    <mergeCell ref="K144:M144"/>
    <mergeCell ref="K145:M145"/>
    <mergeCell ref="K156:M156"/>
    <mergeCell ref="K157:M157"/>
    <mergeCell ref="K158:M158"/>
    <mergeCell ref="K159:M159"/>
    <mergeCell ref="K160:M160"/>
    <mergeCell ref="K151:M151"/>
    <mergeCell ref="K152:M152"/>
    <mergeCell ref="K153:M153"/>
    <mergeCell ref="K154:M154"/>
    <mergeCell ref="K155:M155"/>
    <mergeCell ref="K166:M166"/>
    <mergeCell ref="K167:M167"/>
    <mergeCell ref="K168:M168"/>
    <mergeCell ref="K169:M169"/>
    <mergeCell ref="K170:M170"/>
    <mergeCell ref="K161:M161"/>
    <mergeCell ref="K162:M162"/>
    <mergeCell ref="K163:M163"/>
    <mergeCell ref="K164:M164"/>
    <mergeCell ref="K165:M165"/>
    <mergeCell ref="K176:M176"/>
    <mergeCell ref="K177:M177"/>
    <mergeCell ref="K178:M178"/>
    <mergeCell ref="K179:M179"/>
    <mergeCell ref="K180:M180"/>
    <mergeCell ref="K171:M171"/>
    <mergeCell ref="K172:M172"/>
    <mergeCell ref="K173:M173"/>
    <mergeCell ref="K174:M174"/>
    <mergeCell ref="K175:M175"/>
    <mergeCell ref="K186:M186"/>
    <mergeCell ref="K187:M187"/>
    <mergeCell ref="K188:M188"/>
    <mergeCell ref="K189:M189"/>
    <mergeCell ref="K190:M190"/>
    <mergeCell ref="K181:M181"/>
    <mergeCell ref="K182:M182"/>
    <mergeCell ref="K183:M183"/>
    <mergeCell ref="K184:M184"/>
    <mergeCell ref="K185:M185"/>
    <mergeCell ref="K196:M196"/>
    <mergeCell ref="K197:M197"/>
    <mergeCell ref="K198:M198"/>
    <mergeCell ref="K199:M199"/>
    <mergeCell ref="K200:M200"/>
    <mergeCell ref="K191:M191"/>
    <mergeCell ref="K192:M192"/>
    <mergeCell ref="K193:M193"/>
    <mergeCell ref="K194:M194"/>
    <mergeCell ref="K195:M195"/>
    <mergeCell ref="K206:M206"/>
    <mergeCell ref="K207:M207"/>
    <mergeCell ref="K208:M208"/>
    <mergeCell ref="K209:M209"/>
    <mergeCell ref="K210:M210"/>
    <mergeCell ref="K201:M201"/>
    <mergeCell ref="K202:M202"/>
    <mergeCell ref="K203:M203"/>
    <mergeCell ref="K204:M204"/>
    <mergeCell ref="K205:M205"/>
    <mergeCell ref="K216:M216"/>
    <mergeCell ref="K217:M217"/>
    <mergeCell ref="K218:M218"/>
    <mergeCell ref="K219:M219"/>
    <mergeCell ref="K220:M220"/>
    <mergeCell ref="K211:M211"/>
    <mergeCell ref="K212:M212"/>
    <mergeCell ref="K213:M213"/>
    <mergeCell ref="K214:M214"/>
    <mergeCell ref="K215:M215"/>
    <mergeCell ref="K226:M226"/>
    <mergeCell ref="K227:M227"/>
    <mergeCell ref="K228:M228"/>
    <mergeCell ref="K229:M229"/>
    <mergeCell ref="K230:M230"/>
    <mergeCell ref="K221:M221"/>
    <mergeCell ref="K222:M222"/>
    <mergeCell ref="K223:M223"/>
    <mergeCell ref="K224:M224"/>
    <mergeCell ref="K225:M225"/>
    <mergeCell ref="K244:M244"/>
    <mergeCell ref="K245:M245"/>
    <mergeCell ref="K236:M236"/>
    <mergeCell ref="K237:M237"/>
    <mergeCell ref="K238:M238"/>
    <mergeCell ref="K239:M239"/>
    <mergeCell ref="K240:M240"/>
    <mergeCell ref="K231:M231"/>
    <mergeCell ref="K232:M232"/>
    <mergeCell ref="K233:M233"/>
    <mergeCell ref="K234:M234"/>
    <mergeCell ref="K235:M235"/>
    <mergeCell ref="K251:M251"/>
    <mergeCell ref="K252:M252"/>
    <mergeCell ref="Q103:T103"/>
    <mergeCell ref="U103:Y103"/>
    <mergeCell ref="Q104:T104"/>
    <mergeCell ref="U104:Y104"/>
    <mergeCell ref="Q105:T105"/>
    <mergeCell ref="U105:Y105"/>
    <mergeCell ref="Q106:T106"/>
    <mergeCell ref="U106:Y106"/>
    <mergeCell ref="Q107:T107"/>
    <mergeCell ref="U107:Y107"/>
    <mergeCell ref="Q108:T108"/>
    <mergeCell ref="U108:Y108"/>
    <mergeCell ref="Q109:T109"/>
    <mergeCell ref="U109:Y109"/>
    <mergeCell ref="K246:M246"/>
    <mergeCell ref="K247:M247"/>
    <mergeCell ref="K248:M248"/>
    <mergeCell ref="K249:M249"/>
    <mergeCell ref="K250:M250"/>
    <mergeCell ref="K241:M241"/>
    <mergeCell ref="K242:M242"/>
    <mergeCell ref="K243:M243"/>
    <mergeCell ref="Q113:T113"/>
    <mergeCell ref="U113:Y113"/>
    <mergeCell ref="Q114:T114"/>
    <mergeCell ref="U114:Y114"/>
    <mergeCell ref="Q115:T115"/>
    <mergeCell ref="U115:Y115"/>
    <mergeCell ref="Q110:T110"/>
    <mergeCell ref="U110:Y110"/>
    <mergeCell ref="Q111:T111"/>
    <mergeCell ref="U111:Y111"/>
    <mergeCell ref="Q112:T112"/>
    <mergeCell ref="U112:Y112"/>
    <mergeCell ref="Q119:T119"/>
    <mergeCell ref="U119:Y119"/>
    <mergeCell ref="Q120:T120"/>
    <mergeCell ref="U120:Y120"/>
    <mergeCell ref="Q121:T121"/>
    <mergeCell ref="U121:Y121"/>
    <mergeCell ref="Q116:T116"/>
    <mergeCell ref="U116:Y116"/>
    <mergeCell ref="Q117:T117"/>
    <mergeCell ref="U117:Y117"/>
    <mergeCell ref="Q118:T118"/>
    <mergeCell ref="U118:Y118"/>
    <mergeCell ref="Q125:T125"/>
    <mergeCell ref="U125:Y125"/>
    <mergeCell ref="Q126:T126"/>
    <mergeCell ref="U126:Y126"/>
    <mergeCell ref="Q127:T127"/>
    <mergeCell ref="U127:Y127"/>
    <mergeCell ref="Q122:T122"/>
    <mergeCell ref="U122:Y122"/>
    <mergeCell ref="Q123:T123"/>
    <mergeCell ref="U123:Y123"/>
    <mergeCell ref="Q124:T124"/>
    <mergeCell ref="U124:Y124"/>
    <mergeCell ref="Q131:T131"/>
    <mergeCell ref="U131:Y131"/>
    <mergeCell ref="Q132:T132"/>
    <mergeCell ref="U132:Y132"/>
    <mergeCell ref="Q133:T133"/>
    <mergeCell ref="U133:Y133"/>
    <mergeCell ref="Q128:T128"/>
    <mergeCell ref="U128:Y128"/>
    <mergeCell ref="Q129:T129"/>
    <mergeCell ref="U129:Y129"/>
    <mergeCell ref="Q130:T130"/>
    <mergeCell ref="U130:Y130"/>
    <mergeCell ref="Q137:T137"/>
    <mergeCell ref="U137:Y137"/>
    <mergeCell ref="Q138:T138"/>
    <mergeCell ref="U138:Y138"/>
    <mergeCell ref="Q139:T139"/>
    <mergeCell ref="U139:Y139"/>
    <mergeCell ref="Q134:T134"/>
    <mergeCell ref="U134:Y134"/>
    <mergeCell ref="Q135:T135"/>
    <mergeCell ref="U135:Y135"/>
    <mergeCell ref="Q136:T136"/>
    <mergeCell ref="U136:Y136"/>
    <mergeCell ref="Q143:T143"/>
    <mergeCell ref="U143:Y143"/>
    <mergeCell ref="Q144:T144"/>
    <mergeCell ref="U144:Y144"/>
    <mergeCell ref="Q145:T145"/>
    <mergeCell ref="U145:Y145"/>
    <mergeCell ref="Q140:T140"/>
    <mergeCell ref="U140:Y140"/>
    <mergeCell ref="Q141:T141"/>
    <mergeCell ref="U141:Y141"/>
    <mergeCell ref="Q142:T142"/>
    <mergeCell ref="U142:Y142"/>
    <mergeCell ref="Q149:T149"/>
    <mergeCell ref="U149:Y149"/>
    <mergeCell ref="Q150:T150"/>
    <mergeCell ref="U150:Y150"/>
    <mergeCell ref="Q151:T151"/>
    <mergeCell ref="U151:Y151"/>
    <mergeCell ref="Q146:T146"/>
    <mergeCell ref="U146:Y146"/>
    <mergeCell ref="Q147:T147"/>
    <mergeCell ref="U147:Y147"/>
    <mergeCell ref="Q148:T148"/>
    <mergeCell ref="U148:Y148"/>
    <mergeCell ref="Q155:T155"/>
    <mergeCell ref="U155:Y155"/>
    <mergeCell ref="Q156:T156"/>
    <mergeCell ref="U156:Y156"/>
    <mergeCell ref="Q157:T157"/>
    <mergeCell ref="U157:Y157"/>
    <mergeCell ref="Q152:T152"/>
    <mergeCell ref="U152:Y152"/>
    <mergeCell ref="Q153:T153"/>
    <mergeCell ref="U153:Y153"/>
    <mergeCell ref="Q154:T154"/>
    <mergeCell ref="U154:Y154"/>
    <mergeCell ref="Q161:T161"/>
    <mergeCell ref="U161:Y161"/>
    <mergeCell ref="Q162:T162"/>
    <mergeCell ref="U162:Y162"/>
    <mergeCell ref="Q163:T163"/>
    <mergeCell ref="U163:Y163"/>
    <mergeCell ref="Q158:T158"/>
    <mergeCell ref="U158:Y158"/>
    <mergeCell ref="Q159:T159"/>
    <mergeCell ref="U159:Y159"/>
    <mergeCell ref="Q160:T160"/>
    <mergeCell ref="U160:Y160"/>
    <mergeCell ref="Q167:T167"/>
    <mergeCell ref="U167:Y167"/>
    <mergeCell ref="Q168:T168"/>
    <mergeCell ref="U168:Y168"/>
    <mergeCell ref="Q169:T169"/>
    <mergeCell ref="U169:Y169"/>
    <mergeCell ref="Q164:T164"/>
    <mergeCell ref="U164:Y164"/>
    <mergeCell ref="Q165:T165"/>
    <mergeCell ref="U165:Y165"/>
    <mergeCell ref="Q166:T166"/>
    <mergeCell ref="U166:Y166"/>
    <mergeCell ref="Q173:T173"/>
    <mergeCell ref="U173:Y173"/>
    <mergeCell ref="Q174:T174"/>
    <mergeCell ref="U174:Y174"/>
    <mergeCell ref="Q175:T175"/>
    <mergeCell ref="U175:Y175"/>
    <mergeCell ref="Q170:T170"/>
    <mergeCell ref="U170:Y170"/>
    <mergeCell ref="Q171:T171"/>
    <mergeCell ref="U171:Y171"/>
    <mergeCell ref="Q172:T172"/>
    <mergeCell ref="U172:Y172"/>
    <mergeCell ref="Q179:T179"/>
    <mergeCell ref="U179:Y179"/>
    <mergeCell ref="Q180:T180"/>
    <mergeCell ref="U180:Y180"/>
    <mergeCell ref="Q181:T181"/>
    <mergeCell ref="U181:Y181"/>
    <mergeCell ref="Q176:T176"/>
    <mergeCell ref="U176:Y176"/>
    <mergeCell ref="Q177:T177"/>
    <mergeCell ref="U177:Y177"/>
    <mergeCell ref="Q178:T178"/>
    <mergeCell ref="U178:Y178"/>
    <mergeCell ref="Q185:T185"/>
    <mergeCell ref="U185:Y185"/>
    <mergeCell ref="Q186:T186"/>
    <mergeCell ref="U186:Y186"/>
    <mergeCell ref="Q187:T187"/>
    <mergeCell ref="U187:Y187"/>
    <mergeCell ref="Q182:T182"/>
    <mergeCell ref="U182:Y182"/>
    <mergeCell ref="Q183:T183"/>
    <mergeCell ref="U183:Y183"/>
    <mergeCell ref="Q184:T184"/>
    <mergeCell ref="U184:Y184"/>
    <mergeCell ref="Q191:T191"/>
    <mergeCell ref="U191:Y191"/>
    <mergeCell ref="Q192:T192"/>
    <mergeCell ref="U192:Y192"/>
    <mergeCell ref="Q193:T193"/>
    <mergeCell ref="U193:Y193"/>
    <mergeCell ref="Q188:T188"/>
    <mergeCell ref="U188:Y188"/>
    <mergeCell ref="Q189:T189"/>
    <mergeCell ref="U189:Y189"/>
    <mergeCell ref="Q190:T190"/>
    <mergeCell ref="U190:Y190"/>
    <mergeCell ref="Q197:T197"/>
    <mergeCell ref="U197:Y197"/>
    <mergeCell ref="Q198:T198"/>
    <mergeCell ref="U198:Y198"/>
    <mergeCell ref="Q199:T199"/>
    <mergeCell ref="U199:Y199"/>
    <mergeCell ref="Q194:T194"/>
    <mergeCell ref="U194:Y194"/>
    <mergeCell ref="Q195:T195"/>
    <mergeCell ref="U195:Y195"/>
    <mergeCell ref="Q196:T196"/>
    <mergeCell ref="U196:Y196"/>
    <mergeCell ref="Q203:T203"/>
    <mergeCell ref="U203:Y203"/>
    <mergeCell ref="Q204:T204"/>
    <mergeCell ref="U204:Y204"/>
    <mergeCell ref="Q205:T205"/>
    <mergeCell ref="U205:Y205"/>
    <mergeCell ref="Q200:T200"/>
    <mergeCell ref="U200:Y200"/>
    <mergeCell ref="Q201:T201"/>
    <mergeCell ref="U201:Y201"/>
    <mergeCell ref="Q202:T202"/>
    <mergeCell ref="U202:Y202"/>
    <mergeCell ref="Q209:T209"/>
    <mergeCell ref="U209:Y209"/>
    <mergeCell ref="Q210:T210"/>
    <mergeCell ref="U210:Y210"/>
    <mergeCell ref="Q211:T211"/>
    <mergeCell ref="U211:Y211"/>
    <mergeCell ref="Q206:T206"/>
    <mergeCell ref="U206:Y206"/>
    <mergeCell ref="Q207:T207"/>
    <mergeCell ref="U207:Y207"/>
    <mergeCell ref="Q208:T208"/>
    <mergeCell ref="U208:Y208"/>
    <mergeCell ref="Q215:T215"/>
    <mergeCell ref="U215:Y215"/>
    <mergeCell ref="Q216:T216"/>
    <mergeCell ref="U216:Y216"/>
    <mergeCell ref="Q217:T217"/>
    <mergeCell ref="U217:Y217"/>
    <mergeCell ref="Q212:T212"/>
    <mergeCell ref="U212:Y212"/>
    <mergeCell ref="Q213:T213"/>
    <mergeCell ref="U213:Y213"/>
    <mergeCell ref="Q214:T214"/>
    <mergeCell ref="U214:Y214"/>
    <mergeCell ref="Q221:T221"/>
    <mergeCell ref="U221:Y221"/>
    <mergeCell ref="Q222:T222"/>
    <mergeCell ref="U222:Y222"/>
    <mergeCell ref="Q223:T223"/>
    <mergeCell ref="U223:Y223"/>
    <mergeCell ref="Q218:T218"/>
    <mergeCell ref="U218:Y218"/>
    <mergeCell ref="Q219:T219"/>
    <mergeCell ref="U219:Y219"/>
    <mergeCell ref="Q220:T220"/>
    <mergeCell ref="U220:Y220"/>
    <mergeCell ref="Q227:T227"/>
    <mergeCell ref="U227:Y227"/>
    <mergeCell ref="Q228:T228"/>
    <mergeCell ref="U228:Y228"/>
    <mergeCell ref="Q229:T229"/>
    <mergeCell ref="U229:Y229"/>
    <mergeCell ref="Q224:T224"/>
    <mergeCell ref="U224:Y224"/>
    <mergeCell ref="Q225:T225"/>
    <mergeCell ref="U225:Y225"/>
    <mergeCell ref="Q226:T226"/>
    <mergeCell ref="U226:Y226"/>
    <mergeCell ref="Q233:T233"/>
    <mergeCell ref="U233:Y233"/>
    <mergeCell ref="Q234:T234"/>
    <mergeCell ref="U234:Y234"/>
    <mergeCell ref="Q235:T235"/>
    <mergeCell ref="U235:Y235"/>
    <mergeCell ref="Q230:T230"/>
    <mergeCell ref="U230:Y230"/>
    <mergeCell ref="Q231:T231"/>
    <mergeCell ref="U231:Y231"/>
    <mergeCell ref="Q232:T232"/>
    <mergeCell ref="U232:Y232"/>
    <mergeCell ref="Q239:T239"/>
    <mergeCell ref="U239:Y239"/>
    <mergeCell ref="Q240:T240"/>
    <mergeCell ref="U240:Y240"/>
    <mergeCell ref="Q241:T241"/>
    <mergeCell ref="U241:Y241"/>
    <mergeCell ref="Q236:T236"/>
    <mergeCell ref="U236:Y236"/>
    <mergeCell ref="Q237:T237"/>
    <mergeCell ref="U237:Y237"/>
    <mergeCell ref="Q238:T238"/>
    <mergeCell ref="U238:Y238"/>
    <mergeCell ref="Q245:T245"/>
    <mergeCell ref="U245:Y245"/>
    <mergeCell ref="Q246:T246"/>
    <mergeCell ref="U246:Y246"/>
    <mergeCell ref="Q247:T247"/>
    <mergeCell ref="U247:Y247"/>
    <mergeCell ref="Q242:T242"/>
    <mergeCell ref="U242:Y242"/>
    <mergeCell ref="Q243:T243"/>
    <mergeCell ref="U243:Y243"/>
    <mergeCell ref="Q244:T244"/>
    <mergeCell ref="U244:Y244"/>
    <mergeCell ref="Q251:T251"/>
    <mergeCell ref="U251:Y251"/>
    <mergeCell ref="Q252:T252"/>
    <mergeCell ref="U252:Y252"/>
    <mergeCell ref="Q248:T248"/>
    <mergeCell ref="U248:Y248"/>
    <mergeCell ref="Q249:T249"/>
    <mergeCell ref="U249:Y249"/>
    <mergeCell ref="Q250:T250"/>
    <mergeCell ref="U250:Y250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99331" r:id="rId4" name="DTPicker23">
          <controlPr autoLine="0" autoPict="0" linkedCell="J253" r:id="rId5">
            <anchor moveWithCells="1">
              <from>
                <xdr:col>9</xdr:col>
                <xdr:colOff>9525</xdr:colOff>
                <xdr:row>252</xdr:row>
                <xdr:rowOff>9525</xdr:rowOff>
              </from>
              <to>
                <xdr:col>9</xdr:col>
                <xdr:colOff>1219200</xdr:colOff>
                <xdr:row>253</xdr:row>
                <xdr:rowOff>9525</xdr:rowOff>
              </to>
            </anchor>
          </controlPr>
        </control>
      </mc:Choice>
      <mc:Fallback>
        <control shapeId="99331" r:id="rId4" name="DTPicker23"/>
      </mc:Fallback>
    </mc:AlternateContent>
    <mc:AlternateContent xmlns:mc="http://schemas.openxmlformats.org/markup-compatibility/2006">
      <mc:Choice Requires="x14">
        <control shapeId="99330" r:id="rId6" name="DTPicker22">
          <controlPr defaultSize="0" autoLine="0" autoPict="0" linkedCell="G1" r:id="rId7">
            <anchor moveWithCells="1">
              <from>
                <xdr:col>5</xdr:col>
                <xdr:colOff>0</xdr:colOff>
                <xdr:row>0</xdr:row>
                <xdr:rowOff>19050</xdr:rowOff>
              </from>
              <to>
                <xdr:col>6</xdr:col>
                <xdr:colOff>361950</xdr:colOff>
                <xdr:row>1</xdr:row>
                <xdr:rowOff>9525</xdr:rowOff>
              </to>
            </anchor>
          </controlPr>
        </control>
      </mc:Choice>
      <mc:Fallback>
        <control shapeId="99330" r:id="rId6" name="DTPicker22"/>
      </mc:Fallback>
    </mc:AlternateContent>
    <mc:AlternateContent xmlns:mc="http://schemas.openxmlformats.org/markup-compatibility/2006">
      <mc:Choice Requires="x14">
        <control shapeId="99329" r:id="rId8" name="DTPicker21">
          <controlPr defaultSize="0" autoLine="0" autoPict="0" linkedCell="C253" r:id="rId9">
            <anchor moveWithCells="1">
              <from>
                <xdr:col>2</xdr:col>
                <xdr:colOff>9525</xdr:colOff>
                <xdr:row>252</xdr:row>
                <xdr:rowOff>0</xdr:rowOff>
              </from>
              <to>
                <xdr:col>3</xdr:col>
                <xdr:colOff>47625</xdr:colOff>
                <xdr:row>253</xdr:row>
                <xdr:rowOff>0</xdr:rowOff>
              </to>
            </anchor>
          </controlPr>
        </control>
      </mc:Choice>
      <mc:Fallback>
        <control shapeId="99329" r:id="rId8" name="DTPicker21"/>
      </mc:Fallback>
    </mc:AlternateContent>
    <mc:AlternateContent xmlns:mc="http://schemas.openxmlformats.org/markup-compatibility/2006">
      <mc:Choice Requires="x14">
        <control shapeId="99332" r:id="rId10" name="DTPicker24">
          <controlPr defaultSize="0" autoLine="0" autoPict="0" r:id="rId11">
            <anchor moveWithCells="1">
              <from>
                <xdr:col>9</xdr:col>
                <xdr:colOff>9525</xdr:colOff>
                <xdr:row>253</xdr:row>
                <xdr:rowOff>28575</xdr:rowOff>
              </from>
              <to>
                <xdr:col>10</xdr:col>
                <xdr:colOff>0</xdr:colOff>
                <xdr:row>254</xdr:row>
                <xdr:rowOff>19050</xdr:rowOff>
              </to>
            </anchor>
          </controlPr>
        </control>
      </mc:Choice>
      <mc:Fallback>
        <control shapeId="99332" r:id="rId10" name="DTPicker24"/>
      </mc:Fallback>
    </mc:AlternateContent>
    <mc:AlternateContent xmlns:mc="http://schemas.openxmlformats.org/markup-compatibility/2006">
      <mc:Choice Requires="x14">
        <control shapeId="99333" r:id="rId12" name="DTPicker25">
          <controlPr defaultSize="0" autoLine="0" autoPict="0" r:id="rId13">
            <anchor moveWithCells="1">
              <from>
                <xdr:col>9</xdr:col>
                <xdr:colOff>9525</xdr:colOff>
                <xdr:row>254</xdr:row>
                <xdr:rowOff>9525</xdr:rowOff>
              </from>
              <to>
                <xdr:col>10</xdr:col>
                <xdr:colOff>0</xdr:colOff>
                <xdr:row>255</xdr:row>
                <xdr:rowOff>9525</xdr:rowOff>
              </to>
            </anchor>
          </controlPr>
        </control>
      </mc:Choice>
      <mc:Fallback>
        <control shapeId="99333" r:id="rId12" name="DTPicker25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CH19"/>
  <sheetViews>
    <sheetView workbookViewId="0">
      <pane xSplit="1" topLeftCell="B1" activePane="topRight" state="frozen"/>
      <selection pane="topRight" activeCell="B16" sqref="B16"/>
    </sheetView>
  </sheetViews>
  <sheetFormatPr baseColWidth="10" defaultRowHeight="15" x14ac:dyDescent="0.25"/>
  <cols>
    <col min="1" max="1" width="21.140625" customWidth="1"/>
    <col min="2" max="2" width="12.28515625" style="4" customWidth="1"/>
  </cols>
  <sheetData>
    <row r="1" spans="1:86" x14ac:dyDescent="0.25">
      <c r="B1" s="4">
        <v>2016</v>
      </c>
      <c r="C1">
        <v>2017</v>
      </c>
      <c r="D1">
        <f>C1+1</f>
        <v>2018</v>
      </c>
      <c r="E1" s="4">
        <f>D1+1</f>
        <v>2019</v>
      </c>
      <c r="F1" s="4">
        <f t="shared" ref="F1:BM1" si="0">E1+1</f>
        <v>2020</v>
      </c>
      <c r="G1" s="4">
        <f t="shared" si="0"/>
        <v>2021</v>
      </c>
      <c r="H1" s="4">
        <f t="shared" si="0"/>
        <v>2022</v>
      </c>
      <c r="I1" s="4">
        <f t="shared" si="0"/>
        <v>2023</v>
      </c>
      <c r="J1" s="4">
        <f t="shared" si="0"/>
        <v>2024</v>
      </c>
      <c r="K1" s="4">
        <f t="shared" si="0"/>
        <v>2025</v>
      </c>
      <c r="L1" s="4">
        <f t="shared" si="0"/>
        <v>2026</v>
      </c>
      <c r="M1" s="4">
        <f t="shared" si="0"/>
        <v>2027</v>
      </c>
      <c r="N1" s="4">
        <f t="shared" si="0"/>
        <v>2028</v>
      </c>
      <c r="O1" s="4">
        <f t="shared" si="0"/>
        <v>2029</v>
      </c>
      <c r="P1" s="4">
        <f t="shared" si="0"/>
        <v>2030</v>
      </c>
      <c r="Q1" s="4">
        <f t="shared" si="0"/>
        <v>2031</v>
      </c>
      <c r="R1" s="4">
        <f t="shared" si="0"/>
        <v>2032</v>
      </c>
      <c r="S1" s="4">
        <f t="shared" si="0"/>
        <v>2033</v>
      </c>
      <c r="T1" s="4">
        <f t="shared" si="0"/>
        <v>2034</v>
      </c>
      <c r="U1" s="4">
        <f t="shared" si="0"/>
        <v>2035</v>
      </c>
      <c r="V1" s="4">
        <f t="shared" si="0"/>
        <v>2036</v>
      </c>
      <c r="W1" s="4">
        <f t="shared" si="0"/>
        <v>2037</v>
      </c>
      <c r="X1" s="4">
        <f t="shared" si="0"/>
        <v>2038</v>
      </c>
      <c r="Y1" s="4">
        <f t="shared" si="0"/>
        <v>2039</v>
      </c>
      <c r="Z1" s="4">
        <f t="shared" si="0"/>
        <v>2040</v>
      </c>
      <c r="AA1" s="4">
        <f t="shared" si="0"/>
        <v>2041</v>
      </c>
      <c r="AB1" s="4">
        <f t="shared" si="0"/>
        <v>2042</v>
      </c>
      <c r="AC1" s="4">
        <f t="shared" si="0"/>
        <v>2043</v>
      </c>
      <c r="AD1" s="4">
        <f t="shared" si="0"/>
        <v>2044</v>
      </c>
      <c r="AE1" s="4">
        <f t="shared" si="0"/>
        <v>2045</v>
      </c>
      <c r="AF1" s="4">
        <f t="shared" si="0"/>
        <v>2046</v>
      </c>
      <c r="AG1" s="4">
        <f t="shared" si="0"/>
        <v>2047</v>
      </c>
      <c r="AH1" s="4">
        <f t="shared" si="0"/>
        <v>2048</v>
      </c>
      <c r="AI1" s="4">
        <f t="shared" si="0"/>
        <v>2049</v>
      </c>
      <c r="AJ1" s="4">
        <f t="shared" si="0"/>
        <v>2050</v>
      </c>
      <c r="AK1" s="4">
        <f t="shared" si="0"/>
        <v>2051</v>
      </c>
      <c r="AL1" s="4">
        <f t="shared" si="0"/>
        <v>2052</v>
      </c>
      <c r="AM1" s="4">
        <f t="shared" si="0"/>
        <v>2053</v>
      </c>
      <c r="AN1" s="4">
        <f t="shared" si="0"/>
        <v>2054</v>
      </c>
      <c r="AO1" s="4">
        <f t="shared" si="0"/>
        <v>2055</v>
      </c>
      <c r="AP1" s="4">
        <f t="shared" si="0"/>
        <v>2056</v>
      </c>
      <c r="AQ1" s="4">
        <f t="shared" si="0"/>
        <v>2057</v>
      </c>
      <c r="AR1" s="4">
        <f t="shared" si="0"/>
        <v>2058</v>
      </c>
      <c r="AS1" s="4">
        <f t="shared" si="0"/>
        <v>2059</v>
      </c>
      <c r="AT1" s="4">
        <f t="shared" si="0"/>
        <v>2060</v>
      </c>
      <c r="AU1" s="4">
        <f t="shared" si="0"/>
        <v>2061</v>
      </c>
      <c r="AV1" s="4">
        <f t="shared" si="0"/>
        <v>2062</v>
      </c>
      <c r="AW1" s="4">
        <f t="shared" si="0"/>
        <v>2063</v>
      </c>
      <c r="AX1" s="4">
        <f t="shared" si="0"/>
        <v>2064</v>
      </c>
      <c r="AY1" s="4">
        <f t="shared" si="0"/>
        <v>2065</v>
      </c>
      <c r="AZ1" s="4">
        <f t="shared" si="0"/>
        <v>2066</v>
      </c>
      <c r="BA1" s="4">
        <f t="shared" si="0"/>
        <v>2067</v>
      </c>
      <c r="BB1" s="4">
        <f t="shared" si="0"/>
        <v>2068</v>
      </c>
      <c r="BC1" s="4">
        <f>BB1+1</f>
        <v>2069</v>
      </c>
      <c r="BD1" s="4">
        <f>BC1+1</f>
        <v>2070</v>
      </c>
      <c r="BE1" s="4">
        <f t="shared" si="0"/>
        <v>2071</v>
      </c>
      <c r="BF1" s="4">
        <f t="shared" si="0"/>
        <v>2072</v>
      </c>
      <c r="BG1" s="4">
        <f t="shared" si="0"/>
        <v>2073</v>
      </c>
      <c r="BH1" s="4">
        <f t="shared" si="0"/>
        <v>2074</v>
      </c>
      <c r="BI1" s="4">
        <f t="shared" si="0"/>
        <v>2075</v>
      </c>
      <c r="BJ1" s="4">
        <f t="shared" si="0"/>
        <v>2076</v>
      </c>
      <c r="BK1" s="4">
        <f t="shared" si="0"/>
        <v>2077</v>
      </c>
      <c r="BL1" s="4">
        <f t="shared" si="0"/>
        <v>2078</v>
      </c>
      <c r="BM1" s="4">
        <f t="shared" si="0"/>
        <v>2079</v>
      </c>
      <c r="BN1" s="4">
        <f>BM1+1</f>
        <v>2080</v>
      </c>
      <c r="BO1" s="4">
        <f>BN1+1</f>
        <v>2081</v>
      </c>
      <c r="BP1" s="4">
        <f t="shared" ref="BP1:BV1" si="1">BO1+1</f>
        <v>2082</v>
      </c>
      <c r="BQ1" s="4">
        <f t="shared" si="1"/>
        <v>2083</v>
      </c>
      <c r="BR1" s="4">
        <f t="shared" si="1"/>
        <v>2084</v>
      </c>
      <c r="BS1" s="4">
        <f t="shared" si="1"/>
        <v>2085</v>
      </c>
      <c r="BT1" s="4">
        <f t="shared" si="1"/>
        <v>2086</v>
      </c>
      <c r="BU1" s="4">
        <f t="shared" si="1"/>
        <v>2087</v>
      </c>
      <c r="BV1" s="4">
        <f t="shared" si="1"/>
        <v>2088</v>
      </c>
      <c r="BW1" s="4">
        <f>BV1+1</f>
        <v>2089</v>
      </c>
      <c r="BX1" s="4">
        <f>BW1+1</f>
        <v>2090</v>
      </c>
      <c r="BY1" s="4">
        <f t="shared" ref="BY1:CH1" si="2">BX1+1</f>
        <v>2091</v>
      </c>
      <c r="BZ1" s="4">
        <f t="shared" si="2"/>
        <v>2092</v>
      </c>
      <c r="CA1" s="4">
        <f t="shared" si="2"/>
        <v>2093</v>
      </c>
      <c r="CB1" s="4">
        <f t="shared" si="2"/>
        <v>2094</v>
      </c>
      <c r="CC1" s="4">
        <f t="shared" si="2"/>
        <v>2095</v>
      </c>
      <c r="CD1" s="4">
        <f t="shared" si="2"/>
        <v>2096</v>
      </c>
      <c r="CE1" s="4">
        <f t="shared" si="2"/>
        <v>2097</v>
      </c>
      <c r="CF1" s="4">
        <f t="shared" si="2"/>
        <v>2098</v>
      </c>
      <c r="CG1" s="4">
        <f t="shared" si="2"/>
        <v>2099</v>
      </c>
      <c r="CH1" s="4">
        <f t="shared" si="2"/>
        <v>2100</v>
      </c>
    </row>
    <row r="2" spans="1:86" x14ac:dyDescent="0.25">
      <c r="C2" s="11"/>
    </row>
    <row r="3" spans="1:86" x14ac:dyDescent="0.25">
      <c r="A3" t="s">
        <v>30</v>
      </c>
      <c r="B3" s="11">
        <f>DATE(B1,1,1)</f>
        <v>42370</v>
      </c>
      <c r="C3" s="11">
        <f>DATE(C1,1,1)</f>
        <v>42736</v>
      </c>
      <c r="D3" s="11">
        <f>DATE(D1,1,1)</f>
        <v>43101</v>
      </c>
      <c r="E3" s="11">
        <f>DATE(E1,1,1)</f>
        <v>43466</v>
      </c>
      <c r="F3" s="11">
        <f t="shared" ref="F3:BQ3" si="3">DATE(F1,1,1)</f>
        <v>43831</v>
      </c>
      <c r="G3" s="11">
        <f t="shared" si="3"/>
        <v>44197</v>
      </c>
      <c r="H3" s="11">
        <f t="shared" si="3"/>
        <v>44562</v>
      </c>
      <c r="I3" s="11">
        <f t="shared" si="3"/>
        <v>44927</v>
      </c>
      <c r="J3" s="11">
        <f t="shared" si="3"/>
        <v>45292</v>
      </c>
      <c r="K3" s="11">
        <f t="shared" si="3"/>
        <v>45658</v>
      </c>
      <c r="L3" s="11">
        <f t="shared" si="3"/>
        <v>46023</v>
      </c>
      <c r="M3" s="11">
        <f t="shared" si="3"/>
        <v>46388</v>
      </c>
      <c r="N3" s="11">
        <f t="shared" si="3"/>
        <v>46753</v>
      </c>
      <c r="O3" s="11">
        <f t="shared" si="3"/>
        <v>47119</v>
      </c>
      <c r="P3" s="11">
        <f t="shared" si="3"/>
        <v>47484</v>
      </c>
      <c r="Q3" s="11">
        <f t="shared" si="3"/>
        <v>47849</v>
      </c>
      <c r="R3" s="11">
        <f t="shared" si="3"/>
        <v>48214</v>
      </c>
      <c r="S3" s="11">
        <f t="shared" si="3"/>
        <v>48580</v>
      </c>
      <c r="T3" s="11">
        <f t="shared" si="3"/>
        <v>48945</v>
      </c>
      <c r="U3" s="11">
        <f t="shared" si="3"/>
        <v>49310</v>
      </c>
      <c r="V3" s="11">
        <f t="shared" si="3"/>
        <v>49675</v>
      </c>
      <c r="W3" s="11">
        <f t="shared" si="3"/>
        <v>50041</v>
      </c>
      <c r="X3" s="11">
        <f t="shared" si="3"/>
        <v>50406</v>
      </c>
      <c r="Y3" s="11">
        <f t="shared" si="3"/>
        <v>50771</v>
      </c>
      <c r="Z3" s="11">
        <f t="shared" si="3"/>
        <v>51136</v>
      </c>
      <c r="AA3" s="11">
        <f t="shared" si="3"/>
        <v>51502</v>
      </c>
      <c r="AB3" s="11">
        <f t="shared" si="3"/>
        <v>51867</v>
      </c>
      <c r="AC3" s="11">
        <f t="shared" si="3"/>
        <v>52232</v>
      </c>
      <c r="AD3" s="11">
        <f t="shared" si="3"/>
        <v>52597</v>
      </c>
      <c r="AE3" s="11">
        <f t="shared" si="3"/>
        <v>52963</v>
      </c>
      <c r="AF3" s="11">
        <f t="shared" si="3"/>
        <v>53328</v>
      </c>
      <c r="AG3" s="11">
        <f t="shared" si="3"/>
        <v>53693</v>
      </c>
      <c r="AH3" s="11">
        <f t="shared" si="3"/>
        <v>54058</v>
      </c>
      <c r="AI3" s="11">
        <f t="shared" si="3"/>
        <v>54424</v>
      </c>
      <c r="AJ3" s="11">
        <f t="shared" si="3"/>
        <v>54789</v>
      </c>
      <c r="AK3" s="11">
        <f t="shared" si="3"/>
        <v>55154</v>
      </c>
      <c r="AL3" s="11">
        <f t="shared" si="3"/>
        <v>55519</v>
      </c>
      <c r="AM3" s="11">
        <f t="shared" si="3"/>
        <v>55885</v>
      </c>
      <c r="AN3" s="11">
        <f t="shared" si="3"/>
        <v>56250</v>
      </c>
      <c r="AO3" s="11">
        <f t="shared" si="3"/>
        <v>56615</v>
      </c>
      <c r="AP3" s="11">
        <f t="shared" si="3"/>
        <v>56980</v>
      </c>
      <c r="AQ3" s="11">
        <f t="shared" si="3"/>
        <v>57346</v>
      </c>
      <c r="AR3" s="11">
        <f t="shared" si="3"/>
        <v>57711</v>
      </c>
      <c r="AS3" s="11">
        <f t="shared" si="3"/>
        <v>58076</v>
      </c>
      <c r="AT3" s="11">
        <f t="shared" si="3"/>
        <v>58441</v>
      </c>
      <c r="AU3" s="11">
        <f t="shared" si="3"/>
        <v>58807</v>
      </c>
      <c r="AV3" s="11">
        <f t="shared" si="3"/>
        <v>59172</v>
      </c>
      <c r="AW3" s="11">
        <f t="shared" si="3"/>
        <v>59537</v>
      </c>
      <c r="AX3" s="11">
        <f t="shared" si="3"/>
        <v>59902</v>
      </c>
      <c r="AY3" s="11">
        <f t="shared" si="3"/>
        <v>60268</v>
      </c>
      <c r="AZ3" s="11">
        <f t="shared" si="3"/>
        <v>60633</v>
      </c>
      <c r="BA3" s="11">
        <f t="shared" si="3"/>
        <v>60998</v>
      </c>
      <c r="BB3" s="11">
        <f t="shared" si="3"/>
        <v>61363</v>
      </c>
      <c r="BC3" s="11">
        <f t="shared" si="3"/>
        <v>61729</v>
      </c>
      <c r="BD3" s="11">
        <f t="shared" si="3"/>
        <v>62094</v>
      </c>
      <c r="BE3" s="11">
        <f t="shared" si="3"/>
        <v>62459</v>
      </c>
      <c r="BF3" s="11">
        <f t="shared" si="3"/>
        <v>62824</v>
      </c>
      <c r="BG3" s="11">
        <f t="shared" si="3"/>
        <v>63190</v>
      </c>
      <c r="BH3" s="11">
        <f t="shared" si="3"/>
        <v>63555</v>
      </c>
      <c r="BI3" s="11">
        <f t="shared" si="3"/>
        <v>63920</v>
      </c>
      <c r="BJ3" s="11">
        <f t="shared" si="3"/>
        <v>64285</v>
      </c>
      <c r="BK3" s="11">
        <f t="shared" si="3"/>
        <v>64651</v>
      </c>
      <c r="BL3" s="11">
        <f t="shared" si="3"/>
        <v>65016</v>
      </c>
      <c r="BM3" s="11">
        <f t="shared" si="3"/>
        <v>65381</v>
      </c>
      <c r="BN3" s="11">
        <f t="shared" si="3"/>
        <v>65746</v>
      </c>
      <c r="BO3" s="11">
        <f t="shared" si="3"/>
        <v>66112</v>
      </c>
      <c r="BP3" s="11">
        <f t="shared" si="3"/>
        <v>66477</v>
      </c>
      <c r="BQ3" s="11">
        <f t="shared" si="3"/>
        <v>66842</v>
      </c>
      <c r="BR3" s="11">
        <f t="shared" ref="BR3:CH3" si="4">DATE(BR1,1,1)</f>
        <v>67207</v>
      </c>
      <c r="BS3" s="11">
        <f t="shared" si="4"/>
        <v>67573</v>
      </c>
      <c r="BT3" s="11">
        <f t="shared" si="4"/>
        <v>67938</v>
      </c>
      <c r="BU3" s="11">
        <f t="shared" si="4"/>
        <v>68303</v>
      </c>
      <c r="BV3" s="11">
        <f t="shared" si="4"/>
        <v>68668</v>
      </c>
      <c r="BW3" s="11">
        <f t="shared" si="4"/>
        <v>69034</v>
      </c>
      <c r="BX3" s="11">
        <f t="shared" si="4"/>
        <v>69399</v>
      </c>
      <c r="BY3" s="11">
        <f t="shared" si="4"/>
        <v>69764</v>
      </c>
      <c r="BZ3" s="11">
        <f t="shared" si="4"/>
        <v>70129</v>
      </c>
      <c r="CA3" s="11">
        <f t="shared" si="4"/>
        <v>70495</v>
      </c>
      <c r="CB3" s="11">
        <f t="shared" si="4"/>
        <v>70860</v>
      </c>
      <c r="CC3" s="11">
        <f t="shared" si="4"/>
        <v>71225</v>
      </c>
      <c r="CD3" s="11">
        <f t="shared" si="4"/>
        <v>71590</v>
      </c>
      <c r="CE3" s="11">
        <f t="shared" si="4"/>
        <v>71956</v>
      </c>
      <c r="CF3" s="11">
        <f t="shared" si="4"/>
        <v>72321</v>
      </c>
      <c r="CG3" s="11">
        <f t="shared" si="4"/>
        <v>72686</v>
      </c>
      <c r="CH3" s="11">
        <f t="shared" si="4"/>
        <v>73051</v>
      </c>
    </row>
    <row r="4" spans="1:86" x14ac:dyDescent="0.25">
      <c r="A4" t="s">
        <v>31</v>
      </c>
      <c r="B4" s="12">
        <f>ROUND(DATE(B1,4,MOD(234-11*MOD(B1,19),30))/7,0)*7-6</f>
        <v>42456</v>
      </c>
      <c r="C4" s="12">
        <f>ROUND(DATE(C1,4,MOD(234-11*MOD(C1,19),30))/7,0)*7-6</f>
        <v>42841</v>
      </c>
      <c r="D4" s="12">
        <f>ROUND(DATE(D1,4,MOD(234-11*MOD(D1,19),30))/7,0)*7-6</f>
        <v>43191</v>
      </c>
      <c r="E4" s="12">
        <f>ROUND(DATE(E1,4,MOD(234-11*MOD(E1,19),30))/7,0)*7-6</f>
        <v>43576</v>
      </c>
      <c r="F4" s="12">
        <f t="shared" ref="F4:BQ4" si="5">ROUND(DATE(F1,4,MOD(234-11*MOD(F1,19),30))/7,0)*7-6</f>
        <v>43933</v>
      </c>
      <c r="G4" s="12">
        <f t="shared" si="5"/>
        <v>44290</v>
      </c>
      <c r="H4" s="12">
        <f t="shared" si="5"/>
        <v>44668</v>
      </c>
      <c r="I4" s="12">
        <f t="shared" si="5"/>
        <v>45025</v>
      </c>
      <c r="J4" s="12">
        <f t="shared" si="5"/>
        <v>45382</v>
      </c>
      <c r="K4" s="12">
        <f t="shared" si="5"/>
        <v>45767</v>
      </c>
      <c r="L4" s="12">
        <f t="shared" si="5"/>
        <v>46117</v>
      </c>
      <c r="M4" s="12">
        <f t="shared" si="5"/>
        <v>46474</v>
      </c>
      <c r="N4" s="12">
        <f t="shared" si="5"/>
        <v>46859</v>
      </c>
      <c r="O4" s="12">
        <f t="shared" si="5"/>
        <v>47209</v>
      </c>
      <c r="P4" s="12">
        <f t="shared" si="5"/>
        <v>47594</v>
      </c>
      <c r="Q4" s="12">
        <f t="shared" si="5"/>
        <v>47951</v>
      </c>
      <c r="R4" s="12">
        <f t="shared" si="5"/>
        <v>48301</v>
      </c>
      <c r="S4" s="12">
        <f t="shared" si="5"/>
        <v>48686</v>
      </c>
      <c r="T4" s="12">
        <f t="shared" si="5"/>
        <v>49043</v>
      </c>
      <c r="U4" s="12">
        <f t="shared" si="5"/>
        <v>49393</v>
      </c>
      <c r="V4" s="12">
        <f t="shared" si="5"/>
        <v>49778</v>
      </c>
      <c r="W4" s="12">
        <f t="shared" si="5"/>
        <v>50135</v>
      </c>
      <c r="X4" s="12">
        <f t="shared" si="5"/>
        <v>50520</v>
      </c>
      <c r="Y4" s="12">
        <f t="shared" si="5"/>
        <v>50870</v>
      </c>
      <c r="Z4" s="12">
        <f t="shared" si="5"/>
        <v>51227</v>
      </c>
      <c r="AA4" s="12">
        <f t="shared" si="5"/>
        <v>51612</v>
      </c>
      <c r="AB4" s="12">
        <f t="shared" si="5"/>
        <v>51962</v>
      </c>
      <c r="AC4" s="12">
        <f t="shared" si="5"/>
        <v>52319</v>
      </c>
      <c r="AD4" s="12">
        <f t="shared" si="5"/>
        <v>52704</v>
      </c>
      <c r="AE4" s="12">
        <f t="shared" si="5"/>
        <v>53061</v>
      </c>
      <c r="AF4" s="12">
        <f t="shared" si="5"/>
        <v>53411</v>
      </c>
      <c r="AG4" s="12">
        <f t="shared" si="5"/>
        <v>53796</v>
      </c>
      <c r="AH4" s="12">
        <f t="shared" si="5"/>
        <v>54153</v>
      </c>
      <c r="AI4" s="12">
        <f t="shared" si="5"/>
        <v>54538</v>
      </c>
      <c r="AJ4" s="12">
        <f t="shared" si="5"/>
        <v>54888</v>
      </c>
      <c r="AK4" s="12">
        <f t="shared" si="5"/>
        <v>55245</v>
      </c>
      <c r="AL4" s="12">
        <f t="shared" si="5"/>
        <v>55630</v>
      </c>
      <c r="AM4" s="12">
        <f t="shared" si="5"/>
        <v>55980</v>
      </c>
      <c r="AN4" s="12">
        <f t="shared" si="5"/>
        <v>56337</v>
      </c>
      <c r="AO4" s="12">
        <f t="shared" si="5"/>
        <v>56722</v>
      </c>
      <c r="AP4" s="12">
        <f t="shared" si="5"/>
        <v>57072</v>
      </c>
      <c r="AQ4" s="12">
        <f t="shared" si="5"/>
        <v>57457</v>
      </c>
      <c r="AR4" s="12">
        <f t="shared" si="5"/>
        <v>57814</v>
      </c>
      <c r="AS4" s="12">
        <f t="shared" si="5"/>
        <v>58164</v>
      </c>
      <c r="AT4" s="12">
        <f t="shared" si="5"/>
        <v>58549</v>
      </c>
      <c r="AU4" s="12">
        <f t="shared" si="5"/>
        <v>58906</v>
      </c>
      <c r="AV4" s="12">
        <f t="shared" si="5"/>
        <v>59256</v>
      </c>
      <c r="AW4" s="12">
        <f t="shared" si="5"/>
        <v>59641</v>
      </c>
      <c r="AX4" s="12">
        <f t="shared" si="5"/>
        <v>59998</v>
      </c>
      <c r="AY4" s="12">
        <f t="shared" si="5"/>
        <v>60355</v>
      </c>
      <c r="AZ4" s="12">
        <f t="shared" si="5"/>
        <v>60733</v>
      </c>
      <c r="BA4" s="12">
        <f t="shared" si="5"/>
        <v>61090</v>
      </c>
      <c r="BB4" s="12">
        <f t="shared" si="5"/>
        <v>61475</v>
      </c>
      <c r="BC4" s="12">
        <f t="shared" si="5"/>
        <v>61832</v>
      </c>
      <c r="BD4" s="12">
        <f t="shared" si="5"/>
        <v>62182</v>
      </c>
      <c r="BE4" s="12">
        <f t="shared" si="5"/>
        <v>62567</v>
      </c>
      <c r="BF4" s="12">
        <f t="shared" si="5"/>
        <v>62924</v>
      </c>
      <c r="BG4" s="12">
        <f t="shared" si="5"/>
        <v>63274</v>
      </c>
      <c r="BH4" s="12">
        <f t="shared" si="5"/>
        <v>63659</v>
      </c>
      <c r="BI4" s="12">
        <f t="shared" si="5"/>
        <v>64016</v>
      </c>
      <c r="BJ4" s="12">
        <f t="shared" si="5"/>
        <v>64401</v>
      </c>
      <c r="BK4" s="12">
        <f t="shared" si="5"/>
        <v>64751</v>
      </c>
      <c r="BL4" s="12">
        <f t="shared" si="5"/>
        <v>65108</v>
      </c>
      <c r="BM4" s="12">
        <f t="shared" si="5"/>
        <v>65493</v>
      </c>
      <c r="BN4" s="12">
        <f t="shared" si="5"/>
        <v>65843</v>
      </c>
      <c r="BO4" s="12">
        <f t="shared" si="5"/>
        <v>66200</v>
      </c>
      <c r="BP4" s="12">
        <f t="shared" si="5"/>
        <v>66585</v>
      </c>
      <c r="BQ4" s="12">
        <f t="shared" si="5"/>
        <v>66935</v>
      </c>
      <c r="BR4" s="12">
        <f t="shared" ref="BR4:CH4" si="6">ROUND(DATE(BR1,4,MOD(234-11*MOD(BR1,19),30))/7,0)*7-6</f>
        <v>67292</v>
      </c>
      <c r="BS4" s="12">
        <f t="shared" si="6"/>
        <v>67677</v>
      </c>
      <c r="BT4" s="12">
        <f t="shared" si="6"/>
        <v>68027</v>
      </c>
      <c r="BU4" s="12">
        <f t="shared" si="6"/>
        <v>68412</v>
      </c>
      <c r="BV4" s="12">
        <f t="shared" si="6"/>
        <v>68769</v>
      </c>
      <c r="BW4" s="12">
        <f t="shared" si="6"/>
        <v>69126</v>
      </c>
      <c r="BX4" s="12">
        <f t="shared" si="6"/>
        <v>69504</v>
      </c>
      <c r="BY4" s="12">
        <f t="shared" si="6"/>
        <v>69861</v>
      </c>
      <c r="BZ4" s="12">
        <f t="shared" si="6"/>
        <v>70218</v>
      </c>
      <c r="CA4" s="12">
        <f t="shared" si="6"/>
        <v>70596</v>
      </c>
      <c r="CB4" s="12">
        <f t="shared" si="6"/>
        <v>70953</v>
      </c>
      <c r="CC4" s="12">
        <f t="shared" si="6"/>
        <v>71338</v>
      </c>
      <c r="CD4" s="12">
        <f t="shared" si="6"/>
        <v>71695</v>
      </c>
      <c r="CE4" s="12">
        <f t="shared" si="6"/>
        <v>72045</v>
      </c>
      <c r="CF4" s="12">
        <f t="shared" si="6"/>
        <v>72430</v>
      </c>
      <c r="CG4" s="12">
        <f t="shared" si="6"/>
        <v>72787</v>
      </c>
      <c r="CH4" s="12">
        <f t="shared" si="6"/>
        <v>73137</v>
      </c>
    </row>
    <row r="5" spans="1:86" x14ac:dyDescent="0.25">
      <c r="A5" t="s">
        <v>32</v>
      </c>
      <c r="B5" s="11">
        <f>B4+1</f>
        <v>42457</v>
      </c>
      <c r="C5" s="11">
        <f>C4+1</f>
        <v>42842</v>
      </c>
      <c r="D5" s="11">
        <f>D4+1</f>
        <v>43192</v>
      </c>
      <c r="E5" s="11">
        <f>E4+1</f>
        <v>43577</v>
      </c>
      <c r="F5" s="11">
        <f t="shared" ref="F5:BQ5" si="7">F4+1</f>
        <v>43934</v>
      </c>
      <c r="G5" s="11">
        <f t="shared" si="7"/>
        <v>44291</v>
      </c>
      <c r="H5" s="11">
        <f t="shared" si="7"/>
        <v>44669</v>
      </c>
      <c r="I5" s="11">
        <f t="shared" si="7"/>
        <v>45026</v>
      </c>
      <c r="J5" s="11">
        <f t="shared" si="7"/>
        <v>45383</v>
      </c>
      <c r="K5" s="11">
        <f t="shared" si="7"/>
        <v>45768</v>
      </c>
      <c r="L5" s="11">
        <f t="shared" si="7"/>
        <v>46118</v>
      </c>
      <c r="M5" s="11">
        <f t="shared" si="7"/>
        <v>46475</v>
      </c>
      <c r="N5" s="11">
        <f t="shared" si="7"/>
        <v>46860</v>
      </c>
      <c r="O5" s="11">
        <f t="shared" si="7"/>
        <v>47210</v>
      </c>
      <c r="P5" s="11">
        <f t="shared" si="7"/>
        <v>47595</v>
      </c>
      <c r="Q5" s="11">
        <f t="shared" si="7"/>
        <v>47952</v>
      </c>
      <c r="R5" s="11">
        <f t="shared" si="7"/>
        <v>48302</v>
      </c>
      <c r="S5" s="11">
        <f t="shared" si="7"/>
        <v>48687</v>
      </c>
      <c r="T5" s="11">
        <f t="shared" si="7"/>
        <v>49044</v>
      </c>
      <c r="U5" s="11">
        <f t="shared" si="7"/>
        <v>49394</v>
      </c>
      <c r="V5" s="11">
        <f t="shared" si="7"/>
        <v>49779</v>
      </c>
      <c r="W5" s="11">
        <f t="shared" si="7"/>
        <v>50136</v>
      </c>
      <c r="X5" s="11">
        <f t="shared" si="7"/>
        <v>50521</v>
      </c>
      <c r="Y5" s="11">
        <f t="shared" si="7"/>
        <v>50871</v>
      </c>
      <c r="Z5" s="11">
        <f t="shared" si="7"/>
        <v>51228</v>
      </c>
      <c r="AA5" s="11">
        <f t="shared" si="7"/>
        <v>51613</v>
      </c>
      <c r="AB5" s="11">
        <f t="shared" si="7"/>
        <v>51963</v>
      </c>
      <c r="AC5" s="11">
        <f t="shared" si="7"/>
        <v>52320</v>
      </c>
      <c r="AD5" s="11">
        <f t="shared" si="7"/>
        <v>52705</v>
      </c>
      <c r="AE5" s="11">
        <f t="shared" si="7"/>
        <v>53062</v>
      </c>
      <c r="AF5" s="11">
        <f t="shared" si="7"/>
        <v>53412</v>
      </c>
      <c r="AG5" s="11">
        <f t="shared" si="7"/>
        <v>53797</v>
      </c>
      <c r="AH5" s="11">
        <f t="shared" si="7"/>
        <v>54154</v>
      </c>
      <c r="AI5" s="11">
        <f t="shared" si="7"/>
        <v>54539</v>
      </c>
      <c r="AJ5" s="11">
        <f t="shared" si="7"/>
        <v>54889</v>
      </c>
      <c r="AK5" s="11">
        <f t="shared" si="7"/>
        <v>55246</v>
      </c>
      <c r="AL5" s="11">
        <f t="shared" si="7"/>
        <v>55631</v>
      </c>
      <c r="AM5" s="11">
        <f t="shared" si="7"/>
        <v>55981</v>
      </c>
      <c r="AN5" s="11">
        <f t="shared" si="7"/>
        <v>56338</v>
      </c>
      <c r="AO5" s="11">
        <f t="shared" si="7"/>
        <v>56723</v>
      </c>
      <c r="AP5" s="11">
        <f t="shared" si="7"/>
        <v>57073</v>
      </c>
      <c r="AQ5" s="11">
        <f t="shared" si="7"/>
        <v>57458</v>
      </c>
      <c r="AR5" s="11">
        <f t="shared" si="7"/>
        <v>57815</v>
      </c>
      <c r="AS5" s="11">
        <f t="shared" si="7"/>
        <v>58165</v>
      </c>
      <c r="AT5" s="11">
        <f t="shared" si="7"/>
        <v>58550</v>
      </c>
      <c r="AU5" s="11">
        <f t="shared" si="7"/>
        <v>58907</v>
      </c>
      <c r="AV5" s="11">
        <f t="shared" si="7"/>
        <v>59257</v>
      </c>
      <c r="AW5" s="11">
        <f t="shared" si="7"/>
        <v>59642</v>
      </c>
      <c r="AX5" s="11">
        <f t="shared" si="7"/>
        <v>59999</v>
      </c>
      <c r="AY5" s="11">
        <f t="shared" si="7"/>
        <v>60356</v>
      </c>
      <c r="AZ5" s="11">
        <f t="shared" si="7"/>
        <v>60734</v>
      </c>
      <c r="BA5" s="11">
        <f t="shared" si="7"/>
        <v>61091</v>
      </c>
      <c r="BB5" s="11">
        <f t="shared" si="7"/>
        <v>61476</v>
      </c>
      <c r="BC5" s="11">
        <f t="shared" si="7"/>
        <v>61833</v>
      </c>
      <c r="BD5" s="11">
        <f t="shared" si="7"/>
        <v>62183</v>
      </c>
      <c r="BE5" s="11">
        <f t="shared" si="7"/>
        <v>62568</v>
      </c>
      <c r="BF5" s="11">
        <f t="shared" si="7"/>
        <v>62925</v>
      </c>
      <c r="BG5" s="11">
        <f t="shared" si="7"/>
        <v>63275</v>
      </c>
      <c r="BH5" s="11">
        <f t="shared" si="7"/>
        <v>63660</v>
      </c>
      <c r="BI5" s="11">
        <f t="shared" si="7"/>
        <v>64017</v>
      </c>
      <c r="BJ5" s="11">
        <f t="shared" si="7"/>
        <v>64402</v>
      </c>
      <c r="BK5" s="11">
        <f t="shared" si="7"/>
        <v>64752</v>
      </c>
      <c r="BL5" s="11">
        <f t="shared" si="7"/>
        <v>65109</v>
      </c>
      <c r="BM5" s="11">
        <f t="shared" si="7"/>
        <v>65494</v>
      </c>
      <c r="BN5" s="11">
        <f t="shared" si="7"/>
        <v>65844</v>
      </c>
      <c r="BO5" s="11">
        <f t="shared" si="7"/>
        <v>66201</v>
      </c>
      <c r="BP5" s="11">
        <f t="shared" si="7"/>
        <v>66586</v>
      </c>
      <c r="BQ5" s="11">
        <f t="shared" si="7"/>
        <v>66936</v>
      </c>
      <c r="BR5" s="11">
        <f t="shared" ref="BR5:CH5" si="8">BR4+1</f>
        <v>67293</v>
      </c>
      <c r="BS5" s="11">
        <f t="shared" si="8"/>
        <v>67678</v>
      </c>
      <c r="BT5" s="11">
        <f t="shared" si="8"/>
        <v>68028</v>
      </c>
      <c r="BU5" s="11">
        <f t="shared" si="8"/>
        <v>68413</v>
      </c>
      <c r="BV5" s="11">
        <f t="shared" si="8"/>
        <v>68770</v>
      </c>
      <c r="BW5" s="11">
        <f t="shared" si="8"/>
        <v>69127</v>
      </c>
      <c r="BX5" s="11">
        <f t="shared" si="8"/>
        <v>69505</v>
      </c>
      <c r="BY5" s="11">
        <f t="shared" si="8"/>
        <v>69862</v>
      </c>
      <c r="BZ5" s="11">
        <f t="shared" si="8"/>
        <v>70219</v>
      </c>
      <c r="CA5" s="11">
        <f t="shared" si="8"/>
        <v>70597</v>
      </c>
      <c r="CB5" s="11">
        <f t="shared" si="8"/>
        <v>70954</v>
      </c>
      <c r="CC5" s="11">
        <f t="shared" si="8"/>
        <v>71339</v>
      </c>
      <c r="CD5" s="11">
        <f t="shared" si="8"/>
        <v>71696</v>
      </c>
      <c r="CE5" s="11">
        <f t="shared" si="8"/>
        <v>72046</v>
      </c>
      <c r="CF5" s="11">
        <f t="shared" si="8"/>
        <v>72431</v>
      </c>
      <c r="CG5" s="11">
        <f t="shared" si="8"/>
        <v>72788</v>
      </c>
      <c r="CH5" s="11">
        <f t="shared" si="8"/>
        <v>73138</v>
      </c>
    </row>
    <row r="6" spans="1:86" x14ac:dyDescent="0.25">
      <c r="A6" t="s">
        <v>33</v>
      </c>
      <c r="B6" s="11">
        <f>DATE(B1,5,1)</f>
        <v>42491</v>
      </c>
      <c r="C6" s="11">
        <f>DATE(C1,5,1)</f>
        <v>42856</v>
      </c>
      <c r="D6" s="11">
        <f>DATE(D1,5,1)</f>
        <v>43221</v>
      </c>
      <c r="E6" s="11">
        <f>DATE(E1,5,1)</f>
        <v>43586</v>
      </c>
      <c r="F6" s="11">
        <f t="shared" ref="F6:BQ6" si="9">DATE(F1,5,1)</f>
        <v>43952</v>
      </c>
      <c r="G6" s="11">
        <f t="shared" si="9"/>
        <v>44317</v>
      </c>
      <c r="H6" s="11">
        <f t="shared" si="9"/>
        <v>44682</v>
      </c>
      <c r="I6" s="11">
        <f t="shared" si="9"/>
        <v>45047</v>
      </c>
      <c r="J6" s="11">
        <f t="shared" si="9"/>
        <v>45413</v>
      </c>
      <c r="K6" s="11">
        <f t="shared" si="9"/>
        <v>45778</v>
      </c>
      <c r="L6" s="11">
        <f t="shared" si="9"/>
        <v>46143</v>
      </c>
      <c r="M6" s="11">
        <f t="shared" si="9"/>
        <v>46508</v>
      </c>
      <c r="N6" s="11">
        <f t="shared" si="9"/>
        <v>46874</v>
      </c>
      <c r="O6" s="11">
        <f t="shared" si="9"/>
        <v>47239</v>
      </c>
      <c r="P6" s="11">
        <f t="shared" si="9"/>
        <v>47604</v>
      </c>
      <c r="Q6" s="11">
        <f t="shared" si="9"/>
        <v>47969</v>
      </c>
      <c r="R6" s="11">
        <f t="shared" si="9"/>
        <v>48335</v>
      </c>
      <c r="S6" s="11">
        <f t="shared" si="9"/>
        <v>48700</v>
      </c>
      <c r="T6" s="11">
        <f t="shared" si="9"/>
        <v>49065</v>
      </c>
      <c r="U6" s="11">
        <f t="shared" si="9"/>
        <v>49430</v>
      </c>
      <c r="V6" s="11">
        <f t="shared" si="9"/>
        <v>49796</v>
      </c>
      <c r="W6" s="11">
        <f t="shared" si="9"/>
        <v>50161</v>
      </c>
      <c r="X6" s="11">
        <f t="shared" si="9"/>
        <v>50526</v>
      </c>
      <c r="Y6" s="11">
        <f t="shared" si="9"/>
        <v>50891</v>
      </c>
      <c r="Z6" s="11">
        <f t="shared" si="9"/>
        <v>51257</v>
      </c>
      <c r="AA6" s="11">
        <f t="shared" si="9"/>
        <v>51622</v>
      </c>
      <c r="AB6" s="11">
        <f t="shared" si="9"/>
        <v>51987</v>
      </c>
      <c r="AC6" s="11">
        <f t="shared" si="9"/>
        <v>52352</v>
      </c>
      <c r="AD6" s="11">
        <f t="shared" si="9"/>
        <v>52718</v>
      </c>
      <c r="AE6" s="11">
        <f t="shared" si="9"/>
        <v>53083</v>
      </c>
      <c r="AF6" s="11">
        <f t="shared" si="9"/>
        <v>53448</v>
      </c>
      <c r="AG6" s="11">
        <f t="shared" si="9"/>
        <v>53813</v>
      </c>
      <c r="AH6" s="11">
        <f t="shared" si="9"/>
        <v>54179</v>
      </c>
      <c r="AI6" s="11">
        <f t="shared" si="9"/>
        <v>54544</v>
      </c>
      <c r="AJ6" s="11">
        <f t="shared" si="9"/>
        <v>54909</v>
      </c>
      <c r="AK6" s="11">
        <f t="shared" si="9"/>
        <v>55274</v>
      </c>
      <c r="AL6" s="11">
        <f t="shared" si="9"/>
        <v>55640</v>
      </c>
      <c r="AM6" s="11">
        <f t="shared" si="9"/>
        <v>56005</v>
      </c>
      <c r="AN6" s="11">
        <f t="shared" si="9"/>
        <v>56370</v>
      </c>
      <c r="AO6" s="11">
        <f t="shared" si="9"/>
        <v>56735</v>
      </c>
      <c r="AP6" s="11">
        <f t="shared" si="9"/>
        <v>57101</v>
      </c>
      <c r="AQ6" s="11">
        <f t="shared" si="9"/>
        <v>57466</v>
      </c>
      <c r="AR6" s="11">
        <f t="shared" si="9"/>
        <v>57831</v>
      </c>
      <c r="AS6" s="11">
        <f t="shared" si="9"/>
        <v>58196</v>
      </c>
      <c r="AT6" s="11">
        <f t="shared" si="9"/>
        <v>58562</v>
      </c>
      <c r="AU6" s="11">
        <f t="shared" si="9"/>
        <v>58927</v>
      </c>
      <c r="AV6" s="11">
        <f t="shared" si="9"/>
        <v>59292</v>
      </c>
      <c r="AW6" s="11">
        <f t="shared" si="9"/>
        <v>59657</v>
      </c>
      <c r="AX6" s="11">
        <f t="shared" si="9"/>
        <v>60023</v>
      </c>
      <c r="AY6" s="11">
        <f t="shared" si="9"/>
        <v>60388</v>
      </c>
      <c r="AZ6" s="11">
        <f t="shared" si="9"/>
        <v>60753</v>
      </c>
      <c r="BA6" s="11">
        <f t="shared" si="9"/>
        <v>61118</v>
      </c>
      <c r="BB6" s="11">
        <f t="shared" si="9"/>
        <v>61484</v>
      </c>
      <c r="BC6" s="11">
        <f t="shared" si="9"/>
        <v>61849</v>
      </c>
      <c r="BD6" s="11">
        <f t="shared" si="9"/>
        <v>62214</v>
      </c>
      <c r="BE6" s="11">
        <f t="shared" si="9"/>
        <v>62579</v>
      </c>
      <c r="BF6" s="11">
        <f t="shared" si="9"/>
        <v>62945</v>
      </c>
      <c r="BG6" s="11">
        <f t="shared" si="9"/>
        <v>63310</v>
      </c>
      <c r="BH6" s="11">
        <f t="shared" si="9"/>
        <v>63675</v>
      </c>
      <c r="BI6" s="11">
        <f t="shared" si="9"/>
        <v>64040</v>
      </c>
      <c r="BJ6" s="11">
        <f t="shared" si="9"/>
        <v>64406</v>
      </c>
      <c r="BK6" s="11">
        <f t="shared" si="9"/>
        <v>64771</v>
      </c>
      <c r="BL6" s="11">
        <f t="shared" si="9"/>
        <v>65136</v>
      </c>
      <c r="BM6" s="11">
        <f t="shared" si="9"/>
        <v>65501</v>
      </c>
      <c r="BN6" s="11">
        <f t="shared" si="9"/>
        <v>65867</v>
      </c>
      <c r="BO6" s="11">
        <f t="shared" si="9"/>
        <v>66232</v>
      </c>
      <c r="BP6" s="11">
        <f t="shared" si="9"/>
        <v>66597</v>
      </c>
      <c r="BQ6" s="11">
        <f t="shared" si="9"/>
        <v>66962</v>
      </c>
      <c r="BR6" s="11">
        <f t="shared" ref="BR6:CH6" si="10">DATE(BR1,5,1)</f>
        <v>67328</v>
      </c>
      <c r="BS6" s="11">
        <f t="shared" si="10"/>
        <v>67693</v>
      </c>
      <c r="BT6" s="11">
        <f t="shared" si="10"/>
        <v>68058</v>
      </c>
      <c r="BU6" s="11">
        <f t="shared" si="10"/>
        <v>68423</v>
      </c>
      <c r="BV6" s="11">
        <f t="shared" si="10"/>
        <v>68789</v>
      </c>
      <c r="BW6" s="11">
        <f t="shared" si="10"/>
        <v>69154</v>
      </c>
      <c r="BX6" s="11">
        <f t="shared" si="10"/>
        <v>69519</v>
      </c>
      <c r="BY6" s="11">
        <f t="shared" si="10"/>
        <v>69884</v>
      </c>
      <c r="BZ6" s="11">
        <f t="shared" si="10"/>
        <v>70250</v>
      </c>
      <c r="CA6" s="11">
        <f t="shared" si="10"/>
        <v>70615</v>
      </c>
      <c r="CB6" s="11">
        <f t="shared" si="10"/>
        <v>70980</v>
      </c>
      <c r="CC6" s="11">
        <f t="shared" si="10"/>
        <v>71345</v>
      </c>
      <c r="CD6" s="11">
        <f t="shared" si="10"/>
        <v>71711</v>
      </c>
      <c r="CE6" s="11">
        <f t="shared" si="10"/>
        <v>72076</v>
      </c>
      <c r="CF6" s="11">
        <f t="shared" si="10"/>
        <v>72441</v>
      </c>
      <c r="CG6" s="11">
        <f t="shared" si="10"/>
        <v>72806</v>
      </c>
      <c r="CH6" s="11">
        <f t="shared" si="10"/>
        <v>73171</v>
      </c>
    </row>
    <row r="7" spans="1:86" x14ac:dyDescent="0.25">
      <c r="A7" t="s">
        <v>34</v>
      </c>
      <c r="B7" s="11">
        <f>DATE(B1,5,8)</f>
        <v>42498</v>
      </c>
      <c r="C7" s="11">
        <f>DATE(C1,5,8)</f>
        <v>42863</v>
      </c>
      <c r="D7" s="11">
        <f>DATE(D1,5,8)</f>
        <v>43228</v>
      </c>
      <c r="E7" s="11">
        <f>DATE(E1,5,8)</f>
        <v>43593</v>
      </c>
      <c r="F7" s="11">
        <f t="shared" ref="F7:BQ7" si="11">DATE(F1,5,8)</f>
        <v>43959</v>
      </c>
      <c r="G7" s="11">
        <f t="shared" si="11"/>
        <v>44324</v>
      </c>
      <c r="H7" s="11">
        <f t="shared" si="11"/>
        <v>44689</v>
      </c>
      <c r="I7" s="11">
        <f t="shared" si="11"/>
        <v>45054</v>
      </c>
      <c r="J7" s="11">
        <f t="shared" si="11"/>
        <v>45420</v>
      </c>
      <c r="K7" s="11">
        <f t="shared" si="11"/>
        <v>45785</v>
      </c>
      <c r="L7" s="11">
        <f t="shared" si="11"/>
        <v>46150</v>
      </c>
      <c r="M7" s="11">
        <f t="shared" si="11"/>
        <v>46515</v>
      </c>
      <c r="N7" s="11">
        <f t="shared" si="11"/>
        <v>46881</v>
      </c>
      <c r="O7" s="11">
        <f t="shared" si="11"/>
        <v>47246</v>
      </c>
      <c r="P7" s="11">
        <f t="shared" si="11"/>
        <v>47611</v>
      </c>
      <c r="Q7" s="11">
        <f t="shared" si="11"/>
        <v>47976</v>
      </c>
      <c r="R7" s="11">
        <f t="shared" si="11"/>
        <v>48342</v>
      </c>
      <c r="S7" s="11">
        <f t="shared" si="11"/>
        <v>48707</v>
      </c>
      <c r="T7" s="11">
        <f t="shared" si="11"/>
        <v>49072</v>
      </c>
      <c r="U7" s="11">
        <f t="shared" si="11"/>
        <v>49437</v>
      </c>
      <c r="V7" s="11">
        <f t="shared" si="11"/>
        <v>49803</v>
      </c>
      <c r="W7" s="11">
        <f t="shared" si="11"/>
        <v>50168</v>
      </c>
      <c r="X7" s="11">
        <f t="shared" si="11"/>
        <v>50533</v>
      </c>
      <c r="Y7" s="11">
        <f t="shared" si="11"/>
        <v>50898</v>
      </c>
      <c r="Z7" s="11">
        <f t="shared" si="11"/>
        <v>51264</v>
      </c>
      <c r="AA7" s="11">
        <f t="shared" si="11"/>
        <v>51629</v>
      </c>
      <c r="AB7" s="11">
        <f t="shared" si="11"/>
        <v>51994</v>
      </c>
      <c r="AC7" s="11">
        <f t="shared" si="11"/>
        <v>52359</v>
      </c>
      <c r="AD7" s="11">
        <f t="shared" si="11"/>
        <v>52725</v>
      </c>
      <c r="AE7" s="11">
        <f t="shared" si="11"/>
        <v>53090</v>
      </c>
      <c r="AF7" s="11">
        <f t="shared" si="11"/>
        <v>53455</v>
      </c>
      <c r="AG7" s="11">
        <f t="shared" si="11"/>
        <v>53820</v>
      </c>
      <c r="AH7" s="11">
        <f t="shared" si="11"/>
        <v>54186</v>
      </c>
      <c r="AI7" s="11">
        <f t="shared" si="11"/>
        <v>54551</v>
      </c>
      <c r="AJ7" s="11">
        <f t="shared" si="11"/>
        <v>54916</v>
      </c>
      <c r="AK7" s="11">
        <f t="shared" si="11"/>
        <v>55281</v>
      </c>
      <c r="AL7" s="11">
        <f t="shared" si="11"/>
        <v>55647</v>
      </c>
      <c r="AM7" s="11">
        <f t="shared" si="11"/>
        <v>56012</v>
      </c>
      <c r="AN7" s="11">
        <f t="shared" si="11"/>
        <v>56377</v>
      </c>
      <c r="AO7" s="11">
        <f t="shared" si="11"/>
        <v>56742</v>
      </c>
      <c r="AP7" s="11">
        <f t="shared" si="11"/>
        <v>57108</v>
      </c>
      <c r="AQ7" s="11">
        <f t="shared" si="11"/>
        <v>57473</v>
      </c>
      <c r="AR7" s="11">
        <f t="shared" si="11"/>
        <v>57838</v>
      </c>
      <c r="AS7" s="11">
        <f t="shared" si="11"/>
        <v>58203</v>
      </c>
      <c r="AT7" s="11">
        <f t="shared" si="11"/>
        <v>58569</v>
      </c>
      <c r="AU7" s="11">
        <f t="shared" si="11"/>
        <v>58934</v>
      </c>
      <c r="AV7" s="11">
        <f t="shared" si="11"/>
        <v>59299</v>
      </c>
      <c r="AW7" s="11">
        <f t="shared" si="11"/>
        <v>59664</v>
      </c>
      <c r="AX7" s="11">
        <f t="shared" si="11"/>
        <v>60030</v>
      </c>
      <c r="AY7" s="11">
        <f t="shared" si="11"/>
        <v>60395</v>
      </c>
      <c r="AZ7" s="11">
        <f t="shared" si="11"/>
        <v>60760</v>
      </c>
      <c r="BA7" s="11">
        <f t="shared" si="11"/>
        <v>61125</v>
      </c>
      <c r="BB7" s="11">
        <f t="shared" si="11"/>
        <v>61491</v>
      </c>
      <c r="BC7" s="11">
        <f t="shared" si="11"/>
        <v>61856</v>
      </c>
      <c r="BD7" s="11">
        <f t="shared" si="11"/>
        <v>62221</v>
      </c>
      <c r="BE7" s="11">
        <f t="shared" si="11"/>
        <v>62586</v>
      </c>
      <c r="BF7" s="11">
        <f t="shared" si="11"/>
        <v>62952</v>
      </c>
      <c r="BG7" s="11">
        <f t="shared" si="11"/>
        <v>63317</v>
      </c>
      <c r="BH7" s="11">
        <f t="shared" si="11"/>
        <v>63682</v>
      </c>
      <c r="BI7" s="11">
        <f t="shared" si="11"/>
        <v>64047</v>
      </c>
      <c r="BJ7" s="11">
        <f t="shared" si="11"/>
        <v>64413</v>
      </c>
      <c r="BK7" s="11">
        <f t="shared" si="11"/>
        <v>64778</v>
      </c>
      <c r="BL7" s="11">
        <f t="shared" si="11"/>
        <v>65143</v>
      </c>
      <c r="BM7" s="11">
        <f t="shared" si="11"/>
        <v>65508</v>
      </c>
      <c r="BN7" s="11">
        <f t="shared" si="11"/>
        <v>65874</v>
      </c>
      <c r="BO7" s="11">
        <f t="shared" si="11"/>
        <v>66239</v>
      </c>
      <c r="BP7" s="11">
        <f t="shared" si="11"/>
        <v>66604</v>
      </c>
      <c r="BQ7" s="11">
        <f t="shared" si="11"/>
        <v>66969</v>
      </c>
      <c r="BR7" s="11">
        <f t="shared" ref="BR7:CH7" si="12">DATE(BR1,5,8)</f>
        <v>67335</v>
      </c>
      <c r="BS7" s="11">
        <f t="shared" si="12"/>
        <v>67700</v>
      </c>
      <c r="BT7" s="11">
        <f t="shared" si="12"/>
        <v>68065</v>
      </c>
      <c r="BU7" s="11">
        <f t="shared" si="12"/>
        <v>68430</v>
      </c>
      <c r="BV7" s="11">
        <f t="shared" si="12"/>
        <v>68796</v>
      </c>
      <c r="BW7" s="11">
        <f t="shared" si="12"/>
        <v>69161</v>
      </c>
      <c r="BX7" s="11">
        <f t="shared" si="12"/>
        <v>69526</v>
      </c>
      <c r="BY7" s="11">
        <f t="shared" si="12"/>
        <v>69891</v>
      </c>
      <c r="BZ7" s="11">
        <f t="shared" si="12"/>
        <v>70257</v>
      </c>
      <c r="CA7" s="11">
        <f t="shared" si="12"/>
        <v>70622</v>
      </c>
      <c r="CB7" s="11">
        <f t="shared" si="12"/>
        <v>70987</v>
      </c>
      <c r="CC7" s="11">
        <f t="shared" si="12"/>
        <v>71352</v>
      </c>
      <c r="CD7" s="11">
        <f t="shared" si="12"/>
        <v>71718</v>
      </c>
      <c r="CE7" s="11">
        <f t="shared" si="12"/>
        <v>72083</v>
      </c>
      <c r="CF7" s="11">
        <f t="shared" si="12"/>
        <v>72448</v>
      </c>
      <c r="CG7" s="11">
        <f t="shared" si="12"/>
        <v>72813</v>
      </c>
      <c r="CH7" s="11">
        <f t="shared" si="12"/>
        <v>73178</v>
      </c>
    </row>
    <row r="8" spans="1:86" x14ac:dyDescent="0.25">
      <c r="A8" t="s">
        <v>35</v>
      </c>
      <c r="B8" s="11">
        <f>B4+39</f>
        <v>42495</v>
      </c>
      <c r="C8" s="11">
        <f>C4+39</f>
        <v>42880</v>
      </c>
      <c r="D8" s="11">
        <f>D4+39</f>
        <v>43230</v>
      </c>
      <c r="E8" s="11">
        <f>E4+39</f>
        <v>43615</v>
      </c>
      <c r="F8" s="11">
        <f t="shared" ref="F8:BQ8" si="13">F4+39</f>
        <v>43972</v>
      </c>
      <c r="G8" s="11">
        <f t="shared" si="13"/>
        <v>44329</v>
      </c>
      <c r="H8" s="11">
        <f t="shared" si="13"/>
        <v>44707</v>
      </c>
      <c r="I8" s="11">
        <f t="shared" si="13"/>
        <v>45064</v>
      </c>
      <c r="J8" s="11">
        <f t="shared" si="13"/>
        <v>45421</v>
      </c>
      <c r="K8" s="11">
        <f t="shared" si="13"/>
        <v>45806</v>
      </c>
      <c r="L8" s="11">
        <f t="shared" si="13"/>
        <v>46156</v>
      </c>
      <c r="M8" s="11">
        <f t="shared" si="13"/>
        <v>46513</v>
      </c>
      <c r="N8" s="11">
        <f t="shared" si="13"/>
        <v>46898</v>
      </c>
      <c r="O8" s="11">
        <f t="shared" si="13"/>
        <v>47248</v>
      </c>
      <c r="P8" s="11">
        <f t="shared" si="13"/>
        <v>47633</v>
      </c>
      <c r="Q8" s="11">
        <f t="shared" si="13"/>
        <v>47990</v>
      </c>
      <c r="R8" s="11">
        <f t="shared" si="13"/>
        <v>48340</v>
      </c>
      <c r="S8" s="11">
        <f t="shared" si="13"/>
        <v>48725</v>
      </c>
      <c r="T8" s="11">
        <f t="shared" si="13"/>
        <v>49082</v>
      </c>
      <c r="U8" s="11">
        <f t="shared" si="13"/>
        <v>49432</v>
      </c>
      <c r="V8" s="11">
        <f t="shared" si="13"/>
        <v>49817</v>
      </c>
      <c r="W8" s="11">
        <f t="shared" si="13"/>
        <v>50174</v>
      </c>
      <c r="X8" s="11">
        <f t="shared" si="13"/>
        <v>50559</v>
      </c>
      <c r="Y8" s="11">
        <f t="shared" si="13"/>
        <v>50909</v>
      </c>
      <c r="Z8" s="11">
        <f t="shared" si="13"/>
        <v>51266</v>
      </c>
      <c r="AA8" s="11">
        <f t="shared" si="13"/>
        <v>51651</v>
      </c>
      <c r="AB8" s="11">
        <f t="shared" si="13"/>
        <v>52001</v>
      </c>
      <c r="AC8" s="11">
        <f t="shared" si="13"/>
        <v>52358</v>
      </c>
      <c r="AD8" s="11">
        <f t="shared" si="13"/>
        <v>52743</v>
      </c>
      <c r="AE8" s="11">
        <f t="shared" si="13"/>
        <v>53100</v>
      </c>
      <c r="AF8" s="11">
        <f t="shared" si="13"/>
        <v>53450</v>
      </c>
      <c r="AG8" s="11">
        <f t="shared" si="13"/>
        <v>53835</v>
      </c>
      <c r="AH8" s="11">
        <f t="shared" si="13"/>
        <v>54192</v>
      </c>
      <c r="AI8" s="11">
        <f t="shared" si="13"/>
        <v>54577</v>
      </c>
      <c r="AJ8" s="11">
        <f t="shared" si="13"/>
        <v>54927</v>
      </c>
      <c r="AK8" s="11">
        <f t="shared" si="13"/>
        <v>55284</v>
      </c>
      <c r="AL8" s="11">
        <f t="shared" si="13"/>
        <v>55669</v>
      </c>
      <c r="AM8" s="11">
        <f t="shared" si="13"/>
        <v>56019</v>
      </c>
      <c r="AN8" s="11">
        <f t="shared" si="13"/>
        <v>56376</v>
      </c>
      <c r="AO8" s="11">
        <f t="shared" si="13"/>
        <v>56761</v>
      </c>
      <c r="AP8" s="11">
        <f t="shared" si="13"/>
        <v>57111</v>
      </c>
      <c r="AQ8" s="11">
        <f t="shared" si="13"/>
        <v>57496</v>
      </c>
      <c r="AR8" s="11">
        <f t="shared" si="13"/>
        <v>57853</v>
      </c>
      <c r="AS8" s="11">
        <f t="shared" si="13"/>
        <v>58203</v>
      </c>
      <c r="AT8" s="11">
        <f t="shared" si="13"/>
        <v>58588</v>
      </c>
      <c r="AU8" s="11">
        <f t="shared" si="13"/>
        <v>58945</v>
      </c>
      <c r="AV8" s="11">
        <f t="shared" si="13"/>
        <v>59295</v>
      </c>
      <c r="AW8" s="11">
        <f t="shared" si="13"/>
        <v>59680</v>
      </c>
      <c r="AX8" s="11">
        <f t="shared" si="13"/>
        <v>60037</v>
      </c>
      <c r="AY8" s="11">
        <f t="shared" si="13"/>
        <v>60394</v>
      </c>
      <c r="AZ8" s="11">
        <f t="shared" si="13"/>
        <v>60772</v>
      </c>
      <c r="BA8" s="11">
        <f t="shared" si="13"/>
        <v>61129</v>
      </c>
      <c r="BB8" s="11">
        <f t="shared" si="13"/>
        <v>61514</v>
      </c>
      <c r="BC8" s="11">
        <f t="shared" si="13"/>
        <v>61871</v>
      </c>
      <c r="BD8" s="11">
        <f t="shared" si="13"/>
        <v>62221</v>
      </c>
      <c r="BE8" s="11">
        <f t="shared" si="13"/>
        <v>62606</v>
      </c>
      <c r="BF8" s="11">
        <f t="shared" si="13"/>
        <v>62963</v>
      </c>
      <c r="BG8" s="11">
        <f t="shared" si="13"/>
        <v>63313</v>
      </c>
      <c r="BH8" s="11">
        <f t="shared" si="13"/>
        <v>63698</v>
      </c>
      <c r="BI8" s="11">
        <f t="shared" si="13"/>
        <v>64055</v>
      </c>
      <c r="BJ8" s="11">
        <f t="shared" si="13"/>
        <v>64440</v>
      </c>
      <c r="BK8" s="11">
        <f t="shared" si="13"/>
        <v>64790</v>
      </c>
      <c r="BL8" s="11">
        <f t="shared" si="13"/>
        <v>65147</v>
      </c>
      <c r="BM8" s="11">
        <f t="shared" si="13"/>
        <v>65532</v>
      </c>
      <c r="BN8" s="11">
        <f t="shared" si="13"/>
        <v>65882</v>
      </c>
      <c r="BO8" s="11">
        <f t="shared" si="13"/>
        <v>66239</v>
      </c>
      <c r="BP8" s="11">
        <f t="shared" si="13"/>
        <v>66624</v>
      </c>
      <c r="BQ8" s="11">
        <f t="shared" si="13"/>
        <v>66974</v>
      </c>
      <c r="BR8" s="11">
        <f t="shared" ref="BR8:CH8" si="14">BR4+39</f>
        <v>67331</v>
      </c>
      <c r="BS8" s="11">
        <f t="shared" si="14"/>
        <v>67716</v>
      </c>
      <c r="BT8" s="11">
        <f t="shared" si="14"/>
        <v>68066</v>
      </c>
      <c r="BU8" s="11">
        <f t="shared" si="14"/>
        <v>68451</v>
      </c>
      <c r="BV8" s="11">
        <f t="shared" si="14"/>
        <v>68808</v>
      </c>
      <c r="BW8" s="11">
        <f t="shared" si="14"/>
        <v>69165</v>
      </c>
      <c r="BX8" s="11">
        <f t="shared" si="14"/>
        <v>69543</v>
      </c>
      <c r="BY8" s="11">
        <f t="shared" si="14"/>
        <v>69900</v>
      </c>
      <c r="BZ8" s="11">
        <f t="shared" si="14"/>
        <v>70257</v>
      </c>
      <c r="CA8" s="11">
        <f t="shared" si="14"/>
        <v>70635</v>
      </c>
      <c r="CB8" s="11">
        <f t="shared" si="14"/>
        <v>70992</v>
      </c>
      <c r="CC8" s="11">
        <f t="shared" si="14"/>
        <v>71377</v>
      </c>
      <c r="CD8" s="11">
        <f t="shared" si="14"/>
        <v>71734</v>
      </c>
      <c r="CE8" s="11">
        <f t="shared" si="14"/>
        <v>72084</v>
      </c>
      <c r="CF8" s="11">
        <f t="shared" si="14"/>
        <v>72469</v>
      </c>
      <c r="CG8" s="11">
        <f t="shared" si="14"/>
        <v>72826</v>
      </c>
      <c r="CH8" s="11">
        <f t="shared" si="14"/>
        <v>73176</v>
      </c>
    </row>
    <row r="9" spans="1:86" x14ac:dyDescent="0.25">
      <c r="A9" t="s">
        <v>36</v>
      </c>
      <c r="B9" s="11">
        <f>B4+49</f>
        <v>42505</v>
      </c>
      <c r="C9" s="11">
        <f>C4+49</f>
        <v>42890</v>
      </c>
      <c r="D9" s="11">
        <f>D4+49</f>
        <v>43240</v>
      </c>
      <c r="E9" s="11">
        <f>E4+49</f>
        <v>43625</v>
      </c>
      <c r="F9" s="11">
        <f t="shared" ref="F9:BQ9" si="15">F4+49</f>
        <v>43982</v>
      </c>
      <c r="G9" s="11">
        <f t="shared" si="15"/>
        <v>44339</v>
      </c>
      <c r="H9" s="11">
        <f t="shared" si="15"/>
        <v>44717</v>
      </c>
      <c r="I9" s="11">
        <f t="shared" si="15"/>
        <v>45074</v>
      </c>
      <c r="J9" s="11">
        <f t="shared" si="15"/>
        <v>45431</v>
      </c>
      <c r="K9" s="11">
        <f t="shared" si="15"/>
        <v>45816</v>
      </c>
      <c r="L9" s="11">
        <f t="shared" si="15"/>
        <v>46166</v>
      </c>
      <c r="M9" s="11">
        <f t="shared" si="15"/>
        <v>46523</v>
      </c>
      <c r="N9" s="11">
        <f t="shared" si="15"/>
        <v>46908</v>
      </c>
      <c r="O9" s="11">
        <f t="shared" si="15"/>
        <v>47258</v>
      </c>
      <c r="P9" s="11">
        <f t="shared" si="15"/>
        <v>47643</v>
      </c>
      <c r="Q9" s="11">
        <f t="shared" si="15"/>
        <v>48000</v>
      </c>
      <c r="R9" s="11">
        <f t="shared" si="15"/>
        <v>48350</v>
      </c>
      <c r="S9" s="11">
        <f t="shared" si="15"/>
        <v>48735</v>
      </c>
      <c r="T9" s="11">
        <f t="shared" si="15"/>
        <v>49092</v>
      </c>
      <c r="U9" s="11">
        <f t="shared" si="15"/>
        <v>49442</v>
      </c>
      <c r="V9" s="11">
        <f t="shared" si="15"/>
        <v>49827</v>
      </c>
      <c r="W9" s="11">
        <f t="shared" si="15"/>
        <v>50184</v>
      </c>
      <c r="X9" s="11">
        <f t="shared" si="15"/>
        <v>50569</v>
      </c>
      <c r="Y9" s="11">
        <f t="shared" si="15"/>
        <v>50919</v>
      </c>
      <c r="Z9" s="11">
        <f t="shared" si="15"/>
        <v>51276</v>
      </c>
      <c r="AA9" s="11">
        <f t="shared" si="15"/>
        <v>51661</v>
      </c>
      <c r="AB9" s="11">
        <f t="shared" si="15"/>
        <v>52011</v>
      </c>
      <c r="AC9" s="11">
        <f t="shared" si="15"/>
        <v>52368</v>
      </c>
      <c r="AD9" s="11">
        <f t="shared" si="15"/>
        <v>52753</v>
      </c>
      <c r="AE9" s="11">
        <f t="shared" si="15"/>
        <v>53110</v>
      </c>
      <c r="AF9" s="11">
        <f t="shared" si="15"/>
        <v>53460</v>
      </c>
      <c r="AG9" s="11">
        <f t="shared" si="15"/>
        <v>53845</v>
      </c>
      <c r="AH9" s="11">
        <f t="shared" si="15"/>
        <v>54202</v>
      </c>
      <c r="AI9" s="11">
        <f t="shared" si="15"/>
        <v>54587</v>
      </c>
      <c r="AJ9" s="11">
        <f t="shared" si="15"/>
        <v>54937</v>
      </c>
      <c r="AK9" s="11">
        <f t="shared" si="15"/>
        <v>55294</v>
      </c>
      <c r="AL9" s="11">
        <f t="shared" si="15"/>
        <v>55679</v>
      </c>
      <c r="AM9" s="11">
        <f t="shared" si="15"/>
        <v>56029</v>
      </c>
      <c r="AN9" s="11">
        <f t="shared" si="15"/>
        <v>56386</v>
      </c>
      <c r="AO9" s="11">
        <f t="shared" si="15"/>
        <v>56771</v>
      </c>
      <c r="AP9" s="11">
        <f t="shared" si="15"/>
        <v>57121</v>
      </c>
      <c r="AQ9" s="11">
        <f t="shared" si="15"/>
        <v>57506</v>
      </c>
      <c r="AR9" s="11">
        <f t="shared" si="15"/>
        <v>57863</v>
      </c>
      <c r="AS9" s="11">
        <f t="shared" si="15"/>
        <v>58213</v>
      </c>
      <c r="AT9" s="11">
        <f t="shared" si="15"/>
        <v>58598</v>
      </c>
      <c r="AU9" s="11">
        <f t="shared" si="15"/>
        <v>58955</v>
      </c>
      <c r="AV9" s="11">
        <f t="shared" si="15"/>
        <v>59305</v>
      </c>
      <c r="AW9" s="11">
        <f t="shared" si="15"/>
        <v>59690</v>
      </c>
      <c r="AX9" s="11">
        <f t="shared" si="15"/>
        <v>60047</v>
      </c>
      <c r="AY9" s="11">
        <f t="shared" si="15"/>
        <v>60404</v>
      </c>
      <c r="AZ9" s="11">
        <f t="shared" si="15"/>
        <v>60782</v>
      </c>
      <c r="BA9" s="11">
        <f t="shared" si="15"/>
        <v>61139</v>
      </c>
      <c r="BB9" s="11">
        <f t="shared" si="15"/>
        <v>61524</v>
      </c>
      <c r="BC9" s="11">
        <f t="shared" si="15"/>
        <v>61881</v>
      </c>
      <c r="BD9" s="11">
        <f t="shared" si="15"/>
        <v>62231</v>
      </c>
      <c r="BE9" s="11">
        <f t="shared" si="15"/>
        <v>62616</v>
      </c>
      <c r="BF9" s="11">
        <f t="shared" si="15"/>
        <v>62973</v>
      </c>
      <c r="BG9" s="11">
        <f t="shared" si="15"/>
        <v>63323</v>
      </c>
      <c r="BH9" s="11">
        <f t="shared" si="15"/>
        <v>63708</v>
      </c>
      <c r="BI9" s="11">
        <f t="shared" si="15"/>
        <v>64065</v>
      </c>
      <c r="BJ9" s="11">
        <f t="shared" si="15"/>
        <v>64450</v>
      </c>
      <c r="BK9" s="11">
        <f t="shared" si="15"/>
        <v>64800</v>
      </c>
      <c r="BL9" s="11">
        <f t="shared" si="15"/>
        <v>65157</v>
      </c>
      <c r="BM9" s="11">
        <f t="shared" si="15"/>
        <v>65542</v>
      </c>
      <c r="BN9" s="11">
        <f t="shared" si="15"/>
        <v>65892</v>
      </c>
      <c r="BO9" s="11">
        <f t="shared" si="15"/>
        <v>66249</v>
      </c>
      <c r="BP9" s="11">
        <f t="shared" si="15"/>
        <v>66634</v>
      </c>
      <c r="BQ9" s="11">
        <f t="shared" si="15"/>
        <v>66984</v>
      </c>
      <c r="BR9" s="11">
        <f t="shared" ref="BR9:CH9" si="16">BR4+49</f>
        <v>67341</v>
      </c>
      <c r="BS9" s="11">
        <f t="shared" si="16"/>
        <v>67726</v>
      </c>
      <c r="BT9" s="11">
        <f t="shared" si="16"/>
        <v>68076</v>
      </c>
      <c r="BU9" s="11">
        <f t="shared" si="16"/>
        <v>68461</v>
      </c>
      <c r="BV9" s="11">
        <f t="shared" si="16"/>
        <v>68818</v>
      </c>
      <c r="BW9" s="11">
        <f t="shared" si="16"/>
        <v>69175</v>
      </c>
      <c r="BX9" s="11">
        <f t="shared" si="16"/>
        <v>69553</v>
      </c>
      <c r="BY9" s="11">
        <f t="shared" si="16"/>
        <v>69910</v>
      </c>
      <c r="BZ9" s="11">
        <f t="shared" si="16"/>
        <v>70267</v>
      </c>
      <c r="CA9" s="11">
        <f t="shared" si="16"/>
        <v>70645</v>
      </c>
      <c r="CB9" s="11">
        <f t="shared" si="16"/>
        <v>71002</v>
      </c>
      <c r="CC9" s="11">
        <f t="shared" si="16"/>
        <v>71387</v>
      </c>
      <c r="CD9" s="11">
        <f t="shared" si="16"/>
        <v>71744</v>
      </c>
      <c r="CE9" s="11">
        <f t="shared" si="16"/>
        <v>72094</v>
      </c>
      <c r="CF9" s="11">
        <f t="shared" si="16"/>
        <v>72479</v>
      </c>
      <c r="CG9" s="11">
        <f t="shared" si="16"/>
        <v>72836</v>
      </c>
      <c r="CH9" s="11">
        <f t="shared" si="16"/>
        <v>73186</v>
      </c>
    </row>
    <row r="10" spans="1:86" x14ac:dyDescent="0.25">
      <c r="A10" t="s">
        <v>37</v>
      </c>
      <c r="B10" s="11">
        <f>B4+50</f>
        <v>42506</v>
      </c>
      <c r="C10" s="11">
        <f>C4+50</f>
        <v>42891</v>
      </c>
      <c r="D10" s="11">
        <f>D4+50</f>
        <v>43241</v>
      </c>
      <c r="E10" s="11">
        <f>E4+50</f>
        <v>43626</v>
      </c>
      <c r="F10" s="11">
        <f t="shared" ref="F10:BQ10" si="17">F4+50</f>
        <v>43983</v>
      </c>
      <c r="G10" s="11">
        <f t="shared" si="17"/>
        <v>44340</v>
      </c>
      <c r="H10" s="11">
        <f t="shared" si="17"/>
        <v>44718</v>
      </c>
      <c r="I10" s="11">
        <f t="shared" si="17"/>
        <v>45075</v>
      </c>
      <c r="J10" s="11">
        <f t="shared" si="17"/>
        <v>45432</v>
      </c>
      <c r="K10" s="11">
        <f t="shared" si="17"/>
        <v>45817</v>
      </c>
      <c r="L10" s="11">
        <f t="shared" si="17"/>
        <v>46167</v>
      </c>
      <c r="M10" s="11">
        <f t="shared" si="17"/>
        <v>46524</v>
      </c>
      <c r="N10" s="11">
        <f t="shared" si="17"/>
        <v>46909</v>
      </c>
      <c r="O10" s="11">
        <f t="shared" si="17"/>
        <v>47259</v>
      </c>
      <c r="P10" s="11">
        <f t="shared" si="17"/>
        <v>47644</v>
      </c>
      <c r="Q10" s="11">
        <f t="shared" si="17"/>
        <v>48001</v>
      </c>
      <c r="R10" s="11">
        <f t="shared" si="17"/>
        <v>48351</v>
      </c>
      <c r="S10" s="11">
        <f t="shared" si="17"/>
        <v>48736</v>
      </c>
      <c r="T10" s="11">
        <f t="shared" si="17"/>
        <v>49093</v>
      </c>
      <c r="U10" s="11">
        <f t="shared" si="17"/>
        <v>49443</v>
      </c>
      <c r="V10" s="11">
        <f t="shared" si="17"/>
        <v>49828</v>
      </c>
      <c r="W10" s="11">
        <f t="shared" si="17"/>
        <v>50185</v>
      </c>
      <c r="X10" s="11">
        <f t="shared" si="17"/>
        <v>50570</v>
      </c>
      <c r="Y10" s="11">
        <f t="shared" si="17"/>
        <v>50920</v>
      </c>
      <c r="Z10" s="11">
        <f t="shared" si="17"/>
        <v>51277</v>
      </c>
      <c r="AA10" s="11">
        <f t="shared" si="17"/>
        <v>51662</v>
      </c>
      <c r="AB10" s="11">
        <f t="shared" si="17"/>
        <v>52012</v>
      </c>
      <c r="AC10" s="11">
        <f t="shared" si="17"/>
        <v>52369</v>
      </c>
      <c r="AD10" s="11">
        <f t="shared" si="17"/>
        <v>52754</v>
      </c>
      <c r="AE10" s="11">
        <f t="shared" si="17"/>
        <v>53111</v>
      </c>
      <c r="AF10" s="11">
        <f t="shared" si="17"/>
        <v>53461</v>
      </c>
      <c r="AG10" s="11">
        <f t="shared" si="17"/>
        <v>53846</v>
      </c>
      <c r="AH10" s="11">
        <f t="shared" si="17"/>
        <v>54203</v>
      </c>
      <c r="AI10" s="11">
        <f t="shared" si="17"/>
        <v>54588</v>
      </c>
      <c r="AJ10" s="11">
        <f t="shared" si="17"/>
        <v>54938</v>
      </c>
      <c r="AK10" s="11">
        <f t="shared" si="17"/>
        <v>55295</v>
      </c>
      <c r="AL10" s="11">
        <f t="shared" si="17"/>
        <v>55680</v>
      </c>
      <c r="AM10" s="11">
        <f t="shared" si="17"/>
        <v>56030</v>
      </c>
      <c r="AN10" s="11">
        <f t="shared" si="17"/>
        <v>56387</v>
      </c>
      <c r="AO10" s="11">
        <f t="shared" si="17"/>
        <v>56772</v>
      </c>
      <c r="AP10" s="11">
        <f t="shared" si="17"/>
        <v>57122</v>
      </c>
      <c r="AQ10" s="11">
        <f t="shared" si="17"/>
        <v>57507</v>
      </c>
      <c r="AR10" s="11">
        <f t="shared" si="17"/>
        <v>57864</v>
      </c>
      <c r="AS10" s="11">
        <f t="shared" si="17"/>
        <v>58214</v>
      </c>
      <c r="AT10" s="11">
        <f t="shared" si="17"/>
        <v>58599</v>
      </c>
      <c r="AU10" s="11">
        <f t="shared" si="17"/>
        <v>58956</v>
      </c>
      <c r="AV10" s="11">
        <f t="shared" si="17"/>
        <v>59306</v>
      </c>
      <c r="AW10" s="11">
        <f t="shared" si="17"/>
        <v>59691</v>
      </c>
      <c r="AX10" s="11">
        <f t="shared" si="17"/>
        <v>60048</v>
      </c>
      <c r="AY10" s="11">
        <f t="shared" si="17"/>
        <v>60405</v>
      </c>
      <c r="AZ10" s="11">
        <f t="shared" si="17"/>
        <v>60783</v>
      </c>
      <c r="BA10" s="11">
        <f t="shared" si="17"/>
        <v>61140</v>
      </c>
      <c r="BB10" s="11">
        <f t="shared" si="17"/>
        <v>61525</v>
      </c>
      <c r="BC10" s="11">
        <f t="shared" si="17"/>
        <v>61882</v>
      </c>
      <c r="BD10" s="11">
        <f t="shared" si="17"/>
        <v>62232</v>
      </c>
      <c r="BE10" s="11">
        <f t="shared" si="17"/>
        <v>62617</v>
      </c>
      <c r="BF10" s="11">
        <f t="shared" si="17"/>
        <v>62974</v>
      </c>
      <c r="BG10" s="11">
        <f t="shared" si="17"/>
        <v>63324</v>
      </c>
      <c r="BH10" s="11">
        <f t="shared" si="17"/>
        <v>63709</v>
      </c>
      <c r="BI10" s="11">
        <f t="shared" si="17"/>
        <v>64066</v>
      </c>
      <c r="BJ10" s="11">
        <f t="shared" si="17"/>
        <v>64451</v>
      </c>
      <c r="BK10" s="11">
        <f t="shared" si="17"/>
        <v>64801</v>
      </c>
      <c r="BL10" s="11">
        <f t="shared" si="17"/>
        <v>65158</v>
      </c>
      <c r="BM10" s="11">
        <f t="shared" si="17"/>
        <v>65543</v>
      </c>
      <c r="BN10" s="11">
        <f t="shared" si="17"/>
        <v>65893</v>
      </c>
      <c r="BO10" s="11">
        <f t="shared" si="17"/>
        <v>66250</v>
      </c>
      <c r="BP10" s="11">
        <f t="shared" si="17"/>
        <v>66635</v>
      </c>
      <c r="BQ10" s="11">
        <f t="shared" si="17"/>
        <v>66985</v>
      </c>
      <c r="BR10" s="11">
        <f t="shared" ref="BR10:CH10" si="18">BR4+50</f>
        <v>67342</v>
      </c>
      <c r="BS10" s="11">
        <f t="shared" si="18"/>
        <v>67727</v>
      </c>
      <c r="BT10" s="11">
        <f t="shared" si="18"/>
        <v>68077</v>
      </c>
      <c r="BU10" s="11">
        <f t="shared" si="18"/>
        <v>68462</v>
      </c>
      <c r="BV10" s="11">
        <f t="shared" si="18"/>
        <v>68819</v>
      </c>
      <c r="BW10" s="11">
        <f t="shared" si="18"/>
        <v>69176</v>
      </c>
      <c r="BX10" s="11">
        <f t="shared" si="18"/>
        <v>69554</v>
      </c>
      <c r="BY10" s="11">
        <f t="shared" si="18"/>
        <v>69911</v>
      </c>
      <c r="BZ10" s="11">
        <f t="shared" si="18"/>
        <v>70268</v>
      </c>
      <c r="CA10" s="11">
        <f t="shared" si="18"/>
        <v>70646</v>
      </c>
      <c r="CB10" s="11">
        <f t="shared" si="18"/>
        <v>71003</v>
      </c>
      <c r="CC10" s="11">
        <f t="shared" si="18"/>
        <v>71388</v>
      </c>
      <c r="CD10" s="11">
        <f t="shared" si="18"/>
        <v>71745</v>
      </c>
      <c r="CE10" s="11">
        <f t="shared" si="18"/>
        <v>72095</v>
      </c>
      <c r="CF10" s="11">
        <f t="shared" si="18"/>
        <v>72480</v>
      </c>
      <c r="CG10" s="11">
        <f t="shared" si="18"/>
        <v>72837</v>
      </c>
      <c r="CH10" s="11">
        <f t="shared" si="18"/>
        <v>73187</v>
      </c>
    </row>
    <row r="11" spans="1:86" x14ac:dyDescent="0.25">
      <c r="A11" t="s">
        <v>38</v>
      </c>
      <c r="B11" s="11">
        <f>DATE(B1,7,14)</f>
        <v>42565</v>
      </c>
      <c r="C11" s="11">
        <f>DATE(C1,7,14)</f>
        <v>42930</v>
      </c>
      <c r="D11" s="11">
        <f>DATE(D1,7,14)</f>
        <v>43295</v>
      </c>
      <c r="E11" s="11">
        <f>DATE(E1,7,14)</f>
        <v>43660</v>
      </c>
      <c r="F11" s="11">
        <f t="shared" ref="F11:BQ11" si="19">DATE(F1,7,14)</f>
        <v>44026</v>
      </c>
      <c r="G11" s="11">
        <f t="shared" si="19"/>
        <v>44391</v>
      </c>
      <c r="H11" s="11">
        <f t="shared" si="19"/>
        <v>44756</v>
      </c>
      <c r="I11" s="11">
        <f t="shared" si="19"/>
        <v>45121</v>
      </c>
      <c r="J11" s="11">
        <f t="shared" si="19"/>
        <v>45487</v>
      </c>
      <c r="K11" s="11">
        <f t="shared" si="19"/>
        <v>45852</v>
      </c>
      <c r="L11" s="11">
        <f t="shared" si="19"/>
        <v>46217</v>
      </c>
      <c r="M11" s="11">
        <f t="shared" si="19"/>
        <v>46582</v>
      </c>
      <c r="N11" s="11">
        <f t="shared" si="19"/>
        <v>46948</v>
      </c>
      <c r="O11" s="11">
        <f t="shared" si="19"/>
        <v>47313</v>
      </c>
      <c r="P11" s="11">
        <f t="shared" si="19"/>
        <v>47678</v>
      </c>
      <c r="Q11" s="11">
        <f t="shared" si="19"/>
        <v>48043</v>
      </c>
      <c r="R11" s="11">
        <f t="shared" si="19"/>
        <v>48409</v>
      </c>
      <c r="S11" s="11">
        <f t="shared" si="19"/>
        <v>48774</v>
      </c>
      <c r="T11" s="11">
        <f t="shared" si="19"/>
        <v>49139</v>
      </c>
      <c r="U11" s="11">
        <f t="shared" si="19"/>
        <v>49504</v>
      </c>
      <c r="V11" s="11">
        <f t="shared" si="19"/>
        <v>49870</v>
      </c>
      <c r="W11" s="11">
        <f t="shared" si="19"/>
        <v>50235</v>
      </c>
      <c r="X11" s="11">
        <f t="shared" si="19"/>
        <v>50600</v>
      </c>
      <c r="Y11" s="11">
        <f t="shared" si="19"/>
        <v>50965</v>
      </c>
      <c r="Z11" s="11">
        <f t="shared" si="19"/>
        <v>51331</v>
      </c>
      <c r="AA11" s="11">
        <f t="shared" si="19"/>
        <v>51696</v>
      </c>
      <c r="AB11" s="11">
        <f t="shared" si="19"/>
        <v>52061</v>
      </c>
      <c r="AC11" s="11">
        <f t="shared" si="19"/>
        <v>52426</v>
      </c>
      <c r="AD11" s="11">
        <f t="shared" si="19"/>
        <v>52792</v>
      </c>
      <c r="AE11" s="11">
        <f t="shared" si="19"/>
        <v>53157</v>
      </c>
      <c r="AF11" s="11">
        <f t="shared" si="19"/>
        <v>53522</v>
      </c>
      <c r="AG11" s="11">
        <f t="shared" si="19"/>
        <v>53887</v>
      </c>
      <c r="AH11" s="11">
        <f t="shared" si="19"/>
        <v>54253</v>
      </c>
      <c r="AI11" s="11">
        <f t="shared" si="19"/>
        <v>54618</v>
      </c>
      <c r="AJ11" s="11">
        <f t="shared" si="19"/>
        <v>54983</v>
      </c>
      <c r="AK11" s="11">
        <f t="shared" si="19"/>
        <v>55348</v>
      </c>
      <c r="AL11" s="11">
        <f t="shared" si="19"/>
        <v>55714</v>
      </c>
      <c r="AM11" s="11">
        <f t="shared" si="19"/>
        <v>56079</v>
      </c>
      <c r="AN11" s="11">
        <f t="shared" si="19"/>
        <v>56444</v>
      </c>
      <c r="AO11" s="11">
        <f t="shared" si="19"/>
        <v>56809</v>
      </c>
      <c r="AP11" s="11">
        <f t="shared" si="19"/>
        <v>57175</v>
      </c>
      <c r="AQ11" s="11">
        <f t="shared" si="19"/>
        <v>57540</v>
      </c>
      <c r="AR11" s="11">
        <f t="shared" si="19"/>
        <v>57905</v>
      </c>
      <c r="AS11" s="11">
        <f t="shared" si="19"/>
        <v>58270</v>
      </c>
      <c r="AT11" s="11">
        <f t="shared" si="19"/>
        <v>58636</v>
      </c>
      <c r="AU11" s="11">
        <f t="shared" si="19"/>
        <v>59001</v>
      </c>
      <c r="AV11" s="11">
        <f t="shared" si="19"/>
        <v>59366</v>
      </c>
      <c r="AW11" s="11">
        <f t="shared" si="19"/>
        <v>59731</v>
      </c>
      <c r="AX11" s="11">
        <f t="shared" si="19"/>
        <v>60097</v>
      </c>
      <c r="AY11" s="11">
        <f t="shared" si="19"/>
        <v>60462</v>
      </c>
      <c r="AZ11" s="11">
        <f t="shared" si="19"/>
        <v>60827</v>
      </c>
      <c r="BA11" s="11">
        <f t="shared" si="19"/>
        <v>61192</v>
      </c>
      <c r="BB11" s="11">
        <f t="shared" si="19"/>
        <v>61558</v>
      </c>
      <c r="BC11" s="11">
        <f t="shared" si="19"/>
        <v>61923</v>
      </c>
      <c r="BD11" s="11">
        <f t="shared" si="19"/>
        <v>62288</v>
      </c>
      <c r="BE11" s="11">
        <f t="shared" si="19"/>
        <v>62653</v>
      </c>
      <c r="BF11" s="11">
        <f t="shared" si="19"/>
        <v>63019</v>
      </c>
      <c r="BG11" s="11">
        <f t="shared" si="19"/>
        <v>63384</v>
      </c>
      <c r="BH11" s="11">
        <f t="shared" si="19"/>
        <v>63749</v>
      </c>
      <c r="BI11" s="11">
        <f t="shared" si="19"/>
        <v>64114</v>
      </c>
      <c r="BJ11" s="11">
        <f t="shared" si="19"/>
        <v>64480</v>
      </c>
      <c r="BK11" s="11">
        <f t="shared" si="19"/>
        <v>64845</v>
      </c>
      <c r="BL11" s="11">
        <f t="shared" si="19"/>
        <v>65210</v>
      </c>
      <c r="BM11" s="11">
        <f t="shared" si="19"/>
        <v>65575</v>
      </c>
      <c r="BN11" s="11">
        <f t="shared" si="19"/>
        <v>65941</v>
      </c>
      <c r="BO11" s="11">
        <f t="shared" si="19"/>
        <v>66306</v>
      </c>
      <c r="BP11" s="11">
        <f t="shared" si="19"/>
        <v>66671</v>
      </c>
      <c r="BQ11" s="11">
        <f t="shared" si="19"/>
        <v>67036</v>
      </c>
      <c r="BR11" s="11">
        <f t="shared" ref="BR11:CH11" si="20">DATE(BR1,7,14)</f>
        <v>67402</v>
      </c>
      <c r="BS11" s="11">
        <f t="shared" si="20"/>
        <v>67767</v>
      </c>
      <c r="BT11" s="11">
        <f t="shared" si="20"/>
        <v>68132</v>
      </c>
      <c r="BU11" s="11">
        <f t="shared" si="20"/>
        <v>68497</v>
      </c>
      <c r="BV11" s="11">
        <f t="shared" si="20"/>
        <v>68863</v>
      </c>
      <c r="BW11" s="11">
        <f t="shared" si="20"/>
        <v>69228</v>
      </c>
      <c r="BX11" s="11">
        <f t="shared" si="20"/>
        <v>69593</v>
      </c>
      <c r="BY11" s="11">
        <f t="shared" si="20"/>
        <v>69958</v>
      </c>
      <c r="BZ11" s="11">
        <f t="shared" si="20"/>
        <v>70324</v>
      </c>
      <c r="CA11" s="11">
        <f t="shared" si="20"/>
        <v>70689</v>
      </c>
      <c r="CB11" s="11">
        <f t="shared" si="20"/>
        <v>71054</v>
      </c>
      <c r="CC11" s="11">
        <f t="shared" si="20"/>
        <v>71419</v>
      </c>
      <c r="CD11" s="11">
        <f t="shared" si="20"/>
        <v>71785</v>
      </c>
      <c r="CE11" s="11">
        <f t="shared" si="20"/>
        <v>72150</v>
      </c>
      <c r="CF11" s="11">
        <f t="shared" si="20"/>
        <v>72515</v>
      </c>
      <c r="CG11" s="11">
        <f t="shared" si="20"/>
        <v>72880</v>
      </c>
      <c r="CH11" s="11">
        <f t="shared" si="20"/>
        <v>73245</v>
      </c>
    </row>
    <row r="12" spans="1:86" x14ac:dyDescent="0.25">
      <c r="A12" t="s">
        <v>39</v>
      </c>
      <c r="B12" s="11">
        <f>DATE(B1,8,15)</f>
        <v>42597</v>
      </c>
      <c r="C12" s="11">
        <f>DATE(C1,8,15)</f>
        <v>42962</v>
      </c>
      <c r="D12" s="11">
        <f>DATE(D1,8,15)</f>
        <v>43327</v>
      </c>
      <c r="E12" s="11">
        <f>DATE(E1,8,15)</f>
        <v>43692</v>
      </c>
      <c r="F12" s="11">
        <f t="shared" ref="F12:BQ12" si="21">DATE(F1,8,15)</f>
        <v>44058</v>
      </c>
      <c r="G12" s="11">
        <f t="shared" si="21"/>
        <v>44423</v>
      </c>
      <c r="H12" s="11">
        <f t="shared" si="21"/>
        <v>44788</v>
      </c>
      <c r="I12" s="11">
        <f t="shared" si="21"/>
        <v>45153</v>
      </c>
      <c r="J12" s="11">
        <f t="shared" si="21"/>
        <v>45519</v>
      </c>
      <c r="K12" s="11">
        <f t="shared" si="21"/>
        <v>45884</v>
      </c>
      <c r="L12" s="11">
        <f t="shared" si="21"/>
        <v>46249</v>
      </c>
      <c r="M12" s="11">
        <f t="shared" si="21"/>
        <v>46614</v>
      </c>
      <c r="N12" s="11">
        <f t="shared" si="21"/>
        <v>46980</v>
      </c>
      <c r="O12" s="11">
        <f t="shared" si="21"/>
        <v>47345</v>
      </c>
      <c r="P12" s="11">
        <f t="shared" si="21"/>
        <v>47710</v>
      </c>
      <c r="Q12" s="11">
        <f t="shared" si="21"/>
        <v>48075</v>
      </c>
      <c r="R12" s="11">
        <f t="shared" si="21"/>
        <v>48441</v>
      </c>
      <c r="S12" s="11">
        <f t="shared" si="21"/>
        <v>48806</v>
      </c>
      <c r="T12" s="11">
        <f t="shared" si="21"/>
        <v>49171</v>
      </c>
      <c r="U12" s="11">
        <f t="shared" si="21"/>
        <v>49536</v>
      </c>
      <c r="V12" s="11">
        <f t="shared" si="21"/>
        <v>49902</v>
      </c>
      <c r="W12" s="11">
        <f t="shared" si="21"/>
        <v>50267</v>
      </c>
      <c r="X12" s="11">
        <f t="shared" si="21"/>
        <v>50632</v>
      </c>
      <c r="Y12" s="11">
        <f t="shared" si="21"/>
        <v>50997</v>
      </c>
      <c r="Z12" s="11">
        <f t="shared" si="21"/>
        <v>51363</v>
      </c>
      <c r="AA12" s="11">
        <f t="shared" si="21"/>
        <v>51728</v>
      </c>
      <c r="AB12" s="11">
        <f t="shared" si="21"/>
        <v>52093</v>
      </c>
      <c r="AC12" s="11">
        <f t="shared" si="21"/>
        <v>52458</v>
      </c>
      <c r="AD12" s="11">
        <f t="shared" si="21"/>
        <v>52824</v>
      </c>
      <c r="AE12" s="11">
        <f t="shared" si="21"/>
        <v>53189</v>
      </c>
      <c r="AF12" s="11">
        <f t="shared" si="21"/>
        <v>53554</v>
      </c>
      <c r="AG12" s="11">
        <f t="shared" si="21"/>
        <v>53919</v>
      </c>
      <c r="AH12" s="11">
        <f t="shared" si="21"/>
        <v>54285</v>
      </c>
      <c r="AI12" s="11">
        <f t="shared" si="21"/>
        <v>54650</v>
      </c>
      <c r="AJ12" s="11">
        <f t="shared" si="21"/>
        <v>55015</v>
      </c>
      <c r="AK12" s="11">
        <f t="shared" si="21"/>
        <v>55380</v>
      </c>
      <c r="AL12" s="11">
        <f t="shared" si="21"/>
        <v>55746</v>
      </c>
      <c r="AM12" s="11">
        <f t="shared" si="21"/>
        <v>56111</v>
      </c>
      <c r="AN12" s="11">
        <f t="shared" si="21"/>
        <v>56476</v>
      </c>
      <c r="AO12" s="11">
        <f t="shared" si="21"/>
        <v>56841</v>
      </c>
      <c r="AP12" s="11">
        <f t="shared" si="21"/>
        <v>57207</v>
      </c>
      <c r="AQ12" s="11">
        <f t="shared" si="21"/>
        <v>57572</v>
      </c>
      <c r="AR12" s="11">
        <f t="shared" si="21"/>
        <v>57937</v>
      </c>
      <c r="AS12" s="11">
        <f t="shared" si="21"/>
        <v>58302</v>
      </c>
      <c r="AT12" s="11">
        <f t="shared" si="21"/>
        <v>58668</v>
      </c>
      <c r="AU12" s="11">
        <f t="shared" si="21"/>
        <v>59033</v>
      </c>
      <c r="AV12" s="11">
        <f t="shared" si="21"/>
        <v>59398</v>
      </c>
      <c r="AW12" s="11">
        <f t="shared" si="21"/>
        <v>59763</v>
      </c>
      <c r="AX12" s="11">
        <f t="shared" si="21"/>
        <v>60129</v>
      </c>
      <c r="AY12" s="11">
        <f t="shared" si="21"/>
        <v>60494</v>
      </c>
      <c r="AZ12" s="11">
        <f t="shared" si="21"/>
        <v>60859</v>
      </c>
      <c r="BA12" s="11">
        <f t="shared" si="21"/>
        <v>61224</v>
      </c>
      <c r="BB12" s="11">
        <f t="shared" si="21"/>
        <v>61590</v>
      </c>
      <c r="BC12" s="11">
        <f t="shared" si="21"/>
        <v>61955</v>
      </c>
      <c r="BD12" s="11">
        <f t="shared" si="21"/>
        <v>62320</v>
      </c>
      <c r="BE12" s="11">
        <f t="shared" si="21"/>
        <v>62685</v>
      </c>
      <c r="BF12" s="11">
        <f t="shared" si="21"/>
        <v>63051</v>
      </c>
      <c r="BG12" s="11">
        <f t="shared" si="21"/>
        <v>63416</v>
      </c>
      <c r="BH12" s="11">
        <f t="shared" si="21"/>
        <v>63781</v>
      </c>
      <c r="BI12" s="11">
        <f t="shared" si="21"/>
        <v>64146</v>
      </c>
      <c r="BJ12" s="11">
        <f t="shared" si="21"/>
        <v>64512</v>
      </c>
      <c r="BK12" s="11">
        <f t="shared" si="21"/>
        <v>64877</v>
      </c>
      <c r="BL12" s="11">
        <f t="shared" si="21"/>
        <v>65242</v>
      </c>
      <c r="BM12" s="11">
        <f t="shared" si="21"/>
        <v>65607</v>
      </c>
      <c r="BN12" s="11">
        <f t="shared" si="21"/>
        <v>65973</v>
      </c>
      <c r="BO12" s="11">
        <f t="shared" si="21"/>
        <v>66338</v>
      </c>
      <c r="BP12" s="11">
        <f t="shared" si="21"/>
        <v>66703</v>
      </c>
      <c r="BQ12" s="11">
        <f t="shared" si="21"/>
        <v>67068</v>
      </c>
      <c r="BR12" s="11">
        <f t="shared" ref="BR12:CH12" si="22">DATE(BR1,8,15)</f>
        <v>67434</v>
      </c>
      <c r="BS12" s="11">
        <f t="shared" si="22"/>
        <v>67799</v>
      </c>
      <c r="BT12" s="11">
        <f t="shared" si="22"/>
        <v>68164</v>
      </c>
      <c r="BU12" s="11">
        <f t="shared" si="22"/>
        <v>68529</v>
      </c>
      <c r="BV12" s="11">
        <f t="shared" si="22"/>
        <v>68895</v>
      </c>
      <c r="BW12" s="11">
        <f t="shared" si="22"/>
        <v>69260</v>
      </c>
      <c r="BX12" s="11">
        <f t="shared" si="22"/>
        <v>69625</v>
      </c>
      <c r="BY12" s="11">
        <f t="shared" si="22"/>
        <v>69990</v>
      </c>
      <c r="BZ12" s="11">
        <f t="shared" si="22"/>
        <v>70356</v>
      </c>
      <c r="CA12" s="11">
        <f t="shared" si="22"/>
        <v>70721</v>
      </c>
      <c r="CB12" s="11">
        <f t="shared" si="22"/>
        <v>71086</v>
      </c>
      <c r="CC12" s="11">
        <f t="shared" si="22"/>
        <v>71451</v>
      </c>
      <c r="CD12" s="11">
        <f t="shared" si="22"/>
        <v>71817</v>
      </c>
      <c r="CE12" s="11">
        <f t="shared" si="22"/>
        <v>72182</v>
      </c>
      <c r="CF12" s="11">
        <f t="shared" si="22"/>
        <v>72547</v>
      </c>
      <c r="CG12" s="11">
        <f t="shared" si="22"/>
        <v>72912</v>
      </c>
      <c r="CH12" s="11">
        <f t="shared" si="22"/>
        <v>73277</v>
      </c>
    </row>
    <row r="13" spans="1:86" x14ac:dyDescent="0.25">
      <c r="A13" t="s">
        <v>40</v>
      </c>
      <c r="B13" s="11">
        <f>DATE(B1,1,1)</f>
        <v>42370</v>
      </c>
      <c r="C13" s="11">
        <f>DATE(C1,1,1)</f>
        <v>42736</v>
      </c>
      <c r="D13" s="11">
        <f>DATE(D1,1,1)</f>
        <v>43101</v>
      </c>
      <c r="E13" s="11">
        <f>DATE(E1,1,1)</f>
        <v>43466</v>
      </c>
      <c r="F13" s="11">
        <f t="shared" ref="F13:BQ13" si="23">DATE(F1,1,1)</f>
        <v>43831</v>
      </c>
      <c r="G13" s="11">
        <f t="shared" si="23"/>
        <v>44197</v>
      </c>
      <c r="H13" s="11">
        <f t="shared" si="23"/>
        <v>44562</v>
      </c>
      <c r="I13" s="11">
        <f t="shared" si="23"/>
        <v>44927</v>
      </c>
      <c r="J13" s="11">
        <f t="shared" si="23"/>
        <v>45292</v>
      </c>
      <c r="K13" s="11">
        <f t="shared" si="23"/>
        <v>45658</v>
      </c>
      <c r="L13" s="11">
        <f t="shared" si="23"/>
        <v>46023</v>
      </c>
      <c r="M13" s="11">
        <f t="shared" si="23"/>
        <v>46388</v>
      </c>
      <c r="N13" s="11">
        <f t="shared" si="23"/>
        <v>46753</v>
      </c>
      <c r="O13" s="11">
        <f t="shared" si="23"/>
        <v>47119</v>
      </c>
      <c r="P13" s="11">
        <f t="shared" si="23"/>
        <v>47484</v>
      </c>
      <c r="Q13" s="11">
        <f t="shared" si="23"/>
        <v>47849</v>
      </c>
      <c r="R13" s="11">
        <f t="shared" si="23"/>
        <v>48214</v>
      </c>
      <c r="S13" s="11">
        <f t="shared" si="23"/>
        <v>48580</v>
      </c>
      <c r="T13" s="11">
        <f t="shared" si="23"/>
        <v>48945</v>
      </c>
      <c r="U13" s="11">
        <f t="shared" si="23"/>
        <v>49310</v>
      </c>
      <c r="V13" s="11">
        <f t="shared" si="23"/>
        <v>49675</v>
      </c>
      <c r="W13" s="11">
        <f t="shared" si="23"/>
        <v>50041</v>
      </c>
      <c r="X13" s="11">
        <f t="shared" si="23"/>
        <v>50406</v>
      </c>
      <c r="Y13" s="11">
        <f t="shared" si="23"/>
        <v>50771</v>
      </c>
      <c r="Z13" s="11">
        <f t="shared" si="23"/>
        <v>51136</v>
      </c>
      <c r="AA13" s="11">
        <f t="shared" si="23"/>
        <v>51502</v>
      </c>
      <c r="AB13" s="11">
        <f t="shared" si="23"/>
        <v>51867</v>
      </c>
      <c r="AC13" s="11">
        <f t="shared" si="23"/>
        <v>52232</v>
      </c>
      <c r="AD13" s="11">
        <f t="shared" si="23"/>
        <v>52597</v>
      </c>
      <c r="AE13" s="11">
        <f t="shared" si="23"/>
        <v>52963</v>
      </c>
      <c r="AF13" s="11">
        <f t="shared" si="23"/>
        <v>53328</v>
      </c>
      <c r="AG13" s="11">
        <f t="shared" si="23"/>
        <v>53693</v>
      </c>
      <c r="AH13" s="11">
        <f t="shared" si="23"/>
        <v>54058</v>
      </c>
      <c r="AI13" s="11">
        <f t="shared" si="23"/>
        <v>54424</v>
      </c>
      <c r="AJ13" s="11">
        <f t="shared" si="23"/>
        <v>54789</v>
      </c>
      <c r="AK13" s="11">
        <f t="shared" si="23"/>
        <v>55154</v>
      </c>
      <c r="AL13" s="11">
        <f t="shared" si="23"/>
        <v>55519</v>
      </c>
      <c r="AM13" s="11">
        <f t="shared" si="23"/>
        <v>55885</v>
      </c>
      <c r="AN13" s="11">
        <f t="shared" si="23"/>
        <v>56250</v>
      </c>
      <c r="AO13" s="11">
        <f t="shared" si="23"/>
        <v>56615</v>
      </c>
      <c r="AP13" s="11">
        <f t="shared" si="23"/>
        <v>56980</v>
      </c>
      <c r="AQ13" s="11">
        <f t="shared" si="23"/>
        <v>57346</v>
      </c>
      <c r="AR13" s="11">
        <f t="shared" si="23"/>
        <v>57711</v>
      </c>
      <c r="AS13" s="11">
        <f t="shared" si="23"/>
        <v>58076</v>
      </c>
      <c r="AT13" s="11">
        <f t="shared" si="23"/>
        <v>58441</v>
      </c>
      <c r="AU13" s="11">
        <f t="shared" si="23"/>
        <v>58807</v>
      </c>
      <c r="AV13" s="11">
        <f t="shared" si="23"/>
        <v>59172</v>
      </c>
      <c r="AW13" s="11">
        <f t="shared" si="23"/>
        <v>59537</v>
      </c>
      <c r="AX13" s="11">
        <f t="shared" si="23"/>
        <v>59902</v>
      </c>
      <c r="AY13" s="11">
        <f t="shared" si="23"/>
        <v>60268</v>
      </c>
      <c r="AZ13" s="11">
        <f t="shared" si="23"/>
        <v>60633</v>
      </c>
      <c r="BA13" s="11">
        <f t="shared" si="23"/>
        <v>60998</v>
      </c>
      <c r="BB13" s="11">
        <f t="shared" si="23"/>
        <v>61363</v>
      </c>
      <c r="BC13" s="11">
        <f t="shared" si="23"/>
        <v>61729</v>
      </c>
      <c r="BD13" s="11">
        <f t="shared" si="23"/>
        <v>62094</v>
      </c>
      <c r="BE13" s="11">
        <f t="shared" si="23"/>
        <v>62459</v>
      </c>
      <c r="BF13" s="11">
        <f t="shared" si="23"/>
        <v>62824</v>
      </c>
      <c r="BG13" s="11">
        <f t="shared" si="23"/>
        <v>63190</v>
      </c>
      <c r="BH13" s="11">
        <f t="shared" si="23"/>
        <v>63555</v>
      </c>
      <c r="BI13" s="11">
        <f t="shared" si="23"/>
        <v>63920</v>
      </c>
      <c r="BJ13" s="11">
        <f t="shared" si="23"/>
        <v>64285</v>
      </c>
      <c r="BK13" s="11">
        <f t="shared" si="23"/>
        <v>64651</v>
      </c>
      <c r="BL13" s="11">
        <f t="shared" si="23"/>
        <v>65016</v>
      </c>
      <c r="BM13" s="11">
        <f t="shared" si="23"/>
        <v>65381</v>
      </c>
      <c r="BN13" s="11">
        <f t="shared" si="23"/>
        <v>65746</v>
      </c>
      <c r="BO13" s="11">
        <f t="shared" si="23"/>
        <v>66112</v>
      </c>
      <c r="BP13" s="11">
        <f t="shared" si="23"/>
        <v>66477</v>
      </c>
      <c r="BQ13" s="11">
        <f t="shared" si="23"/>
        <v>66842</v>
      </c>
      <c r="BR13" s="11">
        <f t="shared" ref="BR13:CH13" si="24">DATE(BR1,1,1)</f>
        <v>67207</v>
      </c>
      <c r="BS13" s="11">
        <f t="shared" si="24"/>
        <v>67573</v>
      </c>
      <c r="BT13" s="11">
        <f t="shared" si="24"/>
        <v>67938</v>
      </c>
      <c r="BU13" s="11">
        <f t="shared" si="24"/>
        <v>68303</v>
      </c>
      <c r="BV13" s="11">
        <f t="shared" si="24"/>
        <v>68668</v>
      </c>
      <c r="BW13" s="11">
        <f t="shared" si="24"/>
        <v>69034</v>
      </c>
      <c r="BX13" s="11">
        <f t="shared" si="24"/>
        <v>69399</v>
      </c>
      <c r="BY13" s="11">
        <f t="shared" si="24"/>
        <v>69764</v>
      </c>
      <c r="BZ13" s="11">
        <f t="shared" si="24"/>
        <v>70129</v>
      </c>
      <c r="CA13" s="11">
        <f t="shared" si="24"/>
        <v>70495</v>
      </c>
      <c r="CB13" s="11">
        <f t="shared" si="24"/>
        <v>70860</v>
      </c>
      <c r="CC13" s="11">
        <f t="shared" si="24"/>
        <v>71225</v>
      </c>
      <c r="CD13" s="11">
        <f t="shared" si="24"/>
        <v>71590</v>
      </c>
      <c r="CE13" s="11">
        <f t="shared" si="24"/>
        <v>71956</v>
      </c>
      <c r="CF13" s="11">
        <f t="shared" si="24"/>
        <v>72321</v>
      </c>
      <c r="CG13" s="11">
        <f t="shared" si="24"/>
        <v>72686</v>
      </c>
      <c r="CH13" s="11">
        <f t="shared" si="24"/>
        <v>73051</v>
      </c>
    </row>
    <row r="14" spans="1:86" x14ac:dyDescent="0.25">
      <c r="A14" t="s">
        <v>41</v>
      </c>
      <c r="B14" s="11">
        <f>DATE(B1,11,11)</f>
        <v>42685</v>
      </c>
      <c r="C14" s="11">
        <f>DATE(C1,11,11)</f>
        <v>43050</v>
      </c>
      <c r="D14" s="11">
        <f>DATE(D1,11,11)</f>
        <v>43415</v>
      </c>
      <c r="E14" s="11">
        <f>DATE(E1,11,11)</f>
        <v>43780</v>
      </c>
      <c r="F14" s="11">
        <f t="shared" ref="F14:BQ14" si="25">DATE(F1,11,11)</f>
        <v>44146</v>
      </c>
      <c r="G14" s="11">
        <f t="shared" si="25"/>
        <v>44511</v>
      </c>
      <c r="H14" s="11">
        <f t="shared" si="25"/>
        <v>44876</v>
      </c>
      <c r="I14" s="11">
        <f t="shared" si="25"/>
        <v>45241</v>
      </c>
      <c r="J14" s="11">
        <f t="shared" si="25"/>
        <v>45607</v>
      </c>
      <c r="K14" s="11">
        <f t="shared" si="25"/>
        <v>45972</v>
      </c>
      <c r="L14" s="11">
        <f t="shared" si="25"/>
        <v>46337</v>
      </c>
      <c r="M14" s="11">
        <f t="shared" si="25"/>
        <v>46702</v>
      </c>
      <c r="N14" s="11">
        <f t="shared" si="25"/>
        <v>47068</v>
      </c>
      <c r="O14" s="11">
        <f t="shared" si="25"/>
        <v>47433</v>
      </c>
      <c r="P14" s="11">
        <f t="shared" si="25"/>
        <v>47798</v>
      </c>
      <c r="Q14" s="11">
        <f t="shared" si="25"/>
        <v>48163</v>
      </c>
      <c r="R14" s="11">
        <f t="shared" si="25"/>
        <v>48529</v>
      </c>
      <c r="S14" s="11">
        <f t="shared" si="25"/>
        <v>48894</v>
      </c>
      <c r="T14" s="11">
        <f t="shared" si="25"/>
        <v>49259</v>
      </c>
      <c r="U14" s="11">
        <f t="shared" si="25"/>
        <v>49624</v>
      </c>
      <c r="V14" s="11">
        <f t="shared" si="25"/>
        <v>49990</v>
      </c>
      <c r="W14" s="11">
        <f t="shared" si="25"/>
        <v>50355</v>
      </c>
      <c r="X14" s="11">
        <f t="shared" si="25"/>
        <v>50720</v>
      </c>
      <c r="Y14" s="11">
        <f t="shared" si="25"/>
        <v>51085</v>
      </c>
      <c r="Z14" s="11">
        <f t="shared" si="25"/>
        <v>51451</v>
      </c>
      <c r="AA14" s="11">
        <f t="shared" si="25"/>
        <v>51816</v>
      </c>
      <c r="AB14" s="11">
        <f t="shared" si="25"/>
        <v>52181</v>
      </c>
      <c r="AC14" s="11">
        <f t="shared" si="25"/>
        <v>52546</v>
      </c>
      <c r="AD14" s="11">
        <f t="shared" si="25"/>
        <v>52912</v>
      </c>
      <c r="AE14" s="11">
        <f t="shared" si="25"/>
        <v>53277</v>
      </c>
      <c r="AF14" s="11">
        <f t="shared" si="25"/>
        <v>53642</v>
      </c>
      <c r="AG14" s="11">
        <f t="shared" si="25"/>
        <v>54007</v>
      </c>
      <c r="AH14" s="11">
        <f t="shared" si="25"/>
        <v>54373</v>
      </c>
      <c r="AI14" s="11">
        <f t="shared" si="25"/>
        <v>54738</v>
      </c>
      <c r="AJ14" s="11">
        <f t="shared" si="25"/>
        <v>55103</v>
      </c>
      <c r="AK14" s="11">
        <f t="shared" si="25"/>
        <v>55468</v>
      </c>
      <c r="AL14" s="11">
        <f t="shared" si="25"/>
        <v>55834</v>
      </c>
      <c r="AM14" s="11">
        <f t="shared" si="25"/>
        <v>56199</v>
      </c>
      <c r="AN14" s="11">
        <f t="shared" si="25"/>
        <v>56564</v>
      </c>
      <c r="AO14" s="11">
        <f t="shared" si="25"/>
        <v>56929</v>
      </c>
      <c r="AP14" s="11">
        <f t="shared" si="25"/>
        <v>57295</v>
      </c>
      <c r="AQ14" s="11">
        <f t="shared" si="25"/>
        <v>57660</v>
      </c>
      <c r="AR14" s="11">
        <f t="shared" si="25"/>
        <v>58025</v>
      </c>
      <c r="AS14" s="11">
        <f t="shared" si="25"/>
        <v>58390</v>
      </c>
      <c r="AT14" s="11">
        <f t="shared" si="25"/>
        <v>58756</v>
      </c>
      <c r="AU14" s="11">
        <f t="shared" si="25"/>
        <v>59121</v>
      </c>
      <c r="AV14" s="11">
        <f t="shared" si="25"/>
        <v>59486</v>
      </c>
      <c r="AW14" s="11">
        <f t="shared" si="25"/>
        <v>59851</v>
      </c>
      <c r="AX14" s="11">
        <f t="shared" si="25"/>
        <v>60217</v>
      </c>
      <c r="AY14" s="11">
        <f t="shared" si="25"/>
        <v>60582</v>
      </c>
      <c r="AZ14" s="11">
        <f t="shared" si="25"/>
        <v>60947</v>
      </c>
      <c r="BA14" s="11">
        <f t="shared" si="25"/>
        <v>61312</v>
      </c>
      <c r="BB14" s="11">
        <f t="shared" si="25"/>
        <v>61678</v>
      </c>
      <c r="BC14" s="11">
        <f t="shared" si="25"/>
        <v>62043</v>
      </c>
      <c r="BD14" s="11">
        <f t="shared" si="25"/>
        <v>62408</v>
      </c>
      <c r="BE14" s="11">
        <f t="shared" si="25"/>
        <v>62773</v>
      </c>
      <c r="BF14" s="11">
        <f t="shared" si="25"/>
        <v>63139</v>
      </c>
      <c r="BG14" s="11">
        <f t="shared" si="25"/>
        <v>63504</v>
      </c>
      <c r="BH14" s="11">
        <f t="shared" si="25"/>
        <v>63869</v>
      </c>
      <c r="BI14" s="11">
        <f t="shared" si="25"/>
        <v>64234</v>
      </c>
      <c r="BJ14" s="11">
        <f t="shared" si="25"/>
        <v>64600</v>
      </c>
      <c r="BK14" s="11">
        <f t="shared" si="25"/>
        <v>64965</v>
      </c>
      <c r="BL14" s="11">
        <f t="shared" si="25"/>
        <v>65330</v>
      </c>
      <c r="BM14" s="11">
        <f t="shared" si="25"/>
        <v>65695</v>
      </c>
      <c r="BN14" s="11">
        <f t="shared" si="25"/>
        <v>66061</v>
      </c>
      <c r="BO14" s="11">
        <f t="shared" si="25"/>
        <v>66426</v>
      </c>
      <c r="BP14" s="11">
        <f t="shared" si="25"/>
        <v>66791</v>
      </c>
      <c r="BQ14" s="11">
        <f t="shared" si="25"/>
        <v>67156</v>
      </c>
      <c r="BR14" s="11">
        <f t="shared" ref="BR14:CH14" si="26">DATE(BR1,11,11)</f>
        <v>67522</v>
      </c>
      <c r="BS14" s="11">
        <f t="shared" si="26"/>
        <v>67887</v>
      </c>
      <c r="BT14" s="11">
        <f t="shared" si="26"/>
        <v>68252</v>
      </c>
      <c r="BU14" s="11">
        <f t="shared" si="26"/>
        <v>68617</v>
      </c>
      <c r="BV14" s="11">
        <f t="shared" si="26"/>
        <v>68983</v>
      </c>
      <c r="BW14" s="11">
        <f t="shared" si="26"/>
        <v>69348</v>
      </c>
      <c r="BX14" s="11">
        <f t="shared" si="26"/>
        <v>69713</v>
      </c>
      <c r="BY14" s="11">
        <f t="shared" si="26"/>
        <v>70078</v>
      </c>
      <c r="BZ14" s="11">
        <f t="shared" si="26"/>
        <v>70444</v>
      </c>
      <c r="CA14" s="11">
        <f t="shared" si="26"/>
        <v>70809</v>
      </c>
      <c r="CB14" s="11">
        <f t="shared" si="26"/>
        <v>71174</v>
      </c>
      <c r="CC14" s="11">
        <f t="shared" si="26"/>
        <v>71539</v>
      </c>
      <c r="CD14" s="11">
        <f t="shared" si="26"/>
        <v>71905</v>
      </c>
      <c r="CE14" s="11">
        <f t="shared" si="26"/>
        <v>72270</v>
      </c>
      <c r="CF14" s="11">
        <f t="shared" si="26"/>
        <v>72635</v>
      </c>
      <c r="CG14" s="11">
        <f t="shared" si="26"/>
        <v>73000</v>
      </c>
      <c r="CH14" s="11">
        <f t="shared" si="26"/>
        <v>73365</v>
      </c>
    </row>
    <row r="15" spans="1:86" x14ac:dyDescent="0.25">
      <c r="A15" t="s">
        <v>42</v>
      </c>
      <c r="B15" s="11">
        <f>DATE(B1,12,25)</f>
        <v>42729</v>
      </c>
      <c r="C15" s="11">
        <f>DATE(C1,12,25)</f>
        <v>43094</v>
      </c>
      <c r="D15" s="11">
        <f>DATE(D1,12,25)</f>
        <v>43459</v>
      </c>
      <c r="E15" s="11">
        <f>DATE(E1,12,25)</f>
        <v>43824</v>
      </c>
      <c r="F15" s="11">
        <f t="shared" ref="F15:BQ15" si="27">DATE(F1,12,25)</f>
        <v>44190</v>
      </c>
      <c r="G15" s="11">
        <f t="shared" si="27"/>
        <v>44555</v>
      </c>
      <c r="H15" s="11">
        <f t="shared" si="27"/>
        <v>44920</v>
      </c>
      <c r="I15" s="11">
        <f t="shared" si="27"/>
        <v>45285</v>
      </c>
      <c r="J15" s="11">
        <f t="shared" si="27"/>
        <v>45651</v>
      </c>
      <c r="K15" s="11">
        <f t="shared" si="27"/>
        <v>46016</v>
      </c>
      <c r="L15" s="11">
        <f t="shared" si="27"/>
        <v>46381</v>
      </c>
      <c r="M15" s="11">
        <f t="shared" si="27"/>
        <v>46746</v>
      </c>
      <c r="N15" s="11">
        <f t="shared" si="27"/>
        <v>47112</v>
      </c>
      <c r="O15" s="11">
        <f t="shared" si="27"/>
        <v>47477</v>
      </c>
      <c r="P15" s="11">
        <f t="shared" si="27"/>
        <v>47842</v>
      </c>
      <c r="Q15" s="11">
        <f t="shared" si="27"/>
        <v>48207</v>
      </c>
      <c r="R15" s="11">
        <f t="shared" si="27"/>
        <v>48573</v>
      </c>
      <c r="S15" s="11">
        <f t="shared" si="27"/>
        <v>48938</v>
      </c>
      <c r="T15" s="11">
        <f t="shared" si="27"/>
        <v>49303</v>
      </c>
      <c r="U15" s="11">
        <f t="shared" si="27"/>
        <v>49668</v>
      </c>
      <c r="V15" s="11">
        <f t="shared" si="27"/>
        <v>50034</v>
      </c>
      <c r="W15" s="11">
        <f t="shared" si="27"/>
        <v>50399</v>
      </c>
      <c r="X15" s="11">
        <f t="shared" si="27"/>
        <v>50764</v>
      </c>
      <c r="Y15" s="11">
        <f t="shared" si="27"/>
        <v>51129</v>
      </c>
      <c r="Z15" s="11">
        <f t="shared" si="27"/>
        <v>51495</v>
      </c>
      <c r="AA15" s="11">
        <f t="shared" si="27"/>
        <v>51860</v>
      </c>
      <c r="AB15" s="11">
        <f t="shared" si="27"/>
        <v>52225</v>
      </c>
      <c r="AC15" s="11">
        <f t="shared" si="27"/>
        <v>52590</v>
      </c>
      <c r="AD15" s="11">
        <f t="shared" si="27"/>
        <v>52956</v>
      </c>
      <c r="AE15" s="11">
        <f t="shared" si="27"/>
        <v>53321</v>
      </c>
      <c r="AF15" s="11">
        <f t="shared" si="27"/>
        <v>53686</v>
      </c>
      <c r="AG15" s="11">
        <f t="shared" si="27"/>
        <v>54051</v>
      </c>
      <c r="AH15" s="11">
        <f t="shared" si="27"/>
        <v>54417</v>
      </c>
      <c r="AI15" s="11">
        <f t="shared" si="27"/>
        <v>54782</v>
      </c>
      <c r="AJ15" s="11">
        <f t="shared" si="27"/>
        <v>55147</v>
      </c>
      <c r="AK15" s="11">
        <f t="shared" si="27"/>
        <v>55512</v>
      </c>
      <c r="AL15" s="11">
        <f t="shared" si="27"/>
        <v>55878</v>
      </c>
      <c r="AM15" s="11">
        <f t="shared" si="27"/>
        <v>56243</v>
      </c>
      <c r="AN15" s="11">
        <f t="shared" si="27"/>
        <v>56608</v>
      </c>
      <c r="AO15" s="11">
        <f t="shared" si="27"/>
        <v>56973</v>
      </c>
      <c r="AP15" s="11">
        <f t="shared" si="27"/>
        <v>57339</v>
      </c>
      <c r="AQ15" s="11">
        <f t="shared" si="27"/>
        <v>57704</v>
      </c>
      <c r="AR15" s="11">
        <f t="shared" si="27"/>
        <v>58069</v>
      </c>
      <c r="AS15" s="11">
        <f t="shared" si="27"/>
        <v>58434</v>
      </c>
      <c r="AT15" s="11">
        <f t="shared" si="27"/>
        <v>58800</v>
      </c>
      <c r="AU15" s="11">
        <f t="shared" si="27"/>
        <v>59165</v>
      </c>
      <c r="AV15" s="11">
        <f t="shared" si="27"/>
        <v>59530</v>
      </c>
      <c r="AW15" s="11">
        <f t="shared" si="27"/>
        <v>59895</v>
      </c>
      <c r="AX15" s="11">
        <f t="shared" si="27"/>
        <v>60261</v>
      </c>
      <c r="AY15" s="11">
        <f t="shared" si="27"/>
        <v>60626</v>
      </c>
      <c r="AZ15" s="11">
        <f t="shared" si="27"/>
        <v>60991</v>
      </c>
      <c r="BA15" s="11">
        <f t="shared" si="27"/>
        <v>61356</v>
      </c>
      <c r="BB15" s="11">
        <f t="shared" si="27"/>
        <v>61722</v>
      </c>
      <c r="BC15" s="11">
        <f t="shared" si="27"/>
        <v>62087</v>
      </c>
      <c r="BD15" s="11">
        <f t="shared" si="27"/>
        <v>62452</v>
      </c>
      <c r="BE15" s="11">
        <f t="shared" si="27"/>
        <v>62817</v>
      </c>
      <c r="BF15" s="11">
        <f t="shared" si="27"/>
        <v>63183</v>
      </c>
      <c r="BG15" s="11">
        <f t="shared" si="27"/>
        <v>63548</v>
      </c>
      <c r="BH15" s="11">
        <f t="shared" si="27"/>
        <v>63913</v>
      </c>
      <c r="BI15" s="11">
        <f t="shared" si="27"/>
        <v>64278</v>
      </c>
      <c r="BJ15" s="11">
        <f t="shared" si="27"/>
        <v>64644</v>
      </c>
      <c r="BK15" s="11">
        <f t="shared" si="27"/>
        <v>65009</v>
      </c>
      <c r="BL15" s="11">
        <f t="shared" si="27"/>
        <v>65374</v>
      </c>
      <c r="BM15" s="11">
        <f t="shared" si="27"/>
        <v>65739</v>
      </c>
      <c r="BN15" s="11">
        <f t="shared" si="27"/>
        <v>66105</v>
      </c>
      <c r="BO15" s="11">
        <f t="shared" si="27"/>
        <v>66470</v>
      </c>
      <c r="BP15" s="11">
        <f t="shared" si="27"/>
        <v>66835</v>
      </c>
      <c r="BQ15" s="11">
        <f t="shared" si="27"/>
        <v>67200</v>
      </c>
      <c r="BR15" s="11">
        <f t="shared" ref="BR15:CH15" si="28">DATE(BR1,12,25)</f>
        <v>67566</v>
      </c>
      <c r="BS15" s="11">
        <f t="shared" si="28"/>
        <v>67931</v>
      </c>
      <c r="BT15" s="11">
        <f t="shared" si="28"/>
        <v>68296</v>
      </c>
      <c r="BU15" s="11">
        <f t="shared" si="28"/>
        <v>68661</v>
      </c>
      <c r="BV15" s="11">
        <f t="shared" si="28"/>
        <v>69027</v>
      </c>
      <c r="BW15" s="11">
        <f t="shared" si="28"/>
        <v>69392</v>
      </c>
      <c r="BX15" s="11">
        <f t="shared" si="28"/>
        <v>69757</v>
      </c>
      <c r="BY15" s="11">
        <f t="shared" si="28"/>
        <v>70122</v>
      </c>
      <c r="BZ15" s="11">
        <f t="shared" si="28"/>
        <v>70488</v>
      </c>
      <c r="CA15" s="11">
        <f t="shared" si="28"/>
        <v>70853</v>
      </c>
      <c r="CB15" s="11">
        <f t="shared" si="28"/>
        <v>71218</v>
      </c>
      <c r="CC15" s="11">
        <f t="shared" si="28"/>
        <v>71583</v>
      </c>
      <c r="CD15" s="11">
        <f t="shared" si="28"/>
        <v>71949</v>
      </c>
      <c r="CE15" s="11">
        <f t="shared" si="28"/>
        <v>72314</v>
      </c>
      <c r="CF15" s="11">
        <f t="shared" si="28"/>
        <v>72679</v>
      </c>
      <c r="CG15" s="11">
        <f t="shared" si="28"/>
        <v>73044</v>
      </c>
      <c r="CH15" s="11">
        <f t="shared" si="28"/>
        <v>73409</v>
      </c>
    </row>
    <row r="18" spans="2:10" x14ac:dyDescent="0.25">
      <c r="F18" s="213" t="s">
        <v>445</v>
      </c>
      <c r="G18" s="213"/>
      <c r="H18" s="213"/>
      <c r="I18" s="213"/>
      <c r="J18" s="213"/>
    </row>
    <row r="19" spans="2:10" x14ac:dyDescent="0.25">
      <c r="B19" s="4" t="s">
        <v>444</v>
      </c>
    </row>
  </sheetData>
  <mergeCells count="1">
    <mergeCell ref="F18:J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Production</vt:lpstr>
      <vt:lpstr>Demande</vt:lpstr>
      <vt:lpstr>Traitement</vt:lpstr>
      <vt:lpstr>2017</vt:lpstr>
      <vt:lpstr>Recap Dates</vt:lpstr>
      <vt:lpstr>Broyeur1</vt:lpstr>
      <vt:lpstr>Broyeur2</vt:lpstr>
      <vt:lpstr>Broyeur3</vt:lpstr>
      <vt:lpstr>Engin</vt:lpstr>
      <vt:lpstr>JoursFeries</vt:lpstr>
    </vt:vector>
  </TitlesOfParts>
  <Company>Eurovia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GUERIN Benjamin</dc:creator>
  <cp:lastModifiedBy>GUERIN Benjamin</cp:lastModifiedBy>
  <dcterms:created xsi:type="dcterms:W3CDTF">2017-04-18T13:16:38Z</dcterms:created>
  <dcterms:modified xsi:type="dcterms:W3CDTF">2017-06-14T08:27:20Z</dcterms:modified>
</cp:coreProperties>
</file>