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4.xml" ContentType="application/vnd.openxmlformats-officedocument.drawing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saveExternalLinkValues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are\Desktop\"/>
    </mc:Choice>
  </mc:AlternateContent>
  <xr:revisionPtr revIDLastSave="0" documentId="13_ncr:1_{47245C26-62DD-4788-895E-74207E2E587A}" xr6:coauthVersionLast="45" xr6:coauthVersionMax="45" xr10:uidLastSave="{00000000-0000-0000-0000-000000000000}"/>
  <bookViews>
    <workbookView xWindow="-120" yWindow="-120" windowWidth="29040" windowHeight="15840" activeTab="2" xr2:uid="{DA198800-584C-4421-8317-B69FE515898B}"/>
  </bookViews>
  <sheets>
    <sheet name="Mag_vierge" sheetId="31" r:id="rId1"/>
    <sheet name="Mag_1" sheetId="10" r:id="rId2"/>
    <sheet name="Mag_2" sheetId="27" r:id="rId3"/>
    <sheet name="Moyenne" sheetId="2" r:id="rId4"/>
    <sheet name="Liste" sheetId="9" state="hidden" r:id="rId5"/>
  </sheets>
  <externalReferences>
    <externalReference r:id="rId6"/>
  </externalReferences>
  <definedNames>
    <definedName name="COMPTE">[1]Feuil1!$B$2:$B$150</definedName>
    <definedName name="CREDIT">[1]Feuil1!$E$2:$E$150</definedName>
    <definedName name="DEBIT">[1]Feuil1!$D$2:$D$150</definedName>
    <definedName name="I">Liste!$K$9</definedName>
    <definedName name="Liste">Liste!$B$1:$B$36</definedName>
    <definedName name="M">Liste!$L$9</definedName>
    <definedName name="S">Liste!$M$9</definedName>
    <definedName name="TI">Liste!$J$9</definedName>
    <definedName name="TS">Liste!$N$9</definedName>
    <definedName name="TTI">Liste!$I$9</definedName>
    <definedName name="TTS">Liste!$O$9</definedName>
    <definedName name="TTTI">Liste!$H$9</definedName>
    <definedName name="TTTS">Liste!$P$9</definedName>
    <definedName name="_xlnm.Print_Area" localSheetId="1">Mag_1!$AO$4:$BK$53,Mag_1!$BO$5:$CV$36</definedName>
    <definedName name="_xlnm.Print_Area" localSheetId="2">Mag_2!$AO$4:$BK$53,Mag_2!$BO$5:$CV$36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34" i="31" l="1"/>
  <c r="J334" i="31"/>
  <c r="K333" i="31"/>
  <c r="J333" i="31"/>
  <c r="AS7" i="31" s="1"/>
  <c r="K332" i="31"/>
  <c r="J332" i="31"/>
  <c r="AS10" i="31" s="1"/>
  <c r="K331" i="31"/>
  <c r="J331" i="31"/>
  <c r="AS11" i="31" s="1"/>
  <c r="K330" i="31"/>
  <c r="J330" i="31"/>
  <c r="K329" i="31"/>
  <c r="J329" i="31"/>
  <c r="K328" i="31"/>
  <c r="J328" i="31"/>
  <c r="K327" i="31"/>
  <c r="J327" i="31"/>
  <c r="AS31" i="31" s="1"/>
  <c r="K326" i="31"/>
  <c r="J326" i="31"/>
  <c r="K325" i="31"/>
  <c r="J325" i="31"/>
  <c r="K324" i="31"/>
  <c r="J324" i="31"/>
  <c r="K323" i="31"/>
  <c r="J323" i="31"/>
  <c r="AS22" i="31" s="1"/>
  <c r="K322" i="31"/>
  <c r="J322" i="31"/>
  <c r="K321" i="31"/>
  <c r="J321" i="31"/>
  <c r="K320" i="31"/>
  <c r="J320" i="31"/>
  <c r="K319" i="31"/>
  <c r="J319" i="31"/>
  <c r="AS18" i="31" s="1"/>
  <c r="K318" i="31"/>
  <c r="J318" i="31"/>
  <c r="K317" i="31"/>
  <c r="J317" i="31"/>
  <c r="AS24" i="31" s="1"/>
  <c r="K316" i="31"/>
  <c r="J316" i="31"/>
  <c r="K315" i="31"/>
  <c r="J315" i="31"/>
  <c r="AS20" i="31" s="1"/>
  <c r="K314" i="31"/>
  <c r="J314" i="31"/>
  <c r="K313" i="31"/>
  <c r="J313" i="31"/>
  <c r="K312" i="31"/>
  <c r="J312" i="31"/>
  <c r="BF12" i="31" s="1"/>
  <c r="K311" i="31"/>
  <c r="J311" i="31"/>
  <c r="BF11" i="31" s="1"/>
  <c r="K310" i="31"/>
  <c r="J310" i="31"/>
  <c r="K309" i="31"/>
  <c r="J309" i="31"/>
  <c r="K308" i="31"/>
  <c r="J308" i="31"/>
  <c r="K307" i="31"/>
  <c r="J307" i="31"/>
  <c r="K306" i="31"/>
  <c r="J306" i="31"/>
  <c r="K305" i="31"/>
  <c r="J305" i="31"/>
  <c r="BF9" i="31" s="1"/>
  <c r="K304" i="31"/>
  <c r="J304" i="31"/>
  <c r="BF5" i="31" s="1"/>
  <c r="K303" i="31"/>
  <c r="J303" i="31"/>
  <c r="BF7" i="31" s="1"/>
  <c r="K302" i="31"/>
  <c r="J302" i="31"/>
  <c r="K301" i="31"/>
  <c r="J301" i="31"/>
  <c r="BF20" i="31" s="1"/>
  <c r="K300" i="31"/>
  <c r="J300" i="31"/>
  <c r="AS48" i="31"/>
  <c r="AP48" i="31"/>
  <c r="AS47" i="31"/>
  <c r="AP47" i="31"/>
  <c r="AS41" i="31"/>
  <c r="K41" i="31"/>
  <c r="J41" i="31"/>
  <c r="K40" i="31"/>
  <c r="AP7" i="31" s="1"/>
  <c r="J40" i="31"/>
  <c r="K39" i="31"/>
  <c r="J39" i="31"/>
  <c r="K38" i="31"/>
  <c r="J38" i="31"/>
  <c r="K37" i="31"/>
  <c r="J37" i="31"/>
  <c r="BY36" i="31"/>
  <c r="BS36" i="31"/>
  <c r="K36" i="31"/>
  <c r="J36" i="31"/>
  <c r="K35" i="31"/>
  <c r="J35" i="31"/>
  <c r="K34" i="31"/>
  <c r="AP31" i="31" s="1"/>
  <c r="J34" i="31"/>
  <c r="K33" i="31"/>
  <c r="J33" i="31"/>
  <c r="AS32" i="31"/>
  <c r="K32" i="31"/>
  <c r="J32" i="31"/>
  <c r="AP30" i="31" s="1"/>
  <c r="K31" i="31"/>
  <c r="J31" i="31"/>
  <c r="AP38" i="31" s="1"/>
  <c r="AS30" i="31"/>
  <c r="K30" i="31"/>
  <c r="J30" i="31"/>
  <c r="K29" i="31"/>
  <c r="J29" i="31"/>
  <c r="K28" i="31"/>
  <c r="J28" i="31"/>
  <c r="K27" i="31"/>
  <c r="J27" i="31"/>
  <c r="K26" i="31"/>
  <c r="J26" i="31"/>
  <c r="BF25" i="31"/>
  <c r="AS25" i="31"/>
  <c r="K25" i="31"/>
  <c r="J25" i="31"/>
  <c r="K24" i="31"/>
  <c r="J24" i="31"/>
  <c r="AS23" i="31"/>
  <c r="K23" i="31"/>
  <c r="J23" i="31"/>
  <c r="CU22" i="31"/>
  <c r="BY9" i="31" s="1"/>
  <c r="CS22" i="31"/>
  <c r="BF22" i="31"/>
  <c r="K22" i="31"/>
  <c r="J22" i="31"/>
  <c r="K21" i="31"/>
  <c r="J21" i="31"/>
  <c r="K20" i="31"/>
  <c r="J20" i="31"/>
  <c r="K19" i="31"/>
  <c r="J19" i="31"/>
  <c r="K18" i="31"/>
  <c r="J18" i="31"/>
  <c r="K17" i="31"/>
  <c r="J17" i="31"/>
  <c r="K16" i="31"/>
  <c r="J16" i="31"/>
  <c r="K15" i="31"/>
  <c r="J15" i="31"/>
  <c r="K14" i="31"/>
  <c r="J14" i="31"/>
  <c r="K13" i="31"/>
  <c r="J13" i="31"/>
  <c r="CU12" i="31"/>
  <c r="CS12" i="31"/>
  <c r="K12" i="31"/>
  <c r="J12" i="31"/>
  <c r="AP11" i="31"/>
  <c r="K11" i="31"/>
  <c r="J11" i="31"/>
  <c r="BF10" i="31"/>
  <c r="K10" i="31"/>
  <c r="J10" i="31"/>
  <c r="CT9" i="31"/>
  <c r="BS9" i="31"/>
  <c r="K9" i="31"/>
  <c r="J9" i="31"/>
  <c r="K8" i="31"/>
  <c r="J8" i="31"/>
  <c r="K7" i="31"/>
  <c r="J7" i="31"/>
  <c r="BS6" i="31"/>
  <c r="BP6" i="31"/>
  <c r="BF6" i="31"/>
  <c r="AS6" i="31"/>
  <c r="AP6" i="31"/>
  <c r="K6" i="31"/>
  <c r="J6" i="31"/>
  <c r="E6" i="31"/>
  <c r="D6" i="31"/>
  <c r="BF4" i="31"/>
  <c r="BC4" i="31"/>
  <c r="AS4" i="31"/>
  <c r="AP4" i="31"/>
  <c r="BC6" i="31" l="1"/>
  <c r="AP27" i="31"/>
  <c r="BC22" i="31"/>
  <c r="BC25" i="31"/>
  <c r="AP37" i="31"/>
  <c r="BF16" i="31"/>
  <c r="BF23" i="31"/>
  <c r="BF26" i="31" s="1"/>
  <c r="BF29" i="31" s="1"/>
  <c r="AP22" i="31"/>
  <c r="BS30" i="31" s="1"/>
  <c r="AP15" i="31"/>
  <c r="AP32" i="31"/>
  <c r="BC20" i="31"/>
  <c r="BC12" i="31"/>
  <c r="AP17" i="31"/>
  <c r="AP18" i="31"/>
  <c r="BC16" i="31"/>
  <c r="BC10" i="31"/>
  <c r="BC18" i="31"/>
  <c r="BC24" i="31"/>
  <c r="AP20" i="31"/>
  <c r="AS9" i="31"/>
  <c r="BF50" i="31" s="1"/>
  <c r="BF18" i="31"/>
  <c r="BC5" i="31"/>
  <c r="BC9" i="31"/>
  <c r="BC13" i="31" s="1"/>
  <c r="BC23" i="31"/>
  <c r="BC11" i="31"/>
  <c r="AP33" i="31"/>
  <c r="AP41" i="31"/>
  <c r="AP10" i="31"/>
  <c r="AP9" i="31" s="1"/>
  <c r="BC7" i="31"/>
  <c r="AP24" i="31"/>
  <c r="AP23" i="31"/>
  <c r="AP40" i="31"/>
  <c r="BF13" i="31"/>
  <c r="N303" i="31" s="1"/>
  <c r="BF8" i="31"/>
  <c r="J336" i="31"/>
  <c r="AT10" i="31"/>
  <c r="BF24" i="31"/>
  <c r="AS17" i="31"/>
  <c r="AT17" i="31" s="1"/>
  <c r="BY20" i="31" s="1"/>
  <c r="AS27" i="31"/>
  <c r="AS38" i="31"/>
  <c r="N304" i="31" s="1"/>
  <c r="AS40" i="31"/>
  <c r="AS33" i="31"/>
  <c r="AS37" i="31"/>
  <c r="AQ15" i="31"/>
  <c r="BS35" i="31"/>
  <c r="J43" i="31"/>
  <c r="BY27" i="31"/>
  <c r="AP19" i="31"/>
  <c r="AP21" i="31" s="1"/>
  <c r="K43" i="31"/>
  <c r="BS28" i="31"/>
  <c r="O10" i="31"/>
  <c r="AS34" i="31"/>
  <c r="AS15" i="31"/>
  <c r="AT15" i="31" s="1"/>
  <c r="BY28" i="31"/>
  <c r="AP34" i="31"/>
  <c r="BY31" i="31"/>
  <c r="AP5" i="31"/>
  <c r="AQ31" i="31" s="1"/>
  <c r="AS14" i="31"/>
  <c r="AS5" i="31"/>
  <c r="BS27" i="31"/>
  <c r="BY35" i="31"/>
  <c r="BY30" i="31"/>
  <c r="AS26" i="31"/>
  <c r="AP25" i="31"/>
  <c r="AT11" i="31"/>
  <c r="AQ40" i="31"/>
  <c r="K336" i="31"/>
  <c r="AS19" i="31"/>
  <c r="AS21" i="31" s="1"/>
  <c r="D6" i="27"/>
  <c r="E6" i="27"/>
  <c r="BF28" i="31" l="1"/>
  <c r="BF52" i="31"/>
  <c r="BF14" i="31"/>
  <c r="BG9" i="31" s="1"/>
  <c r="BC8" i="31"/>
  <c r="BC26" i="31"/>
  <c r="BC29" i="31" s="1"/>
  <c r="AQ10" i="31"/>
  <c r="AQ11" i="31"/>
  <c r="BC52" i="31"/>
  <c r="BC50" i="31"/>
  <c r="AP26" i="31"/>
  <c r="O11" i="31" s="1"/>
  <c r="AP14" i="31"/>
  <c r="AQ14" i="31" s="1"/>
  <c r="J44" i="31"/>
  <c r="BC17" i="31" s="1"/>
  <c r="BG13" i="31"/>
  <c r="BG24" i="31"/>
  <c r="BG7" i="31"/>
  <c r="BG23" i="31"/>
  <c r="BG6" i="31"/>
  <c r="BG12" i="31"/>
  <c r="BG20" i="31"/>
  <c r="AT38" i="31"/>
  <c r="J338" i="31"/>
  <c r="BF17" i="31" s="1"/>
  <c r="BG17" i="31" s="1"/>
  <c r="AS35" i="31"/>
  <c r="AT35" i="31" s="1"/>
  <c r="AT21" i="31"/>
  <c r="AT22" i="31"/>
  <c r="BF51" i="31"/>
  <c r="AT27" i="31"/>
  <c r="AQ24" i="31"/>
  <c r="AT25" i="31"/>
  <c r="AT18" i="31"/>
  <c r="AP13" i="31"/>
  <c r="AT31" i="31"/>
  <c r="AT20" i="31"/>
  <c r="BY18" i="31"/>
  <c r="P304" i="31"/>
  <c r="R304" i="31" s="1"/>
  <c r="T304" i="31" s="1"/>
  <c r="AT41" i="31"/>
  <c r="BY26" i="31"/>
  <c r="AT23" i="31"/>
  <c r="AT24" i="31"/>
  <c r="BS26" i="31"/>
  <c r="AQ22" i="31"/>
  <c r="AQ18" i="31"/>
  <c r="BS18" i="31"/>
  <c r="Q10" i="31"/>
  <c r="S10" i="31" s="1"/>
  <c r="U10" i="31" s="1"/>
  <c r="AQ30" i="31"/>
  <c r="AQ27" i="31"/>
  <c r="AQ6" i="31"/>
  <c r="AQ37" i="31"/>
  <c r="AT7" i="31"/>
  <c r="AT32" i="31"/>
  <c r="AQ38" i="31"/>
  <c r="AQ17" i="31"/>
  <c r="BS20" i="31" s="1"/>
  <c r="Q7" i="31"/>
  <c r="AT37" i="31"/>
  <c r="AQ20" i="31"/>
  <c r="BF30" i="31"/>
  <c r="AQ41" i="31"/>
  <c r="AT34" i="31"/>
  <c r="AQ33" i="31"/>
  <c r="AQ21" i="31"/>
  <c r="AQ7" i="31"/>
  <c r="AT33" i="31"/>
  <c r="BC51" i="31"/>
  <c r="AT19" i="31"/>
  <c r="AQ25" i="31"/>
  <c r="BS31" i="31"/>
  <c r="N305" i="31"/>
  <c r="AT26" i="31"/>
  <c r="BF32" i="31"/>
  <c r="BG26" i="31"/>
  <c r="BY34" i="31" s="1"/>
  <c r="P301" i="31"/>
  <c r="AQ23" i="31"/>
  <c r="AS13" i="31"/>
  <c r="AS49" i="31" s="1"/>
  <c r="AT14" i="31"/>
  <c r="AQ32" i="31"/>
  <c r="AQ34" i="31"/>
  <c r="AT30" i="31"/>
  <c r="AQ19" i="31"/>
  <c r="AT6" i="31"/>
  <c r="AT40" i="31"/>
  <c r="BG25" i="31"/>
  <c r="BG22" i="31"/>
  <c r="BG18" i="31"/>
  <c r="P302" i="31"/>
  <c r="R303" i="31" s="1"/>
  <c r="T303" i="31" s="1"/>
  <c r="BG10" i="31"/>
  <c r="BG5" i="31"/>
  <c r="BG16" i="31"/>
  <c r="BC19" i="31"/>
  <c r="BC28" i="31"/>
  <c r="BC30" i="31" s="1"/>
  <c r="CO29" i="31" s="1"/>
  <c r="O9" i="31"/>
  <c r="BC14" i="31"/>
  <c r="BD26" i="31" s="1"/>
  <c r="BS34" i="31" s="1"/>
  <c r="K334" i="27"/>
  <c r="J334" i="27"/>
  <c r="K333" i="27"/>
  <c r="J333" i="27"/>
  <c r="K332" i="27"/>
  <c r="J332" i="27"/>
  <c r="K331" i="27"/>
  <c r="J331" i="27"/>
  <c r="AS11" i="27" s="1"/>
  <c r="K330" i="27"/>
  <c r="J330" i="27"/>
  <c r="K329" i="27"/>
  <c r="J329" i="27"/>
  <c r="AS41" i="27" s="1"/>
  <c r="K328" i="27"/>
  <c r="J328" i="27"/>
  <c r="K327" i="27"/>
  <c r="J327" i="27"/>
  <c r="AS31" i="27" s="1"/>
  <c r="K326" i="27"/>
  <c r="J326" i="27"/>
  <c r="K325" i="27"/>
  <c r="J325" i="27"/>
  <c r="K324" i="27"/>
  <c r="J324" i="27"/>
  <c r="K323" i="27"/>
  <c r="J323" i="27"/>
  <c r="AS22" i="27" s="1"/>
  <c r="K322" i="27"/>
  <c r="J322" i="27"/>
  <c r="K321" i="27"/>
  <c r="J321" i="27"/>
  <c r="AS23" i="27" s="1"/>
  <c r="K320" i="27"/>
  <c r="J320" i="27"/>
  <c r="K319" i="27"/>
  <c r="J319" i="27"/>
  <c r="AS18" i="27" s="1"/>
  <c r="K318" i="27"/>
  <c r="J318" i="27"/>
  <c r="K317" i="27"/>
  <c r="J317" i="27"/>
  <c r="AS24" i="27" s="1"/>
  <c r="K316" i="27"/>
  <c r="J316" i="27"/>
  <c r="K315" i="27"/>
  <c r="J315" i="27"/>
  <c r="AS20" i="27" s="1"/>
  <c r="K314" i="27"/>
  <c r="J314" i="27"/>
  <c r="K313" i="27"/>
  <c r="J313" i="27"/>
  <c r="K312" i="27"/>
  <c r="J312" i="27"/>
  <c r="K311" i="27"/>
  <c r="J311" i="27"/>
  <c r="BF11" i="27" s="1"/>
  <c r="K310" i="27"/>
  <c r="J310" i="27"/>
  <c r="K309" i="27"/>
  <c r="J309" i="27"/>
  <c r="K308" i="27"/>
  <c r="J308" i="27"/>
  <c r="K307" i="27"/>
  <c r="J307" i="27"/>
  <c r="BF10" i="27" s="1"/>
  <c r="K306" i="27"/>
  <c r="J306" i="27"/>
  <c r="K305" i="27"/>
  <c r="J305" i="27"/>
  <c r="BF9" i="27" s="1"/>
  <c r="K304" i="27"/>
  <c r="J304" i="27"/>
  <c r="K303" i="27"/>
  <c r="J303" i="27"/>
  <c r="K302" i="27"/>
  <c r="J302" i="27"/>
  <c r="K301" i="27"/>
  <c r="J301" i="27"/>
  <c r="K300" i="27"/>
  <c r="J300" i="27"/>
  <c r="E300" i="27"/>
  <c r="D300" i="27"/>
  <c r="AS48" i="27"/>
  <c r="AP48" i="27"/>
  <c r="H46" i="2" s="1"/>
  <c r="AS47" i="27"/>
  <c r="AP47" i="27"/>
  <c r="H45" i="2" s="1"/>
  <c r="K41" i="27"/>
  <c r="J41" i="27"/>
  <c r="AS40" i="27"/>
  <c r="K40" i="27"/>
  <c r="J40" i="27"/>
  <c r="K39" i="27"/>
  <c r="J39" i="27"/>
  <c r="AS38" i="27"/>
  <c r="N304" i="27" s="1"/>
  <c r="K38" i="27"/>
  <c r="J38" i="27"/>
  <c r="AS37" i="27"/>
  <c r="K37" i="27"/>
  <c r="J37" i="27"/>
  <c r="BY36" i="27"/>
  <c r="BS36" i="27"/>
  <c r="K36" i="27"/>
  <c r="J36" i="27"/>
  <c r="K35" i="27"/>
  <c r="J35" i="27"/>
  <c r="K34" i="27"/>
  <c r="J34" i="27"/>
  <c r="AS33" i="27"/>
  <c r="K33" i="27"/>
  <c r="J33" i="27"/>
  <c r="AS32" i="27"/>
  <c r="K32" i="27"/>
  <c r="J32" i="27"/>
  <c r="K31" i="27"/>
  <c r="J31" i="27"/>
  <c r="AS30" i="27"/>
  <c r="K30" i="27"/>
  <c r="J30" i="27"/>
  <c r="K29" i="27"/>
  <c r="J29" i="27"/>
  <c r="K28" i="27"/>
  <c r="J28" i="27"/>
  <c r="AS27" i="27"/>
  <c r="K27" i="27"/>
  <c r="J27" i="27"/>
  <c r="K26" i="27"/>
  <c r="J26" i="27"/>
  <c r="BF25" i="27"/>
  <c r="AS25" i="27"/>
  <c r="K25" i="27"/>
  <c r="J25" i="27"/>
  <c r="BF24" i="27"/>
  <c r="K24" i="27"/>
  <c r="J24" i="27"/>
  <c r="BF23" i="27"/>
  <c r="K23" i="27"/>
  <c r="J23" i="27"/>
  <c r="CU22" i="27"/>
  <c r="BY9" i="27" s="1"/>
  <c r="CS22" i="27"/>
  <c r="BS6" i="27" s="1"/>
  <c r="BF22" i="27"/>
  <c r="K22" i="27"/>
  <c r="J22" i="27"/>
  <c r="K21" i="27"/>
  <c r="J21" i="27"/>
  <c r="K20" i="27"/>
  <c r="J20" i="27"/>
  <c r="AS19" i="27"/>
  <c r="K19" i="27"/>
  <c r="J19" i="27"/>
  <c r="K18" i="27"/>
  <c r="J18" i="27"/>
  <c r="AS17" i="27"/>
  <c r="K17" i="27"/>
  <c r="J17" i="27"/>
  <c r="K16" i="27"/>
  <c r="J16" i="27"/>
  <c r="K15" i="27"/>
  <c r="J15" i="27"/>
  <c r="K14" i="27"/>
  <c r="J14" i="27"/>
  <c r="K13" i="27"/>
  <c r="J13" i="27"/>
  <c r="CU12" i="27"/>
  <c r="CS12" i="27"/>
  <c r="BF12" i="27"/>
  <c r="K12" i="27"/>
  <c r="J12" i="27"/>
  <c r="K11" i="27"/>
  <c r="J11" i="27"/>
  <c r="AS10" i="27"/>
  <c r="K10" i="27"/>
  <c r="J10" i="27"/>
  <c r="CT9" i="27"/>
  <c r="K9" i="27"/>
  <c r="J9" i="27"/>
  <c r="K8" i="27"/>
  <c r="J8" i="27"/>
  <c r="AS7" i="27"/>
  <c r="K7" i="27"/>
  <c r="J7" i="27"/>
  <c r="BF6" i="27"/>
  <c r="AS6" i="27"/>
  <c r="AP6" i="27"/>
  <c r="H8" i="2" s="1"/>
  <c r="K6" i="27"/>
  <c r="J6" i="27"/>
  <c r="BF5" i="27"/>
  <c r="BF4" i="27"/>
  <c r="BC4" i="27"/>
  <c r="AS4" i="27"/>
  <c r="AP4" i="27"/>
  <c r="BG11" i="31" l="1"/>
  <c r="BF18" i="27"/>
  <c r="AQ26" i="31"/>
  <c r="BG8" i="31"/>
  <c r="AP35" i="31"/>
  <c r="AQ35" i="31" s="1"/>
  <c r="BF19" i="31"/>
  <c r="BF21" i="31" s="1"/>
  <c r="CO25" i="31"/>
  <c r="CO26" i="31"/>
  <c r="Q8" i="31"/>
  <c r="S9" i="31" s="1"/>
  <c r="U9" i="31" s="1"/>
  <c r="BD18" i="31"/>
  <c r="BD20" i="31"/>
  <c r="BD12" i="31"/>
  <c r="BD5" i="31"/>
  <c r="BD9" i="31"/>
  <c r="BD16" i="31"/>
  <c r="BD23" i="31"/>
  <c r="BD25" i="31"/>
  <c r="BD7" i="31"/>
  <c r="BD10" i="31"/>
  <c r="BD11" i="31"/>
  <c r="BD22" i="31"/>
  <c r="BD24" i="31"/>
  <c r="BD6" i="31"/>
  <c r="BD8" i="31"/>
  <c r="AS29" i="31"/>
  <c r="AT13" i="31"/>
  <c r="BY19" i="31" s="1"/>
  <c r="AS50" i="31"/>
  <c r="AS36" i="31"/>
  <c r="CO23" i="31"/>
  <c r="AP29" i="31"/>
  <c r="AP50" i="31"/>
  <c r="AQ13" i="31"/>
  <c r="BS19" i="31" s="1"/>
  <c r="BD13" i="31"/>
  <c r="BC21" i="31"/>
  <c r="BD19" i="31"/>
  <c r="BD17" i="31"/>
  <c r="BC32" i="31"/>
  <c r="AP49" i="31"/>
  <c r="BF16" i="27"/>
  <c r="BF20" i="27"/>
  <c r="BF26" i="27" s="1"/>
  <c r="BF29" i="27" s="1"/>
  <c r="BF7" i="27"/>
  <c r="BF8" i="27" s="1"/>
  <c r="AS5" i="27"/>
  <c r="J336" i="27"/>
  <c r="AP7" i="27"/>
  <c r="H9" i="2" s="1"/>
  <c r="BP6" i="27"/>
  <c r="K336" i="27"/>
  <c r="AS34" i="27"/>
  <c r="BY30" i="27"/>
  <c r="BS9" i="27"/>
  <c r="BC25" i="27"/>
  <c r="H70" i="2" s="1"/>
  <c r="AP40" i="27"/>
  <c r="H42" i="2" s="1"/>
  <c r="AP31" i="27"/>
  <c r="H33" i="2" s="1"/>
  <c r="AP22" i="27"/>
  <c r="AP11" i="27"/>
  <c r="H13" i="2" s="1"/>
  <c r="AP30" i="27"/>
  <c r="H32" i="2" s="1"/>
  <c r="AP37" i="27"/>
  <c r="H39" i="2" s="1"/>
  <c r="AP10" i="27"/>
  <c r="H12" i="2" s="1"/>
  <c r="BC18" i="27"/>
  <c r="H63" i="2" s="1"/>
  <c r="AP18" i="27"/>
  <c r="H20" i="2" s="1"/>
  <c r="AP24" i="27"/>
  <c r="H26" i="2" s="1"/>
  <c r="BC6" i="27"/>
  <c r="H51" i="2" s="1"/>
  <c r="BC5" i="27"/>
  <c r="H50" i="2" s="1"/>
  <c r="AP23" i="27"/>
  <c r="H25" i="2" s="1"/>
  <c r="AP25" i="27"/>
  <c r="BC9" i="27"/>
  <c r="H54" i="2" s="1"/>
  <c r="BC11" i="27"/>
  <c r="H56" i="2" s="1"/>
  <c r="AP20" i="27"/>
  <c r="H22" i="2" s="1"/>
  <c r="AP27" i="27"/>
  <c r="H29" i="2" s="1"/>
  <c r="AP38" i="27"/>
  <c r="H40" i="2" s="1"/>
  <c r="BC10" i="27"/>
  <c r="H55" i="2" s="1"/>
  <c r="AP17" i="27"/>
  <c r="H19" i="2" s="1"/>
  <c r="BC16" i="27"/>
  <c r="H61" i="2" s="1"/>
  <c r="BC22" i="27"/>
  <c r="H67" i="2" s="1"/>
  <c r="AP5" i="27"/>
  <c r="J43" i="27"/>
  <c r="BC12" i="27"/>
  <c r="H57" i="2" s="1"/>
  <c r="BC23" i="27"/>
  <c r="H68" i="2" s="1"/>
  <c r="BC24" i="27"/>
  <c r="H69" i="2" s="1"/>
  <c r="AP19" i="27"/>
  <c r="H21" i="2" s="1"/>
  <c r="AP32" i="27"/>
  <c r="H34" i="2" s="1"/>
  <c r="AP33" i="27"/>
  <c r="H35" i="2" s="1"/>
  <c r="AP41" i="27"/>
  <c r="BC7" i="27"/>
  <c r="H52" i="2" s="1"/>
  <c r="BF51" i="27"/>
  <c r="AT18" i="27"/>
  <c r="AT19" i="27"/>
  <c r="AQ24" i="27"/>
  <c r="BS27" i="27"/>
  <c r="AP14" i="27"/>
  <c r="BC20" i="27"/>
  <c r="H65" i="2" s="1"/>
  <c r="BS28" i="27"/>
  <c r="AT41" i="27"/>
  <c r="BY26" i="27"/>
  <c r="AT24" i="27"/>
  <c r="AT23" i="27"/>
  <c r="P304" i="27"/>
  <c r="R304" i="27" s="1"/>
  <c r="T304" i="27" s="1"/>
  <c r="AT38" i="27"/>
  <c r="AT37" i="27"/>
  <c r="AT31" i="27"/>
  <c r="AT20" i="27"/>
  <c r="BY18" i="27"/>
  <c r="AT17" i="27"/>
  <c r="BY20" i="27" s="1"/>
  <c r="AT30" i="27"/>
  <c r="AT27" i="27"/>
  <c r="AT6" i="27"/>
  <c r="AS14" i="27"/>
  <c r="BY27" i="27"/>
  <c r="AS9" i="27"/>
  <c r="AT10" i="27" s="1"/>
  <c r="BF13" i="27"/>
  <c r="AT25" i="27"/>
  <c r="AT34" i="27"/>
  <c r="AT32" i="27"/>
  <c r="AT33" i="27"/>
  <c r="AT40" i="27"/>
  <c r="BY28" i="27"/>
  <c r="AT7" i="27"/>
  <c r="AS15" i="27"/>
  <c r="AT15" i="27" s="1"/>
  <c r="BY35" i="27"/>
  <c r="K43" i="27"/>
  <c r="J44" i="27" s="1"/>
  <c r="BC17" i="27" s="1"/>
  <c r="H62" i="2" s="1"/>
  <c r="AS21" i="27"/>
  <c r="BY31" i="27"/>
  <c r="AT22" i="27"/>
  <c r="AS26" i="27"/>
  <c r="BG19" i="31" l="1"/>
  <c r="AP26" i="27"/>
  <c r="H28" i="2" s="1"/>
  <c r="AP36" i="31"/>
  <c r="P305" i="31"/>
  <c r="R305" i="31" s="1"/>
  <c r="T305" i="31" s="1"/>
  <c r="N301" i="31"/>
  <c r="R301" i="31" s="1"/>
  <c r="T301" i="31" s="1"/>
  <c r="BY23" i="31"/>
  <c r="AT29" i="31"/>
  <c r="BD21" i="31"/>
  <c r="O8" i="31"/>
  <c r="S8" i="31" s="1"/>
  <c r="U8" i="31" s="1"/>
  <c r="AS39" i="31"/>
  <c r="AT36" i="31"/>
  <c r="BY21" i="31" s="1"/>
  <c r="CO24" i="31"/>
  <c r="AQ29" i="31"/>
  <c r="BS23" i="31"/>
  <c r="Q11" i="31"/>
  <c r="S11" i="31" s="1"/>
  <c r="U11" i="31" s="1"/>
  <c r="O7" i="31"/>
  <c r="S7" i="31" s="1"/>
  <c r="U7" i="31" s="1"/>
  <c r="U12" i="31" s="1"/>
  <c r="BS10" i="31" s="1"/>
  <c r="AP39" i="31"/>
  <c r="AQ36" i="31"/>
  <c r="BS21" i="31" s="1"/>
  <c r="BG21" i="31"/>
  <c r="N302" i="31"/>
  <c r="R302" i="31" s="1"/>
  <c r="T302" i="31" s="1"/>
  <c r="J338" i="27"/>
  <c r="BF17" i="27" s="1"/>
  <c r="BF19" i="27" s="1"/>
  <c r="AQ41" i="27"/>
  <c r="H43" i="2"/>
  <c r="AQ31" i="27"/>
  <c r="H7" i="2"/>
  <c r="I8" i="2" s="1"/>
  <c r="AQ14" i="27"/>
  <c r="H16" i="2"/>
  <c r="I16" i="2" s="1"/>
  <c r="I35" i="2"/>
  <c r="BS30" i="27"/>
  <c r="H24" i="2"/>
  <c r="BS31" i="27"/>
  <c r="H27" i="2"/>
  <c r="I20" i="2"/>
  <c r="AQ22" i="27"/>
  <c r="AQ37" i="27"/>
  <c r="AP15" i="27"/>
  <c r="H17" i="2" s="1"/>
  <c r="I17" i="2" s="1"/>
  <c r="BF50" i="27"/>
  <c r="BC51" i="27"/>
  <c r="AQ30" i="27"/>
  <c r="AQ25" i="27"/>
  <c r="AQ33" i="27"/>
  <c r="AP9" i="27"/>
  <c r="AQ10" i="27" s="1"/>
  <c r="AQ32" i="27"/>
  <c r="AQ6" i="27"/>
  <c r="Q10" i="27"/>
  <c r="AQ17" i="27"/>
  <c r="BS20" i="27" s="1"/>
  <c r="CO25" i="27" s="1"/>
  <c r="AQ23" i="27"/>
  <c r="AQ20" i="27"/>
  <c r="AQ18" i="27"/>
  <c r="AP34" i="27"/>
  <c r="AQ27" i="27"/>
  <c r="AQ19" i="27"/>
  <c r="AQ7" i="27"/>
  <c r="AQ40" i="27"/>
  <c r="BS18" i="27"/>
  <c r="BS26" i="27"/>
  <c r="AQ38" i="27"/>
  <c r="AP21" i="27"/>
  <c r="BC8" i="27"/>
  <c r="H53" i="2" s="1"/>
  <c r="BC13" i="27"/>
  <c r="O10" i="27"/>
  <c r="AT21" i="27"/>
  <c r="AS35" i="27"/>
  <c r="AT35" i="27" s="1"/>
  <c r="AT11" i="27"/>
  <c r="BF14" i="27"/>
  <c r="BG13" i="27" s="1"/>
  <c r="AQ26" i="27"/>
  <c r="O11" i="27"/>
  <c r="CO23" i="27"/>
  <c r="BF52" i="27"/>
  <c r="N305" i="27"/>
  <c r="AT26" i="27"/>
  <c r="P301" i="27"/>
  <c r="BF21" i="27"/>
  <c r="N303" i="27"/>
  <c r="BF28" i="27"/>
  <c r="BF30" i="27" s="1"/>
  <c r="AS13" i="27"/>
  <c r="AS49" i="27" s="1"/>
  <c r="AT14" i="27"/>
  <c r="BS35" i="27"/>
  <c r="BC26" i="27"/>
  <c r="H71" i="2" s="1"/>
  <c r="BC19" i="27"/>
  <c r="H64" i="2" s="1"/>
  <c r="BY36" i="10"/>
  <c r="BS36" i="10"/>
  <c r="CU12" i="10"/>
  <c r="CS12" i="10"/>
  <c r="CU22" i="10"/>
  <c r="CS22" i="10"/>
  <c r="BF4" i="10"/>
  <c r="BC4" i="10"/>
  <c r="AP48" i="10"/>
  <c r="F46" i="2" s="1"/>
  <c r="AP47" i="10"/>
  <c r="F45" i="2" s="1"/>
  <c r="AS4" i="10"/>
  <c r="AP4" i="10"/>
  <c r="AS48" i="10"/>
  <c r="AS47" i="10"/>
  <c r="J7" i="10"/>
  <c r="K7" i="10"/>
  <c r="J8" i="10"/>
  <c r="K8" i="10"/>
  <c r="J9" i="10"/>
  <c r="K9" i="10"/>
  <c r="J10" i="10"/>
  <c r="K10" i="10"/>
  <c r="BC5" i="10" s="1"/>
  <c r="F50" i="2" s="1"/>
  <c r="J11" i="10"/>
  <c r="K11" i="10"/>
  <c r="J12" i="10"/>
  <c r="K12" i="10"/>
  <c r="J13" i="10"/>
  <c r="K13" i="10"/>
  <c r="J14" i="10"/>
  <c r="K14" i="10"/>
  <c r="BC10" i="10" s="1"/>
  <c r="J15" i="10"/>
  <c r="K15" i="10"/>
  <c r="J16" i="10"/>
  <c r="K16" i="10"/>
  <c r="J17" i="10"/>
  <c r="K17" i="10"/>
  <c r="J18" i="10"/>
  <c r="K18" i="10"/>
  <c r="BC11" i="10" s="1"/>
  <c r="F56" i="2" s="1"/>
  <c r="J19" i="10"/>
  <c r="K19" i="10"/>
  <c r="J20" i="10"/>
  <c r="BC25" i="10" s="1"/>
  <c r="F70" i="2" s="1"/>
  <c r="K20" i="10"/>
  <c r="J21" i="10"/>
  <c r="K21" i="10"/>
  <c r="J22" i="10"/>
  <c r="K22" i="10"/>
  <c r="J23" i="10"/>
  <c r="K23" i="10"/>
  <c r="J24" i="10"/>
  <c r="K24" i="10"/>
  <c r="J25" i="10"/>
  <c r="K25" i="10"/>
  <c r="J26" i="10"/>
  <c r="K26" i="10"/>
  <c r="AP18" i="10" s="1"/>
  <c r="J27" i="10"/>
  <c r="K27" i="10"/>
  <c r="J28" i="10"/>
  <c r="K28" i="10"/>
  <c r="J29" i="10"/>
  <c r="K29" i="10"/>
  <c r="J30" i="10"/>
  <c r="K30" i="10"/>
  <c r="J31" i="10"/>
  <c r="K31" i="10"/>
  <c r="J32" i="10"/>
  <c r="K32" i="10"/>
  <c r="J33" i="10"/>
  <c r="K33" i="10"/>
  <c r="J34" i="10"/>
  <c r="K34" i="10"/>
  <c r="AP31" i="10" s="1"/>
  <c r="J35" i="10"/>
  <c r="K35" i="10"/>
  <c r="J36" i="10"/>
  <c r="K36" i="10"/>
  <c r="J37" i="10"/>
  <c r="AP37" i="10" s="1"/>
  <c r="F39" i="2" s="1"/>
  <c r="K37" i="10"/>
  <c r="J38" i="10"/>
  <c r="K38" i="10"/>
  <c r="AP11" i="10" s="1"/>
  <c r="F13" i="2" s="1"/>
  <c r="J39" i="10"/>
  <c r="K39" i="10"/>
  <c r="J40" i="10"/>
  <c r="K40" i="10"/>
  <c r="J41" i="10"/>
  <c r="K41" i="10"/>
  <c r="J301" i="10"/>
  <c r="K301" i="10"/>
  <c r="J302" i="10"/>
  <c r="K302" i="10"/>
  <c r="J303" i="10"/>
  <c r="K303" i="10"/>
  <c r="J304" i="10"/>
  <c r="BF5" i="10" s="1"/>
  <c r="K304" i="10"/>
  <c r="J305" i="10"/>
  <c r="K305" i="10"/>
  <c r="J306" i="10"/>
  <c r="K306" i="10"/>
  <c r="J307" i="10"/>
  <c r="BF10" i="10" s="1"/>
  <c r="K307" i="10"/>
  <c r="J308" i="10"/>
  <c r="BF23" i="10" s="1"/>
  <c r="K308" i="10"/>
  <c r="J309" i="10"/>
  <c r="K309" i="10"/>
  <c r="J310" i="10"/>
  <c r="K310" i="10"/>
  <c r="J311" i="10"/>
  <c r="K311" i="10"/>
  <c r="J312" i="10"/>
  <c r="BF12" i="10" s="1"/>
  <c r="K312" i="10"/>
  <c r="J313" i="10"/>
  <c r="K313" i="10"/>
  <c r="J314" i="10"/>
  <c r="K314" i="10"/>
  <c r="J315" i="10"/>
  <c r="K315" i="10"/>
  <c r="J316" i="10"/>
  <c r="AS32" i="10" s="1"/>
  <c r="K316" i="10"/>
  <c r="J317" i="10"/>
  <c r="K317" i="10"/>
  <c r="AS24" i="10" s="1"/>
  <c r="J318" i="10"/>
  <c r="K318" i="10"/>
  <c r="J319" i="10"/>
  <c r="AS18" i="10" s="1"/>
  <c r="K319" i="10"/>
  <c r="J320" i="10"/>
  <c r="AS27" i="10" s="1"/>
  <c r="K320" i="10"/>
  <c r="J321" i="10"/>
  <c r="K321" i="10"/>
  <c r="AS23" i="10" s="1"/>
  <c r="J322" i="10"/>
  <c r="K322" i="10"/>
  <c r="J323" i="10"/>
  <c r="AS22" i="10" s="1"/>
  <c r="BY30" i="10" s="1"/>
  <c r="K323" i="10"/>
  <c r="J324" i="10"/>
  <c r="AS38" i="10" s="1"/>
  <c r="K324" i="10"/>
  <c r="J325" i="10"/>
  <c r="K325" i="10"/>
  <c r="AS30" i="10" s="1"/>
  <c r="J326" i="10"/>
  <c r="K326" i="10"/>
  <c r="J327" i="10"/>
  <c r="K327" i="10"/>
  <c r="J328" i="10"/>
  <c r="AS33" i="10" s="1"/>
  <c r="K328" i="10"/>
  <c r="J329" i="10"/>
  <c r="K329" i="10"/>
  <c r="AS41" i="10" s="1"/>
  <c r="J330" i="10"/>
  <c r="K330" i="10"/>
  <c r="J331" i="10"/>
  <c r="AS11" i="10" s="1"/>
  <c r="K331" i="10"/>
  <c r="J332" i="10"/>
  <c r="AS10" i="10" s="1"/>
  <c r="K332" i="10"/>
  <c r="J333" i="10"/>
  <c r="K333" i="10"/>
  <c r="AS7" i="10" s="1"/>
  <c r="J334" i="10"/>
  <c r="K334" i="10"/>
  <c r="K300" i="10"/>
  <c r="BF16" i="10" s="1"/>
  <c r="J300" i="10"/>
  <c r="K6" i="10"/>
  <c r="J6" i="10"/>
  <c r="E6" i="10"/>
  <c r="D6" i="10"/>
  <c r="BC9" i="10"/>
  <c r="F54" i="2" s="1"/>
  <c r="BC12" i="10"/>
  <c r="F57" i="2" s="1"/>
  <c r="BC22" i="10"/>
  <c r="F67" i="2" s="1"/>
  <c r="BC23" i="10"/>
  <c r="F68" i="2" s="1"/>
  <c r="BC24" i="10"/>
  <c r="F69" i="2" s="1"/>
  <c r="BC20" i="10"/>
  <c r="BS35" i="10" s="1"/>
  <c r="BC7" i="10"/>
  <c r="F52" i="2"/>
  <c r="AP10" i="10"/>
  <c r="F12" i="2" s="1"/>
  <c r="AP17" i="10"/>
  <c r="F19" i="2" s="1"/>
  <c r="AP19" i="10"/>
  <c r="F21" i="2" s="1"/>
  <c r="AP22" i="10"/>
  <c r="BS30" i="10" s="1"/>
  <c r="AP25" i="10"/>
  <c r="BS31" i="10" s="1"/>
  <c r="AP27" i="10"/>
  <c r="F29" i="2" s="1"/>
  <c r="AP32" i="10"/>
  <c r="F34" i="2" s="1"/>
  <c r="BF20" i="10"/>
  <c r="BF25" i="10"/>
  <c r="BF18" i="10"/>
  <c r="BF6" i="10"/>
  <c r="BF9" i="10"/>
  <c r="C3" i="2" a="1"/>
  <c r="C3" i="2" s="1"/>
  <c r="CT9" i="10"/>
  <c r="BY9" i="10"/>
  <c r="BS9" i="10"/>
  <c r="BS6" i="10"/>
  <c r="AS6" i="10" l="1"/>
  <c r="AS37" i="10"/>
  <c r="AS40" i="10"/>
  <c r="AS25" i="10"/>
  <c r="AS17" i="10"/>
  <c r="AS19" i="10"/>
  <c r="BF24" i="10"/>
  <c r="BF22" i="10"/>
  <c r="BF26" i="10" s="1"/>
  <c r="AP33" i="10"/>
  <c r="F35" i="2" s="1"/>
  <c r="BP6" i="10"/>
  <c r="I21" i="2"/>
  <c r="AS31" i="10"/>
  <c r="AS34" i="10" s="1"/>
  <c r="AT34" i="10" s="1"/>
  <c r="K336" i="10"/>
  <c r="BF11" i="10"/>
  <c r="BF13" i="10" s="1"/>
  <c r="BF7" i="10"/>
  <c r="BF8" i="10" s="1"/>
  <c r="AP7" i="10"/>
  <c r="AP41" i="10"/>
  <c r="F43" i="2" s="1"/>
  <c r="AP30" i="10"/>
  <c r="F32" i="2" s="1"/>
  <c r="AP23" i="10"/>
  <c r="F25" i="2" s="1"/>
  <c r="AP24" i="10"/>
  <c r="F26" i="2" s="1"/>
  <c r="BC18" i="10"/>
  <c r="F63" i="2" s="1"/>
  <c r="BC6" i="10"/>
  <c r="F51" i="2" s="1"/>
  <c r="D51" i="2" s="1"/>
  <c r="BI6" i="31" s="1"/>
  <c r="AQ15" i="27"/>
  <c r="I34" i="2"/>
  <c r="AS42" i="31"/>
  <c r="AT39" i="31"/>
  <c r="CO27" i="31"/>
  <c r="T306" i="31"/>
  <c r="BY10" i="31" s="1"/>
  <c r="AP42" i="31"/>
  <c r="AQ39" i="31"/>
  <c r="AS5" i="10"/>
  <c r="AT38" i="10" s="1"/>
  <c r="AS14" i="10"/>
  <c r="BY27" i="10"/>
  <c r="AS9" i="10"/>
  <c r="AT10" i="10" s="1"/>
  <c r="AT37" i="10"/>
  <c r="AT40" i="10"/>
  <c r="N304" i="10"/>
  <c r="AT25" i="10"/>
  <c r="BY31" i="10"/>
  <c r="AT27" i="10"/>
  <c r="AT17" i="10"/>
  <c r="BY20" i="10" s="1"/>
  <c r="AT32" i="10"/>
  <c r="AT19" i="10"/>
  <c r="AT33" i="10"/>
  <c r="AS15" i="10"/>
  <c r="AT15" i="10" s="1"/>
  <c r="AT7" i="10"/>
  <c r="BY28" i="10"/>
  <c r="AT31" i="10"/>
  <c r="AS26" i="10"/>
  <c r="AT23" i="10"/>
  <c r="AT24" i="10"/>
  <c r="AT18" i="10"/>
  <c r="BF51" i="10"/>
  <c r="AS20" i="10"/>
  <c r="AT20" i="10" s="1"/>
  <c r="J336" i="10"/>
  <c r="J338" i="10" s="1"/>
  <c r="BF17" i="10" s="1"/>
  <c r="BY35" i="10"/>
  <c r="I26" i="2"/>
  <c r="AP13" i="27"/>
  <c r="H15" i="2" s="1"/>
  <c r="H47" i="2" s="1"/>
  <c r="I25" i="2"/>
  <c r="I9" i="2"/>
  <c r="I27" i="2"/>
  <c r="I24" i="2"/>
  <c r="I42" i="2"/>
  <c r="I22" i="2"/>
  <c r="I33" i="2"/>
  <c r="I43" i="2"/>
  <c r="I32" i="2"/>
  <c r="I19" i="2"/>
  <c r="I39" i="2"/>
  <c r="I29" i="2"/>
  <c r="I40" i="2"/>
  <c r="I28" i="2"/>
  <c r="BC28" i="27"/>
  <c r="H73" i="2" s="1"/>
  <c r="H58" i="2"/>
  <c r="AQ21" i="27"/>
  <c r="H23" i="2"/>
  <c r="I23" i="2" s="1"/>
  <c r="AQ34" i="27"/>
  <c r="H36" i="2"/>
  <c r="I36" i="2" s="1"/>
  <c r="BC52" i="27"/>
  <c r="H11" i="2"/>
  <c r="AP40" i="10"/>
  <c r="F42" i="2" s="1"/>
  <c r="AP38" i="10"/>
  <c r="F40" i="2" s="1"/>
  <c r="F65" i="2"/>
  <c r="D65" i="2" s="1"/>
  <c r="J43" i="10"/>
  <c r="K43" i="10"/>
  <c r="AP6" i="10"/>
  <c r="AP14" i="10" s="1"/>
  <c r="BS28" i="10"/>
  <c r="AP15" i="10"/>
  <c r="F9" i="2"/>
  <c r="D9" i="2" s="1"/>
  <c r="F20" i="2"/>
  <c r="D20" i="2" s="1"/>
  <c r="AV18" i="31" s="1"/>
  <c r="AP34" i="10"/>
  <c r="F36" i="2" s="1"/>
  <c r="F33" i="2"/>
  <c r="D33" i="2" s="1"/>
  <c r="AV31" i="31" s="1"/>
  <c r="BC13" i="10"/>
  <c r="BC28" i="10" s="1"/>
  <c r="F55" i="2"/>
  <c r="D55" i="2" s="1"/>
  <c r="BI10" i="31" s="1"/>
  <c r="F24" i="2"/>
  <c r="D24" i="2" s="1"/>
  <c r="AP20" i="10"/>
  <c r="F22" i="2" s="1"/>
  <c r="D22" i="2" s="1"/>
  <c r="AV20" i="31" s="1"/>
  <c r="BC26" i="10"/>
  <c r="BC29" i="10" s="1"/>
  <c r="F74" i="2" s="1"/>
  <c r="BC16" i="10"/>
  <c r="F61" i="2" s="1"/>
  <c r="D61" i="2" s="1"/>
  <c r="BI16" i="31" s="1"/>
  <c r="Q7" i="10"/>
  <c r="F58" i="2"/>
  <c r="AP9" i="10"/>
  <c r="F11" i="2" s="1"/>
  <c r="G13" i="2" s="1"/>
  <c r="BC8" i="10"/>
  <c r="AP5" i="10"/>
  <c r="BC51" i="10" s="1"/>
  <c r="F27" i="2"/>
  <c r="D27" i="2" s="1"/>
  <c r="AP26" i="10"/>
  <c r="AQ10" i="10"/>
  <c r="O10" i="10"/>
  <c r="D13" i="2"/>
  <c r="D43" i="2"/>
  <c r="AV41" i="31" s="1"/>
  <c r="D56" i="2"/>
  <c r="BI11" i="31" s="1"/>
  <c r="D32" i="2"/>
  <c r="AV30" i="31" s="1"/>
  <c r="D57" i="2"/>
  <c r="BI12" i="31" s="1"/>
  <c r="D25" i="2"/>
  <c r="AV23" i="31" s="1"/>
  <c r="D21" i="2"/>
  <c r="AV19" i="31" s="1"/>
  <c r="D52" i="2"/>
  <c r="BI7" i="31" s="1"/>
  <c r="D42" i="2"/>
  <c r="AV40" i="31" s="1"/>
  <c r="D19" i="2"/>
  <c r="AV17" i="31" s="1"/>
  <c r="D26" i="2"/>
  <c r="AV24" i="31" s="1"/>
  <c r="D39" i="2"/>
  <c r="AV37" i="31" s="1"/>
  <c r="D34" i="2"/>
  <c r="AV32" i="31" s="1"/>
  <c r="D67" i="2"/>
  <c r="BI22" i="31" s="1"/>
  <c r="D70" i="2"/>
  <c r="BI25" i="31" s="1"/>
  <c r="D50" i="2"/>
  <c r="BI5" i="31" s="1"/>
  <c r="D40" i="2"/>
  <c r="AV38" i="31" s="1"/>
  <c r="D68" i="2"/>
  <c r="BI23" i="31" s="1"/>
  <c r="D63" i="2"/>
  <c r="BI18" i="31" s="1"/>
  <c r="D54" i="2"/>
  <c r="BI9" i="31" s="1"/>
  <c r="D35" i="2"/>
  <c r="AV33" i="31" s="1"/>
  <c r="D69" i="2"/>
  <c r="BI24" i="31" s="1"/>
  <c r="D12" i="2"/>
  <c r="AV10" i="31" s="1"/>
  <c r="D29" i="2"/>
  <c r="AV27" i="31" s="1"/>
  <c r="D46" i="2"/>
  <c r="AV48" i="31" s="1"/>
  <c r="BG26" i="27"/>
  <c r="BY34" i="27" s="1"/>
  <c r="BG19" i="27"/>
  <c r="BF32" i="27"/>
  <c r="BG8" i="27"/>
  <c r="BC14" i="27"/>
  <c r="H59" i="2" s="1"/>
  <c r="AP35" i="27"/>
  <c r="S10" i="27"/>
  <c r="U10" i="27" s="1"/>
  <c r="BC50" i="27"/>
  <c r="AQ11" i="27"/>
  <c r="O9" i="27"/>
  <c r="CO26" i="27"/>
  <c r="Q8" i="27"/>
  <c r="BD11" i="27"/>
  <c r="BD23" i="27"/>
  <c r="BC21" i="27"/>
  <c r="H66" i="2" s="1"/>
  <c r="AS50" i="27"/>
  <c r="AS36" i="27"/>
  <c r="AS29" i="27"/>
  <c r="AT13" i="27"/>
  <c r="BY19" i="27" s="1"/>
  <c r="BD26" i="27"/>
  <c r="BS34" i="27" s="1"/>
  <c r="Q7" i="27"/>
  <c r="BC29" i="27"/>
  <c r="N302" i="27"/>
  <c r="BG21" i="27"/>
  <c r="AP49" i="27"/>
  <c r="P302" i="27"/>
  <c r="R303" i="27" s="1"/>
  <c r="T303" i="27" s="1"/>
  <c r="BG25" i="27"/>
  <c r="BG22" i="27"/>
  <c r="BG18" i="27"/>
  <c r="BG16" i="27"/>
  <c r="BG10" i="27"/>
  <c r="BG11" i="27"/>
  <c r="BG7" i="27"/>
  <c r="BG6" i="27"/>
  <c r="BG5" i="27"/>
  <c r="BG9" i="27"/>
  <c r="BG24" i="27"/>
  <c r="BG23" i="27"/>
  <c r="BG20" i="27"/>
  <c r="BG17" i="27"/>
  <c r="BG12" i="27"/>
  <c r="D45" i="2"/>
  <c r="AV47" i="31" s="1"/>
  <c r="AV22" i="31" l="1"/>
  <c r="CE30" i="31"/>
  <c r="P301" i="10"/>
  <c r="BF29" i="10"/>
  <c r="BD10" i="27"/>
  <c r="BC32" i="27"/>
  <c r="AP29" i="27"/>
  <c r="H31" i="2" s="1"/>
  <c r="I31" i="2" s="1"/>
  <c r="CU29" i="31"/>
  <c r="CS29" i="31"/>
  <c r="D58" i="2"/>
  <c r="BI13" i="31" s="1"/>
  <c r="BD13" i="27"/>
  <c r="AV25" i="31"/>
  <c r="CE31" i="31"/>
  <c r="BI20" i="31"/>
  <c r="CE35" i="31"/>
  <c r="I15" i="2"/>
  <c r="AV11" i="27"/>
  <c r="AV11" i="31"/>
  <c r="BD24" i="27"/>
  <c r="BD5" i="27"/>
  <c r="BS27" i="10"/>
  <c r="H48" i="2"/>
  <c r="BF50" i="10"/>
  <c r="AQ13" i="27"/>
  <c r="BS19" i="27" s="1"/>
  <c r="BD6" i="27"/>
  <c r="AP50" i="27"/>
  <c r="BD25" i="27"/>
  <c r="BD12" i="27"/>
  <c r="BD18" i="27"/>
  <c r="BD8" i="27"/>
  <c r="BD19" i="27"/>
  <c r="BD22" i="27"/>
  <c r="BD17" i="27"/>
  <c r="F8" i="2"/>
  <c r="D8" i="2" s="1"/>
  <c r="CE28" i="31"/>
  <c r="AV7" i="31"/>
  <c r="AT22" i="10"/>
  <c r="AT30" i="10"/>
  <c r="AT41" i="10"/>
  <c r="BD9" i="27"/>
  <c r="BD20" i="27"/>
  <c r="BD7" i="27"/>
  <c r="BD16" i="27"/>
  <c r="AP36" i="27"/>
  <c r="H38" i="2" s="1"/>
  <c r="I38" i="2" s="1"/>
  <c r="BC47" i="31"/>
  <c r="AP52" i="31"/>
  <c r="AQ42" i="31"/>
  <c r="CO31" i="31"/>
  <c r="AS52" i="31"/>
  <c r="AT42" i="31"/>
  <c r="BF47" i="31"/>
  <c r="BF19" i="10"/>
  <c r="BF28" i="10"/>
  <c r="BF30" i="10" s="1"/>
  <c r="N303" i="10"/>
  <c r="BF52" i="10"/>
  <c r="AT11" i="10"/>
  <c r="P304" i="10"/>
  <c r="R304" i="10" s="1"/>
  <c r="T304" i="10" s="1"/>
  <c r="BY26" i="10"/>
  <c r="BY18" i="10"/>
  <c r="N305" i="10"/>
  <c r="AT26" i="10"/>
  <c r="AS21" i="10"/>
  <c r="AS13" i="10"/>
  <c r="AS49" i="10" s="1"/>
  <c r="AT14" i="10"/>
  <c r="BF14" i="10"/>
  <c r="BG8" i="10"/>
  <c r="AT6" i="10"/>
  <c r="D36" i="2"/>
  <c r="I71" i="2"/>
  <c r="I63" i="2"/>
  <c r="I68" i="2"/>
  <c r="I51" i="2"/>
  <c r="I62" i="2"/>
  <c r="I61" i="2"/>
  <c r="I52" i="2"/>
  <c r="I55" i="2"/>
  <c r="I67" i="2"/>
  <c r="I65" i="2"/>
  <c r="I69" i="2"/>
  <c r="I56" i="2"/>
  <c r="BJ11" i="31" s="1"/>
  <c r="I70" i="2"/>
  <c r="I50" i="2"/>
  <c r="I54" i="2"/>
  <c r="I57" i="2"/>
  <c r="I13" i="2"/>
  <c r="I12" i="2"/>
  <c r="I64" i="2"/>
  <c r="I66" i="2" s="1"/>
  <c r="I53" i="2"/>
  <c r="BC30" i="27"/>
  <c r="H74" i="2"/>
  <c r="I58" i="2"/>
  <c r="AQ35" i="27"/>
  <c r="H37" i="2"/>
  <c r="I37" i="2" s="1"/>
  <c r="F71" i="2"/>
  <c r="D71" i="2" s="1"/>
  <c r="AP13" i="10"/>
  <c r="AQ13" i="10" s="1"/>
  <c r="BS19" i="10" s="1"/>
  <c r="O9" i="10"/>
  <c r="AV48" i="27"/>
  <c r="AV27" i="27"/>
  <c r="BI9" i="27"/>
  <c r="BI6" i="27"/>
  <c r="BI23" i="27"/>
  <c r="AV31" i="10"/>
  <c r="AV22" i="27"/>
  <c r="BI11" i="27"/>
  <c r="AV7" i="27"/>
  <c r="AV41" i="27"/>
  <c r="AV37" i="27"/>
  <c r="CE35" i="27"/>
  <c r="BI24" i="27"/>
  <c r="BI20" i="27"/>
  <c r="AV17" i="10"/>
  <c r="BI5" i="27"/>
  <c r="AP21" i="10"/>
  <c r="F23" i="2" s="1"/>
  <c r="D23" i="2" s="1"/>
  <c r="AV21" i="31" s="1"/>
  <c r="J44" i="10"/>
  <c r="BC17" i="10" s="1"/>
  <c r="F62" i="2" s="1"/>
  <c r="D62" i="2" s="1"/>
  <c r="BI17" i="31" s="1"/>
  <c r="AV18" i="27"/>
  <c r="BI25" i="27"/>
  <c r="AQ40" i="10"/>
  <c r="F17" i="2"/>
  <c r="G17" i="2" s="1"/>
  <c r="AQ15" i="10"/>
  <c r="BC14" i="10"/>
  <c r="F53" i="2"/>
  <c r="D53" i="2" s="1"/>
  <c r="AQ11" i="10"/>
  <c r="BC52" i="10"/>
  <c r="BC50" i="10"/>
  <c r="BC30" i="10"/>
  <c r="F73" i="2"/>
  <c r="BI9" i="10"/>
  <c r="AV10" i="27"/>
  <c r="AP50" i="10"/>
  <c r="F16" i="2"/>
  <c r="G16" i="2" s="1"/>
  <c r="AQ14" i="10"/>
  <c r="AQ41" i="10"/>
  <c r="AQ27" i="10"/>
  <c r="BS18" i="10"/>
  <c r="CO23" i="10" s="1"/>
  <c r="Q10" i="10"/>
  <c r="S10" i="10" s="1"/>
  <c r="U10" i="10" s="1"/>
  <c r="AQ25" i="10"/>
  <c r="F7" i="2"/>
  <c r="G27" i="2" s="1"/>
  <c r="AQ22" i="10"/>
  <c r="AQ37" i="10"/>
  <c r="AQ31" i="10"/>
  <c r="AQ30" i="10"/>
  <c r="BS26" i="10"/>
  <c r="CO26" i="10" s="1"/>
  <c r="AQ24" i="10"/>
  <c r="AQ33" i="10"/>
  <c r="AQ32" i="10"/>
  <c r="AQ17" i="10"/>
  <c r="BS20" i="10" s="1"/>
  <c r="CO25" i="10" s="1"/>
  <c r="AQ23" i="10"/>
  <c r="AQ21" i="10"/>
  <c r="AQ20" i="10"/>
  <c r="AQ19" i="10"/>
  <c r="AQ18" i="10"/>
  <c r="AQ7" i="10"/>
  <c r="G12" i="2"/>
  <c r="AQ34" i="10"/>
  <c r="AV10" i="10"/>
  <c r="O11" i="10"/>
  <c r="AQ26" i="10"/>
  <c r="AP35" i="10"/>
  <c r="F28" i="2"/>
  <c r="AQ6" i="10"/>
  <c r="AQ38" i="10"/>
  <c r="CE28" i="10"/>
  <c r="AV30" i="27"/>
  <c r="BI26" i="27"/>
  <c r="BI10" i="27"/>
  <c r="AV33" i="27"/>
  <c r="AV6" i="27"/>
  <c r="AV19" i="27"/>
  <c r="AV32" i="27"/>
  <c r="AV31" i="27"/>
  <c r="AV48" i="10"/>
  <c r="AV20" i="27"/>
  <c r="BI6" i="10"/>
  <c r="AV20" i="10"/>
  <c r="AV17" i="27"/>
  <c r="D11" i="2"/>
  <c r="AV9" i="31" s="1"/>
  <c r="AW10" i="31" s="1"/>
  <c r="AV6" i="10"/>
  <c r="BI16" i="10"/>
  <c r="BI22" i="10"/>
  <c r="AV40" i="27"/>
  <c r="AV23" i="10"/>
  <c r="AV25" i="10"/>
  <c r="BI10" i="10"/>
  <c r="BI24" i="10"/>
  <c r="AV32" i="10"/>
  <c r="AV24" i="10"/>
  <c r="BI7" i="10"/>
  <c r="BI12" i="27"/>
  <c r="CU29" i="27" s="1"/>
  <c r="CE28" i="27"/>
  <c r="AV27" i="10"/>
  <c r="AV33" i="10"/>
  <c r="AV19" i="10"/>
  <c r="AV30" i="10"/>
  <c r="AV18" i="10"/>
  <c r="BI25" i="10"/>
  <c r="AV22" i="10"/>
  <c r="AV11" i="10"/>
  <c r="BI16" i="27"/>
  <c r="D74" i="2"/>
  <c r="AV34" i="10"/>
  <c r="AV23" i="27"/>
  <c r="BI18" i="27"/>
  <c r="BI7" i="27"/>
  <c r="BI22" i="27"/>
  <c r="AV38" i="27"/>
  <c r="BI18" i="10"/>
  <c r="CE31" i="10"/>
  <c r="AV25" i="27"/>
  <c r="BI5" i="10"/>
  <c r="AV24" i="27"/>
  <c r="CE31" i="27"/>
  <c r="C83" i="2"/>
  <c r="AV38" i="10"/>
  <c r="AV40" i="10"/>
  <c r="BI12" i="10"/>
  <c r="D17" i="2"/>
  <c r="AV15" i="31" s="1"/>
  <c r="AW15" i="31" s="1"/>
  <c r="AV7" i="10"/>
  <c r="BI23" i="10"/>
  <c r="D7" i="2"/>
  <c r="D16" i="2"/>
  <c r="AV14" i="31" s="1"/>
  <c r="CE35" i="10"/>
  <c r="BI20" i="10"/>
  <c r="AV37" i="10"/>
  <c r="BI11" i="10"/>
  <c r="AV41" i="10"/>
  <c r="CE30" i="27"/>
  <c r="CE27" i="27"/>
  <c r="AV47" i="27"/>
  <c r="R302" i="27"/>
  <c r="T302" i="27" s="1"/>
  <c r="S9" i="27"/>
  <c r="U9" i="27" s="1"/>
  <c r="BS23" i="27"/>
  <c r="AQ29" i="27"/>
  <c r="Q11" i="27"/>
  <c r="S11" i="27" s="1"/>
  <c r="U11" i="27" s="1"/>
  <c r="O7" i="27"/>
  <c r="S7" i="27" s="1"/>
  <c r="U7" i="27" s="1"/>
  <c r="P305" i="27"/>
  <c r="R305" i="27" s="1"/>
  <c r="T305" i="27" s="1"/>
  <c r="N301" i="27"/>
  <c r="R301" i="27" s="1"/>
  <c r="T301" i="27" s="1"/>
  <c r="AT29" i="27"/>
  <c r="BY23" i="27"/>
  <c r="AP39" i="27"/>
  <c r="H41" i="2" s="1"/>
  <c r="I41" i="2" s="1"/>
  <c r="AQ36" i="27"/>
  <c r="BS21" i="27" s="1"/>
  <c r="AS39" i="27"/>
  <c r="AT36" i="27"/>
  <c r="BY21" i="27" s="1"/>
  <c r="BD21" i="27"/>
  <c r="O8" i="27"/>
  <c r="S8" i="27" s="1"/>
  <c r="U8" i="27" s="1"/>
  <c r="CO24" i="27"/>
  <c r="CE30" i="10"/>
  <c r="CE27" i="10"/>
  <c r="AV47" i="10"/>
  <c r="CE26" i="31" l="1"/>
  <c r="CE18" i="31"/>
  <c r="AV5" i="31"/>
  <c r="AW25" i="31"/>
  <c r="AW21" i="31"/>
  <c r="BI50" i="31"/>
  <c r="BI8" i="27"/>
  <c r="BI8" i="31"/>
  <c r="AW11" i="31"/>
  <c r="BI13" i="27"/>
  <c r="AW7" i="31"/>
  <c r="AP29" i="10"/>
  <c r="E80" i="2"/>
  <c r="BI26" i="31"/>
  <c r="BI29" i="10"/>
  <c r="BI29" i="31"/>
  <c r="D73" i="2"/>
  <c r="BI28" i="31" s="1"/>
  <c r="AP49" i="10"/>
  <c r="F15" i="2"/>
  <c r="AV6" i="31"/>
  <c r="AW6" i="31" s="1"/>
  <c r="CE27" i="31"/>
  <c r="C82" i="2"/>
  <c r="BI13" i="10"/>
  <c r="AV34" i="27"/>
  <c r="AV34" i="31"/>
  <c r="AW22" i="31"/>
  <c r="CO30" i="31"/>
  <c r="BS22" i="31"/>
  <c r="BY22" i="31"/>
  <c r="AS29" i="10"/>
  <c r="AS36" i="10"/>
  <c r="AS50" i="10"/>
  <c r="AT13" i="10"/>
  <c r="BY19" i="10" s="1"/>
  <c r="AT21" i="10"/>
  <c r="AS35" i="10"/>
  <c r="AT35" i="10" s="1"/>
  <c r="P302" i="10"/>
  <c r="R303" i="10" s="1"/>
  <c r="T303" i="10" s="1"/>
  <c r="BG10" i="10"/>
  <c r="BG9" i="10"/>
  <c r="BG23" i="10"/>
  <c r="BG25" i="10"/>
  <c r="BG20" i="10"/>
  <c r="BG5" i="10"/>
  <c r="BG18" i="10"/>
  <c r="BG22" i="10"/>
  <c r="BG6" i="10"/>
  <c r="BG26" i="10"/>
  <c r="BY34" i="10" s="1"/>
  <c r="BG16" i="10"/>
  <c r="BG12" i="10"/>
  <c r="BF32" i="10"/>
  <c r="BG7" i="10"/>
  <c r="BG11" i="10"/>
  <c r="BG24" i="10"/>
  <c r="BF21" i="10"/>
  <c r="BG19" i="10"/>
  <c r="CO24" i="10"/>
  <c r="BG13" i="10"/>
  <c r="BG17" i="10"/>
  <c r="BI26" i="10"/>
  <c r="BJ11" i="27"/>
  <c r="BJ11" i="10"/>
  <c r="CO29" i="27"/>
  <c r="H75" i="2"/>
  <c r="BI29" i="27"/>
  <c r="AV21" i="27"/>
  <c r="BI8" i="10"/>
  <c r="AV21" i="10"/>
  <c r="E13" i="2"/>
  <c r="BI17" i="10"/>
  <c r="BI17" i="27"/>
  <c r="BC19" i="10"/>
  <c r="AV9" i="27"/>
  <c r="AW11" i="27" s="1"/>
  <c r="BI28" i="27"/>
  <c r="E12" i="2"/>
  <c r="BD16" i="10"/>
  <c r="BD7" i="10"/>
  <c r="BD9" i="10"/>
  <c r="BD10" i="10"/>
  <c r="BD12" i="10"/>
  <c r="BD17" i="10"/>
  <c r="BD24" i="10"/>
  <c r="BD23" i="10"/>
  <c r="BD26" i="10"/>
  <c r="BS34" i="10" s="1"/>
  <c r="F59" i="2"/>
  <c r="BD8" i="10"/>
  <c r="BC32" i="10"/>
  <c r="BD20" i="10"/>
  <c r="Q8" i="10"/>
  <c r="S9" i="10" s="1"/>
  <c r="U9" i="10" s="1"/>
  <c r="BD25" i="10"/>
  <c r="BD6" i="10"/>
  <c r="BD18" i="10"/>
  <c r="BD13" i="10"/>
  <c r="BD11" i="10"/>
  <c r="BD22" i="10"/>
  <c r="BD5" i="10"/>
  <c r="F75" i="2"/>
  <c r="CO29" i="10"/>
  <c r="AV9" i="10"/>
  <c r="BI50" i="10" s="1"/>
  <c r="F47" i="2"/>
  <c r="G28" i="2"/>
  <c r="D28" i="2"/>
  <c r="AV26" i="31" s="1"/>
  <c r="G15" i="2"/>
  <c r="F48" i="2"/>
  <c r="F37" i="2"/>
  <c r="G37" i="2" s="1"/>
  <c r="AQ35" i="10"/>
  <c r="F31" i="2"/>
  <c r="G31" i="2" s="1"/>
  <c r="O7" i="10"/>
  <c r="S7" i="10" s="1"/>
  <c r="U7" i="10" s="1"/>
  <c r="Q11" i="10"/>
  <c r="S11" i="10" s="1"/>
  <c r="U11" i="10" s="1"/>
  <c r="AQ29" i="10"/>
  <c r="BS23" i="10"/>
  <c r="G43" i="2"/>
  <c r="G19" i="2"/>
  <c r="G24" i="2"/>
  <c r="G40" i="2"/>
  <c r="G33" i="2"/>
  <c r="G23" i="2"/>
  <c r="G20" i="2"/>
  <c r="G32" i="2"/>
  <c r="G22" i="2"/>
  <c r="G29" i="2"/>
  <c r="G42" i="2"/>
  <c r="G21" i="2"/>
  <c r="G9" i="2"/>
  <c r="G35" i="2"/>
  <c r="G26" i="2"/>
  <c r="G25" i="2"/>
  <c r="G34" i="2"/>
  <c r="G39" i="2"/>
  <c r="G36" i="2"/>
  <c r="AP36" i="10"/>
  <c r="G8" i="2"/>
  <c r="E22" i="2"/>
  <c r="CE26" i="10"/>
  <c r="CS26" i="10" s="1"/>
  <c r="CS29" i="27"/>
  <c r="CE26" i="27"/>
  <c r="CU26" i="27" s="1"/>
  <c r="E42" i="2"/>
  <c r="E43" i="2"/>
  <c r="E39" i="2"/>
  <c r="D75" i="2"/>
  <c r="BI30" i="31" s="1"/>
  <c r="BI28" i="10"/>
  <c r="E16" i="2"/>
  <c r="AV14" i="27"/>
  <c r="AW14" i="27" s="1"/>
  <c r="D15" i="2"/>
  <c r="AV13" i="31" s="1"/>
  <c r="AV14" i="10"/>
  <c r="AW14" i="10" s="1"/>
  <c r="E17" i="2"/>
  <c r="AV15" i="10"/>
  <c r="AW15" i="10" s="1"/>
  <c r="AV15" i="27"/>
  <c r="AW15" i="27" s="1"/>
  <c r="CS29" i="10"/>
  <c r="CU29" i="10"/>
  <c r="E83" i="2"/>
  <c r="G83" i="2" s="1"/>
  <c r="I83" i="2" s="1"/>
  <c r="E24" i="2"/>
  <c r="E27" i="2"/>
  <c r="E36" i="2"/>
  <c r="E26" i="2"/>
  <c r="E21" i="2"/>
  <c r="E29" i="2"/>
  <c r="CE18" i="10"/>
  <c r="AV5" i="27"/>
  <c r="E9" i="2"/>
  <c r="E35" i="2"/>
  <c r="E23" i="2"/>
  <c r="E32" i="2"/>
  <c r="E33" i="2"/>
  <c r="CE18" i="27"/>
  <c r="E20" i="2"/>
  <c r="E40" i="2"/>
  <c r="E8" i="2"/>
  <c r="E25" i="2"/>
  <c r="E34" i="2"/>
  <c r="E19" i="2"/>
  <c r="CE20" i="31" s="1"/>
  <c r="AV5" i="10"/>
  <c r="U12" i="27"/>
  <c r="BS10" i="27" s="1"/>
  <c r="T306" i="27"/>
  <c r="BY10" i="27" s="1"/>
  <c r="AS42" i="27"/>
  <c r="CO27" i="27"/>
  <c r="AT39" i="27"/>
  <c r="AQ39" i="27"/>
  <c r="AP42" i="27"/>
  <c r="H44" i="2" s="1"/>
  <c r="AV49" i="31" l="1"/>
  <c r="AW26" i="31"/>
  <c r="AW14" i="31"/>
  <c r="CU25" i="31"/>
  <c r="CS25" i="31"/>
  <c r="AW19" i="31"/>
  <c r="AW31" i="31"/>
  <c r="AW17" i="31"/>
  <c r="AW40" i="31"/>
  <c r="AW32" i="31"/>
  <c r="AW20" i="31"/>
  <c r="AW33" i="31"/>
  <c r="AW27" i="31"/>
  <c r="BI51" i="31"/>
  <c r="AW18" i="31"/>
  <c r="AW37" i="31"/>
  <c r="AW24" i="31"/>
  <c r="AW38" i="31"/>
  <c r="AW30" i="31"/>
  <c r="AW41" i="31"/>
  <c r="AW23" i="31"/>
  <c r="AW13" i="31"/>
  <c r="AV50" i="31"/>
  <c r="AW34" i="31"/>
  <c r="CU23" i="31"/>
  <c r="CS23" i="31"/>
  <c r="CS26" i="31"/>
  <c r="CU26" i="31"/>
  <c r="BG21" i="10"/>
  <c r="N302" i="10"/>
  <c r="R302" i="10" s="1"/>
  <c r="T302" i="10" s="1"/>
  <c r="AS39" i="10"/>
  <c r="AT36" i="10"/>
  <c r="BY21" i="10" s="1"/>
  <c r="BY23" i="10"/>
  <c r="P305" i="10"/>
  <c r="R305" i="10" s="1"/>
  <c r="T305" i="10" s="1"/>
  <c r="AT29" i="10"/>
  <c r="N301" i="10"/>
  <c r="R301" i="10" s="1"/>
  <c r="T301" i="10" s="1"/>
  <c r="I44" i="2"/>
  <c r="H49" i="2"/>
  <c r="AW11" i="10"/>
  <c r="CU26" i="10"/>
  <c r="CS26" i="27"/>
  <c r="E28" i="2"/>
  <c r="AW10" i="27"/>
  <c r="BI50" i="27"/>
  <c r="AW10" i="10"/>
  <c r="BI30" i="27"/>
  <c r="F64" i="2"/>
  <c r="D64" i="2" s="1"/>
  <c r="BI19" i="31" s="1"/>
  <c r="BC21" i="10"/>
  <c r="BD19" i="10"/>
  <c r="G54" i="2"/>
  <c r="D59" i="2"/>
  <c r="BI14" i="31" s="1"/>
  <c r="BI32" i="31" s="1"/>
  <c r="G50" i="2"/>
  <c r="G62" i="2"/>
  <c r="G69" i="2"/>
  <c r="G55" i="2"/>
  <c r="G71" i="2"/>
  <c r="G58" i="2"/>
  <c r="G61" i="2"/>
  <c r="G67" i="2"/>
  <c r="G56" i="2"/>
  <c r="G65" i="2"/>
  <c r="G70" i="2"/>
  <c r="G68" i="2"/>
  <c r="G57" i="2"/>
  <c r="G53" i="2"/>
  <c r="G51" i="2"/>
  <c r="G52" i="2"/>
  <c r="G63" i="2"/>
  <c r="F38" i="2"/>
  <c r="G38" i="2" s="1"/>
  <c r="AQ36" i="10"/>
  <c r="BS21" i="10" s="1"/>
  <c r="AP39" i="10"/>
  <c r="AV26" i="10"/>
  <c r="AW26" i="10" s="1"/>
  <c r="C84" i="2"/>
  <c r="D37" i="2"/>
  <c r="AV26" i="27"/>
  <c r="AW26" i="27" s="1"/>
  <c r="BI30" i="10"/>
  <c r="CU23" i="27"/>
  <c r="CS23" i="27"/>
  <c r="BI51" i="10"/>
  <c r="AW22" i="10"/>
  <c r="AW24" i="10"/>
  <c r="AW33" i="10"/>
  <c r="AW34" i="10"/>
  <c r="AW20" i="10"/>
  <c r="AW21" i="10"/>
  <c r="AW32" i="10"/>
  <c r="AW40" i="10"/>
  <c r="AW17" i="10"/>
  <c r="AW6" i="10"/>
  <c r="AW30" i="10"/>
  <c r="AW7" i="10"/>
  <c r="AW23" i="10"/>
  <c r="AW25" i="10"/>
  <c r="AW31" i="10"/>
  <c r="AW27" i="10"/>
  <c r="AW19" i="10"/>
  <c r="AW38" i="10"/>
  <c r="AW18" i="10"/>
  <c r="CE20" i="27"/>
  <c r="CE20" i="10"/>
  <c r="AW34" i="27"/>
  <c r="AW18" i="27"/>
  <c r="AW40" i="27"/>
  <c r="AW19" i="27"/>
  <c r="AW22" i="27"/>
  <c r="AW32" i="27"/>
  <c r="AW31" i="27"/>
  <c r="AW27" i="27"/>
  <c r="AW25" i="27"/>
  <c r="AW20" i="27"/>
  <c r="AW23" i="27"/>
  <c r="AW33" i="27"/>
  <c r="AW7" i="27"/>
  <c r="AW6" i="27"/>
  <c r="AW37" i="27"/>
  <c r="AW24" i="27"/>
  <c r="BI51" i="27"/>
  <c r="AW41" i="27"/>
  <c r="AW21" i="27"/>
  <c r="AW38" i="27"/>
  <c r="AW17" i="27"/>
  <c r="AW30" i="27"/>
  <c r="AW37" i="10"/>
  <c r="AW41" i="10"/>
  <c r="CS23" i="10"/>
  <c r="CU23" i="10"/>
  <c r="D31" i="2"/>
  <c r="D47" i="2"/>
  <c r="D48" i="2"/>
  <c r="E15" i="2"/>
  <c r="CE19" i="31" s="1"/>
  <c r="AV13" i="27"/>
  <c r="AV13" i="10"/>
  <c r="BF47" i="27"/>
  <c r="AS52" i="27"/>
  <c r="AT42" i="27"/>
  <c r="AP52" i="27"/>
  <c r="AQ42" i="27"/>
  <c r="BC47" i="27"/>
  <c r="H77" i="2" s="1"/>
  <c r="CO31" i="27"/>
  <c r="D38" i="2" l="1"/>
  <c r="AV36" i="31" s="1"/>
  <c r="AW36" i="31" s="1"/>
  <c r="AV35" i="31"/>
  <c r="AW35" i="31" s="1"/>
  <c r="CU24" i="31"/>
  <c r="CS24" i="31"/>
  <c r="CE23" i="31"/>
  <c r="AV29" i="31"/>
  <c r="AW29" i="31" s="1"/>
  <c r="T306" i="10"/>
  <c r="BY10" i="10" s="1"/>
  <c r="AT39" i="10"/>
  <c r="AS42" i="10"/>
  <c r="E64" i="2"/>
  <c r="BI19" i="27"/>
  <c r="BI19" i="10"/>
  <c r="G64" i="2"/>
  <c r="G66" i="2" s="1"/>
  <c r="BD21" i="10"/>
  <c r="O8" i="10"/>
  <c r="S8" i="10" s="1"/>
  <c r="U8" i="10" s="1"/>
  <c r="U12" i="10" s="1"/>
  <c r="BS10" i="10" s="1"/>
  <c r="CO31" i="10" s="1"/>
  <c r="F66" i="2"/>
  <c r="D66" i="2" s="1"/>
  <c r="BI21" i="31" s="1"/>
  <c r="BI52" i="31" s="1"/>
  <c r="E54" i="2"/>
  <c r="BJ9" i="31" s="1"/>
  <c r="E50" i="2"/>
  <c r="BJ5" i="31" s="1"/>
  <c r="E52" i="2"/>
  <c r="BJ7" i="31" s="1"/>
  <c r="E81" i="2"/>
  <c r="G82" i="2" s="1"/>
  <c r="I82" i="2" s="1"/>
  <c r="E65" i="2"/>
  <c r="BJ20" i="31" s="1"/>
  <c r="E56" i="2"/>
  <c r="E53" i="2"/>
  <c r="BJ8" i="31" s="1"/>
  <c r="E67" i="2"/>
  <c r="BJ22" i="31" s="1"/>
  <c r="E58" i="2"/>
  <c r="BJ13" i="31" s="1"/>
  <c r="E61" i="2"/>
  <c r="BJ16" i="31" s="1"/>
  <c r="E69" i="2"/>
  <c r="BJ24" i="31" s="1"/>
  <c r="E71" i="2"/>
  <c r="E57" i="2"/>
  <c r="BJ12" i="31" s="1"/>
  <c r="BI14" i="27"/>
  <c r="BI32" i="27" s="1"/>
  <c r="E63" i="2"/>
  <c r="BJ18" i="31" s="1"/>
  <c r="E70" i="2"/>
  <c r="BJ25" i="31" s="1"/>
  <c r="E55" i="2"/>
  <c r="BJ10" i="31" s="1"/>
  <c r="E62" i="2"/>
  <c r="BJ17" i="31" s="1"/>
  <c r="E51" i="2"/>
  <c r="BJ6" i="31" s="1"/>
  <c r="BI14" i="10"/>
  <c r="BI32" i="10" s="1"/>
  <c r="E68" i="2"/>
  <c r="BJ23" i="31" s="1"/>
  <c r="AQ39" i="10"/>
  <c r="CO27" i="10"/>
  <c r="AP42" i="10"/>
  <c r="F41" i="2"/>
  <c r="G41" i="2" s="1"/>
  <c r="E37" i="2"/>
  <c r="AV35" i="10"/>
  <c r="AW35" i="10" s="1"/>
  <c r="AV35" i="27"/>
  <c r="AW35" i="27" s="1"/>
  <c r="E38" i="2"/>
  <c r="CE21" i="31" s="1"/>
  <c r="AV36" i="27"/>
  <c r="AW36" i="27" s="1"/>
  <c r="D41" i="2"/>
  <c r="AV39" i="31" s="1"/>
  <c r="AV36" i="10"/>
  <c r="AW36" i="10" s="1"/>
  <c r="CU25" i="27"/>
  <c r="CS25" i="27"/>
  <c r="AW13" i="10"/>
  <c r="AV50" i="10"/>
  <c r="AV49" i="10"/>
  <c r="AW13" i="27"/>
  <c r="AV49" i="27"/>
  <c r="AV50" i="27"/>
  <c r="CU25" i="10"/>
  <c r="CS25" i="10"/>
  <c r="CE23" i="27"/>
  <c r="AV29" i="10"/>
  <c r="AW29" i="10" s="1"/>
  <c r="E31" i="2"/>
  <c r="AV29" i="27"/>
  <c r="AW29" i="27" s="1"/>
  <c r="C80" i="2"/>
  <c r="G80" i="2" s="1"/>
  <c r="I80" i="2" s="1"/>
  <c r="E84" i="2"/>
  <c r="G84" i="2" s="1"/>
  <c r="I84" i="2" s="1"/>
  <c r="CE23" i="10"/>
  <c r="CE19" i="27"/>
  <c r="CE19" i="10"/>
  <c r="CO30" i="27"/>
  <c r="BS22" i="27"/>
  <c r="BY22" i="27"/>
  <c r="AW39" i="31" l="1"/>
  <c r="CU27" i="31"/>
  <c r="CS27" i="31"/>
  <c r="BJ26" i="31"/>
  <c r="CE34" i="31"/>
  <c r="BJ19" i="27"/>
  <c r="BJ19" i="31"/>
  <c r="BJ19" i="10"/>
  <c r="BF47" i="10"/>
  <c r="AT42" i="10"/>
  <c r="AS52" i="10"/>
  <c r="BY22" i="10" s="1"/>
  <c r="E66" i="2"/>
  <c r="BJ21" i="31" s="1"/>
  <c r="C81" i="2"/>
  <c r="G81" i="2" s="1"/>
  <c r="I81" i="2" s="1"/>
  <c r="I85" i="2" s="1"/>
  <c r="CE10" i="31" s="1"/>
  <c r="BI21" i="27"/>
  <c r="BI21" i="10"/>
  <c r="BJ23" i="27"/>
  <c r="BJ23" i="10"/>
  <c r="BJ18" i="10"/>
  <c r="BJ18" i="27"/>
  <c r="BJ24" i="10"/>
  <c r="BJ24" i="27"/>
  <c r="BJ8" i="27"/>
  <c r="BJ8" i="10"/>
  <c r="BJ7" i="10"/>
  <c r="BJ7" i="27"/>
  <c r="BJ17" i="27"/>
  <c r="BJ17" i="10"/>
  <c r="BJ16" i="10"/>
  <c r="BJ16" i="27"/>
  <c r="BJ5" i="10"/>
  <c r="BJ5" i="27"/>
  <c r="BJ10" i="10"/>
  <c r="BJ10" i="27"/>
  <c r="BJ12" i="27"/>
  <c r="BJ12" i="10"/>
  <c r="BJ13" i="27"/>
  <c r="BJ13" i="10"/>
  <c r="BJ20" i="27"/>
  <c r="BJ20" i="10"/>
  <c r="BJ9" i="27"/>
  <c r="BJ9" i="10"/>
  <c r="BJ6" i="10"/>
  <c r="BJ6" i="27"/>
  <c r="BJ25" i="10"/>
  <c r="BJ25" i="27"/>
  <c r="CE34" i="27"/>
  <c r="BJ26" i="10"/>
  <c r="BJ26" i="27"/>
  <c r="CE34" i="10"/>
  <c r="BJ22" i="10"/>
  <c r="BJ22" i="27"/>
  <c r="BJ21" i="10"/>
  <c r="BJ21" i="27"/>
  <c r="BC47" i="10"/>
  <c r="F77" i="2" s="1"/>
  <c r="D77" i="2" s="1"/>
  <c r="BI47" i="31" s="1"/>
  <c r="F44" i="2"/>
  <c r="AP52" i="10"/>
  <c r="AQ42" i="10"/>
  <c r="CU24" i="10"/>
  <c r="CS24" i="10"/>
  <c r="AV39" i="10"/>
  <c r="D44" i="2"/>
  <c r="AV42" i="31" s="1"/>
  <c r="AV39" i="27"/>
  <c r="E41" i="2"/>
  <c r="CU24" i="27"/>
  <c r="CS24" i="27"/>
  <c r="CE21" i="27"/>
  <c r="CE21" i="10"/>
  <c r="CS31" i="31" l="1"/>
  <c r="CU31" i="31"/>
  <c r="AW42" i="31"/>
  <c r="AV52" i="31"/>
  <c r="BI47" i="10"/>
  <c r="BI47" i="27"/>
  <c r="BI52" i="27"/>
  <c r="BI52" i="10"/>
  <c r="G44" i="2"/>
  <c r="F49" i="2"/>
  <c r="BS22" i="10"/>
  <c r="CO30" i="10"/>
  <c r="CE10" i="27"/>
  <c r="CE10" i="10"/>
  <c r="AV42" i="10"/>
  <c r="D49" i="2"/>
  <c r="CE22" i="31" s="1"/>
  <c r="AV42" i="27"/>
  <c r="E44" i="2"/>
  <c r="AW39" i="10"/>
  <c r="CU27" i="10"/>
  <c r="CS27" i="10"/>
  <c r="AW39" i="27"/>
  <c r="CU27" i="27"/>
  <c r="CS27" i="27"/>
  <c r="CS30" i="31" l="1"/>
  <c r="CU30" i="31"/>
  <c r="CS31" i="27"/>
  <c r="CU31" i="27"/>
  <c r="CS31" i="10"/>
  <c r="CU31" i="10"/>
  <c r="CE22" i="10"/>
  <c r="CE22" i="27"/>
  <c r="AV52" i="10"/>
  <c r="AW42" i="10"/>
  <c r="AW42" i="27"/>
  <c r="AV52" i="27"/>
  <c r="CS30" i="10" l="1"/>
  <c r="CU30" i="10"/>
  <c r="CS30" i="27"/>
  <c r="CU30" i="27"/>
</calcChain>
</file>

<file path=xl/sharedStrings.xml><?xml version="1.0" encoding="utf-8"?>
<sst xmlns="http://schemas.openxmlformats.org/spreadsheetml/2006/main" count="2095" uniqueCount="425">
  <si>
    <t>Numéro compte</t>
  </si>
  <si>
    <t>Catégorie</t>
  </si>
  <si>
    <t>Intitulé</t>
  </si>
  <si>
    <t>Capitaux propres</t>
  </si>
  <si>
    <t>CAPITAL APPELE VERSE</t>
  </si>
  <si>
    <t>RESERVE LEGALE</t>
  </si>
  <si>
    <t>AUTRES RESERVES</t>
  </si>
  <si>
    <t>REPORT A NOUVEAU</t>
  </si>
  <si>
    <t>COMPTE DE RESULTAT</t>
  </si>
  <si>
    <t xml:space="preserve">Emprunts </t>
  </si>
  <si>
    <t>EMPRUNT 125 K€</t>
  </si>
  <si>
    <t>EMPRUNT 415 K€</t>
  </si>
  <si>
    <t>Interets courus sur emprunt</t>
  </si>
  <si>
    <t>Immobilisations incorporelles</t>
  </si>
  <si>
    <t>LOGICIEL</t>
  </si>
  <si>
    <t>DROIT AU BAIL</t>
  </si>
  <si>
    <t>Immobilisations corporelle</t>
  </si>
  <si>
    <t>CONSTRUCTION BATIMENTS</t>
  </si>
  <si>
    <t>AGENC.CONST.SOL AUTRUI</t>
  </si>
  <si>
    <t>MATERIEL ET OUTILLAGES</t>
  </si>
  <si>
    <t>INST.AGENC.DIVERS</t>
  </si>
  <si>
    <t>MAT.BUREAU &amp; INFORMATIQUE</t>
  </si>
  <si>
    <t>MOBILIER</t>
  </si>
  <si>
    <t>Immobilisations financières</t>
  </si>
  <si>
    <t>DEPOTS &amp; CAUTIONNEMENT</t>
  </si>
  <si>
    <t>AMORT.LOGICIELS</t>
  </si>
  <si>
    <t>AMORT.CONSTRUCTIONS</t>
  </si>
  <si>
    <t>AMORT.AG.CONS.SOL AUTRUI</t>
  </si>
  <si>
    <t>AMORT.MATERIEL&amp;OUTILLAGES</t>
  </si>
  <si>
    <t>AMORT.AG.CONS.DIVERS</t>
  </si>
  <si>
    <t>AMORT.MAT.BUREAU &amp; INFORMATIQUE</t>
  </si>
  <si>
    <t>AMORT. MOBILIER</t>
  </si>
  <si>
    <t>Stock et en cours</t>
  </si>
  <si>
    <t>STOCKS OPTIQUE</t>
  </si>
  <si>
    <t>STOCKS AUDIO</t>
  </si>
  <si>
    <t>Fournisseurs</t>
  </si>
  <si>
    <t>FOURNISSEURS</t>
  </si>
  <si>
    <t>FACTURES NON PARVENUES</t>
  </si>
  <si>
    <t>FOURNIS.RRR A OBTENIR</t>
  </si>
  <si>
    <t>Clients</t>
  </si>
  <si>
    <t>CLIENTS 19.6 %</t>
  </si>
  <si>
    <t>CLIENTS  20 %</t>
  </si>
  <si>
    <t>Social et fiscal</t>
  </si>
  <si>
    <t>SALAIRES A VERSER</t>
  </si>
  <si>
    <t>AVANCE ACPTE AU PERSONNEL</t>
  </si>
  <si>
    <t>PROVISION CONGES A PAYER</t>
  </si>
  <si>
    <t>CAISSE URSSAF</t>
  </si>
  <si>
    <t>CAISSE RETRAITE</t>
  </si>
  <si>
    <t>CAISSE MUTUELLE</t>
  </si>
  <si>
    <t>CAISSE PREVOYANCE</t>
  </si>
  <si>
    <t>PROVISION CH.SS / CONGES</t>
  </si>
  <si>
    <t>Prélèvement à la source</t>
  </si>
  <si>
    <t>OPERATIONS PARTICULIERES ETAT</t>
  </si>
  <si>
    <t>ETAT IMPOTS S/BENEFICE</t>
  </si>
  <si>
    <t>TVA A DECAISSER</t>
  </si>
  <si>
    <t>TVA DEDUCT.S/IMMO.</t>
  </si>
  <si>
    <t>TVA DEDUCT.S/ACHATS</t>
  </si>
  <si>
    <t>CREDIT DE TVA</t>
  </si>
  <si>
    <t>TVA COLLECTEE A 20%</t>
  </si>
  <si>
    <t>TVA COLLECTEE 5,5%</t>
  </si>
  <si>
    <t>TVA S/AVOIRS A RECEVOIR</t>
  </si>
  <si>
    <t>TVA S/FACT.NON PARVENUE</t>
  </si>
  <si>
    <t>TVA A REGULARISER</t>
  </si>
  <si>
    <t>AUTRES IMPOTS TAXES</t>
  </si>
  <si>
    <t>PROVISION CHARGES FISCALES</t>
  </si>
  <si>
    <t>Comptes courants associes</t>
  </si>
  <si>
    <t>ASSOCIES CPTE COURANT 1</t>
  </si>
  <si>
    <t>Aline Ogara</t>
  </si>
  <si>
    <t>ACUITIS BEGLES</t>
  </si>
  <si>
    <t>TOMALINE</t>
  </si>
  <si>
    <t>Débiteurs divers</t>
  </si>
  <si>
    <t>COMPTE D'ATTENTE</t>
  </si>
  <si>
    <t>CHARGES CONSTAT.D'AVANCE</t>
  </si>
  <si>
    <t>Banques court terme</t>
  </si>
  <si>
    <t>BNP COURANT</t>
  </si>
  <si>
    <t>Trésorerie</t>
  </si>
  <si>
    <t>BNP MUTUELLES</t>
  </si>
  <si>
    <t>CAISSE</t>
  </si>
  <si>
    <t>VIREMENTS INTERNES</t>
  </si>
  <si>
    <t>VERSEMENTS ESPECES</t>
  </si>
  <si>
    <t>Achats Optique</t>
  </si>
  <si>
    <t>VARIATIONS STOCKS OPTIQUE</t>
  </si>
  <si>
    <t>Achats audio</t>
  </si>
  <si>
    <t>Autres charges externes</t>
  </si>
  <si>
    <t>ELECTRICITE</t>
  </si>
  <si>
    <t>CARBURANT</t>
  </si>
  <si>
    <t>FOURNITURE D'ENTRETRIEN</t>
  </si>
  <si>
    <t>FOURNITURE ADMINISTRATIVES</t>
  </si>
  <si>
    <t>FOURNITURE DE PETITS EQUIPEMENTS</t>
  </si>
  <si>
    <t>ACHATS SOLAIRES</t>
  </si>
  <si>
    <t>ACHATS VERRES</t>
  </si>
  <si>
    <t>ACHATS LENTILLES</t>
  </si>
  <si>
    <t>ACHATS SOLUTIONS</t>
  </si>
  <si>
    <t>ACHATS MONTURES VERRES...</t>
  </si>
  <si>
    <t>ACHATS MATERIELS AUDIO</t>
  </si>
  <si>
    <t>ACCESSOIRES AUDIO/BV</t>
  </si>
  <si>
    <t>ACCESSOIRES</t>
  </si>
  <si>
    <t>REMISES ANNUELLE ACHATS</t>
  </si>
  <si>
    <t>Crédit bail</t>
  </si>
  <si>
    <t>CREDIT-BAIL GOLF</t>
  </si>
  <si>
    <t>CREDIT-BAIL MOBILIER</t>
  </si>
  <si>
    <t>Loyer</t>
  </si>
  <si>
    <t>LOCATIONS IMMOBILIER</t>
  </si>
  <si>
    <t>Location hebergement internet</t>
  </si>
  <si>
    <t>LOCATION TPE</t>
  </si>
  <si>
    <t>CHARGES LOCATIVES</t>
  </si>
  <si>
    <t>ENTRETIEN IMMOBILIER</t>
  </si>
  <si>
    <t>ENTRETIEN MATERIEL</t>
  </si>
  <si>
    <t>ENTRETIEN MATERIEL DE TRANSPORT</t>
  </si>
  <si>
    <t>MAINTENANCE</t>
  </si>
  <si>
    <t>Assurances</t>
  </si>
  <si>
    <t>ASSURANCE RC + JURIDIQUE</t>
  </si>
  <si>
    <t>ASSURANCE GOLF</t>
  </si>
  <si>
    <t>Solde financier</t>
  </si>
  <si>
    <t>ASSURANCE EMPRUNT</t>
  </si>
  <si>
    <t>CONGRES - SEMINAIRES</t>
  </si>
  <si>
    <t>Interim</t>
  </si>
  <si>
    <t>PERSONNEL INTERIMAIRE</t>
  </si>
  <si>
    <t>HONORAIRES COMPTABLES</t>
  </si>
  <si>
    <t>HONORAIRES SOCIAL</t>
  </si>
  <si>
    <t xml:space="preserve">HONORAIRES JURIDIQUES </t>
  </si>
  <si>
    <t>HONORAIRES REDEVANCES ACUITIS</t>
  </si>
  <si>
    <t>HONORAIRES LORYLIS</t>
  </si>
  <si>
    <t>FRAIS ACTES &amp; CONTENTIEUX</t>
  </si>
  <si>
    <t>Communication</t>
  </si>
  <si>
    <t>PUBLICITE LOCALE</t>
  </si>
  <si>
    <t xml:space="preserve">PUBLICITE NATIONALE </t>
  </si>
  <si>
    <t>PUBLICITE PONCTUELLE</t>
  </si>
  <si>
    <t>CADEAUX A LA CLIENTE</t>
  </si>
  <si>
    <t>TRANSPORTS S/ACHATS</t>
  </si>
  <si>
    <t>VOYAGES ET DEPLACEMENT</t>
  </si>
  <si>
    <t>PARCUB PARKING</t>
  </si>
  <si>
    <t>RECEPTIONS</t>
  </si>
  <si>
    <t>FRAIS POSTAUX</t>
  </si>
  <si>
    <t>FRAIS TELECOMUNICATION</t>
  </si>
  <si>
    <t>SERVICES BANCAIRES</t>
  </si>
  <si>
    <t>FRAIS CB</t>
  </si>
  <si>
    <t>COTISATIONS</t>
  </si>
  <si>
    <t>Impots et taxes</t>
  </si>
  <si>
    <t>TAXE APPRENTISSAGE</t>
  </si>
  <si>
    <t>FORMATION PRO CONTINUE</t>
  </si>
  <si>
    <t>CET</t>
  </si>
  <si>
    <t>TAXE S/VEHICULES SOCIETE</t>
  </si>
  <si>
    <t>Salaire</t>
  </si>
  <si>
    <t>SALAIRES BRUTS</t>
  </si>
  <si>
    <t>CONGES PAYES</t>
  </si>
  <si>
    <t xml:space="preserve">PRIMES ET GRATIFICATIONS </t>
  </si>
  <si>
    <t>INDEMNITES ET AVANTAGES DIVERS</t>
  </si>
  <si>
    <t xml:space="preserve">INDEMNITE CHOMAGE PARTIEL </t>
  </si>
  <si>
    <t>Charges sociales</t>
  </si>
  <si>
    <t>COTISATIONS URSSAF</t>
  </si>
  <si>
    <t>COTISATION RETRAITE</t>
  </si>
  <si>
    <t>COTISATION MUTUELLE</t>
  </si>
  <si>
    <t>COTISATION PREVOYANCE</t>
  </si>
  <si>
    <t>PARITISME</t>
  </si>
  <si>
    <t>AUTRES CHARGES SOCIALES</t>
  </si>
  <si>
    <t>MEDECINE DU TRAVAIL</t>
  </si>
  <si>
    <t>REDEVANCES ACUITIS</t>
  </si>
  <si>
    <t>Autre charges</t>
  </si>
  <si>
    <t>CHARGES DIVERSES</t>
  </si>
  <si>
    <t>INTERETS EMPRUNTS</t>
  </si>
  <si>
    <t>Interets courus</t>
  </si>
  <si>
    <t>PENALITES ET AMENDES</t>
  </si>
  <si>
    <t>CHARGES EXCEP. DIVERSES</t>
  </si>
  <si>
    <t>Amortissements</t>
  </si>
  <si>
    <t>DOT.AMORT.IMMO.CORPO</t>
  </si>
  <si>
    <t>Impot sur les sociétés</t>
  </si>
  <si>
    <t>IMPOTS S/LES BENEFICES</t>
  </si>
  <si>
    <t>Ventes Optique</t>
  </si>
  <si>
    <t>MONTURES</t>
  </si>
  <si>
    <t>VERRES</t>
  </si>
  <si>
    <t>LENTILLES</t>
  </si>
  <si>
    <t>PRODUITS LENTILLES</t>
  </si>
  <si>
    <t>ACCESS OPTIQUE 20%</t>
  </si>
  <si>
    <t>PORT/EMBALLAGE</t>
  </si>
  <si>
    <t>SOLAIRES</t>
  </si>
  <si>
    <t>Ventes audio</t>
  </si>
  <si>
    <t>VENTES AUDIO 5.5%</t>
  </si>
  <si>
    <t>ACCESSOIRE AUDIO 5.5%</t>
  </si>
  <si>
    <t>ACCESSOIRES AUDIO 20%</t>
  </si>
  <si>
    <t>REMISES SOLAIRES</t>
  </si>
  <si>
    <t>REMISE MONTURES</t>
  </si>
  <si>
    <t>REMISES VERRES</t>
  </si>
  <si>
    <t>REMISES LENTILLES</t>
  </si>
  <si>
    <t>REMISE PRODUITS LENTILLES</t>
  </si>
  <si>
    <t>REMISES ACCESSOIRES OPTIQUES</t>
  </si>
  <si>
    <t>REMISE AUDIO 5.5%</t>
  </si>
  <si>
    <t>REMISE ACCESSOIRE AUDIO 20%</t>
  </si>
  <si>
    <t>Autre produits</t>
  </si>
  <si>
    <t>SUBVENTIONS D'EXPLOITATION</t>
  </si>
  <si>
    <t>PRODUITS DIV.GESTION</t>
  </si>
  <si>
    <t>REFACTURATION OGARA/BEGLES</t>
  </si>
  <si>
    <t>FRAIS SONI ACUITE</t>
  </si>
  <si>
    <t>REFACTURATION LMOA</t>
  </si>
  <si>
    <t>Crédit client</t>
  </si>
  <si>
    <t>Créditeurs divers</t>
  </si>
  <si>
    <t>Remunération dirigeants</t>
  </si>
  <si>
    <t>Solde exceptionnel</t>
  </si>
  <si>
    <t xml:space="preserve">Provisions  </t>
  </si>
  <si>
    <t>Résultat</t>
  </si>
  <si>
    <t>Ratios</t>
  </si>
  <si>
    <t>Coefficients</t>
  </si>
  <si>
    <t>Total</t>
  </si>
  <si>
    <t>Excédent Brut d'Exploitation</t>
  </si>
  <si>
    <t>Total des dettes</t>
  </si>
  <si>
    <t>R1 =</t>
  </si>
  <si>
    <t>Capitaux permanents</t>
  </si>
  <si>
    <t>Total de l'actif</t>
  </si>
  <si>
    <t>R2 =</t>
  </si>
  <si>
    <t>Réalisable et disponible</t>
  </si>
  <si>
    <t>R3 =</t>
  </si>
  <si>
    <t>Frais financiers</t>
  </si>
  <si>
    <t>CA HT</t>
  </si>
  <si>
    <t>R4 =</t>
  </si>
  <si>
    <t>Frais de personnel</t>
  </si>
  <si>
    <t>Valeur ajoutée</t>
  </si>
  <si>
    <t>R5 =</t>
  </si>
  <si>
    <t>Z=</t>
  </si>
  <si>
    <t>Date</t>
  </si>
  <si>
    <t>Balance N</t>
  </si>
  <si>
    <t>Synthèse balance N</t>
  </si>
  <si>
    <t>Balance N-1</t>
  </si>
  <si>
    <t>Synthèse balance N-1</t>
  </si>
  <si>
    <t>EXPLOITATION</t>
  </si>
  <si>
    <t>Optique</t>
  </si>
  <si>
    <t>Audio</t>
  </si>
  <si>
    <t>Achats consommés</t>
  </si>
  <si>
    <t>Marge brute</t>
  </si>
  <si>
    <t>Autres charges ext.</t>
  </si>
  <si>
    <t>Charges externes</t>
  </si>
  <si>
    <t>Sal. dirigeants</t>
  </si>
  <si>
    <t>EBE</t>
  </si>
  <si>
    <t xml:space="preserve">Total des charges </t>
  </si>
  <si>
    <t>Résultats d'exploitation</t>
  </si>
  <si>
    <t>Résultat Courant</t>
  </si>
  <si>
    <t>I.S.</t>
  </si>
  <si>
    <t xml:space="preserve">Résultats net </t>
  </si>
  <si>
    <t>Salariés optique</t>
  </si>
  <si>
    <t>Salaries audio</t>
  </si>
  <si>
    <t>Indice de main d'œuvre - MB/ETP</t>
  </si>
  <si>
    <t>Marge brute / personne</t>
  </si>
  <si>
    <t>Capacité autofinancement</t>
  </si>
  <si>
    <t>FINANCIER</t>
  </si>
  <si>
    <t>IMMOBILISATIONS NETTES</t>
  </si>
  <si>
    <t>DISPONIBLE</t>
  </si>
  <si>
    <t>TOTAL ACTIF</t>
  </si>
  <si>
    <t>Resultat net</t>
  </si>
  <si>
    <t>CAPITAUX PROPRES</t>
  </si>
  <si>
    <t>CAPITAUX PERMANENTS</t>
  </si>
  <si>
    <t>ENDETTEMENT</t>
  </si>
  <si>
    <t>Fonds de roulement</t>
  </si>
  <si>
    <t>Besoin en fonds de roulement</t>
  </si>
  <si>
    <t>Trésorerie nette</t>
  </si>
  <si>
    <t>Taux d'endettement</t>
  </si>
  <si>
    <r>
      <t xml:space="preserve">Renouvellement immo
 </t>
    </r>
    <r>
      <rPr>
        <sz val="12"/>
        <rFont val="Arial"/>
        <family val="2"/>
      </rPr>
      <t>CAF/Amortissements</t>
    </r>
  </si>
  <si>
    <t>JOURS</t>
  </si>
  <si>
    <t>Rotation des stocks</t>
  </si>
  <si>
    <t>Crédit fournisseur</t>
  </si>
  <si>
    <t>EFFECTIFS/ ETP</t>
  </si>
  <si>
    <t>DATE DE CLOTURE</t>
  </si>
  <si>
    <t>FISCALITE</t>
  </si>
  <si>
    <t>IS</t>
  </si>
  <si>
    <t xml:space="preserve">SCORE   </t>
  </si>
  <si>
    <t>SOLVABILITE                                                                                                                                                                  Conan et Holder</t>
  </si>
  <si>
    <t xml:space="preserve">Indice de solvabilité     </t>
  </si>
  <si>
    <t>Probabilité défaillance</t>
  </si>
  <si>
    <t>%</t>
  </si>
  <si>
    <t>CHIFFRES CLES</t>
  </si>
  <si>
    <t>Chiffre d'affaires HT</t>
  </si>
  <si>
    <t>Taux de marge brute</t>
  </si>
  <si>
    <t>TENDANCES MAGASIN</t>
  </si>
  <si>
    <t>Charges locatives/CA</t>
  </si>
  <si>
    <t>VARIATIONS SIGNIFICATIVES</t>
  </si>
  <si>
    <t>Résultat d'exploitation /CA</t>
  </si>
  <si>
    <t>Capacité d'autofinancement / jour</t>
  </si>
  <si>
    <t>Chiffre d'affaires</t>
  </si>
  <si>
    <t>Marges brutes</t>
  </si>
  <si>
    <t>COUT SALARIAL</t>
  </si>
  <si>
    <t xml:space="preserve">Charges locatives </t>
  </si>
  <si>
    <t>Chiffre d'affaires/ Personnel</t>
  </si>
  <si>
    <t>Chiffre d'affaires/ETP</t>
  </si>
  <si>
    <t>CA optique/ Personnel optique</t>
  </si>
  <si>
    <t>Résultat courant</t>
  </si>
  <si>
    <t>CA audio/ Personnel audio</t>
  </si>
  <si>
    <t>Coût salarial moyen</t>
  </si>
  <si>
    <t xml:space="preserve">Capacité d'autofinancement </t>
  </si>
  <si>
    <t>Coût salarial dirigeant</t>
  </si>
  <si>
    <t>Structure financière</t>
  </si>
  <si>
    <t>Endettement / total bilan</t>
  </si>
  <si>
    <t>Emprunts auprès ets de crédit</t>
  </si>
  <si>
    <t>Nombre d'années  à courir/emprunts</t>
  </si>
  <si>
    <t>Impot sur les benefices</t>
  </si>
  <si>
    <t>Magasins</t>
  </si>
  <si>
    <t>au-delà de 50</t>
  </si>
  <si>
    <t>de 25 à 50</t>
  </si>
  <si>
    <t>de 10 à 25</t>
  </si>
  <si>
    <t>de 2 à 10</t>
  </si>
  <si>
    <t>de -2 à 2</t>
  </si>
  <si>
    <t>de -10 à -2</t>
  </si>
  <si>
    <t>de -25 à -10</t>
  </si>
  <si>
    <t>de -50 à -25</t>
  </si>
  <si>
    <t>moins de -50</t>
  </si>
  <si>
    <t>éé</t>
  </si>
  <si>
    <t>ìì</t>
  </si>
  <si>
    <t>ì</t>
  </si>
  <si>
    <t>èì</t>
  </si>
  <si>
    <t>è</t>
  </si>
  <si>
    <t>îè</t>
  </si>
  <si>
    <t>î</t>
  </si>
  <si>
    <t>îî</t>
  </si>
  <si>
    <t>êê</t>
  </si>
  <si>
    <t>&lt;</t>
  </si>
  <si>
    <t>Chiffre d'affaires par ETP</t>
  </si>
  <si>
    <t>Probabilite défaillance (Score)</t>
  </si>
  <si>
    <t>TENDANCES MAGASIN 2020</t>
  </si>
  <si>
    <t>Site</t>
  </si>
  <si>
    <t>Effectif</t>
  </si>
  <si>
    <t>CLIENTS 20.0%</t>
  </si>
  <si>
    <t>ETAT PRODUITS A RECEVOIR</t>
  </si>
  <si>
    <t xml:space="preserve">Tom Ogara </t>
  </si>
  <si>
    <t>EXTENCIA - COMPTE PROVISION</t>
  </si>
  <si>
    <t>att 2</t>
  </si>
  <si>
    <t>ACHATS D'EMBALLAGES</t>
  </si>
  <si>
    <t>TENUES PERSONNEL</t>
  </si>
  <si>
    <t>REMISES ACHAT OGARA</t>
  </si>
  <si>
    <t>LOCATIONS VEHICULES</t>
  </si>
  <si>
    <t>PRIMES D'ASSURANCES</t>
  </si>
  <si>
    <t>DOCUMENTATION TECHNIQUES</t>
  </si>
  <si>
    <t>POURBOIRES DONS</t>
  </si>
  <si>
    <t>CICE</t>
  </si>
  <si>
    <t>DOT.AMORT.IMMO.INCOR</t>
  </si>
  <si>
    <t>REDUCTION IMPOT MECENAT</t>
  </si>
  <si>
    <t>et</t>
  </si>
  <si>
    <t>RAN SOLDE DEBITEUR</t>
  </si>
  <si>
    <t>EMPRUNT PALATINE</t>
  </si>
  <si>
    <t>INT.COURUS/EMPRUNT O</t>
  </si>
  <si>
    <t>DROITS D ENREGISTREMENTS</t>
  </si>
  <si>
    <t>INST.AGENC.CONSTRUCT</t>
  </si>
  <si>
    <t>AMORT.AGENC.CONSTRUCTION</t>
  </si>
  <si>
    <t>FOURNISSEURS PRESTATAIRES</t>
  </si>
  <si>
    <t>FSSEURS - FACT.NON PARVENUES</t>
  </si>
  <si>
    <t>CLIENTS 20%</t>
  </si>
  <si>
    <t>AUTRES ORGANISMES SOCIAUX</t>
  </si>
  <si>
    <t>MUTUELLE</t>
  </si>
  <si>
    <t>PROVISION CH.SS A PAYER</t>
  </si>
  <si>
    <t>TVA DUE INTRACOMMUNAUTAIRE</t>
  </si>
  <si>
    <t>TVA DEDUCTIBLE INTRACOM</t>
  </si>
  <si>
    <t>TVA COLLECTEE  A 20%</t>
  </si>
  <si>
    <t>RAFFRAY MATHIEU</t>
  </si>
  <si>
    <t>OGARA</t>
  </si>
  <si>
    <t xml:space="preserve">DEBITEURS DIVERS </t>
  </si>
  <si>
    <t>BANQUE PALATINE</t>
  </si>
  <si>
    <t>BNP MUTUELLE</t>
  </si>
  <si>
    <t>ESPECE</t>
  </si>
  <si>
    <t>VARIATIONS STOCKS AUDIO</t>
  </si>
  <si>
    <t>ACHATS SOLUTION LENTILLES</t>
  </si>
  <si>
    <t>ACHATS MONTURES VERRES</t>
  </si>
  <si>
    <t>ACHATS ACCESSOIRES AUDIO</t>
  </si>
  <si>
    <t>REMISES SUR ACHATS</t>
  </si>
  <si>
    <t>CREDIT BAIL MINI</t>
  </si>
  <si>
    <t xml:space="preserve">HONORAIRES DIVERS </t>
  </si>
  <si>
    <t>HONORAIRES CONSEILS</t>
  </si>
  <si>
    <t xml:space="preserve">HONORAIRES SOCIALS </t>
  </si>
  <si>
    <t>HONORAIRES FORMATION</t>
  </si>
  <si>
    <t>PUBLICITE NATIONALE</t>
  </si>
  <si>
    <t>PARTICIPATION FORMATION PRO CO</t>
  </si>
  <si>
    <t xml:space="preserve">PRIMES </t>
  </si>
  <si>
    <t>INDEMNITES SALISSURES</t>
  </si>
  <si>
    <t>COTISATIONS MUTUELLE</t>
  </si>
  <si>
    <t xml:space="preserve">CHARGES S/ CP </t>
  </si>
  <si>
    <t>MEDECINE DU TRAVAIL, PHARMACIE</t>
  </si>
  <si>
    <t>REDEVANCES</t>
  </si>
  <si>
    <t>DROIT D'AUTEURS</t>
  </si>
  <si>
    <t>CI MECENAT</t>
  </si>
  <si>
    <t>ACCESSOIRES OPTIQUE 20%</t>
  </si>
  <si>
    <t>PORT / EMBALLAGE</t>
  </si>
  <si>
    <t>ACCESSOIRES AUDIO 5.5%</t>
  </si>
  <si>
    <t>REMISE MONTURE</t>
  </si>
  <si>
    <t>REMISE VERRE</t>
  </si>
  <si>
    <t xml:space="preserve">REMISE LENTILLES </t>
  </si>
  <si>
    <t>REMISE PRODUIT LENTILLES</t>
  </si>
  <si>
    <t>REMISE ACCESSOIRE OPTIQUE</t>
  </si>
  <si>
    <t xml:space="preserve">REMISE ACCESSOIRE AUDIO </t>
  </si>
  <si>
    <t>REFACTURATION PERSONNEL OGARA</t>
  </si>
  <si>
    <t xml:space="preserve">REFACTURATION ACUITIS FRANCE </t>
  </si>
  <si>
    <t>Emprunt Entrepreteurs</t>
  </si>
  <si>
    <t>Rachat Pret Palatine 72K€</t>
  </si>
  <si>
    <t>Emprunt CIC 126K€</t>
  </si>
  <si>
    <t>ACTIONS PROPRES</t>
  </si>
  <si>
    <t>Autres organismes sociaux</t>
  </si>
  <si>
    <t>PRELEVEMENT A LA SOURCE</t>
  </si>
  <si>
    <t>TVA due intracommunautaire</t>
  </si>
  <si>
    <t>Tva deductible intracom</t>
  </si>
  <si>
    <t>TVA SUR AVOIRS A RECEVOIR</t>
  </si>
  <si>
    <t>TOMALINE PARTICIPATIONS</t>
  </si>
  <si>
    <t>MATTHIEU RAFFRAY ASSOCIE</t>
  </si>
  <si>
    <t>RAFFRAY ANIMATION PARTICIPATION</t>
  </si>
  <si>
    <t>CIC COURANT</t>
  </si>
  <si>
    <t>CIC MUTUELLES</t>
  </si>
  <si>
    <t>RRR A OBTENIR</t>
  </si>
  <si>
    <t>CREDIT BAIL LAMPE A FENTE</t>
  </si>
  <si>
    <t>ASSURANCES EMPRUNTS</t>
  </si>
  <si>
    <t>HONORAIRES DIVERS</t>
  </si>
  <si>
    <t>PRESTATIONS DE SERVICES RAFFRA</t>
  </si>
  <si>
    <t>PRESTATIONS DE SERVICES TOMALINE</t>
  </si>
  <si>
    <t xml:space="preserve">Honoraires socials </t>
  </si>
  <si>
    <t xml:space="preserve">Honoraires juridiques </t>
  </si>
  <si>
    <t xml:space="preserve">Honoraires Suivi Tiers Payant </t>
  </si>
  <si>
    <t xml:space="preserve">Honoraires formations </t>
  </si>
  <si>
    <t>CATALOGUES ET IMPRIMES</t>
  </si>
  <si>
    <t>Commissions S/Emprunts</t>
  </si>
  <si>
    <t>FRAIS CARTES BANCAIRES</t>
  </si>
  <si>
    <t>PRODUITS OPTIQUES</t>
  </si>
  <si>
    <t>REMISE MONTIRE</t>
  </si>
  <si>
    <t>REMISE ACCESOIRE AUDIO</t>
  </si>
  <si>
    <t>REFACTURATION SALAIRE</t>
  </si>
  <si>
    <t xml:space="preserve">Refacturation Acuitis France </t>
  </si>
  <si>
    <t>Renouvellement Immo</t>
  </si>
  <si>
    <t>Saintes</t>
  </si>
  <si>
    <t>Angouleme</t>
  </si>
  <si>
    <t>Indice Réalisation / Valeurs moyenne</t>
  </si>
  <si>
    <t>Indice Réalisation / Valeurs moyennes</t>
  </si>
  <si>
    <t>Moyenne</t>
  </si>
  <si>
    <t>Mag 1</t>
  </si>
  <si>
    <t>Mag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</si>
</sst>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0.0%"/>
  </numFmts>
  <fonts count="42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9" tint="-0.499984740745262"/>
      <name val="Arial"/>
      <family val="2"/>
    </font>
    <font>
      <b/>
      <sz val="16"/>
      <color theme="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6"/>
      <color theme="9" tint="-0.499984740745262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i/>
      <sz val="13"/>
      <name val="Arial"/>
      <family val="2"/>
    </font>
    <font>
      <b/>
      <sz val="18"/>
      <color theme="8" tint="-0.249977111117893"/>
      <name val="Arial"/>
      <family val="2"/>
    </font>
    <font>
      <b/>
      <sz val="18"/>
      <name val="Arial"/>
      <family val="2"/>
    </font>
    <font>
      <sz val="10"/>
      <color theme="4" tint="-0.249977111117893"/>
      <name val="Arial"/>
      <family val="2"/>
    </font>
    <font>
      <b/>
      <sz val="24"/>
      <color theme="9" tint="-0.499984740745262"/>
      <name val="Arial"/>
      <family val="2"/>
    </font>
    <font>
      <i/>
      <sz val="16"/>
      <name val="Arial"/>
      <family val="2"/>
    </font>
    <font>
      <b/>
      <sz val="18"/>
      <color theme="5" tint="-0.24997711111789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8"/>
      <name val="Big Caslon Medium"/>
    </font>
    <font>
      <sz val="16"/>
      <name val="Arial"/>
      <family val="2"/>
    </font>
    <font>
      <b/>
      <sz val="26"/>
      <name val="Arial"/>
      <family val="2"/>
    </font>
    <font>
      <i/>
      <sz val="18"/>
      <name val="Arial"/>
      <family val="2"/>
    </font>
    <font>
      <sz val="18"/>
      <name val="Wingdings"/>
      <charset val="2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rgb="FF0070C0"/>
      <name val="Wingdings"/>
      <charset val="2"/>
    </font>
    <font>
      <sz val="16"/>
      <color rgb="FF00B0F0"/>
      <name val="Wingdings"/>
      <charset val="2"/>
    </font>
    <font>
      <sz val="16"/>
      <color rgb="FF92D050"/>
      <name val="Wingdings"/>
      <charset val="2"/>
    </font>
    <font>
      <b/>
      <sz val="16"/>
      <color rgb="FFFFC000"/>
      <name val="Wingdings"/>
      <charset val="2"/>
    </font>
    <font>
      <b/>
      <sz val="16"/>
      <color rgb="FFFF0000"/>
      <name val="Wingdings"/>
      <charset val="2"/>
    </font>
    <font>
      <sz val="16"/>
      <color rgb="FFC00000"/>
      <name val="Wingdings"/>
      <charset val="2"/>
    </font>
    <font>
      <sz val="16"/>
      <color theme="9" tint="-0.249977111117893"/>
      <name val="Wingdings"/>
      <charset val="2"/>
    </font>
    <font>
      <sz val="12"/>
      <color rgb="FF9C0006"/>
      <name val="Calibri"/>
      <family val="2"/>
      <scheme val="minor"/>
    </font>
    <font>
      <sz val="12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</fills>
  <borders count="7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40" fillId="24" borderId="0" applyNumberFormat="0" applyBorder="0" applyAlignment="0" applyProtection="0"/>
  </cellStyleXfs>
  <cellXfs count="586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0" fontId="0" fillId="2" borderId="0" xfId="0" applyFill="1"/>
    <xf numFmtId="4" fontId="0" fillId="2" borderId="0" xfId="0" applyNumberFormat="1" applyFill="1"/>
    <xf numFmtId="0" fontId="1" fillId="3" borderId="0" xfId="1" applyFill="1" applyAlignment="1" applyProtection="1">
      <alignment vertical="top"/>
    </xf>
    <xf numFmtId="0" fontId="2" fillId="3" borderId="0" xfId="2" applyFill="1"/>
    <xf numFmtId="0" fontId="2" fillId="3" borderId="3" xfId="2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3" borderId="5" xfId="2" applyFill="1" applyBorder="1"/>
    <xf numFmtId="4" fontId="2" fillId="3" borderId="6" xfId="2" applyNumberFormat="1" applyFill="1" applyBorder="1"/>
    <xf numFmtId="0" fontId="2" fillId="3" borderId="7" xfId="2" applyFill="1" applyBorder="1"/>
    <xf numFmtId="0" fontId="2" fillId="3" borderId="8" xfId="2" applyFill="1" applyBorder="1" applyAlignment="1">
      <alignment horizontal="right"/>
    </xf>
    <xf numFmtId="2" fontId="2" fillId="3" borderId="9" xfId="2" applyNumberFormat="1" applyFill="1" applyBorder="1"/>
    <xf numFmtId="0" fontId="2" fillId="3" borderId="10" xfId="2" applyFill="1" applyBorder="1"/>
    <xf numFmtId="2" fontId="2" fillId="3" borderId="11" xfId="2" applyNumberFormat="1" applyFill="1" applyBorder="1"/>
    <xf numFmtId="0" fontId="2" fillId="3" borderId="12" xfId="2" applyFill="1" applyBorder="1"/>
    <xf numFmtId="4" fontId="2" fillId="3" borderId="13" xfId="2" applyNumberFormat="1" applyFill="1" applyBorder="1"/>
    <xf numFmtId="0" fontId="2" fillId="3" borderId="13" xfId="2" applyFill="1" applyBorder="1" applyAlignment="1">
      <alignment horizontal="right"/>
    </xf>
    <xf numFmtId="0" fontId="2" fillId="3" borderId="16" xfId="2" applyFill="1" applyBorder="1"/>
    <xf numFmtId="2" fontId="2" fillId="3" borderId="17" xfId="2" applyNumberFormat="1" applyFill="1" applyBorder="1"/>
    <xf numFmtId="0" fontId="2" fillId="3" borderId="14" xfId="2" applyFill="1" applyBorder="1"/>
    <xf numFmtId="0" fontId="2" fillId="3" borderId="19" xfId="2" applyFill="1" applyBorder="1"/>
    <xf numFmtId="4" fontId="2" fillId="3" borderId="20" xfId="2" applyNumberFormat="1" applyFill="1" applyBorder="1"/>
    <xf numFmtId="0" fontId="2" fillId="3" borderId="21" xfId="2" applyFill="1" applyBorder="1"/>
    <xf numFmtId="0" fontId="2" fillId="3" borderId="20" xfId="2" applyFill="1" applyBorder="1" applyAlignment="1">
      <alignment horizontal="right"/>
    </xf>
    <xf numFmtId="2" fontId="2" fillId="3" borderId="22" xfId="2" applyNumberFormat="1" applyFill="1" applyBorder="1"/>
    <xf numFmtId="0" fontId="2" fillId="3" borderId="23" xfId="2" applyFill="1" applyBorder="1"/>
    <xf numFmtId="2" fontId="2" fillId="3" borderId="24" xfId="2" applyNumberFormat="1" applyFill="1" applyBorder="1"/>
    <xf numFmtId="0" fontId="2" fillId="3" borderId="25" xfId="2" applyFill="1" applyBorder="1" applyAlignment="1">
      <alignment horizontal="right"/>
    </xf>
    <xf numFmtId="2" fontId="2" fillId="3" borderId="26" xfId="2" applyNumberFormat="1" applyFill="1" applyBorder="1"/>
    <xf numFmtId="14" fontId="0" fillId="0" borderId="0" xfId="0" applyNumberFormat="1" applyProtection="1">
      <protection locked="0"/>
    </xf>
    <xf numFmtId="0" fontId="2" fillId="0" borderId="0" xfId="3" applyAlignment="1">
      <alignment vertical="center"/>
    </xf>
    <xf numFmtId="0" fontId="4" fillId="0" borderId="27" xfId="3" applyFont="1" applyBorder="1" applyAlignment="1">
      <alignment horizontal="center" vertical="center" wrapText="1"/>
    </xf>
    <xf numFmtId="14" fontId="2" fillId="0" borderId="0" xfId="3" applyNumberFormat="1" applyAlignment="1">
      <alignment vertical="center"/>
    </xf>
    <xf numFmtId="0" fontId="6" fillId="5" borderId="27" xfId="3" applyFont="1" applyFill="1" applyBorder="1" applyAlignment="1">
      <alignment vertical="center" wrapText="1"/>
    </xf>
    <xf numFmtId="0" fontId="6" fillId="5" borderId="29" xfId="3" applyFont="1" applyFill="1" applyBorder="1" applyAlignment="1">
      <alignment vertical="center" wrapText="1"/>
    </xf>
    <xf numFmtId="0" fontId="2" fillId="0" borderId="0" xfId="3" applyAlignment="1">
      <alignment vertical="center" wrapText="1"/>
    </xf>
    <xf numFmtId="0" fontId="7" fillId="6" borderId="30" xfId="3" applyFont="1" applyFill="1" applyBorder="1" applyAlignment="1">
      <alignment horizontal="left" vertical="center" wrapText="1"/>
    </xf>
    <xf numFmtId="3" fontId="8" fillId="6" borderId="31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right" vertical="center" wrapText="1"/>
    </xf>
    <xf numFmtId="3" fontId="8" fillId="6" borderId="32" xfId="3" applyNumberFormat="1" applyFont="1" applyFill="1" applyBorder="1" applyAlignment="1">
      <alignment vertical="center" wrapText="1"/>
    </xf>
    <xf numFmtId="9" fontId="7" fillId="7" borderId="10" xfId="3" applyNumberFormat="1" applyFont="1" applyFill="1" applyBorder="1" applyAlignment="1">
      <alignment vertical="center" wrapText="1"/>
    </xf>
    <xf numFmtId="0" fontId="9" fillId="0" borderId="33" xfId="3" applyFont="1" applyBorder="1" applyAlignment="1">
      <alignment horizontal="left" vertical="center" wrapText="1"/>
    </xf>
    <xf numFmtId="3" fontId="10" fillId="0" borderId="34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horizontal="right" vertical="center" wrapText="1"/>
    </xf>
    <xf numFmtId="3" fontId="10" fillId="0" borderId="36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vertical="center" wrapText="1"/>
    </xf>
    <xf numFmtId="0" fontId="9" fillId="0" borderId="37" xfId="3" applyFont="1" applyBorder="1" applyAlignment="1">
      <alignment horizontal="left" vertical="center" wrapText="1"/>
    </xf>
    <xf numFmtId="3" fontId="10" fillId="0" borderId="38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horizontal="right" vertical="center" wrapText="1"/>
    </xf>
    <xf numFmtId="3" fontId="10" fillId="0" borderId="40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left" vertical="center" wrapText="1"/>
    </xf>
    <xf numFmtId="0" fontId="10" fillId="0" borderId="0" xfId="3" applyFont="1" applyAlignment="1">
      <alignment horizontal="right" vertical="center" wrapText="1"/>
    </xf>
    <xf numFmtId="3" fontId="10" fillId="0" borderId="0" xfId="3" applyNumberFormat="1" applyFont="1" applyAlignment="1">
      <alignment horizontal="right" vertical="center" wrapText="1"/>
    </xf>
    <xf numFmtId="0" fontId="7" fillId="9" borderId="41" xfId="3" applyFont="1" applyFill="1" applyBorder="1" applyAlignment="1">
      <alignment horizontal="left" vertical="center" wrapText="1"/>
    </xf>
    <xf numFmtId="3" fontId="8" fillId="9" borderId="41" xfId="3" applyNumberFormat="1" applyFont="1" applyFill="1" applyBorder="1" applyAlignment="1">
      <alignment vertical="center" wrapText="1"/>
    </xf>
    <xf numFmtId="9" fontId="7" fillId="10" borderId="42" xfId="3" applyNumberFormat="1" applyFont="1" applyFill="1" applyBorder="1" applyAlignment="1">
      <alignment horizontal="right" vertical="center" wrapText="1"/>
    </xf>
    <xf numFmtId="9" fontId="7" fillId="10" borderId="42" xfId="3" applyNumberFormat="1" applyFont="1" applyFill="1" applyBorder="1" applyAlignment="1">
      <alignment vertical="center" wrapText="1"/>
    </xf>
    <xf numFmtId="0" fontId="9" fillId="0" borderId="43" xfId="3" applyFont="1" applyBorder="1" applyAlignment="1">
      <alignment horizontal="left" vertical="center" wrapText="1"/>
    </xf>
    <xf numFmtId="3" fontId="10" fillId="8" borderId="44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horizontal="right" vertical="center" wrapText="1"/>
    </xf>
    <xf numFmtId="3" fontId="10" fillId="8" borderId="43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vertical="center" wrapText="1"/>
    </xf>
    <xf numFmtId="9" fontId="7" fillId="10" borderId="45" xfId="3" applyNumberFormat="1" applyFont="1" applyFill="1" applyBorder="1" applyAlignment="1">
      <alignment vertical="center" wrapText="1"/>
    </xf>
    <xf numFmtId="0" fontId="9" fillId="0" borderId="46" xfId="3" applyFont="1" applyBorder="1" applyAlignment="1">
      <alignment horizontal="left" vertical="center" wrapText="1"/>
    </xf>
    <xf numFmtId="3" fontId="10" fillId="8" borderId="46" xfId="3" applyNumberFormat="1" applyFont="1" applyFill="1" applyBorder="1" applyAlignment="1">
      <alignment vertical="center" wrapText="1"/>
    </xf>
    <xf numFmtId="9" fontId="9" fillId="10" borderId="47" xfId="3" applyNumberFormat="1" applyFont="1" applyFill="1" applyBorder="1" applyAlignment="1">
      <alignment horizontal="right" vertical="center" wrapText="1"/>
    </xf>
    <xf numFmtId="9" fontId="9" fillId="10" borderId="47" xfId="3" applyNumberFormat="1" applyFont="1" applyFill="1" applyBorder="1" applyAlignment="1">
      <alignment vertical="center" wrapText="1"/>
    </xf>
    <xf numFmtId="9" fontId="7" fillId="10" borderId="47" xfId="3" applyNumberFormat="1" applyFont="1" applyFill="1" applyBorder="1" applyAlignment="1">
      <alignment vertical="center" wrapText="1"/>
    </xf>
    <xf numFmtId="0" fontId="7" fillId="6" borderId="41" xfId="3" applyFont="1" applyFill="1" applyBorder="1" applyAlignment="1">
      <alignment horizontal="left" vertical="center" wrapText="1"/>
    </xf>
    <xf numFmtId="3" fontId="8" fillId="7" borderId="41" xfId="3" applyNumberFormat="1" applyFont="1" applyFill="1" applyBorder="1" applyAlignment="1">
      <alignment vertical="center" wrapText="1"/>
    </xf>
    <xf numFmtId="9" fontId="7" fillId="11" borderId="42" xfId="3" applyNumberFormat="1" applyFont="1" applyFill="1" applyBorder="1" applyAlignment="1">
      <alignment horizontal="right" vertical="center" wrapText="1"/>
    </xf>
    <xf numFmtId="9" fontId="7" fillId="11" borderId="42" xfId="3" applyNumberFormat="1" applyFont="1" applyFill="1" applyBorder="1" applyAlignment="1">
      <alignment vertical="center" wrapText="1"/>
    </xf>
    <xf numFmtId="3" fontId="10" fillId="0" borderId="44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horizontal="right" vertical="center" wrapText="1"/>
    </xf>
    <xf numFmtId="3" fontId="10" fillId="0" borderId="43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vertical="center" wrapText="1"/>
    </xf>
    <xf numFmtId="3" fontId="10" fillId="0" borderId="43" xfId="3" applyNumberFormat="1" applyFont="1" applyBorder="1" applyAlignment="1">
      <alignment vertical="center" wrapText="1"/>
    </xf>
    <xf numFmtId="9" fontId="7" fillId="8" borderId="45" xfId="3" applyNumberFormat="1" applyFont="1" applyFill="1" applyBorder="1" applyAlignment="1">
      <alignment vertical="center" wrapText="1"/>
    </xf>
    <xf numFmtId="3" fontId="10" fillId="0" borderId="46" xfId="0" applyNumberFormat="1" applyFont="1" applyBorder="1" applyAlignment="1">
      <alignment vertical="center" wrapText="1"/>
    </xf>
    <xf numFmtId="9" fontId="9" fillId="8" borderId="47" xfId="3" applyNumberFormat="1" applyFont="1" applyFill="1" applyBorder="1" applyAlignment="1">
      <alignment horizontal="right" vertical="center" wrapText="1"/>
    </xf>
    <xf numFmtId="9" fontId="9" fillId="8" borderId="47" xfId="3" applyNumberFormat="1" applyFont="1" applyFill="1" applyBorder="1" applyAlignment="1">
      <alignment vertical="center" wrapText="1"/>
    </xf>
    <xf numFmtId="3" fontId="10" fillId="0" borderId="46" xfId="3" applyNumberFormat="1" applyFont="1" applyBorder="1" applyAlignment="1">
      <alignment vertical="center" wrapText="1"/>
    </xf>
    <xf numFmtId="9" fontId="7" fillId="8" borderId="47" xfId="3" applyNumberFormat="1" applyFont="1" applyFill="1" applyBorder="1" applyAlignment="1">
      <alignment vertical="center" wrapText="1"/>
    </xf>
    <xf numFmtId="0" fontId="9" fillId="0" borderId="48" xfId="3" applyFont="1" applyBorder="1" applyAlignment="1">
      <alignment horizontal="left" vertical="center" wrapText="1"/>
    </xf>
    <xf numFmtId="3" fontId="10" fillId="8" borderId="48" xfId="3" applyNumberFormat="1" applyFont="1" applyFill="1" applyBorder="1" applyAlignment="1">
      <alignment vertical="center" wrapText="1"/>
    </xf>
    <xf numFmtId="9" fontId="9" fillId="10" borderId="49" xfId="3" applyNumberFormat="1" applyFont="1" applyFill="1" applyBorder="1" applyAlignment="1">
      <alignment horizontal="right" vertical="center" wrapText="1"/>
    </xf>
    <xf numFmtId="9" fontId="9" fillId="10" borderId="49" xfId="3" applyNumberFormat="1" applyFont="1" applyFill="1" applyBorder="1" applyAlignment="1">
      <alignment vertical="center" wrapText="1"/>
    </xf>
    <xf numFmtId="9" fontId="7" fillId="10" borderId="49" xfId="3" applyNumberFormat="1" applyFont="1" applyFill="1" applyBorder="1" applyAlignment="1">
      <alignment vertical="center" wrapText="1"/>
    </xf>
    <xf numFmtId="0" fontId="7" fillId="0" borderId="43" xfId="3" applyFont="1" applyBorder="1" applyAlignment="1">
      <alignment horizontal="left" vertical="center" wrapText="1"/>
    </xf>
    <xf numFmtId="3" fontId="8" fillId="8" borderId="43" xfId="3" applyNumberFormat="1" applyFont="1" applyFill="1" applyBorder="1" applyAlignment="1">
      <alignment vertical="center" wrapText="1"/>
    </xf>
    <xf numFmtId="0" fontId="7" fillId="0" borderId="0" xfId="3" applyFont="1" applyAlignment="1">
      <alignment horizontal="right" vertical="center" wrapText="1"/>
    </xf>
    <xf numFmtId="0" fontId="7" fillId="0" borderId="50" xfId="3" applyFont="1" applyBorder="1" applyAlignment="1">
      <alignment horizontal="left" vertical="center" wrapText="1"/>
    </xf>
    <xf numFmtId="3" fontId="8" fillId="0" borderId="50" xfId="3" applyNumberFormat="1" applyFont="1" applyBorder="1" applyAlignment="1">
      <alignment vertical="center" wrapText="1"/>
    </xf>
    <xf numFmtId="9" fontId="7" fillId="0" borderId="51" xfId="3" applyNumberFormat="1" applyFont="1" applyBorder="1" applyAlignment="1">
      <alignment horizontal="right" vertical="center" wrapText="1"/>
    </xf>
    <xf numFmtId="9" fontId="7" fillId="0" borderId="51" xfId="3" applyNumberFormat="1" applyFont="1" applyBorder="1" applyAlignment="1">
      <alignment vertical="center" wrapText="1"/>
    </xf>
    <xf numFmtId="0" fontId="9" fillId="0" borderId="52" xfId="3" applyFont="1" applyBorder="1" applyAlignment="1">
      <alignment horizontal="right" vertical="center" wrapText="1"/>
    </xf>
    <xf numFmtId="0" fontId="7" fillId="12" borderId="50" xfId="3" applyFont="1" applyFill="1" applyBorder="1" applyAlignment="1">
      <alignment horizontal="left" vertical="center" wrapText="1"/>
    </xf>
    <xf numFmtId="3" fontId="8" fillId="12" borderId="50" xfId="3" applyNumberFormat="1" applyFont="1" applyFill="1" applyBorder="1" applyAlignment="1">
      <alignment vertical="center" wrapText="1"/>
    </xf>
    <xf numFmtId="9" fontId="7" fillId="13" borderId="51" xfId="3" applyNumberFormat="1" applyFont="1" applyFill="1" applyBorder="1" applyAlignment="1">
      <alignment horizontal="right" vertical="center" wrapText="1"/>
    </xf>
    <xf numFmtId="9" fontId="7" fillId="13" borderId="51" xfId="3" applyNumberFormat="1" applyFont="1" applyFill="1" applyBorder="1" applyAlignment="1">
      <alignment vertical="center" wrapText="1"/>
    </xf>
    <xf numFmtId="0" fontId="9" fillId="0" borderId="53" xfId="3" applyFont="1" applyBorder="1" applyAlignment="1">
      <alignment horizontal="right" vertical="center" wrapText="1"/>
    </xf>
    <xf numFmtId="0" fontId="7" fillId="14" borderId="46" xfId="3" applyFont="1" applyFill="1" applyBorder="1" applyAlignment="1">
      <alignment horizontal="left" vertical="center" wrapText="1"/>
    </xf>
    <xf numFmtId="3" fontId="8" fillId="14" borderId="50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horizontal="right" vertical="center" wrapText="1"/>
    </xf>
    <xf numFmtId="3" fontId="8" fillId="14" borderId="46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vertical="center" wrapText="1"/>
    </xf>
    <xf numFmtId="0" fontId="7" fillId="0" borderId="46" xfId="3" applyFont="1" applyBorder="1" applyAlignment="1">
      <alignment horizontal="left" vertical="center" wrapText="1"/>
    </xf>
    <xf numFmtId="9" fontId="7" fillId="0" borderId="47" xfId="3" applyNumberFormat="1" applyFont="1" applyBorder="1" applyAlignment="1">
      <alignment horizontal="right" vertical="center" wrapText="1"/>
    </xf>
    <xf numFmtId="3" fontId="8" fillId="0" borderId="46" xfId="3" applyNumberFormat="1" applyFont="1" applyBorder="1" applyAlignment="1">
      <alignment vertical="center" wrapText="1"/>
    </xf>
    <xf numFmtId="9" fontId="7" fillId="0" borderId="47" xfId="3" applyNumberFormat="1" applyFont="1" applyBorder="1" applyAlignment="1">
      <alignment vertical="center" wrapText="1"/>
    </xf>
    <xf numFmtId="0" fontId="7" fillId="16" borderId="50" xfId="3" applyFont="1" applyFill="1" applyBorder="1" applyAlignment="1">
      <alignment horizontal="left" vertical="center" wrapText="1"/>
    </xf>
    <xf numFmtId="3" fontId="8" fillId="17" borderId="50" xfId="3" applyNumberFormat="1" applyFont="1" applyFill="1" applyBorder="1" applyAlignment="1">
      <alignment vertical="center" wrapText="1"/>
    </xf>
    <xf numFmtId="9" fontId="7" fillId="18" borderId="51" xfId="3" applyNumberFormat="1" applyFont="1" applyFill="1" applyBorder="1" applyAlignment="1">
      <alignment horizontal="right" vertical="center" wrapText="1"/>
    </xf>
    <xf numFmtId="9" fontId="7" fillId="18" borderId="51" xfId="3" applyNumberFormat="1" applyFont="1" applyFill="1" applyBorder="1" applyAlignment="1">
      <alignment vertical="center" wrapText="1"/>
    </xf>
    <xf numFmtId="3" fontId="8" fillId="16" borderId="50" xfId="3" applyNumberFormat="1" applyFont="1" applyFill="1" applyBorder="1" applyAlignment="1">
      <alignment vertical="center" wrapText="1"/>
    </xf>
    <xf numFmtId="9" fontId="7" fillId="17" borderId="51" xfId="3" applyNumberFormat="1" applyFont="1" applyFill="1" applyBorder="1" applyAlignment="1">
      <alignment vertical="center" wrapText="1"/>
    </xf>
    <xf numFmtId="0" fontId="9" fillId="0" borderId="0" xfId="3" applyFont="1" applyAlignment="1">
      <alignment vertical="center" wrapText="1"/>
    </xf>
    <xf numFmtId="0" fontId="11" fillId="0" borderId="0" xfId="3" applyFont="1" applyAlignment="1">
      <alignment vertical="center" wrapText="1"/>
    </xf>
    <xf numFmtId="0" fontId="9" fillId="19" borderId="0" xfId="3" applyFont="1" applyFill="1" applyAlignment="1">
      <alignment horizontal="left" vertical="center" wrapText="1"/>
    </xf>
    <xf numFmtId="0" fontId="9" fillId="19" borderId="0" xfId="3" applyFont="1" applyFill="1" applyAlignment="1">
      <alignment vertical="center" wrapText="1"/>
    </xf>
    <xf numFmtId="0" fontId="7" fillId="19" borderId="0" xfId="3" applyFont="1" applyFill="1" applyAlignment="1">
      <alignment horizontal="left" vertical="center" wrapText="1"/>
    </xf>
    <xf numFmtId="0" fontId="12" fillId="0" borderId="0" xfId="3" applyFont="1" applyAlignment="1">
      <alignment vertical="center" wrapText="1"/>
    </xf>
    <xf numFmtId="0" fontId="13" fillId="19" borderId="0" xfId="3" applyFont="1" applyFill="1" applyAlignment="1">
      <alignment vertical="center" wrapText="1"/>
    </xf>
    <xf numFmtId="3" fontId="12" fillId="0" borderId="0" xfId="3" applyNumberFormat="1" applyFont="1" applyAlignment="1">
      <alignment vertical="center" wrapText="1"/>
    </xf>
    <xf numFmtId="0" fontId="12" fillId="19" borderId="0" xfId="3" applyFont="1" applyFill="1" applyAlignment="1">
      <alignment horizontal="center" vertical="center" wrapText="1"/>
    </xf>
    <xf numFmtId="0" fontId="7" fillId="19" borderId="0" xfId="3" applyFont="1" applyFill="1" applyAlignment="1">
      <alignment horizontal="center" vertical="center" wrapText="1"/>
    </xf>
    <xf numFmtId="10" fontId="13" fillId="0" borderId="0" xfId="3" applyNumberFormat="1" applyFont="1" applyAlignment="1">
      <alignment vertical="center" wrapText="1"/>
    </xf>
    <xf numFmtId="3" fontId="13" fillId="19" borderId="0" xfId="3" applyNumberFormat="1" applyFont="1" applyFill="1" applyAlignment="1">
      <alignment vertical="center" wrapText="1"/>
    </xf>
    <xf numFmtId="3" fontId="13" fillId="0" borderId="0" xfId="3" applyNumberFormat="1" applyFont="1" applyAlignment="1">
      <alignment vertical="center" wrapText="1"/>
    </xf>
    <xf numFmtId="4" fontId="13" fillId="19" borderId="0" xfId="3" applyNumberFormat="1" applyFont="1" applyFill="1" applyAlignment="1">
      <alignment vertical="center" wrapText="1"/>
    </xf>
    <xf numFmtId="0" fontId="12" fillId="19" borderId="0" xfId="3" applyFont="1" applyFill="1" applyAlignment="1">
      <alignment vertical="center" wrapText="1"/>
    </xf>
    <xf numFmtId="0" fontId="7" fillId="19" borderId="0" xfId="3" applyFont="1" applyFill="1" applyAlignment="1">
      <alignment vertical="center" wrapText="1"/>
    </xf>
    <xf numFmtId="4" fontId="12" fillId="19" borderId="0" xfId="3" applyNumberFormat="1" applyFont="1" applyFill="1" applyAlignment="1">
      <alignment vertical="center" wrapText="1"/>
    </xf>
    <xf numFmtId="0" fontId="14" fillId="0" borderId="48" xfId="3" applyFont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6" fillId="20" borderId="48" xfId="3" applyFont="1" applyFill="1" applyBorder="1" applyAlignment="1">
      <alignment vertical="center" wrapText="1"/>
    </xf>
    <xf numFmtId="0" fontId="6" fillId="20" borderId="49" xfId="3" applyFont="1" applyFill="1" applyBorder="1" applyAlignment="1">
      <alignment vertical="center" wrapText="1"/>
    </xf>
    <xf numFmtId="0" fontId="13" fillId="0" borderId="48" xfId="3" applyFont="1" applyBorder="1" applyAlignment="1">
      <alignment horizontal="left" vertical="center" wrapText="1"/>
    </xf>
    <xf numFmtId="3" fontId="13" fillId="8" borderId="48" xfId="3" applyNumberFormat="1" applyFont="1" applyFill="1" applyBorder="1" applyAlignment="1">
      <alignment vertical="center"/>
    </xf>
    <xf numFmtId="9" fontId="9" fillId="0" borderId="49" xfId="3" applyNumberFormat="1" applyFont="1" applyBorder="1" applyAlignment="1">
      <alignment vertical="center"/>
    </xf>
    <xf numFmtId="0" fontId="9" fillId="0" borderId="0" xfId="3" applyFont="1" applyAlignment="1">
      <alignment vertical="center"/>
    </xf>
    <xf numFmtId="3" fontId="11" fillId="8" borderId="48" xfId="3" applyNumberFormat="1" applyFont="1" applyFill="1" applyBorder="1" applyAlignment="1">
      <alignment vertical="center"/>
    </xf>
    <xf numFmtId="0" fontId="13" fillId="0" borderId="43" xfId="3" applyFont="1" applyBorder="1" applyAlignment="1">
      <alignment horizontal="left" vertical="center" wrapText="1"/>
    </xf>
    <xf numFmtId="3" fontId="13" fillId="8" borderId="43" xfId="3" applyNumberFormat="1" applyFont="1" applyFill="1" applyBorder="1" applyAlignment="1">
      <alignment vertical="center"/>
    </xf>
    <xf numFmtId="9" fontId="9" fillId="0" borderId="45" xfId="3" applyNumberFormat="1" applyFont="1" applyBorder="1" applyAlignment="1">
      <alignment vertical="center"/>
    </xf>
    <xf numFmtId="3" fontId="11" fillId="8" borderId="43" xfId="3" applyNumberFormat="1" applyFont="1" applyFill="1" applyBorder="1" applyAlignment="1">
      <alignment vertical="center"/>
    </xf>
    <xf numFmtId="0" fontId="13" fillId="0" borderId="46" xfId="3" applyFont="1" applyBorder="1" applyAlignment="1">
      <alignment horizontal="left" vertical="center" wrapText="1"/>
    </xf>
    <xf numFmtId="3" fontId="13" fillId="8" borderId="46" xfId="3" applyNumberFormat="1" applyFont="1" applyFill="1" applyBorder="1" applyAlignment="1">
      <alignment vertical="center"/>
    </xf>
    <xf numFmtId="9" fontId="9" fillId="0" borderId="47" xfId="3" applyNumberFormat="1" applyFont="1" applyBorder="1" applyAlignment="1">
      <alignment vertical="center"/>
    </xf>
    <xf numFmtId="3" fontId="11" fillId="8" borderId="46" xfId="3" applyNumberFormat="1" applyFont="1" applyFill="1" applyBorder="1" applyAlignment="1">
      <alignment vertical="center"/>
    </xf>
    <xf numFmtId="0" fontId="13" fillId="6" borderId="50" xfId="3" applyFont="1" applyFill="1" applyBorder="1" applyAlignment="1">
      <alignment horizontal="left" vertical="center" wrapText="1"/>
    </xf>
    <xf numFmtId="3" fontId="13" fillId="6" borderId="50" xfId="3" applyNumberFormat="1" applyFont="1" applyFill="1" applyBorder="1" applyAlignment="1">
      <alignment vertical="center"/>
    </xf>
    <xf numFmtId="9" fontId="9" fillId="7" borderId="51" xfId="3" applyNumberFormat="1" applyFont="1" applyFill="1" applyBorder="1" applyAlignment="1">
      <alignment vertical="center"/>
    </xf>
    <xf numFmtId="0" fontId="12" fillId="10" borderId="50" xfId="3" applyFont="1" applyFill="1" applyBorder="1" applyAlignment="1">
      <alignment horizontal="left" vertical="center" wrapText="1"/>
    </xf>
    <xf numFmtId="3" fontId="12" fillId="10" borderId="50" xfId="3" applyNumberFormat="1" applyFont="1" applyFill="1" applyBorder="1" applyAlignment="1">
      <alignment vertical="center"/>
    </xf>
    <xf numFmtId="9" fontId="7" fillId="10" borderId="51" xfId="3" applyNumberFormat="1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13" fillId="0" borderId="0" xfId="3" applyFont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3" fontId="13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54" xfId="3" applyFont="1" applyBorder="1" applyAlignment="1">
      <alignment vertical="center"/>
    </xf>
    <xf numFmtId="0" fontId="9" fillId="0" borderId="53" xfId="3" applyFont="1" applyBorder="1" applyAlignment="1">
      <alignment vertical="center"/>
    </xf>
    <xf numFmtId="0" fontId="12" fillId="0" borderId="43" xfId="3" applyFont="1" applyBorder="1" applyAlignment="1">
      <alignment horizontal="left" vertical="center" wrapText="1"/>
    </xf>
    <xf numFmtId="3" fontId="12" fillId="8" borderId="43" xfId="3" applyNumberFormat="1" applyFont="1" applyFill="1" applyBorder="1" applyAlignment="1">
      <alignment vertical="center"/>
    </xf>
    <xf numFmtId="9" fontId="7" fillId="0" borderId="45" xfId="3" applyNumberFormat="1" applyFont="1" applyBorder="1" applyAlignment="1">
      <alignment vertical="center"/>
    </xf>
    <xf numFmtId="3" fontId="6" fillId="8" borderId="43" xfId="3" applyNumberFormat="1" applyFont="1" applyFill="1" applyBorder="1" applyAlignment="1">
      <alignment vertical="center"/>
    </xf>
    <xf numFmtId="0" fontId="13" fillId="6" borderId="46" xfId="3" applyFont="1" applyFill="1" applyBorder="1" applyAlignment="1">
      <alignment horizontal="left" vertical="center" wrapText="1"/>
    </xf>
    <xf numFmtId="3" fontId="13" fillId="6" borderId="46" xfId="3" applyNumberFormat="1" applyFont="1" applyFill="1" applyBorder="1" applyAlignment="1">
      <alignment vertical="center"/>
    </xf>
    <xf numFmtId="9" fontId="9" fillId="7" borderId="47" xfId="3" applyNumberFormat="1" applyFont="1" applyFill="1" applyBorder="1" applyAlignment="1">
      <alignment vertical="center"/>
    </xf>
    <xf numFmtId="0" fontId="13" fillId="14" borderId="50" xfId="3" applyFont="1" applyFill="1" applyBorder="1" applyAlignment="1">
      <alignment horizontal="left" vertical="center" wrapText="1"/>
    </xf>
    <xf numFmtId="3" fontId="13" fillId="14" borderId="43" xfId="3" applyNumberFormat="1" applyFont="1" applyFill="1" applyBorder="1" applyAlignment="1">
      <alignment vertical="center"/>
    </xf>
    <xf numFmtId="9" fontId="9" fillId="15" borderId="45" xfId="3" applyNumberFormat="1" applyFont="1" applyFill="1" applyBorder="1" applyAlignment="1">
      <alignment vertical="center"/>
    </xf>
    <xf numFmtId="3" fontId="11" fillId="14" borderId="43" xfId="3" applyNumberFormat="1" applyFont="1" applyFill="1" applyBorder="1" applyAlignment="1">
      <alignment vertical="center"/>
    </xf>
    <xf numFmtId="3" fontId="13" fillId="14" borderId="50" xfId="3" applyNumberFormat="1" applyFont="1" applyFill="1" applyBorder="1" applyAlignment="1">
      <alignment vertical="center"/>
    </xf>
    <xf numFmtId="9" fontId="9" fillId="15" borderId="51" xfId="3" applyNumberFormat="1" applyFont="1" applyFill="1" applyBorder="1" applyAlignment="1">
      <alignment vertical="center"/>
    </xf>
    <xf numFmtId="0" fontId="13" fillId="21" borderId="50" xfId="3" applyFont="1" applyFill="1" applyBorder="1" applyAlignment="1">
      <alignment horizontal="left" vertical="center" wrapText="1"/>
    </xf>
    <xf numFmtId="3" fontId="13" fillId="21" borderId="50" xfId="3" applyNumberFormat="1" applyFont="1" applyFill="1" applyBorder="1" applyAlignment="1">
      <alignment vertical="center"/>
    </xf>
    <xf numFmtId="9" fontId="9" fillId="21" borderId="51" xfId="3" applyNumberFormat="1" applyFont="1" applyFill="1" applyBorder="1" applyAlignment="1">
      <alignment vertical="center"/>
    </xf>
    <xf numFmtId="3" fontId="11" fillId="21" borderId="50" xfId="3" applyNumberFormat="1" applyFont="1" applyFill="1" applyBorder="1" applyAlignment="1">
      <alignment vertical="center"/>
    </xf>
    <xf numFmtId="0" fontId="9" fillId="0" borderId="50" xfId="3" applyFont="1" applyBorder="1" applyAlignment="1">
      <alignment vertical="center"/>
    </xf>
    <xf numFmtId="0" fontId="13" fillId="0" borderId="41" xfId="3" applyFont="1" applyBorder="1" applyAlignment="1">
      <alignment horizontal="left" vertical="center" wrapText="1"/>
    </xf>
    <xf numFmtId="3" fontId="13" fillId="8" borderId="41" xfId="3" applyNumberFormat="1" applyFont="1" applyFill="1" applyBorder="1" applyAlignment="1">
      <alignment vertical="center"/>
    </xf>
    <xf numFmtId="3" fontId="9" fillId="0" borderId="42" xfId="3" applyNumberFormat="1" applyFont="1" applyBorder="1" applyAlignment="1">
      <alignment vertical="center"/>
    </xf>
    <xf numFmtId="0" fontId="13" fillId="0" borderId="44" xfId="3" applyFont="1" applyBorder="1" applyAlignment="1">
      <alignment horizontal="left" vertical="center" wrapText="1"/>
    </xf>
    <xf numFmtId="3" fontId="13" fillId="8" borderId="55" xfId="3" applyNumberFormat="1" applyFont="1" applyFill="1" applyBorder="1" applyAlignment="1">
      <alignment vertical="center"/>
    </xf>
    <xf numFmtId="3" fontId="9" fillId="0" borderId="56" xfId="3" applyNumberFormat="1" applyFont="1" applyBorder="1" applyAlignment="1">
      <alignment vertical="center"/>
    </xf>
    <xf numFmtId="0" fontId="13" fillId="0" borderId="57" xfId="3" applyFont="1" applyBorder="1" applyAlignment="1">
      <alignment horizontal="left" vertical="center" wrapText="1"/>
    </xf>
    <xf numFmtId="3" fontId="9" fillId="0" borderId="47" xfId="3" applyNumberFormat="1" applyFont="1" applyBorder="1" applyAlignment="1">
      <alignment vertical="center"/>
    </xf>
    <xf numFmtId="0" fontId="13" fillId="22" borderId="50" xfId="3" applyFont="1" applyFill="1" applyBorder="1" applyAlignment="1">
      <alignment horizontal="left" vertical="center" wrapText="1"/>
    </xf>
    <xf numFmtId="10" fontId="12" fillId="22" borderId="50" xfId="3" applyNumberFormat="1" applyFont="1" applyFill="1" applyBorder="1" applyAlignment="1">
      <alignment vertical="center"/>
    </xf>
    <xf numFmtId="10" fontId="7" fillId="22" borderId="51" xfId="3" applyNumberFormat="1" applyFont="1" applyFill="1" applyBorder="1" applyAlignment="1">
      <alignment vertical="center"/>
    </xf>
    <xf numFmtId="0" fontId="10" fillId="19" borderId="0" xfId="3" applyFont="1" applyFill="1" applyAlignment="1">
      <alignment vertical="center" wrapText="1"/>
    </xf>
    <xf numFmtId="0" fontId="9" fillId="19" borderId="0" xfId="3" applyFont="1" applyFill="1" applyAlignment="1">
      <alignment vertical="center"/>
    </xf>
    <xf numFmtId="0" fontId="8" fillId="19" borderId="0" xfId="3" applyFont="1" applyFill="1" applyAlignment="1">
      <alignment vertical="center" wrapText="1"/>
    </xf>
    <xf numFmtId="10" fontId="13" fillId="0" borderId="0" xfId="3" applyNumberFormat="1" applyFont="1" applyAlignment="1">
      <alignment vertical="center"/>
    </xf>
    <xf numFmtId="0" fontId="12" fillId="19" borderId="0" xfId="3" applyFont="1" applyFill="1" applyAlignment="1">
      <alignment horizontal="center" vertical="center"/>
    </xf>
    <xf numFmtId="0" fontId="13" fillId="19" borderId="0" xfId="3" applyFont="1" applyFill="1" applyAlignment="1">
      <alignment vertical="center"/>
    </xf>
    <xf numFmtId="4" fontId="17" fillId="19" borderId="0" xfId="3" applyNumberFormat="1" applyFont="1" applyFill="1" applyAlignment="1">
      <alignment horizontal="center" vertical="center"/>
    </xf>
    <xf numFmtId="3" fontId="13" fillId="0" borderId="0" xfId="3" applyNumberFormat="1" applyFont="1" applyAlignment="1">
      <alignment vertical="center"/>
    </xf>
    <xf numFmtId="4" fontId="13" fillId="19" borderId="0" xfId="3" applyNumberFormat="1" applyFont="1" applyFill="1" applyAlignment="1">
      <alignment vertical="center"/>
    </xf>
    <xf numFmtId="0" fontId="17" fillId="0" borderId="9" xfId="3" applyFont="1" applyBorder="1" applyAlignment="1">
      <alignment horizontal="center" vertical="center"/>
    </xf>
    <xf numFmtId="0" fontId="6" fillId="12" borderId="58" xfId="3" applyFont="1" applyFill="1" applyBorder="1" applyAlignment="1">
      <alignment horizontal="center" vertical="center"/>
    </xf>
    <xf numFmtId="0" fontId="18" fillId="0" borderId="0" xfId="3" applyFont="1" applyAlignment="1">
      <alignment vertical="center"/>
    </xf>
    <xf numFmtId="14" fontId="8" fillId="0" borderId="0" xfId="3" quotePrefix="1" applyNumberFormat="1" applyFont="1" applyAlignment="1">
      <alignment horizontal="center" vertical="center"/>
    </xf>
    <xf numFmtId="0" fontId="3" fillId="0" borderId="0" xfId="3" applyFont="1" applyAlignment="1">
      <alignment vertical="center"/>
    </xf>
    <xf numFmtId="0" fontId="20" fillId="23" borderId="0" xfId="3" applyFont="1" applyFill="1" applyAlignment="1">
      <alignment horizontal="center" vertical="center" wrapText="1"/>
    </xf>
    <xf numFmtId="14" fontId="20" fillId="23" borderId="0" xfId="3" applyNumberFormat="1" applyFont="1" applyFill="1" applyAlignment="1">
      <alignment horizontal="center" vertical="center" wrapText="1"/>
    </xf>
    <xf numFmtId="0" fontId="20" fillId="23" borderId="9" xfId="3" applyFont="1" applyFill="1" applyBorder="1" applyAlignment="1">
      <alignment horizontal="center" vertical="center" wrapText="1"/>
    </xf>
    <xf numFmtId="0" fontId="8" fillId="0" borderId="9" xfId="3" applyFont="1" applyBorder="1" applyAlignment="1">
      <alignment horizontal="left" vertical="center"/>
    </xf>
    <xf numFmtId="0" fontId="2" fillId="0" borderId="9" xfId="3" applyBorder="1" applyAlignment="1">
      <alignment vertical="center"/>
    </xf>
    <xf numFmtId="0" fontId="8" fillId="0" borderId="9" xfId="3" applyFont="1" applyBorder="1" applyAlignment="1">
      <alignment vertical="center"/>
    </xf>
    <xf numFmtId="0" fontId="20" fillId="0" borderId="0" xfId="3" applyFont="1" applyAlignment="1">
      <alignment horizontal="center" vertical="center" wrapText="1"/>
    </xf>
    <xf numFmtId="164" fontId="2" fillId="0" borderId="0" xfId="3" applyNumberFormat="1" applyAlignment="1">
      <alignment horizontal="center" vertical="center"/>
    </xf>
    <xf numFmtId="0" fontId="26" fillId="0" borderId="0" xfId="3" applyFont="1" applyAlignment="1">
      <alignment vertical="center"/>
    </xf>
    <xf numFmtId="1" fontId="2" fillId="0" borderId="0" xfId="3" applyNumberFormat="1" applyAlignment="1">
      <alignment horizontal="center" vertical="center"/>
    </xf>
    <xf numFmtId="0" fontId="2" fillId="23" borderId="0" xfId="3" applyFill="1" applyAlignment="1">
      <alignment vertical="center"/>
    </xf>
    <xf numFmtId="14" fontId="24" fillId="0" borderId="41" xfId="3" applyNumberFormat="1" applyFont="1" applyBorder="1" applyAlignment="1">
      <alignment vertical="center"/>
    </xf>
    <xf numFmtId="14" fontId="27" fillId="0" borderId="64" xfId="3" applyNumberFormat="1" applyFont="1" applyBorder="1" applyAlignment="1">
      <alignment vertical="center"/>
    </xf>
    <xf numFmtId="14" fontId="16" fillId="0" borderId="42" xfId="3" applyNumberFormat="1" applyFont="1" applyBorder="1" applyAlignment="1">
      <alignment vertical="center"/>
    </xf>
    <xf numFmtId="0" fontId="27" fillId="0" borderId="0" xfId="3" applyFont="1" applyAlignment="1">
      <alignment vertical="center"/>
    </xf>
    <xf numFmtId="0" fontId="28" fillId="0" borderId="0" xfId="3" applyFont="1" applyAlignment="1">
      <alignment vertical="center"/>
    </xf>
    <xf numFmtId="14" fontId="27" fillId="0" borderId="55" xfId="3" applyNumberFormat="1" applyFont="1" applyBorder="1" applyAlignment="1">
      <alignment vertical="center"/>
    </xf>
    <xf numFmtId="14" fontId="27" fillId="0" borderId="65" xfId="3" applyNumberFormat="1" applyFont="1" applyBorder="1" applyAlignment="1">
      <alignment vertical="center"/>
    </xf>
    <xf numFmtId="14" fontId="16" fillId="0" borderId="56" xfId="3" applyNumberFormat="1" applyFont="1" applyBorder="1" applyAlignment="1">
      <alignment vertical="center"/>
    </xf>
    <xf numFmtId="0" fontId="19" fillId="17" borderId="43" xfId="3" applyFont="1" applyFill="1" applyBorder="1" applyAlignment="1">
      <alignment vertical="center"/>
    </xf>
    <xf numFmtId="0" fontId="19" fillId="17" borderId="0" xfId="3" applyFont="1" applyFill="1" applyAlignment="1">
      <alignment vertical="center"/>
    </xf>
    <xf numFmtId="0" fontId="19" fillId="17" borderId="45" xfId="3" applyFont="1" applyFill="1" applyBorder="1" applyAlignment="1">
      <alignment vertical="center"/>
    </xf>
    <xf numFmtId="14" fontId="27" fillId="0" borderId="46" xfId="3" applyNumberFormat="1" applyFont="1" applyBorder="1" applyAlignment="1">
      <alignment vertical="center"/>
    </xf>
    <xf numFmtId="14" fontId="27" fillId="0" borderId="52" xfId="3" applyNumberFormat="1" applyFont="1" applyBorder="1" applyAlignment="1">
      <alignment vertical="center"/>
    </xf>
    <xf numFmtId="14" fontId="16" fillId="0" borderId="47" xfId="3" applyNumberFormat="1" applyFont="1" applyBorder="1" applyAlignment="1">
      <alignment vertical="center"/>
    </xf>
    <xf numFmtId="10" fontId="27" fillId="0" borderId="0" xfId="3" applyNumberFormat="1" applyFont="1" applyAlignment="1">
      <alignment vertical="center"/>
    </xf>
    <xf numFmtId="0" fontId="16" fillId="17" borderId="43" xfId="3" applyFont="1" applyFill="1" applyBorder="1" applyAlignment="1">
      <alignment vertical="center"/>
    </xf>
    <xf numFmtId="0" fontId="16" fillId="17" borderId="0" xfId="3" applyFont="1" applyFill="1" applyAlignment="1">
      <alignment vertical="center"/>
    </xf>
    <xf numFmtId="0" fontId="16" fillId="17" borderId="45" xfId="3" applyFont="1" applyFill="1" applyBorder="1" applyAlignment="1">
      <alignment vertical="center"/>
    </xf>
    <xf numFmtId="3" fontId="16" fillId="0" borderId="56" xfId="3" applyNumberFormat="1" applyFont="1" applyBorder="1" applyAlignment="1">
      <alignment vertical="center"/>
    </xf>
    <xf numFmtId="1" fontId="27" fillId="0" borderId="0" xfId="3" applyNumberFormat="1" applyFont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0" fontId="19" fillId="17" borderId="0" xfId="3" applyFont="1" applyFill="1" applyAlignment="1">
      <alignment horizontal="center" vertical="center"/>
    </xf>
    <xf numFmtId="14" fontId="22" fillId="0" borderId="30" xfId="3" applyNumberFormat="1" applyFont="1" applyBorder="1" applyAlignment="1">
      <alignment horizontal="center" vertical="center"/>
    </xf>
    <xf numFmtId="0" fontId="29" fillId="17" borderId="0" xfId="3" applyFont="1" applyFill="1" applyAlignment="1">
      <alignment vertical="center"/>
    </xf>
    <xf numFmtId="3" fontId="24" fillId="6" borderId="46" xfId="3" applyNumberFormat="1" applyFont="1" applyFill="1" applyBorder="1" applyAlignment="1">
      <alignment vertical="center"/>
    </xf>
    <xf numFmtId="3" fontId="24" fillId="6" borderId="52" xfId="3" applyNumberFormat="1" applyFont="1" applyFill="1" applyBorder="1" applyAlignment="1">
      <alignment vertical="center"/>
    </xf>
    <xf numFmtId="3" fontId="19" fillId="6" borderId="52" xfId="3" applyNumberFormat="1" applyFont="1" applyFill="1" applyBorder="1" applyAlignment="1">
      <alignment vertical="center"/>
    </xf>
    <xf numFmtId="0" fontId="24" fillId="0" borderId="0" xfId="3" applyFont="1" applyAlignment="1">
      <alignment vertical="center"/>
    </xf>
    <xf numFmtId="3" fontId="16" fillId="0" borderId="14" xfId="3" applyNumberFormat="1" applyFont="1" applyBorder="1" applyAlignment="1">
      <alignment vertical="center"/>
    </xf>
    <xf numFmtId="0" fontId="30" fillId="0" borderId="16" xfId="3" applyFont="1" applyBorder="1" applyAlignment="1">
      <alignment horizontal="center" vertical="center"/>
    </xf>
    <xf numFmtId="3" fontId="16" fillId="17" borderId="0" xfId="3" applyNumberFormat="1" applyFont="1" applyFill="1" applyAlignment="1">
      <alignment vertical="center"/>
    </xf>
    <xf numFmtId="9" fontId="16" fillId="0" borderId="68" xfId="3" applyNumberFormat="1" applyFont="1" applyBorder="1" applyAlignment="1">
      <alignment vertical="center"/>
    </xf>
    <xf numFmtId="14" fontId="16" fillId="0" borderId="0" xfId="3" applyNumberFormat="1" applyFont="1" applyAlignment="1">
      <alignment vertical="center"/>
    </xf>
    <xf numFmtId="0" fontId="19" fillId="0" borderId="0" xfId="3" applyFont="1" applyAlignment="1">
      <alignment vertical="center" wrapText="1"/>
    </xf>
    <xf numFmtId="0" fontId="24" fillId="0" borderId="0" xfId="3" applyFont="1" applyAlignment="1">
      <alignment vertical="center" wrapText="1"/>
    </xf>
    <xf numFmtId="3" fontId="16" fillId="0" borderId="40" xfId="3" applyNumberFormat="1" applyFont="1" applyBorder="1" applyAlignment="1">
      <alignment vertical="center"/>
    </xf>
    <xf numFmtId="0" fontId="30" fillId="0" borderId="39" xfId="3" applyFont="1" applyBorder="1" applyAlignment="1">
      <alignment horizontal="center" vertical="center"/>
    </xf>
    <xf numFmtId="9" fontId="16" fillId="0" borderId="37" xfId="3" applyNumberFormat="1" applyFont="1" applyBorder="1" applyAlignment="1">
      <alignment vertical="center"/>
    </xf>
    <xf numFmtId="0" fontId="30" fillId="17" borderId="0" xfId="3" applyFont="1" applyFill="1" applyAlignment="1">
      <alignment horizontal="center" vertical="center"/>
    </xf>
    <xf numFmtId="9" fontId="16" fillId="17" borderId="0" xfId="3" applyNumberFormat="1" applyFont="1" applyFill="1" applyAlignment="1">
      <alignment vertical="center"/>
    </xf>
    <xf numFmtId="3" fontId="16" fillId="0" borderId="32" xfId="3" applyNumberFormat="1" applyFont="1" applyBorder="1" applyAlignment="1">
      <alignment vertical="center"/>
    </xf>
    <xf numFmtId="0" fontId="30" fillId="0" borderId="10" xfId="3" applyFont="1" applyBorder="1" applyAlignment="1">
      <alignment horizontal="center" vertical="center"/>
    </xf>
    <xf numFmtId="9" fontId="16" fillId="0" borderId="30" xfId="3" applyNumberFormat="1" applyFont="1" applyBorder="1" applyAlignment="1">
      <alignment vertical="center"/>
    </xf>
    <xf numFmtId="0" fontId="2" fillId="17" borderId="43" xfId="3" applyFill="1" applyBorder="1" applyAlignment="1">
      <alignment vertical="center"/>
    </xf>
    <xf numFmtId="3" fontId="27" fillId="9" borderId="46" xfId="3" applyNumberFormat="1" applyFont="1" applyFill="1" applyBorder="1" applyAlignment="1">
      <alignment vertical="center"/>
    </xf>
    <xf numFmtId="3" fontId="27" fillId="9" borderId="52" xfId="3" applyNumberFormat="1" applyFont="1" applyFill="1" applyBorder="1" applyAlignment="1">
      <alignment vertical="center"/>
    </xf>
    <xf numFmtId="3" fontId="16" fillId="0" borderId="40" xfId="3" applyNumberFormat="1" applyFont="1" applyBorder="1" applyAlignment="1">
      <alignment horizontal="left" vertical="center"/>
    </xf>
    <xf numFmtId="9" fontId="16" fillId="0" borderId="58" xfId="3" applyNumberFormat="1" applyFont="1" applyBorder="1" applyAlignment="1">
      <alignment vertical="center"/>
    </xf>
    <xf numFmtId="0" fontId="16" fillId="17" borderId="46" xfId="3" applyFont="1" applyFill="1" applyBorder="1" applyAlignment="1">
      <alignment vertical="center"/>
    </xf>
    <xf numFmtId="0" fontId="16" fillId="17" borderId="52" xfId="3" applyFont="1" applyFill="1" applyBorder="1" applyAlignment="1">
      <alignment vertical="center"/>
    </xf>
    <xf numFmtId="0" fontId="19" fillId="17" borderId="52" xfId="3" applyFont="1" applyFill="1" applyBorder="1" applyAlignment="1">
      <alignment horizontal="center" vertical="center"/>
    </xf>
    <xf numFmtId="0" fontId="16" fillId="17" borderId="47" xfId="3" applyFont="1" applyFill="1" applyBorder="1" applyAlignment="1">
      <alignment vertical="center"/>
    </xf>
    <xf numFmtId="3" fontId="24" fillId="0" borderId="48" xfId="3" applyNumberFormat="1" applyFont="1" applyBorder="1" applyAlignment="1">
      <alignment vertical="center"/>
    </xf>
    <xf numFmtId="3" fontId="24" fillId="0" borderId="53" xfId="3" applyNumberFormat="1" applyFont="1" applyBorder="1" applyAlignment="1">
      <alignment vertical="center"/>
    </xf>
    <xf numFmtId="3" fontId="16" fillId="0" borderId="53" xfId="3" applyNumberFormat="1" applyFont="1" applyBorder="1" applyAlignment="1">
      <alignment vertical="center"/>
    </xf>
    <xf numFmtId="3" fontId="27" fillId="0" borderId="43" xfId="3" applyNumberFormat="1" applyFont="1" applyBorder="1" applyAlignment="1">
      <alignment vertical="center"/>
    </xf>
    <xf numFmtId="3" fontId="27" fillId="0" borderId="0" xfId="3" applyNumberFormat="1" applyFont="1" applyAlignment="1">
      <alignment vertical="center"/>
    </xf>
    <xf numFmtId="3" fontId="16" fillId="0" borderId="0" xfId="3" applyNumberFormat="1" applyFont="1" applyAlignment="1">
      <alignment vertical="center"/>
    </xf>
    <xf numFmtId="3" fontId="24" fillId="0" borderId="0" xfId="3" applyNumberFormat="1" applyFont="1" applyAlignment="1">
      <alignment vertical="center" wrapText="1"/>
    </xf>
    <xf numFmtId="3" fontId="27" fillId="0" borderId="46" xfId="3" applyNumberFormat="1" applyFont="1" applyBorder="1" applyAlignment="1">
      <alignment vertical="center"/>
    </xf>
    <xf numFmtId="3" fontId="27" fillId="0" borderId="52" xfId="3" applyNumberFormat="1" applyFont="1" applyBorder="1" applyAlignment="1">
      <alignment vertical="center"/>
    </xf>
    <xf numFmtId="3" fontId="16" fillId="0" borderId="52" xfId="3" applyNumberFormat="1" applyFont="1" applyBorder="1" applyAlignment="1">
      <alignment vertical="center"/>
    </xf>
    <xf numFmtId="3" fontId="2" fillId="0" borderId="0" xfId="3" applyNumberFormat="1" applyAlignment="1">
      <alignment vertical="center"/>
    </xf>
    <xf numFmtId="0" fontId="6" fillId="0" borderId="0" xfId="3" applyFont="1" applyAlignment="1">
      <alignment vertical="center" wrapText="1"/>
    </xf>
    <xf numFmtId="14" fontId="0" fillId="0" borderId="0" xfId="0" applyNumberFormat="1"/>
    <xf numFmtId="4" fontId="10" fillId="8" borderId="46" xfId="3" applyNumberFormat="1" applyFont="1" applyFill="1" applyBorder="1" applyAlignment="1">
      <alignment vertical="center" wrapText="1"/>
    </xf>
    <xf numFmtId="4" fontId="10" fillId="8" borderId="43" xfId="3" applyNumberFormat="1" applyFont="1" applyFill="1" applyBorder="1" applyAlignment="1">
      <alignment vertical="center" wrapText="1"/>
    </xf>
    <xf numFmtId="0" fontId="16" fillId="2" borderId="61" xfId="3" applyFont="1" applyFill="1" applyBorder="1" applyAlignment="1">
      <alignment horizontal="center" vertical="center"/>
    </xf>
    <xf numFmtId="0" fontId="2" fillId="0" borderId="0" xfId="3"/>
    <xf numFmtId="0" fontId="6" fillId="6" borderId="50" xfId="3" applyFont="1" applyFill="1" applyBorder="1"/>
    <xf numFmtId="0" fontId="6" fillId="6" borderId="51" xfId="3" applyFont="1" applyFill="1" applyBorder="1"/>
    <xf numFmtId="3" fontId="6" fillId="0" borderId="48" xfId="3" applyNumberFormat="1" applyFont="1" applyBorder="1" applyAlignment="1">
      <alignment vertical="center"/>
    </xf>
    <xf numFmtId="9" fontId="6" fillId="0" borderId="53" xfId="3" applyNumberFormat="1" applyFont="1" applyBorder="1" applyAlignment="1">
      <alignment horizontal="right" vertical="center"/>
    </xf>
    <xf numFmtId="9" fontId="6" fillId="7" borderId="51" xfId="3" applyNumberFormat="1" applyFont="1" applyFill="1" applyBorder="1" applyAlignment="1">
      <alignment horizontal="right" vertical="center"/>
    </xf>
    <xf numFmtId="0" fontId="11" fillId="0" borderId="48" xfId="3" applyFont="1" applyBorder="1"/>
    <xf numFmtId="0" fontId="11" fillId="0" borderId="53" xfId="3" applyFont="1" applyBorder="1"/>
    <xf numFmtId="3" fontId="11" fillId="0" borderId="48" xfId="3" applyNumberFormat="1" applyFont="1" applyBorder="1" applyAlignment="1">
      <alignment vertical="center"/>
    </xf>
    <xf numFmtId="9" fontId="11" fillId="0" borderId="53" xfId="3" applyNumberFormat="1" applyFont="1" applyBorder="1" applyAlignment="1">
      <alignment horizontal="right" vertical="center"/>
    </xf>
    <xf numFmtId="9" fontId="11" fillId="8" borderId="45" xfId="3" applyNumberFormat="1" applyFont="1" applyFill="1" applyBorder="1" applyAlignment="1">
      <alignment horizontal="right" vertical="center"/>
    </xf>
    <xf numFmtId="3" fontId="11" fillId="0" borderId="43" xfId="3" applyNumberFormat="1" applyFont="1" applyBorder="1" applyAlignment="1">
      <alignment vertical="center"/>
    </xf>
    <xf numFmtId="0" fontId="11" fillId="0" borderId="46" xfId="3" applyFont="1" applyBorder="1"/>
    <xf numFmtId="0" fontId="11" fillId="0" borderId="52" xfId="3" applyFont="1" applyBorder="1"/>
    <xf numFmtId="3" fontId="11" fillId="0" borderId="46" xfId="3" applyNumberFormat="1" applyFont="1" applyBorder="1" applyAlignment="1">
      <alignment vertical="center"/>
    </xf>
    <xf numFmtId="9" fontId="11" fillId="0" borderId="52" xfId="3" applyNumberFormat="1" applyFont="1" applyBorder="1" applyAlignment="1">
      <alignment horizontal="right" vertical="center"/>
    </xf>
    <xf numFmtId="9" fontId="11" fillId="8" borderId="47" xfId="3" applyNumberFormat="1" applyFont="1" applyFill="1" applyBorder="1" applyAlignment="1">
      <alignment horizontal="right" vertical="center"/>
    </xf>
    <xf numFmtId="0" fontId="11" fillId="0" borderId="0" xfId="3" applyFont="1"/>
    <xf numFmtId="0" fontId="11" fillId="0" borderId="0" xfId="3" applyFont="1" applyAlignment="1">
      <alignment horizontal="right" vertical="center"/>
    </xf>
    <xf numFmtId="3" fontId="10" fillId="0" borderId="43" xfId="3" applyNumberFormat="1" applyFont="1" applyBorder="1" applyAlignment="1">
      <alignment horizontal="right" vertical="center" wrapText="1"/>
    </xf>
    <xf numFmtId="0" fontId="11" fillId="0" borderId="45" xfId="3" applyFont="1" applyBorder="1" applyAlignment="1">
      <alignment horizontal="right" vertical="center"/>
    </xf>
    <xf numFmtId="0" fontId="6" fillId="9" borderId="48" xfId="3" applyFont="1" applyFill="1" applyBorder="1"/>
    <xf numFmtId="0" fontId="6" fillId="9" borderId="49" xfId="3" applyFont="1" applyFill="1" applyBorder="1"/>
    <xf numFmtId="9" fontId="6" fillId="10" borderId="42" xfId="3" applyNumberFormat="1" applyFont="1" applyFill="1" applyBorder="1" applyAlignment="1">
      <alignment horizontal="right" vertical="center"/>
    </xf>
    <xf numFmtId="9" fontId="11" fillId="10" borderId="45" xfId="3" applyNumberFormat="1" applyFont="1" applyFill="1" applyBorder="1" applyAlignment="1">
      <alignment horizontal="right" vertical="center"/>
    </xf>
    <xf numFmtId="9" fontId="11" fillId="10" borderId="47" xfId="3" applyNumberFormat="1" applyFont="1" applyFill="1" applyBorder="1" applyAlignment="1">
      <alignment horizontal="right" vertical="center"/>
    </xf>
    <xf numFmtId="0" fontId="6" fillId="6" borderId="41" xfId="3" applyFont="1" applyFill="1" applyBorder="1"/>
    <xf numFmtId="0" fontId="6" fillId="6" borderId="42" xfId="3" applyFont="1" applyFill="1" applyBorder="1"/>
    <xf numFmtId="3" fontId="11" fillId="0" borderId="41" xfId="3" applyNumberFormat="1" applyFont="1" applyBorder="1" applyAlignment="1">
      <alignment vertical="center"/>
    </xf>
    <xf numFmtId="9" fontId="6" fillId="0" borderId="64" xfId="3" applyNumberFormat="1" applyFont="1" applyBorder="1" applyAlignment="1">
      <alignment horizontal="right" vertical="center"/>
    </xf>
    <xf numFmtId="9" fontId="6" fillId="11" borderId="42" xfId="3" applyNumberFormat="1" applyFont="1" applyFill="1" applyBorder="1" applyAlignment="1">
      <alignment horizontal="right" vertical="center"/>
    </xf>
    <xf numFmtId="0" fontId="11" fillId="0" borderId="43" xfId="3" applyFont="1" applyBorder="1"/>
    <xf numFmtId="0" fontId="11" fillId="0" borderId="45" xfId="3" applyFont="1" applyBorder="1"/>
    <xf numFmtId="9" fontId="11" fillId="0" borderId="0" xfId="3" applyNumberFormat="1" applyFont="1" applyAlignment="1">
      <alignment horizontal="right" vertical="center"/>
    </xf>
    <xf numFmtId="0" fontId="11" fillId="0" borderId="47" xfId="3" applyFont="1" applyBorder="1"/>
    <xf numFmtId="0" fontId="11" fillId="0" borderId="48" xfId="3" applyFont="1" applyBorder="1" applyAlignment="1">
      <alignment vertical="center"/>
    </xf>
    <xf numFmtId="9" fontId="11" fillId="10" borderId="49" xfId="3" applyNumberFormat="1" applyFont="1" applyFill="1" applyBorder="1" applyAlignment="1">
      <alignment horizontal="right" vertical="center"/>
    </xf>
    <xf numFmtId="0" fontId="6" fillId="0" borderId="43" xfId="3" applyFont="1" applyBorder="1" applyAlignment="1">
      <alignment vertical="center"/>
    </xf>
    <xf numFmtId="0" fontId="6" fillId="0" borderId="0" xfId="3" applyFont="1"/>
    <xf numFmtId="0" fontId="6" fillId="14" borderId="50" xfId="3" applyFont="1" applyFill="1" applyBorder="1"/>
    <xf numFmtId="0" fontId="6" fillId="14" borderId="51" xfId="3" applyFont="1" applyFill="1" applyBorder="1"/>
    <xf numFmtId="3" fontId="11" fillId="0" borderId="50" xfId="3" applyNumberFormat="1" applyFont="1" applyBorder="1" applyAlignment="1">
      <alignment vertical="center"/>
    </xf>
    <xf numFmtId="9" fontId="6" fillId="0" borderId="59" xfId="3" applyNumberFormat="1" applyFont="1" applyBorder="1" applyAlignment="1">
      <alignment horizontal="right" vertical="center"/>
    </xf>
    <xf numFmtId="9" fontId="6" fillId="0" borderId="51" xfId="3" applyNumberFormat="1" applyFont="1" applyBorder="1" applyAlignment="1">
      <alignment horizontal="right" vertical="center"/>
    </xf>
    <xf numFmtId="0" fontId="6" fillId="0" borderId="46" xfId="3" applyFont="1" applyBorder="1" applyAlignment="1">
      <alignment vertical="center"/>
    </xf>
    <xf numFmtId="0" fontId="6" fillId="0" borderId="47" xfId="3" applyFont="1" applyBorder="1"/>
    <xf numFmtId="9" fontId="6" fillId="0" borderId="47" xfId="3" applyNumberFormat="1" applyFont="1" applyBorder="1" applyAlignment="1">
      <alignment horizontal="right" vertical="center"/>
    </xf>
    <xf numFmtId="3" fontId="6" fillId="0" borderId="58" xfId="3" applyNumberFormat="1" applyFont="1" applyBorder="1" applyAlignment="1">
      <alignment vertical="center"/>
    </xf>
    <xf numFmtId="9" fontId="6" fillId="13" borderId="51" xfId="3" applyNumberFormat="1" applyFont="1" applyFill="1" applyBorder="1" applyAlignment="1">
      <alignment horizontal="right" vertical="center"/>
    </xf>
    <xf numFmtId="0" fontId="11" fillId="0" borderId="43" xfId="3" applyFont="1" applyBorder="1" applyAlignment="1">
      <alignment vertical="center"/>
    </xf>
    <xf numFmtId="0" fontId="6" fillId="9" borderId="50" xfId="3" applyFont="1" applyFill="1" applyBorder="1"/>
    <xf numFmtId="0" fontId="6" fillId="9" borderId="51" xfId="3" applyFont="1" applyFill="1" applyBorder="1"/>
    <xf numFmtId="0" fontId="6" fillId="14" borderId="46" xfId="3" applyFont="1" applyFill="1" applyBorder="1"/>
    <xf numFmtId="0" fontId="6" fillId="14" borderId="47" xfId="3" applyFont="1" applyFill="1" applyBorder="1"/>
    <xf numFmtId="9" fontId="6" fillId="15" borderId="47" xfId="3" applyNumberFormat="1" applyFont="1" applyFill="1" applyBorder="1" applyAlignment="1">
      <alignment horizontal="right" vertical="center"/>
    </xf>
    <xf numFmtId="0" fontId="6" fillId="16" borderId="50" xfId="3" applyFont="1" applyFill="1" applyBorder="1"/>
    <xf numFmtId="0" fontId="6" fillId="16" borderId="51" xfId="3" applyFont="1" applyFill="1" applyBorder="1"/>
    <xf numFmtId="9" fontId="6" fillId="18" borderId="51" xfId="3" applyNumberFormat="1" applyFont="1" applyFill="1" applyBorder="1" applyAlignment="1">
      <alignment horizontal="right" vertical="center"/>
    </xf>
    <xf numFmtId="0" fontId="6" fillId="0" borderId="48" xfId="3" applyFont="1" applyBorder="1" applyAlignment="1">
      <alignment horizontal="left" vertical="center"/>
    </xf>
    <xf numFmtId="0" fontId="6" fillId="0" borderId="53" xfId="3" applyFont="1" applyBorder="1" applyAlignment="1">
      <alignment vertical="center"/>
    </xf>
    <xf numFmtId="0" fontId="6" fillId="10" borderId="48" xfId="3" applyFont="1" applyFill="1" applyBorder="1" applyAlignment="1">
      <alignment vertical="center"/>
    </xf>
    <xf numFmtId="0" fontId="6" fillId="10" borderId="49" xfId="3" applyFont="1" applyFill="1" applyBorder="1" applyAlignment="1">
      <alignment vertical="center"/>
    </xf>
    <xf numFmtId="0" fontId="6" fillId="0" borderId="43" xfId="3" applyFont="1" applyBorder="1" applyAlignment="1">
      <alignment horizontal="left" vertical="center"/>
    </xf>
    <xf numFmtId="0" fontId="6" fillId="0" borderId="0" xfId="3" applyFont="1" applyAlignment="1">
      <alignment vertical="center"/>
    </xf>
    <xf numFmtId="0" fontId="6" fillId="10" borderId="43" xfId="3" applyFont="1" applyFill="1" applyBorder="1" applyAlignment="1">
      <alignment vertical="center"/>
    </xf>
    <xf numFmtId="0" fontId="6" fillId="10" borderId="45" xfId="3" applyFont="1" applyFill="1" applyBorder="1" applyAlignment="1">
      <alignment vertical="center"/>
    </xf>
    <xf numFmtId="0" fontId="6" fillId="0" borderId="43" xfId="3" applyFont="1" applyBorder="1"/>
    <xf numFmtId="10" fontId="11" fillId="0" borderId="43" xfId="3" applyNumberFormat="1" applyFont="1" applyBorder="1" applyAlignment="1">
      <alignment vertical="center"/>
    </xf>
    <xf numFmtId="10" fontId="11" fillId="0" borderId="0" xfId="3" applyNumberFormat="1" applyFont="1"/>
    <xf numFmtId="10" fontId="11" fillId="10" borderId="43" xfId="3" applyNumberFormat="1" applyFont="1" applyFill="1" applyBorder="1"/>
    <xf numFmtId="10" fontId="11" fillId="10" borderId="45" xfId="3" applyNumberFormat="1" applyFont="1" applyFill="1" applyBorder="1"/>
    <xf numFmtId="3" fontId="11" fillId="0" borderId="0" xfId="3" applyNumberFormat="1" applyFont="1"/>
    <xf numFmtId="3" fontId="11" fillId="10" borderId="43" xfId="3" applyNumberFormat="1" applyFont="1" applyFill="1" applyBorder="1"/>
    <xf numFmtId="3" fontId="11" fillId="10" borderId="45" xfId="3" applyNumberFormat="1" applyFont="1" applyFill="1" applyBorder="1"/>
    <xf numFmtId="0" fontId="6" fillId="0" borderId="46" xfId="3" applyFont="1" applyBorder="1"/>
    <xf numFmtId="0" fontId="6" fillId="0" borderId="52" xfId="3" applyFont="1" applyBorder="1"/>
    <xf numFmtId="3" fontId="6" fillId="0" borderId="52" xfId="3" applyNumberFormat="1" applyFont="1" applyBorder="1" applyAlignment="1">
      <alignment vertical="center"/>
    </xf>
    <xf numFmtId="3" fontId="6" fillId="10" borderId="43" xfId="3" applyNumberFormat="1" applyFont="1" applyFill="1" applyBorder="1" applyAlignment="1">
      <alignment vertical="center"/>
    </xf>
    <xf numFmtId="3" fontId="6" fillId="10" borderId="45" xfId="3" applyNumberFormat="1" applyFont="1" applyFill="1" applyBorder="1" applyAlignment="1">
      <alignment vertical="center"/>
    </xf>
    <xf numFmtId="9" fontId="11" fillId="0" borderId="53" xfId="3" applyNumberFormat="1" applyFont="1" applyBorder="1"/>
    <xf numFmtId="3" fontId="10" fillId="8" borderId="43" xfId="3" applyNumberFormat="1" applyFont="1" applyFill="1" applyBorder="1"/>
    <xf numFmtId="9" fontId="11" fillId="0" borderId="45" xfId="3" applyNumberFormat="1" applyFont="1" applyBorder="1"/>
    <xf numFmtId="9" fontId="11" fillId="0" borderId="0" xfId="3" applyNumberFormat="1" applyFont="1"/>
    <xf numFmtId="9" fontId="11" fillId="0" borderId="52" xfId="3" applyNumberFormat="1" applyFont="1" applyBorder="1"/>
    <xf numFmtId="0" fontId="11" fillId="6" borderId="50" xfId="3" applyFont="1" applyFill="1" applyBorder="1" applyAlignment="1">
      <alignment vertical="center"/>
    </xf>
    <xf numFmtId="0" fontId="11" fillId="6" borderId="51" xfId="3" applyFont="1" applyFill="1" applyBorder="1" applyAlignment="1">
      <alignment vertical="center"/>
    </xf>
    <xf numFmtId="9" fontId="11" fillId="0" borderId="59" xfId="3" applyNumberFormat="1" applyFont="1" applyBorder="1"/>
    <xf numFmtId="3" fontId="10" fillId="6" borderId="50" xfId="3" applyNumberFormat="1" applyFont="1" applyFill="1" applyBorder="1"/>
    <xf numFmtId="9" fontId="11" fillId="7" borderId="51" xfId="3" applyNumberFormat="1" applyFont="1" applyFill="1" applyBorder="1"/>
    <xf numFmtId="0" fontId="11" fillId="0" borderId="49" xfId="3" applyFont="1" applyBorder="1" applyAlignment="1">
      <alignment vertical="center"/>
    </xf>
    <xf numFmtId="0" fontId="11" fillId="0" borderId="45" xfId="3" applyFont="1" applyBorder="1" applyAlignment="1">
      <alignment vertical="center"/>
    </xf>
    <xf numFmtId="0" fontId="11" fillId="0" borderId="46" xfId="3" applyFont="1" applyBorder="1" applyAlignment="1">
      <alignment vertical="center"/>
    </xf>
    <xf numFmtId="0" fontId="11" fillId="0" borderId="47" xfId="3" applyFont="1" applyBorder="1" applyAlignment="1">
      <alignment vertical="center"/>
    </xf>
    <xf numFmtId="0" fontId="6" fillId="10" borderId="50" xfId="3" applyFont="1" applyFill="1" applyBorder="1" applyAlignment="1">
      <alignment vertical="center"/>
    </xf>
    <xf numFmtId="0" fontId="11" fillId="10" borderId="51" xfId="3" applyFont="1" applyFill="1" applyBorder="1" applyAlignment="1">
      <alignment vertical="center"/>
    </xf>
    <xf numFmtId="9" fontId="6" fillId="0" borderId="59" xfId="3" applyNumberFormat="1" applyFont="1" applyBorder="1"/>
    <xf numFmtId="3" fontId="8" fillId="10" borderId="50" xfId="3" applyNumberFormat="1" applyFont="1" applyFill="1" applyBorder="1"/>
    <xf numFmtId="9" fontId="6" fillId="10" borderId="51" xfId="3" applyNumberFormat="1" applyFont="1" applyFill="1" applyBorder="1"/>
    <xf numFmtId="3" fontId="10" fillId="0" borderId="43" xfId="3" applyNumberFormat="1" applyFont="1" applyBorder="1"/>
    <xf numFmtId="0" fontId="2" fillId="0" borderId="45" xfId="3" applyBorder="1"/>
    <xf numFmtId="0" fontId="11" fillId="0" borderId="53" xfId="3" applyFont="1" applyBorder="1" applyAlignment="1">
      <alignment vertical="center"/>
    </xf>
    <xf numFmtId="3" fontId="10" fillId="8" borderId="48" xfId="3" applyNumberFormat="1" applyFont="1" applyFill="1" applyBorder="1"/>
    <xf numFmtId="9" fontId="11" fillId="0" borderId="49" xfId="3" applyNumberFormat="1" applyFont="1" applyBorder="1"/>
    <xf numFmtId="9" fontId="6" fillId="0" borderId="0" xfId="3" applyNumberFormat="1" applyFont="1"/>
    <xf numFmtId="3" fontId="8" fillId="8" borderId="43" xfId="3" applyNumberFormat="1" applyFont="1" applyFill="1" applyBorder="1"/>
    <xf numFmtId="9" fontId="6" fillId="0" borderId="45" xfId="3" applyNumberFormat="1" applyFont="1" applyBorder="1"/>
    <xf numFmtId="0" fontId="11" fillId="0" borderId="52" xfId="3" applyFont="1" applyBorder="1" applyAlignment="1">
      <alignment vertical="center"/>
    </xf>
    <xf numFmtId="3" fontId="10" fillId="8" borderId="46" xfId="3" applyNumberFormat="1" applyFont="1" applyFill="1" applyBorder="1"/>
    <xf numFmtId="9" fontId="11" fillId="0" borderId="47" xfId="3" applyNumberFormat="1" applyFont="1" applyBorder="1"/>
    <xf numFmtId="0" fontId="11" fillId="6" borderId="46" xfId="3" applyFont="1" applyFill="1" applyBorder="1" applyAlignment="1">
      <alignment vertical="center"/>
    </xf>
    <xf numFmtId="0" fontId="11" fillId="6" borderId="45" xfId="3" applyFont="1" applyFill="1" applyBorder="1" applyAlignment="1">
      <alignment vertical="center"/>
    </xf>
    <xf numFmtId="3" fontId="10" fillId="6" borderId="46" xfId="3" applyNumberFormat="1" applyFont="1" applyFill="1" applyBorder="1"/>
    <xf numFmtId="9" fontId="11" fillId="7" borderId="47" xfId="3" applyNumberFormat="1" applyFont="1" applyFill="1" applyBorder="1"/>
    <xf numFmtId="0" fontId="11" fillId="0" borderId="50" xfId="3" applyFont="1" applyBorder="1" applyAlignment="1">
      <alignment vertical="center"/>
    </xf>
    <xf numFmtId="0" fontId="11" fillId="0" borderId="58" xfId="3" applyFont="1" applyBorder="1" applyAlignment="1">
      <alignment vertical="center"/>
    </xf>
    <xf numFmtId="3" fontId="10" fillId="14" borderId="43" xfId="3" applyNumberFormat="1" applyFont="1" applyFill="1" applyBorder="1"/>
    <xf numFmtId="9" fontId="11" fillId="15" borderId="45" xfId="3" applyNumberFormat="1" applyFont="1" applyFill="1" applyBorder="1"/>
    <xf numFmtId="0" fontId="11" fillId="21" borderId="50" xfId="3" applyFont="1" applyFill="1" applyBorder="1" applyAlignment="1">
      <alignment vertical="center"/>
    </xf>
    <xf numFmtId="0" fontId="11" fillId="21" borderId="47" xfId="3" applyFont="1" applyFill="1" applyBorder="1" applyAlignment="1">
      <alignment vertical="center"/>
    </xf>
    <xf numFmtId="3" fontId="10" fillId="21" borderId="50" xfId="3" applyNumberFormat="1" applyFont="1" applyFill="1" applyBorder="1"/>
    <xf numFmtId="9" fontId="11" fillId="21" borderId="51" xfId="3" applyNumberFormat="1" applyFont="1" applyFill="1" applyBorder="1"/>
    <xf numFmtId="0" fontId="11" fillId="14" borderId="50" xfId="3" applyFont="1" applyFill="1" applyBorder="1" applyAlignment="1">
      <alignment vertical="center"/>
    </xf>
    <xf numFmtId="0" fontId="11" fillId="14" borderId="51" xfId="3" applyFont="1" applyFill="1" applyBorder="1" applyAlignment="1">
      <alignment vertical="center"/>
    </xf>
    <xf numFmtId="3" fontId="10" fillId="14" borderId="50" xfId="3" applyNumberFormat="1" applyFont="1" applyFill="1" applyBorder="1"/>
    <xf numFmtId="9" fontId="11" fillId="15" borderId="51" xfId="3" applyNumberFormat="1" applyFont="1" applyFill="1" applyBorder="1"/>
    <xf numFmtId="0" fontId="11" fillId="0" borderId="41" xfId="3" applyFont="1" applyBorder="1" applyAlignment="1">
      <alignment vertical="center"/>
    </xf>
    <xf numFmtId="0" fontId="11" fillId="0" borderId="64" xfId="3" applyFont="1" applyBorder="1" applyAlignment="1">
      <alignment vertical="center"/>
    </xf>
    <xf numFmtId="3" fontId="11" fillId="0" borderId="30" xfId="3" applyNumberFormat="1" applyFont="1" applyBorder="1"/>
    <xf numFmtId="3" fontId="10" fillId="8" borderId="41" xfId="3" applyNumberFormat="1" applyFont="1" applyFill="1" applyBorder="1"/>
    <xf numFmtId="0" fontId="11" fillId="0" borderId="44" xfId="3" applyFont="1" applyBorder="1" applyAlignment="1">
      <alignment vertical="center"/>
    </xf>
    <xf numFmtId="0" fontId="11" fillId="0" borderId="63" xfId="3" applyFont="1" applyBorder="1" applyAlignment="1">
      <alignment vertical="center"/>
    </xf>
    <xf numFmtId="3" fontId="11" fillId="0" borderId="68" xfId="3" applyNumberFormat="1" applyFont="1" applyBorder="1"/>
    <xf numFmtId="3" fontId="10" fillId="8" borderId="55" xfId="3" applyNumberFormat="1" applyFont="1" applyFill="1" applyBorder="1"/>
    <xf numFmtId="0" fontId="11" fillId="0" borderId="57" xfId="3" applyFont="1" applyBorder="1" applyAlignment="1">
      <alignment vertical="center"/>
    </xf>
    <xf numFmtId="0" fontId="11" fillId="0" borderId="66" xfId="3" applyFont="1" applyBorder="1" applyAlignment="1">
      <alignment vertical="center"/>
    </xf>
    <xf numFmtId="3" fontId="11" fillId="0" borderId="61" xfId="3" applyNumberFormat="1" applyFont="1" applyBorder="1"/>
    <xf numFmtId="0" fontId="0" fillId="0" borderId="0" xfId="0" applyAlignment="1">
      <alignment horizontal="right"/>
    </xf>
    <xf numFmtId="4" fontId="2" fillId="3" borderId="6" xfId="2" applyNumberFormat="1" applyFill="1" applyBorder="1" applyProtection="1">
      <protection locked="0"/>
    </xf>
    <xf numFmtId="0" fontId="2" fillId="3" borderId="41" xfId="2" applyFill="1" applyBorder="1" applyAlignment="1">
      <alignment horizontal="right"/>
    </xf>
    <xf numFmtId="2" fontId="2" fillId="3" borderId="64" xfId="2" applyNumberFormat="1" applyFill="1" applyBorder="1"/>
    <xf numFmtId="2" fontId="2" fillId="3" borderId="30" xfId="2" applyNumberFormat="1" applyFill="1" applyBorder="1"/>
    <xf numFmtId="4" fontId="2" fillId="3" borderId="13" xfId="2" applyNumberFormat="1" applyFill="1" applyBorder="1" applyProtection="1">
      <protection locked="0"/>
    </xf>
    <xf numFmtId="0" fontId="2" fillId="3" borderId="55" xfId="2" applyFill="1" applyBorder="1" applyAlignment="1">
      <alignment horizontal="right"/>
    </xf>
    <xf numFmtId="2" fontId="2" fillId="3" borderId="33" xfId="2" applyNumberFormat="1" applyFill="1" applyBorder="1"/>
    <xf numFmtId="4" fontId="2" fillId="3" borderId="20" xfId="2" applyNumberFormat="1" applyFill="1" applyBorder="1" applyProtection="1">
      <protection locked="0"/>
    </xf>
    <xf numFmtId="0" fontId="2" fillId="3" borderId="57" xfId="2" applyFill="1" applyBorder="1" applyAlignment="1">
      <alignment horizontal="right"/>
    </xf>
    <xf numFmtId="2" fontId="2" fillId="3" borderId="38" xfId="2" applyNumberFormat="1" applyFill="1" applyBorder="1"/>
    <xf numFmtId="0" fontId="2" fillId="3" borderId="39" xfId="2" applyFill="1" applyBorder="1"/>
    <xf numFmtId="2" fontId="2" fillId="3" borderId="37" xfId="2" applyNumberFormat="1" applyFill="1" applyBorder="1"/>
    <xf numFmtId="0" fontId="2" fillId="3" borderId="72" xfId="2" applyFill="1" applyBorder="1" applyAlignment="1">
      <alignment horizontal="right"/>
    </xf>
    <xf numFmtId="2" fontId="2" fillId="3" borderId="73" xfId="2" applyNumberFormat="1" applyFill="1" applyBorder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9" fontId="2" fillId="0" borderId="0" xfId="3" applyNumberFormat="1"/>
    <xf numFmtId="3" fontId="10" fillId="0" borderId="57" xfId="3" applyNumberFormat="1" applyFont="1" applyBorder="1" applyAlignment="1">
      <alignment horizontal="center" vertical="center"/>
    </xf>
    <xf numFmtId="3" fontId="10" fillId="0" borderId="57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/>
    </xf>
    <xf numFmtId="3" fontId="10" fillId="0" borderId="43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 vertical="center"/>
    </xf>
    <xf numFmtId="3" fontId="10" fillId="0" borderId="55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left" vertical="center"/>
    </xf>
    <xf numFmtId="3" fontId="40" fillId="0" borderId="55" xfId="4" applyNumberFormat="1" applyFill="1" applyBorder="1" applyAlignment="1">
      <alignment horizontal="center"/>
    </xf>
    <xf numFmtId="3" fontId="10" fillId="0" borderId="44" xfId="3" applyNumberFormat="1" applyFont="1" applyBorder="1" applyAlignment="1">
      <alignment vertical="center"/>
    </xf>
    <xf numFmtId="3" fontId="40" fillId="0" borderId="41" xfId="4" applyNumberFormat="1" applyFill="1" applyBorder="1" applyAlignment="1">
      <alignment horizontal="center"/>
    </xf>
    <xf numFmtId="3" fontId="10" fillId="0" borderId="48" xfId="3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24" fillId="0" borderId="0" xfId="3" applyFont="1"/>
    <xf numFmtId="0" fontId="8" fillId="0" borderId="0" xfId="3" applyFont="1"/>
    <xf numFmtId="3" fontId="27" fillId="0" borderId="70" xfId="3" applyNumberFormat="1" applyFont="1" applyFill="1" applyBorder="1" applyAlignment="1">
      <alignment vertical="center"/>
    </xf>
    <xf numFmtId="0" fontId="25" fillId="0" borderId="0" xfId="3" applyFont="1" applyAlignment="1">
      <alignment vertical="center"/>
    </xf>
    <xf numFmtId="14" fontId="24" fillId="0" borderId="0" xfId="3" applyNumberFormat="1" applyFont="1" applyAlignment="1">
      <alignment horizontal="center"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0" fontId="11" fillId="0" borderId="43" xfId="3" applyNumberFormat="1" applyFont="1" applyBorder="1" applyAlignment="1">
      <alignment vertical="center"/>
    </xf>
    <xf numFmtId="0" fontId="12" fillId="0" borderId="0" xfId="3" applyNumberFormat="1" applyFont="1" applyAlignment="1">
      <alignment vertical="center" wrapText="1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0" fontId="0" fillId="0" borderId="0" xfId="0" applyNumberFormat="1"/>
    <xf numFmtId="9" fontId="11" fillId="0" borderId="0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14" fontId="15" fillId="4" borderId="48" xfId="3" applyNumberFormat="1" applyFont="1" applyFill="1" applyBorder="1" applyAlignment="1">
      <alignment horizontal="center" vertical="center"/>
    </xf>
    <xf numFmtId="14" fontId="15" fillId="4" borderId="49" xfId="3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4" fontId="5" fillId="4" borderId="28" xfId="3" applyNumberFormat="1" applyFont="1" applyFill="1" applyBorder="1" applyAlignment="1">
      <alignment horizontal="center" vertical="center"/>
    </xf>
    <xf numFmtId="14" fontId="5" fillId="4" borderId="29" xfId="3" applyNumberFormat="1" applyFont="1" applyFill="1" applyBorder="1" applyAlignment="1">
      <alignment horizontal="center" vertical="center"/>
    </xf>
    <xf numFmtId="14" fontId="5" fillId="4" borderId="27" xfId="3" applyNumberFormat="1" applyFont="1" applyFill="1" applyBorder="1" applyAlignment="1">
      <alignment horizontal="center" vertical="center"/>
    </xf>
    <xf numFmtId="14" fontId="15" fillId="4" borderId="53" xfId="3" applyNumberFormat="1" applyFont="1" applyFill="1" applyBorder="1" applyAlignment="1">
      <alignment horizontal="center" vertical="center"/>
    </xf>
    <xf numFmtId="0" fontId="2" fillId="3" borderId="14" xfId="2" applyFill="1" applyBorder="1" applyAlignment="1">
      <alignment vertical="center"/>
    </xf>
    <xf numFmtId="4" fontId="2" fillId="3" borderId="15" xfId="2" applyNumberFormat="1" applyFill="1" applyBorder="1" applyAlignment="1">
      <alignment vertical="center"/>
    </xf>
    <xf numFmtId="4" fontId="2" fillId="3" borderId="18" xfId="2" applyNumberFormat="1" applyFill="1" applyBorder="1" applyAlignment="1">
      <alignment vertical="center"/>
    </xf>
    <xf numFmtId="0" fontId="21" fillId="0" borderId="0" xfId="3" applyFont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14" fontId="8" fillId="0" borderId="0" xfId="3" applyNumberFormat="1" applyFont="1" applyAlignment="1">
      <alignment horizontal="center" vertical="center"/>
    </xf>
    <xf numFmtId="0" fontId="8" fillId="12" borderId="50" xfId="3" applyFont="1" applyFill="1" applyBorder="1" applyAlignment="1">
      <alignment horizontal="center" vertical="center" wrapText="1"/>
    </xf>
    <xf numFmtId="0" fontId="8" fillId="12" borderId="59" xfId="3" applyFont="1" applyFill="1" applyBorder="1" applyAlignment="1">
      <alignment horizontal="center" vertical="center" wrapText="1"/>
    </xf>
    <xf numFmtId="0" fontId="8" fillId="12" borderId="51" xfId="3" applyFont="1" applyFill="1" applyBorder="1" applyAlignment="1">
      <alignment horizontal="center" vertical="center" wrapText="1"/>
    </xf>
    <xf numFmtId="0" fontId="6" fillId="12" borderId="32" xfId="3" applyFont="1" applyFill="1" applyBorder="1" applyAlignment="1">
      <alignment horizontal="center" vertical="center"/>
    </xf>
    <xf numFmtId="0" fontId="6" fillId="12" borderId="60" xfId="3" applyFont="1" applyFill="1" applyBorder="1" applyAlignment="1">
      <alignment horizontal="center" vertical="center"/>
    </xf>
    <xf numFmtId="0" fontId="6" fillId="12" borderId="10" xfId="3" applyFont="1" applyFill="1" applyBorder="1" applyAlignment="1">
      <alignment horizontal="center" vertical="center"/>
    </xf>
    <xf numFmtId="0" fontId="2" fillId="3" borderId="1" xfId="2" applyFill="1" applyBorder="1" applyAlignment="1">
      <alignment horizontal="center" vertical="center"/>
    </xf>
    <xf numFmtId="0" fontId="2" fillId="3" borderId="2" xfId="2" applyFill="1" applyBorder="1" applyAlignment="1">
      <alignment horizontal="center" vertical="center"/>
    </xf>
    <xf numFmtId="14" fontId="16" fillId="0" borderId="50" xfId="3" applyNumberFormat="1" applyFont="1" applyBorder="1" applyAlignment="1">
      <alignment horizontal="center" vertical="center"/>
    </xf>
    <xf numFmtId="0" fontId="16" fillId="0" borderId="59" xfId="3" applyFont="1" applyBorder="1" applyAlignment="1">
      <alignment horizontal="center" vertical="center"/>
    </xf>
    <xf numFmtId="0" fontId="16" fillId="0" borderId="51" xfId="3" applyFont="1" applyBorder="1" applyAlignment="1">
      <alignment horizontal="center" vertical="center"/>
    </xf>
    <xf numFmtId="0" fontId="19" fillId="0" borderId="40" xfId="3" applyFont="1" applyBorder="1" applyAlignment="1">
      <alignment horizontal="center" vertical="center"/>
    </xf>
    <xf numFmtId="0" fontId="19" fillId="0" borderId="62" xfId="3" applyFont="1" applyBorder="1" applyAlignment="1">
      <alignment horizontal="center" vertical="center"/>
    </xf>
    <xf numFmtId="0" fontId="19" fillId="0" borderId="39" xfId="3" applyFont="1" applyBorder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9" fillId="0" borderId="0" xfId="3" applyFont="1" applyAlignment="1">
      <alignment horizontal="left" vertical="center"/>
    </xf>
    <xf numFmtId="2" fontId="23" fillId="0" borderId="0" xfId="3" applyNumberFormat="1" applyFont="1" applyAlignment="1">
      <alignment horizontal="center" vertical="center"/>
    </xf>
    <xf numFmtId="0" fontId="24" fillId="0" borderId="9" xfId="3" applyFont="1" applyBorder="1" applyAlignment="1">
      <alignment horizontal="center" vertical="center" wrapText="1"/>
    </xf>
    <xf numFmtId="0" fontId="24" fillId="0" borderId="63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19" fillId="0" borderId="52" xfId="3" applyFont="1" applyBorder="1" applyAlignment="1">
      <alignment vertical="center"/>
    </xf>
    <xf numFmtId="3" fontId="24" fillId="0" borderId="41" xfId="3" applyNumberFormat="1" applyFont="1" applyBorder="1" applyAlignment="1">
      <alignment vertical="center"/>
    </xf>
    <xf numFmtId="3" fontId="24" fillId="0" borderId="64" xfId="3" applyNumberFormat="1" applyFont="1" applyBorder="1" applyAlignment="1">
      <alignment vertical="center"/>
    </xf>
    <xf numFmtId="3" fontId="24" fillId="0" borderId="42" xfId="3" applyNumberFormat="1" applyFont="1" applyBorder="1" applyAlignment="1">
      <alignment vertical="center"/>
    </xf>
    <xf numFmtId="165" fontId="27" fillId="0" borderId="55" xfId="3" applyNumberFormat="1" applyFont="1" applyBorder="1" applyAlignment="1">
      <alignment vertical="center"/>
    </xf>
    <xf numFmtId="165" fontId="27" fillId="0" borderId="65" xfId="3" applyNumberFormat="1" applyFont="1" applyBorder="1" applyAlignment="1">
      <alignment vertical="center"/>
    </xf>
    <xf numFmtId="165" fontId="27" fillId="0" borderId="56" xfId="3" applyNumberFormat="1" applyFont="1" applyBorder="1" applyAlignment="1">
      <alignment vertical="center"/>
    </xf>
    <xf numFmtId="0" fontId="19" fillId="0" borderId="32" xfId="3" applyFont="1" applyBorder="1" applyAlignment="1">
      <alignment horizontal="center" vertical="center"/>
    </xf>
    <xf numFmtId="0" fontId="19" fillId="0" borderId="10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0" borderId="16" xfId="3" applyFont="1" applyBorder="1" applyAlignment="1">
      <alignment horizontal="center" vertical="center"/>
    </xf>
    <xf numFmtId="0" fontId="6" fillId="0" borderId="48" xfId="3" applyFont="1" applyBorder="1" applyAlignment="1">
      <alignment horizontal="center" vertical="center" wrapText="1"/>
    </xf>
    <xf numFmtId="0" fontId="6" fillId="0" borderId="53" xfId="3" applyFont="1" applyBorder="1" applyAlignment="1">
      <alignment horizontal="center" vertical="center" wrapText="1"/>
    </xf>
    <xf numFmtId="0" fontId="6" fillId="0" borderId="49" xfId="3" applyFont="1" applyBorder="1" applyAlignment="1">
      <alignment horizontal="center" vertical="center" wrapText="1"/>
    </xf>
    <xf numFmtId="0" fontId="6" fillId="0" borderId="43" xfId="3" applyFont="1" applyBorder="1" applyAlignment="1">
      <alignment horizontal="center" vertical="center" wrapText="1"/>
    </xf>
    <xf numFmtId="0" fontId="6" fillId="0" borderId="52" xfId="3" applyFont="1" applyBorder="1" applyAlignment="1">
      <alignment horizontal="center" vertical="center" wrapText="1"/>
    </xf>
    <xf numFmtId="0" fontId="6" fillId="0" borderId="47" xfId="3" applyFont="1" applyBorder="1" applyAlignment="1">
      <alignment horizontal="center" vertical="center" wrapText="1"/>
    </xf>
    <xf numFmtId="0" fontId="19" fillId="17" borderId="48" xfId="3" applyFont="1" applyFill="1" applyBorder="1" applyAlignment="1">
      <alignment horizontal="center" vertical="center"/>
    </xf>
    <xf numFmtId="0" fontId="19" fillId="17" borderId="53" xfId="3" applyFont="1" applyFill="1" applyBorder="1" applyAlignment="1">
      <alignment horizontal="center" vertical="center"/>
    </xf>
    <xf numFmtId="0" fontId="19" fillId="17" borderId="49" xfId="3" applyFont="1" applyFill="1" applyBorder="1" applyAlignment="1">
      <alignment horizontal="center" vertical="center"/>
    </xf>
    <xf numFmtId="165" fontId="27" fillId="0" borderId="57" xfId="3" applyNumberFormat="1" applyFont="1" applyBorder="1" applyAlignment="1">
      <alignment vertical="center"/>
    </xf>
    <xf numFmtId="165" fontId="27" fillId="0" borderId="66" xfId="3" applyNumberFormat="1" applyFont="1" applyBorder="1" applyAlignment="1">
      <alignment vertical="center"/>
    </xf>
    <xf numFmtId="165" fontId="27" fillId="0" borderId="67" xfId="3" applyNumberFormat="1" applyFont="1" applyBorder="1" applyAlignment="1">
      <alignment vertical="center"/>
    </xf>
    <xf numFmtId="1" fontId="27" fillId="0" borderId="41" xfId="3" applyNumberFormat="1" applyFont="1" applyBorder="1" applyAlignment="1">
      <alignment vertical="center"/>
    </xf>
    <xf numFmtId="1" fontId="27" fillId="0" borderId="64" xfId="3" applyNumberFormat="1" applyFont="1" applyBorder="1" applyAlignment="1">
      <alignment vertical="center"/>
    </xf>
    <xf numFmtId="1" fontId="27" fillId="0" borderId="42" xfId="3" applyNumberFormat="1" applyFont="1" applyBorder="1" applyAlignment="1">
      <alignment vertical="center"/>
    </xf>
    <xf numFmtId="3" fontId="24" fillId="6" borderId="57" xfId="3" applyNumberFormat="1" applyFont="1" applyFill="1" applyBorder="1" applyAlignment="1">
      <alignment vertical="center"/>
    </xf>
    <xf numFmtId="3" fontId="24" fillId="6" borderId="66" xfId="3" applyNumberFormat="1" applyFont="1" applyFill="1" applyBorder="1" applyAlignment="1">
      <alignment vertical="center"/>
    </xf>
    <xf numFmtId="3" fontId="24" fillId="6" borderId="67" xfId="3" applyNumberFormat="1" applyFont="1" applyFill="1" applyBorder="1" applyAlignment="1">
      <alignment vertical="center"/>
    </xf>
    <xf numFmtId="0" fontId="19" fillId="0" borderId="0" xfId="3" applyFont="1" applyAlignment="1">
      <alignment vertical="center"/>
    </xf>
    <xf numFmtId="3" fontId="27" fillId="0" borderId="32" xfId="3" applyNumberFormat="1" applyFont="1" applyBorder="1" applyAlignment="1">
      <alignment vertical="center"/>
    </xf>
    <xf numFmtId="3" fontId="27" fillId="0" borderId="60" xfId="3" applyNumberFormat="1" applyFont="1" applyBorder="1" applyAlignment="1">
      <alignment vertical="center"/>
    </xf>
    <xf numFmtId="3" fontId="24" fillId="0" borderId="60" xfId="3" applyNumberFormat="1" applyFont="1" applyBorder="1" applyAlignment="1">
      <alignment vertical="center"/>
    </xf>
    <xf numFmtId="3" fontId="24" fillId="0" borderId="10" xfId="3" applyNumberFormat="1" applyFont="1" applyBorder="1" applyAlignment="1">
      <alignment vertical="center"/>
    </xf>
    <xf numFmtId="3" fontId="24" fillId="0" borderId="32" xfId="3" applyNumberFormat="1" applyFont="1" applyBorder="1" applyAlignment="1">
      <alignment vertical="center"/>
    </xf>
    <xf numFmtId="3" fontId="27" fillId="0" borderId="14" xfId="3" applyNumberFormat="1" applyFont="1" applyBorder="1" applyAlignment="1">
      <alignment vertical="center"/>
    </xf>
    <xf numFmtId="3" fontId="27" fillId="0" borderId="69" xfId="3" applyNumberFormat="1" applyFont="1" applyBorder="1" applyAlignment="1">
      <alignment vertical="center"/>
    </xf>
    <xf numFmtId="3" fontId="27" fillId="0" borderId="16" xfId="3" applyNumberFormat="1" applyFont="1" applyBorder="1" applyAlignment="1">
      <alignment vertical="center"/>
    </xf>
    <xf numFmtId="3" fontId="27" fillId="0" borderId="40" xfId="3" applyNumberFormat="1" applyFont="1" applyBorder="1" applyAlignment="1">
      <alignment vertical="center"/>
    </xf>
    <xf numFmtId="3" fontId="27" fillId="0" borderId="62" xfId="3" applyNumberFormat="1" applyFont="1" applyBorder="1" applyAlignment="1">
      <alignment vertical="center"/>
    </xf>
    <xf numFmtId="3" fontId="27" fillId="0" borderId="39" xfId="3" applyNumberFormat="1" applyFont="1" applyBorder="1" applyAlignment="1">
      <alignment vertical="center"/>
    </xf>
    <xf numFmtId="3" fontId="27" fillId="9" borderId="70" xfId="3" applyNumberFormat="1" applyFont="1" applyFill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9" borderId="57" xfId="3" applyNumberFormat="1" applyFont="1" applyFill="1" applyBorder="1" applyAlignment="1">
      <alignment vertical="center"/>
    </xf>
    <xf numFmtId="3" fontId="27" fillId="9" borderId="66" xfId="3" applyNumberFormat="1" applyFont="1" applyFill="1" applyBorder="1" applyAlignment="1">
      <alignment vertical="center"/>
    </xf>
    <xf numFmtId="3" fontId="27" fillId="9" borderId="67" xfId="3" applyNumberFormat="1" applyFont="1" applyFill="1" applyBorder="1" applyAlignment="1">
      <alignment vertical="center"/>
    </xf>
    <xf numFmtId="165" fontId="24" fillId="0" borderId="41" xfId="3" applyNumberFormat="1" applyFont="1" applyBorder="1" applyAlignment="1">
      <alignment vertical="center"/>
    </xf>
    <xf numFmtId="165" fontId="24" fillId="0" borderId="64" xfId="3" applyNumberFormat="1" applyFont="1" applyBorder="1" applyAlignment="1">
      <alignment vertical="center"/>
    </xf>
    <xf numFmtId="165" fontId="24" fillId="0" borderId="42" xfId="3" applyNumberFormat="1" applyFont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0" borderId="56" xfId="3" applyNumberFormat="1" applyFont="1" applyBorder="1" applyAlignment="1">
      <alignment vertical="center"/>
    </xf>
    <xf numFmtId="3" fontId="27" fillId="0" borderId="57" xfId="3" applyNumberFormat="1" applyFont="1" applyBorder="1" applyAlignment="1">
      <alignment vertical="center"/>
    </xf>
    <xf numFmtId="3" fontId="27" fillId="0" borderId="66" xfId="3" applyNumberFormat="1" applyFont="1" applyBorder="1" applyAlignment="1">
      <alignment vertical="center"/>
    </xf>
    <xf numFmtId="3" fontId="27" fillId="0" borderId="67" xfId="3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/>
    </xf>
    <xf numFmtId="3" fontId="27" fillId="0" borderId="57" xfId="3" applyNumberFormat="1" applyFont="1" applyFill="1" applyBorder="1" applyAlignment="1">
      <alignment vertical="center"/>
    </xf>
    <xf numFmtId="3" fontId="27" fillId="0" borderId="66" xfId="3" applyNumberFormat="1" applyFont="1" applyFill="1" applyBorder="1" applyAlignment="1">
      <alignment vertical="center"/>
    </xf>
    <xf numFmtId="3" fontId="27" fillId="0" borderId="67" xfId="3" applyNumberFormat="1" applyFont="1" applyFill="1" applyBorder="1" applyAlignment="1">
      <alignment vertical="center"/>
    </xf>
    <xf numFmtId="0" fontId="6" fillId="0" borderId="50" xfId="3" applyFont="1" applyBorder="1" applyAlignment="1">
      <alignment horizontal="center" vertical="center"/>
    </xf>
    <xf numFmtId="0" fontId="6" fillId="0" borderId="51" xfId="3" applyFont="1" applyBorder="1" applyAlignment="1">
      <alignment horizontal="center" vertical="center"/>
    </xf>
    <xf numFmtId="4" fontId="2" fillId="3" borderId="15" xfId="2" applyNumberFormat="1" applyFill="1" applyBorder="1" applyAlignment="1" applyProtection="1">
      <alignment vertical="center"/>
      <protection locked="0"/>
    </xf>
    <xf numFmtId="4" fontId="2" fillId="3" borderId="18" xfId="2" applyNumberFormat="1" applyFill="1" applyBorder="1" applyAlignment="1" applyProtection="1">
      <alignment vertical="center"/>
      <protection locked="0"/>
    </xf>
    <xf numFmtId="0" fontId="6" fillId="12" borderId="50" xfId="3" applyFont="1" applyFill="1" applyBorder="1" applyAlignment="1">
      <alignment horizontal="left"/>
    </xf>
    <xf numFmtId="0" fontId="6" fillId="12" borderId="51" xfId="3" applyFont="1" applyFill="1" applyBorder="1" applyAlignment="1">
      <alignment horizontal="left"/>
    </xf>
  </cellXfs>
  <cellStyles count="5">
    <cellStyle name="Insatisfaisant 2" xfId="4" xr:uid="{806296F1-8115-46D8-9C18-A34E88693562}"/>
    <cellStyle name="Lien hypertexte 2" xfId="1" xr:uid="{EE046C2C-65B9-4CDB-BCA5-0081D0854A51}"/>
    <cellStyle name="Normal" xfId="0" builtinId="0"/>
    <cellStyle name="Normal 2" xfId="3" xr:uid="{D0E0ADF1-0D38-4EDB-A9F4-BBC7098C4C5E}"/>
    <cellStyle name="Normal 3" xfId="2" xr:uid="{15B6A34F-A55C-4F70-B490-F321F1865F4C}"/>
  </cellStyles>
  <dxfs count="81"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0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178" name="Button 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:a16="http://schemas.microsoft.com/office/drawing/2014/main" id="{00000000-0008-0000-00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7442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179" name="Button 3" hidden="1">
              <a:extLst>
                <a:ext uri="{63B3BB69-23CF-44E3-9099-C40C66FF867C}">
                  <a14:compatExt spid="_x0000_s50179"/>
                </a:ext>
                <a:ext uri="{FF2B5EF4-FFF2-40B4-BE49-F238E27FC236}">
                  <a16:creationId xmlns:a16="http://schemas.microsoft.com/office/drawing/2014/main" id="{00000000-0008-0000-0000-000003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787230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800597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816271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50180" name="Button 4" hidden="1">
              <a:extLst>
                <a:ext uri="{63B3BB69-23CF-44E3-9099-C40C66FF867C}">
                  <a14:compatExt spid="_x0000_s50180"/>
                </a:ext>
                <a:ext uri="{FF2B5EF4-FFF2-40B4-BE49-F238E27FC236}">
                  <a16:creationId xmlns:a16="http://schemas.microsoft.com/office/drawing/2014/main" id="{00000000-0008-0000-0000-000004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50181" name="Button 5" hidden="1">
              <a:extLst>
                <a:ext uri="{63B3BB69-23CF-44E3-9099-C40C66FF867C}">
                  <a14:compatExt spid="_x0000_s50181"/>
                </a:ext>
                <a:ext uri="{FF2B5EF4-FFF2-40B4-BE49-F238E27FC236}">
                  <a16:creationId xmlns:a16="http://schemas.microsoft.com/office/drawing/2014/main" id="{00000000-0008-0000-0000-000005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182" name="Button 6" hidden="1">
              <a:extLst>
                <a:ext uri="{63B3BB69-23CF-44E3-9099-C40C66FF867C}">
                  <a14:compatExt spid="_x0000_s50182"/>
                </a:ext>
                <a:ext uri="{FF2B5EF4-FFF2-40B4-BE49-F238E27FC236}">
                  <a16:creationId xmlns:a16="http://schemas.microsoft.com/office/drawing/2014/main" id="{00000000-0008-0000-0000-000006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50183" name="Button 7" hidden="1">
              <a:extLst>
                <a:ext uri="{63B3BB69-23CF-44E3-9099-C40C66FF867C}">
                  <a14:compatExt spid="_x0000_s50183"/>
                </a:ext>
                <a:ext uri="{FF2B5EF4-FFF2-40B4-BE49-F238E27FC236}">
                  <a16:creationId xmlns:a16="http://schemas.microsoft.com/office/drawing/2014/main" id="{00000000-0008-0000-0000-000007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50184" name="Button 8" hidden="1">
              <a:extLst>
                <a:ext uri="{63B3BB69-23CF-44E3-9099-C40C66FF867C}">
                  <a14:compatExt spid="_x0000_s50184"/>
                </a:ext>
                <a:ext uri="{FF2B5EF4-FFF2-40B4-BE49-F238E27FC236}">
                  <a16:creationId xmlns:a16="http://schemas.microsoft.com/office/drawing/2014/main" id="{00000000-0008-0000-0000-000008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185" name="Button 9" hidden="1">
              <a:extLst>
                <a:ext uri="{63B3BB69-23CF-44E3-9099-C40C66FF867C}">
                  <a14:compatExt spid="_x0000_s50185"/>
                </a:ext>
                <a:ext uri="{FF2B5EF4-FFF2-40B4-BE49-F238E27FC236}">
                  <a16:creationId xmlns:a16="http://schemas.microsoft.com/office/drawing/2014/main" id="{00000000-0008-0000-0000-000009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186" name="Button 10" hidden="1">
              <a:extLst>
                <a:ext uri="{63B3BB69-23CF-44E3-9099-C40C66FF867C}">
                  <a14:compatExt spid="_x0000_s50186"/>
                </a:ext>
                <a:ext uri="{FF2B5EF4-FFF2-40B4-BE49-F238E27FC236}">
                  <a16:creationId xmlns:a16="http://schemas.microsoft.com/office/drawing/2014/main" id="{00000000-0008-0000-0000-00000A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28</xdr:col>
      <xdr:colOff>107280</xdr:colOff>
      <xdr:row>704</xdr:row>
      <xdr:rowOff>28575</xdr:rowOff>
    </xdr:to>
    <xdr:pic>
      <xdr:nvPicPr>
        <xdr:cNvPr id="6" name="Image 5" descr="Franchise Acuitis : Optique et Audition !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12850" y="137941050"/>
          <a:ext cx="23932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66708867" y="4232274"/>
          <a:ext cx="8075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67839167" y="4232275"/>
          <a:ext cx="87818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69117634" y="4217458"/>
          <a:ext cx="59584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0</xdr:col>
          <xdr:colOff>1571625</xdr:colOff>
          <xdr:row>296</xdr:row>
          <xdr:rowOff>66675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2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2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9220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2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795993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809360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825034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2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  <a:ext uri="{FF2B5EF4-FFF2-40B4-BE49-F238E27FC236}">
                  <a16:creationId xmlns:a16="http://schemas.microsoft.com/office/drawing/2014/main" id="{00000000-0008-0000-0200-000005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  <a:ext uri="{FF2B5EF4-FFF2-40B4-BE49-F238E27FC236}">
                  <a16:creationId xmlns:a16="http://schemas.microsoft.com/office/drawing/2014/main" id="{00000000-0008-0000-0200-000006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34823" name="Button 7" hidden="1">
              <a:extLst>
                <a:ext uri="{63B3BB69-23CF-44E3-9099-C40C66FF867C}">
                  <a14:compatExt spid="_x0000_s34823"/>
                </a:ext>
                <a:ext uri="{FF2B5EF4-FFF2-40B4-BE49-F238E27FC236}">
                  <a16:creationId xmlns:a16="http://schemas.microsoft.com/office/drawing/2014/main" id="{00000000-0008-0000-0200-000007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  <a:ext uri="{FF2B5EF4-FFF2-40B4-BE49-F238E27FC236}">
                  <a16:creationId xmlns:a16="http://schemas.microsoft.com/office/drawing/2014/main" id="{00000000-0008-0000-0200-000008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  <a:ext uri="{FF2B5EF4-FFF2-40B4-BE49-F238E27FC236}">
                  <a16:creationId xmlns:a16="http://schemas.microsoft.com/office/drawing/2014/main" id="{00000000-0008-0000-0200-000009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34826" name="Button 10" hidden="1">
              <a:extLst>
                <a:ext uri="{63B3BB69-23CF-44E3-9099-C40C66FF867C}">
                  <a14:compatExt spid="_x0000_s34826"/>
                </a:ext>
                <a:ext uri="{FF2B5EF4-FFF2-40B4-BE49-F238E27FC236}">
                  <a16:creationId xmlns:a16="http://schemas.microsoft.com/office/drawing/2014/main" id="{00000000-0008-0000-0200-00000A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1</xdr:row>
          <xdr:rowOff>114300</xdr:rowOff>
        </xdr:from>
        <xdr:to>
          <xdr:col>1</xdr:col>
          <xdr:colOff>1724025</xdr:colOff>
          <xdr:row>3</xdr:row>
          <xdr:rowOff>114300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03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Mag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DRAFT%20ACUITIS2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EXPLOITATION"/>
      <sheetName val="FINANCIER"/>
      <sheetName val="2018"/>
      <sheetName val="2019 2020"/>
      <sheetName val="Feuil4"/>
      <sheetName val="Feuil1"/>
      <sheetName val="A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ctrlProp" Target="../ctrlProps/ctrlProp11.xml"/><Relationship Id="rId7" Type="http://schemas.openxmlformats.org/officeDocument/2006/relationships/ctrlProp" Target="../ctrlProps/ctrlProp15.xml"/><Relationship Id="rId12" Type="http://schemas.openxmlformats.org/officeDocument/2006/relationships/ctrlProp" Target="../ctrlProps/ctrlProp2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4.xml"/><Relationship Id="rId11" Type="http://schemas.openxmlformats.org/officeDocument/2006/relationships/ctrlProp" Target="../ctrlProps/ctrlProp19.xml"/><Relationship Id="rId5" Type="http://schemas.openxmlformats.org/officeDocument/2006/relationships/ctrlProp" Target="../ctrlProps/ctrlProp13.xml"/><Relationship Id="rId10" Type="http://schemas.openxmlformats.org/officeDocument/2006/relationships/ctrlProp" Target="../ctrlProps/ctrlProp18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ctrlProp" Target="../ctrlProps/ctrlProp21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5E7D-3B1A-A44E-B8AA-362906FDB0E0}">
  <sheetPr codeName="Feuil1"/>
  <dimension ref="A1:DE669"/>
  <sheetViews>
    <sheetView workbookViewId="0"/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3.14062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88" t="s">
        <v>219</v>
      </c>
      <c r="B4" s="488"/>
      <c r="C4" s="488"/>
      <c r="D4" s="488"/>
      <c r="E4" s="488"/>
      <c r="H4" s="488" t="s">
        <v>220</v>
      </c>
      <c r="I4" s="488"/>
      <c r="J4" s="488"/>
      <c r="K4" s="488"/>
      <c r="AO4" s="35" t="s">
        <v>223</v>
      </c>
      <c r="AP4" s="489">
        <f>A290</f>
        <v>0</v>
      </c>
      <c r="AQ4" s="490"/>
      <c r="AR4" s="36"/>
      <c r="AS4" s="491">
        <f>A584</f>
        <v>0</v>
      </c>
      <c r="AT4" s="490"/>
      <c r="AU4" s="34"/>
      <c r="AV4" s="37"/>
      <c r="AW4" s="38"/>
      <c r="AX4" s="39"/>
      <c r="BB4" s="138" t="s">
        <v>242</v>
      </c>
      <c r="BC4" s="492">
        <f>A290</f>
        <v>0</v>
      </c>
      <c r="BD4" s="487"/>
      <c r="BE4" s="139"/>
      <c r="BF4" s="486">
        <f>A584</f>
        <v>0</v>
      </c>
      <c r="BG4" s="487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423</v>
      </c>
      <c r="AO5" s="40" t="s">
        <v>212</v>
      </c>
      <c r="AP5" s="41">
        <f>SUM(AP6+AP7)</f>
        <v>0</v>
      </c>
      <c r="AQ5" s="44">
        <v>1</v>
      </c>
      <c r="AR5" s="42"/>
      <c r="AS5" s="43">
        <f>SUM(AS6:AS7)</f>
        <v>0</v>
      </c>
      <c r="AT5" s="44">
        <v>1</v>
      </c>
      <c r="AU5" s="42"/>
      <c r="AV5" s="43">
        <f>Moyenne!D7</f>
        <v>54540.772058823524</v>
      </c>
      <c r="AW5" s="44">
        <v>1</v>
      </c>
      <c r="AX5" s="39"/>
      <c r="BB5" s="142" t="s">
        <v>13</v>
      </c>
      <c r="BC5" s="143">
        <f>$J$10-$K$10</f>
        <v>0</v>
      </c>
      <c r="BD5" s="144" t="e">
        <f>BC5/$BC$14</f>
        <v>#DIV/0!</v>
      </c>
      <c r="BE5" s="145"/>
      <c r="BF5" s="146">
        <f>$J$304-$K$304</f>
        <v>0</v>
      </c>
      <c r="BG5" s="144" t="e">
        <f>BF5/$BF$14</f>
        <v>#DIV/0!</v>
      </c>
      <c r="BH5" s="145"/>
      <c r="BI5" s="143">
        <f>Moyenne!D50</f>
        <v>7333.7102941176463</v>
      </c>
      <c r="BJ5" s="144">
        <f>Moyenne!E50</f>
        <v>0.27604888599574018</v>
      </c>
      <c r="BK5" s="145"/>
      <c r="BO5" s="34"/>
      <c r="BP5" s="208" t="s">
        <v>258</v>
      </c>
      <c r="BQ5" s="209"/>
      <c r="BR5" s="34"/>
      <c r="BS5" s="499" t="s">
        <v>259</v>
      </c>
      <c r="BT5" s="500"/>
      <c r="BU5" s="500"/>
      <c r="BV5" s="500"/>
      <c r="BW5" s="501"/>
      <c r="BX5" s="210"/>
      <c r="BY5" s="211"/>
      <c r="BZ5" s="34"/>
      <c r="CA5" s="34"/>
      <c r="CB5" s="502" t="s">
        <v>260</v>
      </c>
      <c r="CC5" s="503"/>
      <c r="CD5" s="503"/>
      <c r="CE5" s="503"/>
      <c r="CF5" s="503"/>
      <c r="CG5" s="503"/>
      <c r="CH5" s="503"/>
      <c r="CI5" s="50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0</v>
      </c>
      <c r="E6" s="2">
        <f>SUM($E$7:$E$285)</f>
        <v>0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0</v>
      </c>
      <c r="N6" s="7"/>
      <c r="O6" s="8"/>
      <c r="P6" s="8"/>
      <c r="Q6" s="8"/>
      <c r="R6" s="505" t="s">
        <v>200</v>
      </c>
      <c r="S6" s="506"/>
      <c r="T6" s="9" t="s">
        <v>201</v>
      </c>
      <c r="U6" s="10" t="s">
        <v>202</v>
      </c>
      <c r="AO6" s="45" t="s">
        <v>224</v>
      </c>
      <c r="AP6" s="46">
        <f>K41-J41</f>
        <v>0</v>
      </c>
      <c r="AQ6" s="47" t="e">
        <f>SUM(AP6/AP5)</f>
        <v>#DIV/0!</v>
      </c>
      <c r="AR6" s="42"/>
      <c r="AS6" s="48">
        <f>K334-J334</f>
        <v>0</v>
      </c>
      <c r="AT6" s="49" t="e">
        <f>SUM(AS6/AS5)</f>
        <v>#DIV/0!</v>
      </c>
      <c r="AU6" s="42"/>
      <c r="AV6" s="48">
        <f>Moyenne!D8</f>
        <v>42972.614411764705</v>
      </c>
      <c r="AW6" s="49">
        <f>SUM(AV6/AV5)</f>
        <v>0.78789890186038647</v>
      </c>
      <c r="AX6" s="39"/>
      <c r="BB6" s="147" t="s">
        <v>16</v>
      </c>
      <c r="BC6" s="148">
        <f>$J$8-$K$8</f>
        <v>0</v>
      </c>
      <c r="BD6" s="149" t="e">
        <f t="shared" ref="BD6:BD13" si="2">BC6/$BC$14</f>
        <v>#DIV/0!</v>
      </c>
      <c r="BE6" s="145"/>
      <c r="BF6" s="150">
        <f>$J$302-$K$302</f>
        <v>0</v>
      </c>
      <c r="BG6" s="149" t="e">
        <f t="shared" ref="BG6:BG13" si="3">BF6/$BF$14</f>
        <v>#DIV/0!</v>
      </c>
      <c r="BH6" s="145"/>
      <c r="BI6" s="148">
        <f>Moyenne!D51</f>
        <v>5057.5023529411774</v>
      </c>
      <c r="BJ6" s="149">
        <f>Moyenne!E51</f>
        <v>0.19036992660728227</v>
      </c>
      <c r="BK6" s="145"/>
      <c r="BO6" s="34"/>
      <c r="BP6" s="291">
        <f>AP47+AP48</f>
        <v>0</v>
      </c>
      <c r="BQ6" s="209"/>
      <c r="BR6" s="34"/>
      <c r="BS6" s="507" t="str">
        <f>TEXT(CS22,"jj/mm")</f>
        <v>00/01</v>
      </c>
      <c r="BT6" s="508"/>
      <c r="BU6" s="508"/>
      <c r="BV6" s="508"/>
      <c r="BW6" s="509"/>
      <c r="BX6" s="210"/>
      <c r="BY6" s="211"/>
      <c r="BZ6" s="34"/>
      <c r="CA6" s="34"/>
      <c r="CB6" s="510" t="s">
        <v>261</v>
      </c>
      <c r="CC6" s="511"/>
      <c r="CD6" s="511"/>
      <c r="CE6" s="511"/>
      <c r="CF6" s="511"/>
      <c r="CG6" s="511"/>
      <c r="CH6" s="511"/>
      <c r="CI6" s="512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0</v>
      </c>
      <c r="P7" s="13" t="s">
        <v>204</v>
      </c>
      <c r="Q7" s="12">
        <f>BC26</f>
        <v>0</v>
      </c>
      <c r="R7" s="14" t="s">
        <v>205</v>
      </c>
      <c r="S7" s="15" t="e">
        <f>O7/Q7</f>
        <v>#DIV/0!</v>
      </c>
      <c r="T7" s="16">
        <v>24</v>
      </c>
      <c r="U7" s="17" t="e">
        <f>S7*T7</f>
        <v>#DIV/0!</v>
      </c>
      <c r="AO7" s="50" t="s">
        <v>225</v>
      </c>
      <c r="AP7" s="51">
        <f>K40-J40</f>
        <v>0</v>
      </c>
      <c r="AQ7" s="52" t="e">
        <f>SUM(AP7/AP5)</f>
        <v>#DIV/0!</v>
      </c>
      <c r="AR7" s="42"/>
      <c r="AS7" s="53">
        <f>K333-J333</f>
        <v>0</v>
      </c>
      <c r="AT7" s="54" t="e">
        <f>SUM(AS7/AS5)</f>
        <v>#DIV/0!</v>
      </c>
      <c r="AU7" s="42"/>
      <c r="AV7" s="48">
        <f>Moyenne!D9</f>
        <v>11568.157647058822</v>
      </c>
      <c r="AW7" s="54">
        <f>SUM(AV7/AV5)</f>
        <v>0.21210109813961359</v>
      </c>
      <c r="AX7" s="39"/>
      <c r="BB7" s="151" t="s">
        <v>23</v>
      </c>
      <c r="BC7" s="152">
        <f>$J$9-$K$9</f>
        <v>0</v>
      </c>
      <c r="BD7" s="153" t="e">
        <f t="shared" si="2"/>
        <v>#DIV/0!</v>
      </c>
      <c r="BE7" s="145"/>
      <c r="BF7" s="154">
        <f>$J$303-$K$303</f>
        <v>0</v>
      </c>
      <c r="BG7" s="153" t="e">
        <f t="shared" si="3"/>
        <v>#DIV/0!</v>
      </c>
      <c r="BH7" s="145"/>
      <c r="BI7" s="152">
        <f>Moyenne!D52</f>
        <v>1841.1094117647058</v>
      </c>
      <c r="BJ7" s="153">
        <f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H8">
        <v>20</v>
      </c>
      <c r="I8" t="s">
        <v>16</v>
      </c>
      <c r="J8" s="2">
        <f t="shared" si="0"/>
        <v>0</v>
      </c>
      <c r="K8" s="2">
        <f t="shared" si="1"/>
        <v>0</v>
      </c>
      <c r="L8" s="2"/>
      <c r="N8" s="18" t="s">
        <v>206</v>
      </c>
      <c r="O8" s="19">
        <f>BC21</f>
        <v>0</v>
      </c>
      <c r="P8" s="493" t="s">
        <v>207</v>
      </c>
      <c r="Q8" s="494">
        <f>BC14</f>
        <v>0</v>
      </c>
      <c r="R8" s="20" t="s">
        <v>208</v>
      </c>
      <c r="S8" s="15" t="e">
        <f>O8/Q8</f>
        <v>#DIV/0!</v>
      </c>
      <c r="T8" s="21">
        <v>22</v>
      </c>
      <c r="U8" s="22" t="e">
        <f t="shared" ref="U8:U11" si="4">S8*T8</f>
        <v>#DIV/0!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0</v>
      </c>
      <c r="BD8" s="157" t="e">
        <f t="shared" si="2"/>
        <v>#DIV/0!</v>
      </c>
      <c r="BE8" s="145"/>
      <c r="BF8" s="156">
        <f>SUM(BF5:BF7)</f>
        <v>0</v>
      </c>
      <c r="BG8" s="157" t="e">
        <f t="shared" si="3"/>
        <v>#DIV/0!</v>
      </c>
      <c r="BH8" s="145"/>
      <c r="BI8" s="156">
        <f>Moyenne!D53</f>
        <v>14232.322058823531</v>
      </c>
      <c r="BJ8" s="157">
        <f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H9">
        <v>20</v>
      </c>
      <c r="I9" t="s">
        <v>23</v>
      </c>
      <c r="J9" s="2">
        <f t="shared" si="0"/>
        <v>0</v>
      </c>
      <c r="K9" s="2">
        <f t="shared" si="1"/>
        <v>0</v>
      </c>
      <c r="N9" s="18" t="s">
        <v>209</v>
      </c>
      <c r="O9" s="19">
        <f>BC13</f>
        <v>0</v>
      </c>
      <c r="P9" s="493"/>
      <c r="Q9" s="495"/>
      <c r="R9" s="20" t="s">
        <v>210</v>
      </c>
      <c r="S9" s="15" t="e">
        <f>O9/Q8</f>
        <v>#DIV/0!</v>
      </c>
      <c r="T9" s="21">
        <v>16</v>
      </c>
      <c r="U9" s="22" t="e">
        <f t="shared" si="4"/>
        <v>#DIV/0!</v>
      </c>
      <c r="AO9" s="58" t="s">
        <v>226</v>
      </c>
      <c r="AP9" s="59">
        <f>SUM(AP11+AP10)</f>
        <v>0</v>
      </c>
      <c r="AQ9" s="60">
        <v>1</v>
      </c>
      <c r="AR9" s="42"/>
      <c r="AS9" s="59">
        <f>SUM(AS10:AS11)</f>
        <v>0</v>
      </c>
      <c r="AT9" s="61">
        <v>1</v>
      </c>
      <c r="AU9" s="42"/>
      <c r="AV9" s="59">
        <f>Moyenne!D11</f>
        <v>22069.007352941175</v>
      </c>
      <c r="AW9" s="61">
        <v>1</v>
      </c>
      <c r="AX9" s="39"/>
      <c r="BB9" s="142" t="s">
        <v>32</v>
      </c>
      <c r="BC9" s="148">
        <f>$J$11-$K$11</f>
        <v>0</v>
      </c>
      <c r="BD9" s="149" t="e">
        <f t="shared" si="2"/>
        <v>#DIV/0!</v>
      </c>
      <c r="BE9" s="145"/>
      <c r="BF9" s="150">
        <f>$J$305-$K$305</f>
        <v>0</v>
      </c>
      <c r="BG9" s="149" t="e">
        <f t="shared" si="3"/>
        <v>#DIV/0!</v>
      </c>
      <c r="BH9" s="145"/>
      <c r="BI9" s="148">
        <f>Moyenne!D54</f>
        <v>4784.7552941176473</v>
      </c>
      <c r="BJ9" s="144">
        <f>Moyenne!E54</f>
        <v>0.18010342865095569</v>
      </c>
      <c r="BK9" s="145"/>
      <c r="BO9" s="212"/>
      <c r="BP9" s="496" t="s">
        <v>262</v>
      </c>
      <c r="BQ9" s="497" t="s">
        <v>263</v>
      </c>
      <c r="BR9" s="213"/>
      <c r="BS9" s="498">
        <f>CS22</f>
        <v>0</v>
      </c>
      <c r="BT9" s="498"/>
      <c r="BU9" s="498"/>
      <c r="BV9" s="498"/>
      <c r="BW9" s="498"/>
      <c r="BX9" s="212"/>
      <c r="BY9" s="498">
        <f>CU22</f>
        <v>0</v>
      </c>
      <c r="BZ9" s="498"/>
      <c r="CA9" s="498"/>
      <c r="CB9" s="498"/>
      <c r="CC9" s="498"/>
      <c r="CD9" s="212"/>
      <c r="CE9" s="498" t="s">
        <v>422</v>
      </c>
      <c r="CF9" s="498"/>
      <c r="CG9" s="498"/>
      <c r="CH9" s="498"/>
      <c r="CI9" s="498"/>
      <c r="CJ9" s="212"/>
      <c r="CK9" s="34"/>
      <c r="CL9" s="34"/>
      <c r="CM9" s="34"/>
      <c r="CN9" s="34"/>
      <c r="CO9" s="513"/>
      <c r="CP9" s="513"/>
      <c r="CQ9" s="513"/>
      <c r="CR9" s="513"/>
      <c r="CS9" s="513"/>
      <c r="CT9" s="514" t="str">
        <f>A5</f>
        <v>Mag 1</v>
      </c>
      <c r="CU9" s="514"/>
      <c r="CV9" s="514"/>
      <c r="DD9">
        <v>7</v>
      </c>
    </row>
    <row r="10" spans="1:109" ht="18.75" customHeight="1">
      <c r="H10">
        <v>20</v>
      </c>
      <c r="I10" t="s">
        <v>13</v>
      </c>
      <c r="J10" s="2">
        <f t="shared" si="0"/>
        <v>0</v>
      </c>
      <c r="K10" s="2">
        <f t="shared" si="1"/>
        <v>0</v>
      </c>
      <c r="N10" s="18" t="s">
        <v>211</v>
      </c>
      <c r="O10" s="19">
        <f>AP38</f>
        <v>0</v>
      </c>
      <c r="P10" s="23" t="s">
        <v>212</v>
      </c>
      <c r="Q10" s="19">
        <f>AP5</f>
        <v>0</v>
      </c>
      <c r="R10" s="20" t="s">
        <v>213</v>
      </c>
      <c r="S10" s="15" t="e">
        <f>O10/Q10</f>
        <v>#DIV/0!</v>
      </c>
      <c r="T10" s="21">
        <v>-87</v>
      </c>
      <c r="U10" s="22" t="e">
        <f t="shared" si="4"/>
        <v>#DIV/0!</v>
      </c>
      <c r="AO10" s="62" t="s">
        <v>224</v>
      </c>
      <c r="AP10" s="63">
        <f>J39-K39</f>
        <v>0</v>
      </c>
      <c r="AQ10" s="64" t="e">
        <f>SUM(AP10/AP9)</f>
        <v>#DIV/0!</v>
      </c>
      <c r="AR10" s="42"/>
      <c r="AS10" s="65">
        <f>J332-K332</f>
        <v>0</v>
      </c>
      <c r="AT10" s="66" t="e">
        <f>SUM(AS10/AS9)</f>
        <v>#DIV/0!</v>
      </c>
      <c r="AU10" s="42"/>
      <c r="AV10" s="65">
        <f>Moyenne!D12</f>
        <v>16163.949411764705</v>
      </c>
      <c r="AW10" s="67">
        <f>SUM(AV10/AV9)</f>
        <v>0.732427569272186</v>
      </c>
      <c r="AX10" s="39"/>
      <c r="BB10" s="147" t="s">
        <v>39</v>
      </c>
      <c r="BC10" s="148">
        <f>$J$14-$K$14</f>
        <v>0</v>
      </c>
      <c r="BD10" s="149" t="e">
        <f t="shared" si="2"/>
        <v>#DIV/0!</v>
      </c>
      <c r="BE10" s="145"/>
      <c r="BF10" s="150">
        <f>$J$307-$K$307</f>
        <v>0</v>
      </c>
      <c r="BG10" s="149" t="e">
        <f t="shared" si="3"/>
        <v>#DIV/0!</v>
      </c>
      <c r="BH10" s="145"/>
      <c r="BI10" s="148">
        <f>Moyenne!D55</f>
        <v>4459.8523529411768</v>
      </c>
      <c r="BJ10" s="149">
        <f>Moyenne!E55</f>
        <v>0.167873726171374</v>
      </c>
      <c r="BK10" s="145"/>
      <c r="BO10" s="212"/>
      <c r="BP10" s="496"/>
      <c r="BQ10" s="497"/>
      <c r="BR10" s="212"/>
      <c r="BS10" s="515" t="e">
        <f>U12</f>
        <v>#DIV/0!</v>
      </c>
      <c r="BT10" s="515"/>
      <c r="BU10" s="515"/>
      <c r="BV10" s="515"/>
      <c r="BW10" s="515"/>
      <c r="BX10" s="212"/>
      <c r="BY10" s="515" t="e">
        <f>T306</f>
        <v>#DIV/0!</v>
      </c>
      <c r="BZ10" s="515"/>
      <c r="CA10" s="515"/>
      <c r="CB10" s="515"/>
      <c r="CC10" s="515"/>
      <c r="CD10" s="212"/>
      <c r="CE10" s="515">
        <f>Moyenne!$I$85</f>
        <v>16.998273903208627</v>
      </c>
      <c r="CF10" s="515"/>
      <c r="CG10" s="515"/>
      <c r="CH10" s="515"/>
      <c r="CI10" s="515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H11">
        <v>30</v>
      </c>
      <c r="I11" t="s">
        <v>32</v>
      </c>
      <c r="J11" s="2">
        <f t="shared" si="0"/>
        <v>0</v>
      </c>
      <c r="K11" s="2">
        <f t="shared" si="1"/>
        <v>0</v>
      </c>
      <c r="N11" s="24" t="s">
        <v>214</v>
      </c>
      <c r="O11" s="25">
        <f>AP26</f>
        <v>0</v>
      </c>
      <c r="P11" s="26" t="s">
        <v>215</v>
      </c>
      <c r="Q11" s="25">
        <f>AP29+AP26+AP27</f>
        <v>0</v>
      </c>
      <c r="R11" s="27" t="s">
        <v>216</v>
      </c>
      <c r="S11" s="28" t="e">
        <f>O11/Q11</f>
        <v>#DIV/0!</v>
      </c>
      <c r="T11" s="29">
        <v>-10</v>
      </c>
      <c r="U11" s="30" t="e">
        <f t="shared" si="4"/>
        <v>#DIV/0!</v>
      </c>
      <c r="AO11" s="68" t="s">
        <v>225</v>
      </c>
      <c r="AP11" s="69">
        <f>J38-K38</f>
        <v>0</v>
      </c>
      <c r="AQ11" s="70" t="e">
        <f>SUM(AP11/AP9)</f>
        <v>#DIV/0!</v>
      </c>
      <c r="AR11" s="42"/>
      <c r="AS11" s="69">
        <f>J331-K331</f>
        <v>0</v>
      </c>
      <c r="AT11" s="71" t="e">
        <f>SUM(AS11/AS9)</f>
        <v>#DIV/0!</v>
      </c>
      <c r="AU11" s="42"/>
      <c r="AV11" s="69">
        <f>Moyenne!D13</f>
        <v>5905.0579411764702</v>
      </c>
      <c r="AW11" s="72">
        <f>SUM(AV11/AV9)</f>
        <v>0.267572430727814</v>
      </c>
      <c r="AX11" s="39"/>
      <c r="BB11" s="147" t="s">
        <v>70</v>
      </c>
      <c r="BC11" s="148">
        <f>$J$18-$K$18</f>
        <v>0</v>
      </c>
      <c r="BD11" s="149" t="e">
        <f t="shared" si="2"/>
        <v>#DIV/0!</v>
      </c>
      <c r="BE11" s="145"/>
      <c r="BF11" s="150">
        <f>$J$311-$K$311</f>
        <v>0</v>
      </c>
      <c r="BG11" s="149" t="e">
        <f t="shared" si="3"/>
        <v>#DIV/0!</v>
      </c>
      <c r="BH11" s="145"/>
      <c r="BI11" s="148">
        <f>Moyenne!D56</f>
        <v>2718.2920588235293</v>
      </c>
      <c r="BJ11" s="149">
        <f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H12">
        <v>40</v>
      </c>
      <c r="I12" t="s">
        <v>35</v>
      </c>
      <c r="J12" s="2">
        <f t="shared" si="0"/>
        <v>0</v>
      </c>
      <c r="K12" s="2">
        <f t="shared" si="1"/>
        <v>0</v>
      </c>
      <c r="N12" s="8"/>
      <c r="O12" s="8"/>
      <c r="P12" s="8"/>
      <c r="Q12" s="8"/>
      <c r="R12" s="8"/>
      <c r="S12" s="8"/>
      <c r="T12" s="31" t="s">
        <v>217</v>
      </c>
      <c r="U12" s="32" t="e">
        <f>SUM(U7:U11)</f>
        <v>#DIV/0!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0</v>
      </c>
      <c r="BD12" s="149" t="e">
        <f t="shared" si="2"/>
        <v>#DIV/0!</v>
      </c>
      <c r="BE12" s="145"/>
      <c r="BF12" s="150">
        <f>$J$312-$K$312</f>
        <v>0</v>
      </c>
      <c r="BG12" s="149" t="e">
        <f t="shared" si="3"/>
        <v>#DIV/0!</v>
      </c>
      <c r="BH12" s="145"/>
      <c r="BI12" s="148">
        <f>Moyenne!D57</f>
        <v>371.48676470588236</v>
      </c>
      <c r="BJ12" s="153">
        <f>Moyenne!E57</f>
        <v>1.3983168607229333E-2</v>
      </c>
      <c r="BK12" s="145"/>
      <c r="BO12" s="212"/>
      <c r="BP12" s="516" t="s">
        <v>264</v>
      </c>
      <c r="BQ12" s="516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0</v>
      </c>
      <c r="CT12" s="251" t="s">
        <v>332</v>
      </c>
      <c r="CU12" s="468">
        <f>A584</f>
        <v>0</v>
      </c>
      <c r="CV12" s="34"/>
      <c r="DD12">
        <v>10</v>
      </c>
    </row>
    <row r="13" spans="1:109" ht="24.75" thickTop="1" thickBot="1"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0</v>
      </c>
      <c r="AQ13" s="75" t="e">
        <f>SUM(AP13/AP5)</f>
        <v>#DIV/0!</v>
      </c>
      <c r="AR13" s="42"/>
      <c r="AS13" s="74">
        <f>SUM(AS14:AS15)</f>
        <v>0</v>
      </c>
      <c r="AT13" s="76" t="e">
        <f>SUM(AS13/AS5)</f>
        <v>#DIV/0!</v>
      </c>
      <c r="AU13" s="42"/>
      <c r="AV13" s="74">
        <f>Moyenne!D15</f>
        <v>32471.764705882353</v>
      </c>
      <c r="AW13" s="76">
        <f>SUM(AV13/AV5)</f>
        <v>0.59536679588731856</v>
      </c>
      <c r="AX13" s="39"/>
      <c r="BB13" s="155" t="s">
        <v>244</v>
      </c>
      <c r="BC13" s="156">
        <f>SUM(BC9:BC12)</f>
        <v>0</v>
      </c>
      <c r="BD13" s="157" t="e">
        <f t="shared" si="2"/>
        <v>#DIV/0!</v>
      </c>
      <c r="BE13" s="145"/>
      <c r="BF13" s="156">
        <f>SUM(BF9:BF12)</f>
        <v>0</v>
      </c>
      <c r="BG13" s="157" t="e">
        <f t="shared" si="3"/>
        <v>#DIV/0!</v>
      </c>
      <c r="BH13" s="145"/>
      <c r="BI13" s="156">
        <f>Moyenne!D58</f>
        <v>12334.386470588237</v>
      </c>
      <c r="BJ13" s="157">
        <f>Moyenne!E58</f>
        <v>0.46427981309513555</v>
      </c>
      <c r="BK13" s="145"/>
      <c r="BO13" s="212"/>
      <c r="BP13" s="517" t="s">
        <v>265</v>
      </c>
      <c r="BQ13" s="517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H14">
        <v>41</v>
      </c>
      <c r="I14" t="s">
        <v>39</v>
      </c>
      <c r="J14" s="2">
        <f t="shared" si="0"/>
        <v>0</v>
      </c>
      <c r="K14" s="2">
        <f t="shared" si="1"/>
        <v>0</v>
      </c>
      <c r="AO14" s="62" t="s">
        <v>224</v>
      </c>
      <c r="AP14" s="77">
        <f>SUM(AP6-AP10)</f>
        <v>0</v>
      </c>
      <c r="AQ14" s="78" t="e">
        <f>SUM(AP14/AP6)</f>
        <v>#DIV/0!</v>
      </c>
      <c r="AR14" s="42"/>
      <c r="AS14" s="79">
        <f>SUM(AS6-AS10)</f>
        <v>0</v>
      </c>
      <c r="AT14" s="80" t="e">
        <f>SUM(AS14/AS6)</f>
        <v>#DIV/0!</v>
      </c>
      <c r="AU14" s="42"/>
      <c r="AV14" s="81">
        <f>Moyenne!D16</f>
        <v>26808.665000000001</v>
      </c>
      <c r="AW14" s="82">
        <f>SUM(AV14/AV6)</f>
        <v>0.62385464247342914</v>
      </c>
      <c r="AX14" s="39"/>
      <c r="BB14" s="158" t="s">
        <v>245</v>
      </c>
      <c r="BC14" s="159">
        <f>BC8+BC13</f>
        <v>0</v>
      </c>
      <c r="BD14" s="160">
        <v>1</v>
      </c>
      <c r="BE14" s="161"/>
      <c r="BF14" s="159">
        <f>BF8+BF13</f>
        <v>0</v>
      </c>
      <c r="BG14" s="160">
        <v>1</v>
      </c>
      <c r="BH14" s="161"/>
      <c r="BI14" s="159">
        <f>Moyenne!D59</f>
        <v>26566.708529411764</v>
      </c>
      <c r="BJ14" s="160">
        <v>1</v>
      </c>
      <c r="BK14" s="145"/>
      <c r="BO14" s="212"/>
      <c r="BP14" s="518" t="s">
        <v>266</v>
      </c>
      <c r="BQ14" s="518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H15">
        <v>42</v>
      </c>
      <c r="I15" t="s">
        <v>42</v>
      </c>
      <c r="J15" s="2">
        <f t="shared" si="0"/>
        <v>0</v>
      </c>
      <c r="K15" s="2">
        <f t="shared" si="1"/>
        <v>0</v>
      </c>
      <c r="AO15" s="68" t="s">
        <v>225</v>
      </c>
      <c r="AP15" s="83">
        <f>SUM(AP7-AP11)</f>
        <v>0</v>
      </c>
      <c r="AQ15" s="84" t="e">
        <f>SUM(AP15/AP7)</f>
        <v>#DIV/0!</v>
      </c>
      <c r="AR15" s="42"/>
      <c r="AS15" s="83">
        <f>SUM(AS7-AS11)</f>
        <v>0</v>
      </c>
      <c r="AT15" s="85" t="e">
        <f>SUM(AS15/AS7)</f>
        <v>#DIV/0!</v>
      </c>
      <c r="AU15" s="42"/>
      <c r="AV15" s="86">
        <f>Moyenne!D17</f>
        <v>5663.0997058823523</v>
      </c>
      <c r="AW15" s="87">
        <f>SUM(AV15/AV7)</f>
        <v>0.4895420583520646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0</v>
      </c>
      <c r="BD16" s="144" t="e">
        <f t="shared" ref="BD16:BD26" si="5">BC16/$BC$14</f>
        <v>#DIV/0!</v>
      </c>
      <c r="BE16" s="167"/>
      <c r="BF16" s="146">
        <f>$K$300-$J$300</f>
        <v>0</v>
      </c>
      <c r="BG16" s="144" t="e">
        <f t="shared" ref="BG16:BG26" si="6">BF16/$BF$14</f>
        <v>#DIV/0!</v>
      </c>
      <c r="BH16" s="168"/>
      <c r="BI16" s="143">
        <f>Moyenne!D61</f>
        <v>6120.7132352941171</v>
      </c>
      <c r="BJ16" s="144">
        <f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8:100" ht="24" thickBot="1"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0</v>
      </c>
      <c r="AQ17" s="90" t="e">
        <f>SUM(AP17/AP5)</f>
        <v>#DIV/0!</v>
      </c>
      <c r="AR17" s="42"/>
      <c r="AS17" s="89">
        <f>J318-K318</f>
        <v>0</v>
      </c>
      <c r="AT17" s="91" t="e">
        <f>SUM(AS17/AS5)</f>
        <v>#DIV/0!</v>
      </c>
      <c r="AU17" s="42"/>
      <c r="AV17" s="89">
        <f>Moyenne!D19</f>
        <v>6967.3464705882343</v>
      </c>
      <c r="AW17" s="92">
        <f>SUM(AV17/AV5)</f>
        <v>0.12774565169473187</v>
      </c>
      <c r="AX17" s="39"/>
      <c r="BB17" s="169" t="s">
        <v>246</v>
      </c>
      <c r="BC17" s="170">
        <f>$J$44</f>
        <v>0</v>
      </c>
      <c r="BD17" s="171" t="e">
        <f t="shared" si="5"/>
        <v>#DIV/0!</v>
      </c>
      <c r="BE17" s="145"/>
      <c r="BF17" s="172">
        <f>$J$338</f>
        <v>0</v>
      </c>
      <c r="BG17" s="171" t="e">
        <f t="shared" si="6"/>
        <v>#DIV/0!</v>
      </c>
      <c r="BH17" s="145"/>
      <c r="BI17" s="170">
        <f>Moyenne!D62</f>
        <v>1693.8326470588145</v>
      </c>
      <c r="BJ17" s="171">
        <f>Moyenne!E62</f>
        <v>6.3757715607998172E-2</v>
      </c>
      <c r="BK17" s="145"/>
      <c r="BO17" s="34"/>
      <c r="BP17" s="519" t="s">
        <v>267</v>
      </c>
      <c r="BQ17" s="519"/>
      <c r="BR17" s="519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8:100" ht="34.5" thickBot="1">
      <c r="H18">
        <v>46</v>
      </c>
      <c r="I18" t="s">
        <v>70</v>
      </c>
      <c r="J18" s="2">
        <f t="shared" si="0"/>
        <v>0</v>
      </c>
      <c r="K18" s="2">
        <f t="shared" si="1"/>
        <v>0</v>
      </c>
      <c r="AO18" s="93" t="s">
        <v>124</v>
      </c>
      <c r="AP18" s="94">
        <f>J26-K26</f>
        <v>0</v>
      </c>
      <c r="AQ18" s="64" t="e">
        <f>SUM(AP18/AP5)</f>
        <v>#DIV/0!</v>
      </c>
      <c r="AR18" s="95"/>
      <c r="AS18" s="94">
        <f>J319-K319</f>
        <v>0</v>
      </c>
      <c r="AT18" s="67" t="e">
        <f>SUM(AS18/AS5)</f>
        <v>#DIV/0!</v>
      </c>
      <c r="AU18" s="42"/>
      <c r="AV18" s="65">
        <f>Moyenne!D20</f>
        <v>3220.185882352941</v>
      </c>
      <c r="AW18" s="67">
        <f>SUM(AV18/AV5)</f>
        <v>5.9041809655350934E-2</v>
      </c>
      <c r="AX18" s="39"/>
      <c r="BB18" s="151" t="s">
        <v>65</v>
      </c>
      <c r="BC18" s="152">
        <f>$K$16-$J$16</f>
        <v>0</v>
      </c>
      <c r="BD18" s="153" t="e">
        <f t="shared" si="5"/>
        <v>#DIV/0!</v>
      </c>
      <c r="BE18" s="167"/>
      <c r="BF18" s="154">
        <f>$K$309-$J$309</f>
        <v>0</v>
      </c>
      <c r="BG18" s="153" t="e">
        <f t="shared" si="6"/>
        <v>#DIV/0!</v>
      </c>
      <c r="BH18" s="167"/>
      <c r="BI18" s="152">
        <f>Moyenne!D63</f>
        <v>462.49176470588236</v>
      </c>
      <c r="BJ18" s="153">
        <f>Moyenne!E63</f>
        <v>1.7408696459098871E-2</v>
      </c>
      <c r="BK18" s="145"/>
      <c r="BO18" s="34"/>
      <c r="BP18" s="223" t="s">
        <v>268</v>
      </c>
      <c r="BQ18" s="224"/>
      <c r="BR18" s="225"/>
      <c r="BS18" s="520">
        <f>AP5</f>
        <v>0</v>
      </c>
      <c r="BT18" s="521"/>
      <c r="BU18" s="521"/>
      <c r="BV18" s="521"/>
      <c r="BW18" s="522"/>
      <c r="BX18" s="226"/>
      <c r="BY18" s="520">
        <f>AS5</f>
        <v>0</v>
      </c>
      <c r="BZ18" s="521"/>
      <c r="CA18" s="521"/>
      <c r="CB18" s="521"/>
      <c r="CC18" s="522"/>
      <c r="CD18" s="226"/>
      <c r="CE18" s="520">
        <f>Moyenne!D7</f>
        <v>54540.772058823524</v>
      </c>
      <c r="CF18" s="521"/>
      <c r="CG18" s="521"/>
      <c r="CH18" s="521"/>
      <c r="CI18" s="521"/>
      <c r="CJ18" s="522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8:100" ht="24" customHeight="1" thickBot="1">
      <c r="H19">
        <v>50</v>
      </c>
      <c r="I19" t="s">
        <v>75</v>
      </c>
      <c r="J19" s="2">
        <f t="shared" si="0"/>
        <v>0</v>
      </c>
      <c r="K19" s="2">
        <f t="shared" si="1"/>
        <v>0</v>
      </c>
      <c r="AO19" s="62" t="s">
        <v>110</v>
      </c>
      <c r="AP19" s="65">
        <f>J21-K21</f>
        <v>0</v>
      </c>
      <c r="AQ19" s="64" t="e">
        <f>SUM(AP19/AP5)</f>
        <v>#DIV/0!</v>
      </c>
      <c r="AR19" s="42"/>
      <c r="AS19" s="65">
        <f>J314-K314</f>
        <v>0</v>
      </c>
      <c r="AT19" s="66" t="e">
        <f>SUM(AS19/AS5)</f>
        <v>#DIV/0!</v>
      </c>
      <c r="AU19" s="42"/>
      <c r="AV19" s="65">
        <f>Moyenne!D21</f>
        <v>316.65499999999997</v>
      </c>
      <c r="AW19" s="67">
        <f>SUM(AV19/AV5)</f>
        <v>5.8058400724228841E-3</v>
      </c>
      <c r="AX19" s="39"/>
      <c r="BB19" s="173" t="s">
        <v>247</v>
      </c>
      <c r="BC19" s="174">
        <f>SUM(BC16:BC18)</f>
        <v>0</v>
      </c>
      <c r="BD19" s="175" t="e">
        <f t="shared" si="5"/>
        <v>#DIV/0!</v>
      </c>
      <c r="BE19" s="167"/>
      <c r="BF19" s="174">
        <f>SUM(BF16:BF18)</f>
        <v>0</v>
      </c>
      <c r="BG19" s="175" t="e">
        <f t="shared" si="6"/>
        <v>#DIV/0!</v>
      </c>
      <c r="BH19" s="167"/>
      <c r="BI19" s="156">
        <f>Moyenne!D64</f>
        <v>8277.0376470588126</v>
      </c>
      <c r="BJ19" s="157">
        <f>Moyenne!E64</f>
        <v>0.31155676051835246</v>
      </c>
      <c r="BK19" s="145"/>
      <c r="BO19" s="34"/>
      <c r="BP19" s="228" t="s">
        <v>269</v>
      </c>
      <c r="BQ19" s="229"/>
      <c r="BR19" s="230"/>
      <c r="BS19" s="523" t="e">
        <f>AQ13</f>
        <v>#DIV/0!</v>
      </c>
      <c r="BT19" s="524"/>
      <c r="BU19" s="524"/>
      <c r="BV19" s="524"/>
      <c r="BW19" s="525"/>
      <c r="BX19" s="226"/>
      <c r="BY19" s="523" t="e">
        <f>AT13</f>
        <v>#DIV/0!</v>
      </c>
      <c r="BZ19" s="524"/>
      <c r="CA19" s="524"/>
      <c r="CB19" s="524"/>
      <c r="CC19" s="525"/>
      <c r="CD19" s="226"/>
      <c r="CE19" s="523">
        <f>Moyenne!E15</f>
        <v>0.59536679588731856</v>
      </c>
      <c r="CF19" s="524"/>
      <c r="CG19" s="524"/>
      <c r="CH19" s="524"/>
      <c r="CI19" s="524"/>
      <c r="CJ19" s="525"/>
      <c r="CK19" s="34"/>
      <c r="CL19" s="34"/>
      <c r="CM19" s="536" t="s">
        <v>270</v>
      </c>
      <c r="CN19" s="537"/>
      <c r="CO19" s="537"/>
      <c r="CP19" s="537"/>
      <c r="CQ19" s="537"/>
      <c r="CR19" s="537"/>
      <c r="CS19" s="537"/>
      <c r="CT19" s="537"/>
      <c r="CU19" s="537"/>
      <c r="CV19" s="538"/>
    </row>
    <row r="20" spans="8:100" ht="24" thickBot="1"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0</v>
      </c>
      <c r="AQ20" s="70" t="e">
        <f>SUM(AP20/AP5)</f>
        <v>#DIV/0!</v>
      </c>
      <c r="AR20" s="42"/>
      <c r="AS20" s="69">
        <f>J315-K315</f>
        <v>0</v>
      </c>
      <c r="AT20" s="71" t="e">
        <f>SUM(AS20/AS5)</f>
        <v>#DIV/0!</v>
      </c>
      <c r="AU20" s="42"/>
      <c r="AV20" s="69">
        <f>Moyenne!D22</f>
        <v>2396.2767647058822</v>
      </c>
      <c r="AW20" s="72">
        <f>SUM(AV20/AV5)</f>
        <v>4.3935512356177146E-2</v>
      </c>
      <c r="AX20" s="39"/>
      <c r="BB20" s="176" t="s">
        <v>9</v>
      </c>
      <c r="BC20" s="177">
        <f>$K$7-$J$7</f>
        <v>0</v>
      </c>
      <c r="BD20" s="178" t="e">
        <f t="shared" si="5"/>
        <v>#DIV/0!</v>
      </c>
      <c r="BE20" s="145"/>
      <c r="BF20" s="179">
        <f>$K$301-$J$301</f>
        <v>0</v>
      </c>
      <c r="BG20" s="178" t="e">
        <f t="shared" si="6"/>
        <v>#DIV/0!</v>
      </c>
      <c r="BH20" s="145"/>
      <c r="BI20" s="180">
        <f>Moyenne!D65</f>
        <v>6401.5894117647058</v>
      </c>
      <c r="BJ20" s="181">
        <f>Moyenne!E65</f>
        <v>0.24096283529732573</v>
      </c>
      <c r="BK20" s="145"/>
      <c r="BO20" s="34"/>
      <c r="BP20" s="228" t="s">
        <v>271</v>
      </c>
      <c r="BQ20" s="229"/>
      <c r="BR20" s="230"/>
      <c r="BS20" s="523" t="e">
        <f>AQ17</f>
        <v>#DIV/0!</v>
      </c>
      <c r="BT20" s="524"/>
      <c r="BU20" s="524"/>
      <c r="BV20" s="524"/>
      <c r="BW20" s="525"/>
      <c r="BX20" s="226"/>
      <c r="BY20" s="523" t="e">
        <f>AT17</f>
        <v>#DIV/0!</v>
      </c>
      <c r="BZ20" s="524"/>
      <c r="CA20" s="524"/>
      <c r="CB20" s="524"/>
      <c r="CC20" s="525"/>
      <c r="CD20" s="226"/>
      <c r="CE20" s="523">
        <f>Moyenne!E19</f>
        <v>0.12774565169473187</v>
      </c>
      <c r="CF20" s="524"/>
      <c r="CG20" s="524"/>
      <c r="CH20" s="524"/>
      <c r="CI20" s="524"/>
      <c r="CJ20" s="525"/>
      <c r="CK20" s="34"/>
      <c r="CL20" s="34"/>
      <c r="CM20" s="231"/>
      <c r="CN20" s="526" t="s">
        <v>272</v>
      </c>
      <c r="CO20" s="527"/>
      <c r="CP20" s="232"/>
      <c r="CQ20" s="232"/>
      <c r="CR20" s="232"/>
      <c r="CS20" s="530" t="s">
        <v>421</v>
      </c>
      <c r="CT20" s="531"/>
      <c r="CU20" s="532"/>
      <c r="CV20" s="233"/>
    </row>
    <row r="21" spans="8:100" ht="24" thickBot="1">
      <c r="H21">
        <v>62</v>
      </c>
      <c r="I21" t="s">
        <v>110</v>
      </c>
      <c r="J21" s="2">
        <f t="shared" si="0"/>
        <v>0</v>
      </c>
      <c r="K21" s="2">
        <f t="shared" si="1"/>
        <v>0</v>
      </c>
      <c r="AO21" s="96" t="s">
        <v>229</v>
      </c>
      <c r="AP21" s="97">
        <f>SUM(AP17:AP20)</f>
        <v>0</v>
      </c>
      <c r="AQ21" s="98" t="e">
        <f>SUM(AP21/AP5)</f>
        <v>#DIV/0!</v>
      </c>
      <c r="AR21" s="42"/>
      <c r="AS21" s="97">
        <f>SUM(AS17:AS20)</f>
        <v>0</v>
      </c>
      <c r="AT21" s="99" t="e">
        <f>SUM(AS21/AS5)</f>
        <v>#DIV/0!</v>
      </c>
      <c r="AU21" s="42"/>
      <c r="AV21" s="97">
        <f>Moyenne!D23</f>
        <v>12900.464117647058</v>
      </c>
      <c r="AW21" s="99">
        <f>SUM(AV21/AV5)</f>
        <v>0.23652881377868284</v>
      </c>
      <c r="AX21" s="39"/>
      <c r="BB21" s="182" t="s">
        <v>248</v>
      </c>
      <c r="BC21" s="183">
        <f>BC19+BC20</f>
        <v>0</v>
      </c>
      <c r="BD21" s="184" t="e">
        <f t="shared" si="5"/>
        <v>#DIV/0!</v>
      </c>
      <c r="BE21" s="145"/>
      <c r="BF21" s="185">
        <f>BF19+BF20</f>
        <v>0</v>
      </c>
      <c r="BG21" s="184" t="e">
        <f t="shared" si="6"/>
        <v>#DIV/0!</v>
      </c>
      <c r="BH21" s="145"/>
      <c r="BI21" s="183">
        <f>Moyenne!D66</f>
        <v>14678.62705882352</v>
      </c>
      <c r="BJ21" s="184">
        <f>Moyenne!E66</f>
        <v>0.55251959581567822</v>
      </c>
      <c r="BK21" s="145"/>
      <c r="BO21" s="34"/>
      <c r="BP21" s="234" t="s">
        <v>273</v>
      </c>
      <c r="BQ21" s="235"/>
      <c r="BR21" s="236"/>
      <c r="BS21" s="539" t="e">
        <f>AQ36</f>
        <v>#DIV/0!</v>
      </c>
      <c r="BT21" s="540"/>
      <c r="BU21" s="540"/>
      <c r="BV21" s="540"/>
      <c r="BW21" s="541"/>
      <c r="BX21" s="237"/>
      <c r="BY21" s="539" t="e">
        <f>AT36</f>
        <v>#DIV/0!</v>
      </c>
      <c r="BZ21" s="540"/>
      <c r="CA21" s="540"/>
      <c r="CB21" s="540"/>
      <c r="CC21" s="541"/>
      <c r="CD21" s="237"/>
      <c r="CE21" s="539">
        <f>Moyenne!E38</f>
        <v>2.9310382343484237E-2</v>
      </c>
      <c r="CF21" s="540"/>
      <c r="CG21" s="540"/>
      <c r="CH21" s="540"/>
      <c r="CI21" s="540"/>
      <c r="CJ21" s="541"/>
      <c r="CK21" s="34"/>
      <c r="CL21" s="34"/>
      <c r="CM21" s="238"/>
      <c r="CN21" s="528"/>
      <c r="CO21" s="529"/>
      <c r="CP21" s="239"/>
      <c r="CQ21" s="232"/>
      <c r="CR21" s="232"/>
      <c r="CS21" s="533"/>
      <c r="CT21" s="534"/>
      <c r="CU21" s="535"/>
      <c r="CV21" s="240"/>
    </row>
    <row r="22" spans="8:100" ht="23.25" customHeight="1">
      <c r="H22">
        <v>62</v>
      </c>
      <c r="I22" t="s">
        <v>83</v>
      </c>
      <c r="J22" s="2">
        <f t="shared" si="0"/>
        <v>0</v>
      </c>
      <c r="K22" s="2">
        <f t="shared" si="1"/>
        <v>0</v>
      </c>
      <c r="AO22" s="88" t="s">
        <v>143</v>
      </c>
      <c r="AP22" s="89">
        <f>J30-K30</f>
        <v>0</v>
      </c>
      <c r="AQ22" s="90" t="e">
        <f>SUM(AP22/AP5)</f>
        <v>#DIV/0!</v>
      </c>
      <c r="AR22" s="42"/>
      <c r="AS22" s="89">
        <f>J323-K323</f>
        <v>0</v>
      </c>
      <c r="AT22" s="91" t="e">
        <f>SUM(AS22/AS5)</f>
        <v>#DIV/0!</v>
      </c>
      <c r="AU22" s="42"/>
      <c r="AV22" s="89">
        <f>Moyenne!D24</f>
        <v>9544.3720588235301</v>
      </c>
      <c r="AW22" s="92">
        <f>SUM(AV22/AV5)</f>
        <v>0.17499517697567055</v>
      </c>
      <c r="AX22" s="39"/>
      <c r="BB22" s="147" t="s">
        <v>35</v>
      </c>
      <c r="BC22" s="148">
        <f>$K$12-$J$12</f>
        <v>0</v>
      </c>
      <c r="BD22" s="149" t="e">
        <f t="shared" si="5"/>
        <v>#DIV/0!</v>
      </c>
      <c r="BE22" s="145"/>
      <c r="BF22" s="150">
        <f>$K$306-$J$306</f>
        <v>0</v>
      </c>
      <c r="BG22" s="149" t="e">
        <f t="shared" si="6"/>
        <v>#DIV/0!</v>
      </c>
      <c r="BH22" s="145"/>
      <c r="BI22" s="148">
        <f>Moyenne!D67</f>
        <v>10039.547352941176</v>
      </c>
      <c r="BJ22" s="144">
        <f>Moyenne!E67</f>
        <v>0.3778995558229008</v>
      </c>
      <c r="BK22" s="145"/>
      <c r="BO22" s="34"/>
      <c r="BP22" s="484" t="s">
        <v>274</v>
      </c>
      <c r="BQ22" s="485"/>
      <c r="BR22" s="241"/>
      <c r="BS22" s="542">
        <f>AP52/365</f>
        <v>0</v>
      </c>
      <c r="BT22" s="543"/>
      <c r="BU22" s="543"/>
      <c r="BV22" s="543"/>
      <c r="BW22" s="544"/>
      <c r="BX22" s="242"/>
      <c r="BY22" s="542">
        <f>AS52/365</f>
        <v>0</v>
      </c>
      <c r="BZ22" s="543"/>
      <c r="CA22" s="543"/>
      <c r="CB22" s="543"/>
      <c r="CC22" s="544"/>
      <c r="CD22" s="242"/>
      <c r="CE22" s="542">
        <f>Moyenne!D49/365</f>
        <v>8.8045447219983828</v>
      </c>
      <c r="CF22" s="543"/>
      <c r="CG22" s="543"/>
      <c r="CH22" s="543"/>
      <c r="CI22" s="543"/>
      <c r="CJ22" s="544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0</v>
      </c>
      <c r="CT22" s="247"/>
      <c r="CU22" s="246">
        <f>A584</f>
        <v>0</v>
      </c>
      <c r="CV22" s="240"/>
    </row>
    <row r="23" spans="8:100" ht="24" thickBot="1">
      <c r="H23">
        <v>62</v>
      </c>
      <c r="I23" t="s">
        <v>98</v>
      </c>
      <c r="J23" s="2">
        <f t="shared" si="0"/>
        <v>0</v>
      </c>
      <c r="K23" s="2">
        <f t="shared" si="1"/>
        <v>0</v>
      </c>
      <c r="AO23" s="62" t="s">
        <v>149</v>
      </c>
      <c r="AP23" s="65">
        <f>J28-K28</f>
        <v>0</v>
      </c>
      <c r="AQ23" s="64" t="e">
        <f>SUM(AP23/AP5)</f>
        <v>#DIV/0!</v>
      </c>
      <c r="AR23" s="42"/>
      <c r="AS23" s="65">
        <f>J321-K321</f>
        <v>0</v>
      </c>
      <c r="AT23" s="66" t="e">
        <f>SUM(AS23/AS5)</f>
        <v>#DIV/0!</v>
      </c>
      <c r="AU23" s="42"/>
      <c r="AV23" s="65">
        <f>Moyenne!D25</f>
        <v>3357.3691176470584</v>
      </c>
      <c r="AW23" s="67">
        <f>SUM(AV23/AV5)</f>
        <v>6.1557051558163781E-2</v>
      </c>
      <c r="AX23" s="39"/>
      <c r="BB23" s="147" t="s">
        <v>42</v>
      </c>
      <c r="BC23" s="148">
        <f>$K$15-$J$15</f>
        <v>0</v>
      </c>
      <c r="BD23" s="149" t="e">
        <f t="shared" si="5"/>
        <v>#DIV/0!</v>
      </c>
      <c r="BE23" s="145"/>
      <c r="BF23" s="150">
        <f>$K$308-$J$308</f>
        <v>0</v>
      </c>
      <c r="BG23" s="149" t="e">
        <f t="shared" si="6"/>
        <v>#DIV/0!</v>
      </c>
      <c r="BH23" s="145"/>
      <c r="BI23" s="148">
        <f>Moyenne!D68</f>
        <v>1699.5135294117647</v>
      </c>
      <c r="BJ23" s="149">
        <f>Moyenne!E68</f>
        <v>6.3971550240416439E-2</v>
      </c>
      <c r="BK23" s="145"/>
      <c r="BO23" s="34"/>
      <c r="BP23" s="248" t="s">
        <v>231</v>
      </c>
      <c r="BQ23" s="249"/>
      <c r="BR23" s="250"/>
      <c r="BS23" s="545">
        <f>AP29</f>
        <v>0</v>
      </c>
      <c r="BT23" s="546"/>
      <c r="BU23" s="546"/>
      <c r="BV23" s="546"/>
      <c r="BW23" s="547"/>
      <c r="BX23" s="251"/>
      <c r="BY23" s="545">
        <f>AS29</f>
        <v>0</v>
      </c>
      <c r="BZ23" s="546"/>
      <c r="CA23" s="546"/>
      <c r="CB23" s="546"/>
      <c r="CC23" s="547"/>
      <c r="CD23" s="251"/>
      <c r="CE23" s="545">
        <f>Moyenne!D31</f>
        <v>4100.4044117647063</v>
      </c>
      <c r="CF23" s="546"/>
      <c r="CG23" s="546"/>
      <c r="CH23" s="546"/>
      <c r="CI23" s="546"/>
      <c r="CJ23" s="547"/>
      <c r="CK23" s="34"/>
      <c r="CL23" s="34"/>
      <c r="CM23" s="238"/>
      <c r="CN23" s="252" t="s">
        <v>275</v>
      </c>
      <c r="CO23" s="253" t="e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#DIV/0!</v>
      </c>
      <c r="CP23" s="254"/>
      <c r="CQ23" s="232"/>
      <c r="CR23" s="232"/>
      <c r="CS23" s="255">
        <f>BS18/CE18</f>
        <v>0</v>
      </c>
      <c r="CT23" s="239"/>
      <c r="CU23" s="255">
        <f>BY18/CE18</f>
        <v>0</v>
      </c>
      <c r="CV23" s="240"/>
    </row>
    <row r="24" spans="8:100" ht="23.25">
      <c r="H24">
        <v>62</v>
      </c>
      <c r="I24" t="s">
        <v>116</v>
      </c>
      <c r="J24" s="2">
        <f t="shared" si="0"/>
        <v>0</v>
      </c>
      <c r="K24" s="2">
        <f t="shared" si="1"/>
        <v>0</v>
      </c>
      <c r="AO24" s="62" t="s">
        <v>116</v>
      </c>
      <c r="AP24" s="65">
        <f>J24-K24</f>
        <v>0</v>
      </c>
      <c r="AQ24" s="64" t="e">
        <f>SUM(AP24/AP5)</f>
        <v>#DIV/0!</v>
      </c>
      <c r="AR24" s="42"/>
      <c r="AS24" s="65">
        <f>J317-K317</f>
        <v>0</v>
      </c>
      <c r="AT24" s="66" t="e">
        <f>SUM(AS24/AS5)</f>
        <v>#DIV/0!</v>
      </c>
      <c r="AU24" s="42"/>
      <c r="AV24" s="65">
        <f>Moyenne!D26</f>
        <v>1779.4314705882355</v>
      </c>
      <c r="AW24" s="67">
        <f>SUM(AV24/AV5)</f>
        <v>3.2625711067475832E-2</v>
      </c>
      <c r="AX24" s="39"/>
      <c r="BB24" s="147" t="s">
        <v>195</v>
      </c>
      <c r="BC24" s="148">
        <f>$K$17-$J$17</f>
        <v>0</v>
      </c>
      <c r="BD24" s="149" t="e">
        <f t="shared" si="5"/>
        <v>#DIV/0!</v>
      </c>
      <c r="BE24" s="145"/>
      <c r="BF24" s="150">
        <f>$K$310-$J$310</f>
        <v>0</v>
      </c>
      <c r="BG24" s="149" t="e">
        <f t="shared" si="6"/>
        <v>#DIV/0!</v>
      </c>
      <c r="BH24" s="145"/>
      <c r="BI24" s="148">
        <f>Moyenne!D69</f>
        <v>0</v>
      </c>
      <c r="BJ24" s="149">
        <f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e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#DIV/0!</v>
      </c>
      <c r="CP24" s="254"/>
      <c r="CQ24" s="232"/>
      <c r="CR24" s="232"/>
      <c r="CS24" s="255" t="e">
        <f>BS19/CE19</f>
        <v>#DIV/0!</v>
      </c>
      <c r="CT24" s="239"/>
      <c r="CU24" s="255" t="e">
        <f>BY19/CE19</f>
        <v>#DIV/0!</v>
      </c>
      <c r="CV24" s="240"/>
    </row>
    <row r="25" spans="8:100" ht="24" thickBot="1">
      <c r="H25">
        <v>62</v>
      </c>
      <c r="I25" t="s">
        <v>101</v>
      </c>
      <c r="J25" s="2">
        <f t="shared" si="0"/>
        <v>0</v>
      </c>
      <c r="K25" s="2">
        <f t="shared" si="1"/>
        <v>0</v>
      </c>
      <c r="AO25" s="68" t="s">
        <v>230</v>
      </c>
      <c r="AP25" s="69">
        <f>J29-K29</f>
        <v>0</v>
      </c>
      <c r="AQ25" s="70" t="e">
        <f>SUM(AP25/AP5)</f>
        <v>#DIV/0!</v>
      </c>
      <c r="AR25" s="42"/>
      <c r="AS25" s="69">
        <f>J322-K322</f>
        <v>0</v>
      </c>
      <c r="AT25" s="71" t="e">
        <f>SUM(AS25/AS5)</f>
        <v>#DIV/0!</v>
      </c>
      <c r="AU25" s="42"/>
      <c r="AV25" s="69">
        <f>Moyenne!D27</f>
        <v>470.58823529411762</v>
      </c>
      <c r="AW25" s="72">
        <f>SUM(AV25/AV5)</f>
        <v>8.6281916725816973E-3</v>
      </c>
      <c r="AX25" s="39"/>
      <c r="BB25" s="147" t="s">
        <v>73</v>
      </c>
      <c r="BC25" s="148">
        <f>$K$20-$J$20</f>
        <v>0</v>
      </c>
      <c r="BD25" s="149" t="e">
        <f t="shared" si="5"/>
        <v>#DIV/0!</v>
      </c>
      <c r="BE25" s="145"/>
      <c r="BF25" s="150">
        <f>$K$313-$J$313</f>
        <v>0</v>
      </c>
      <c r="BG25" s="149" t="e">
        <f t="shared" si="6"/>
        <v>#DIV/0!</v>
      </c>
      <c r="BH25" s="145"/>
      <c r="BI25" s="148">
        <f>Moyenne!D70</f>
        <v>149.0205882352941</v>
      </c>
      <c r="BJ25" s="153">
        <f>Moyenne!E70</f>
        <v>5.6092981210041411E-3</v>
      </c>
      <c r="BK25" s="145"/>
      <c r="BO25" s="34"/>
      <c r="BP25" s="548" t="s">
        <v>277</v>
      </c>
      <c r="BQ25" s="548"/>
      <c r="BR25" s="548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e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#DIV/0!</v>
      </c>
      <c r="CP25" s="254"/>
      <c r="CQ25" s="232"/>
      <c r="CR25" s="232"/>
      <c r="CS25" s="255" t="e">
        <f>BS20/CE20</f>
        <v>#DIV/0!</v>
      </c>
      <c r="CT25" s="239"/>
      <c r="CU25" s="255" t="e">
        <f>BY20/CE20</f>
        <v>#DIV/0!</v>
      </c>
      <c r="CV25" s="240"/>
    </row>
    <row r="26" spans="8:100" ht="24" thickBot="1">
      <c r="H26">
        <v>63</v>
      </c>
      <c r="I26" t="s">
        <v>124</v>
      </c>
      <c r="J26" s="2">
        <f t="shared" si="0"/>
        <v>0</v>
      </c>
      <c r="K26" s="2">
        <f t="shared" si="1"/>
        <v>0</v>
      </c>
      <c r="AO26" s="96" t="s">
        <v>214</v>
      </c>
      <c r="AP26" s="97">
        <f>SUM(AP22:AP25)</f>
        <v>0</v>
      </c>
      <c r="AQ26" s="98" t="e">
        <f>SUM(AP26/AP5)</f>
        <v>#DIV/0!</v>
      </c>
      <c r="AR26" s="42"/>
      <c r="AS26" s="97">
        <f>SUM(AS22:AS25)</f>
        <v>0</v>
      </c>
      <c r="AT26" s="99" t="e">
        <f>SUM(AS26/AS5)</f>
        <v>#DIV/0!</v>
      </c>
      <c r="AU26" s="42"/>
      <c r="AV26" s="97">
        <f>Moyenne!D28</f>
        <v>15151.760882352941</v>
      </c>
      <c r="AW26" s="99">
        <f>SUM(AV26/AV5)</f>
        <v>0.27780613127389187</v>
      </c>
      <c r="AX26" s="39"/>
      <c r="BB26" s="176" t="s">
        <v>249</v>
      </c>
      <c r="BC26" s="180">
        <f>BC20+BC22+BC23+BC24+BC25</f>
        <v>0</v>
      </c>
      <c r="BD26" s="181" t="e">
        <f t="shared" si="5"/>
        <v>#DIV/0!</v>
      </c>
      <c r="BE26" s="145"/>
      <c r="BF26" s="180">
        <f>BF20+BF22+BF23+BF24+BF25</f>
        <v>0</v>
      </c>
      <c r="BG26" s="181" t="e">
        <f t="shared" si="6"/>
        <v>#DIV/0!</v>
      </c>
      <c r="BH26" s="186"/>
      <c r="BI26" s="180">
        <f>Moyenne!D71</f>
        <v>18289.670882352941</v>
      </c>
      <c r="BJ26" s="181">
        <f>Moyenne!E71</f>
        <v>0.6884432394816471</v>
      </c>
      <c r="BK26" s="145"/>
      <c r="BO26" s="34"/>
      <c r="BP26" s="549" t="s">
        <v>279</v>
      </c>
      <c r="BQ26" s="550"/>
      <c r="BR26" s="550"/>
      <c r="BS26" s="551" t="e">
        <f>AP5/(AP47+AP48)</f>
        <v>#DIV/0!</v>
      </c>
      <c r="BT26" s="551"/>
      <c r="BU26" s="551"/>
      <c r="BV26" s="551"/>
      <c r="BW26" s="552"/>
      <c r="BX26" s="258"/>
      <c r="BY26" s="553" t="e">
        <f>AS5/(AS47+AS48)</f>
        <v>#DIV/0!</v>
      </c>
      <c r="BZ26" s="551"/>
      <c r="CA26" s="551"/>
      <c r="CB26" s="551"/>
      <c r="CC26" s="552"/>
      <c r="CD26" s="226"/>
      <c r="CE26" s="553">
        <f>Moyenne!D7/(Moyenne!D45+Moyenne!D46)</f>
        <v>54540.772058823524</v>
      </c>
      <c r="CF26" s="551"/>
      <c r="CG26" s="551"/>
      <c r="CH26" s="551"/>
      <c r="CI26" s="551"/>
      <c r="CJ26" s="552"/>
      <c r="CK26" s="34"/>
      <c r="CL26" s="34"/>
      <c r="CM26" s="238"/>
      <c r="CN26" s="252" t="s">
        <v>280</v>
      </c>
      <c r="CO26" s="253" t="e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#DIV/0!</v>
      </c>
      <c r="CP26" s="254"/>
      <c r="CQ26" s="232"/>
      <c r="CR26" s="232"/>
      <c r="CS26" s="255" t="e">
        <f>BS26/CE26</f>
        <v>#DIV/0!</v>
      </c>
      <c r="CT26" s="239"/>
      <c r="CU26" s="255" t="e">
        <f>BY26/CE26</f>
        <v>#DIV/0!</v>
      </c>
      <c r="CV26" s="240"/>
    </row>
    <row r="27" spans="8:100" ht="24" thickBot="1">
      <c r="H27">
        <v>63</v>
      </c>
      <c r="I27" t="s">
        <v>138</v>
      </c>
      <c r="J27" s="2">
        <f t="shared" si="0"/>
        <v>0</v>
      </c>
      <c r="K27" s="2">
        <f t="shared" si="1"/>
        <v>0</v>
      </c>
      <c r="AO27" s="96" t="s">
        <v>138</v>
      </c>
      <c r="AP27" s="97">
        <f>J27-K27</f>
        <v>0</v>
      </c>
      <c r="AQ27" s="98" t="e">
        <f>SUM(AP27/AP5)</f>
        <v>#DIV/0!</v>
      </c>
      <c r="AR27" s="42"/>
      <c r="AS27" s="97">
        <f>J320-K320</f>
        <v>0</v>
      </c>
      <c r="AT27" s="99" t="e">
        <f>SUM(AS27/AS5)</f>
        <v>#DIV/0!</v>
      </c>
      <c r="AU27" s="100"/>
      <c r="AV27" s="97">
        <f>Moyenne!D29</f>
        <v>319.13529411764705</v>
      </c>
      <c r="AW27" s="99">
        <f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54" t="s">
        <v>281</v>
      </c>
      <c r="BQ27" s="555"/>
      <c r="BR27" s="555"/>
      <c r="BS27" s="555" t="e">
        <f>AP6/AP47</f>
        <v>#DIV/0!</v>
      </c>
      <c r="BT27" s="555"/>
      <c r="BU27" s="555"/>
      <c r="BV27" s="555"/>
      <c r="BW27" s="556"/>
      <c r="BX27" s="226"/>
      <c r="BY27" s="554" t="e">
        <f>AS6/AS47</f>
        <v>#DIV/0!</v>
      </c>
      <c r="BZ27" s="555"/>
      <c r="CA27" s="555"/>
      <c r="CB27" s="555"/>
      <c r="CC27" s="556"/>
      <c r="CD27" s="226"/>
      <c r="CE27" s="554">
        <f>Moyenne!D8/Moyenne!D45</f>
        <v>85945.228823529411</v>
      </c>
      <c r="CF27" s="555"/>
      <c r="CG27" s="555"/>
      <c r="CH27" s="555"/>
      <c r="CI27" s="555"/>
      <c r="CJ27" s="556"/>
      <c r="CK27" s="34"/>
      <c r="CL27" s="34"/>
      <c r="CM27" s="238"/>
      <c r="CN27" s="259" t="s">
        <v>282</v>
      </c>
      <c r="CO27" s="260" t="e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#DIV/0!</v>
      </c>
      <c r="CP27" s="254"/>
      <c r="CQ27" s="232"/>
      <c r="CR27" s="232"/>
      <c r="CS27" s="261">
        <f>AP39/AV39</f>
        <v>0</v>
      </c>
      <c r="CT27" s="239"/>
      <c r="CU27" s="261">
        <f>AS39/AV39</f>
        <v>0</v>
      </c>
      <c r="CV27" s="240"/>
    </row>
    <row r="28" spans="8:100" ht="24" thickBot="1">
      <c r="H28">
        <v>64</v>
      </c>
      <c r="I28" t="s">
        <v>149</v>
      </c>
      <c r="J28" s="2">
        <f t="shared" si="0"/>
        <v>0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0</v>
      </c>
      <c r="BD28" s="189"/>
      <c r="BE28" s="145"/>
      <c r="BF28" s="188">
        <f>BF13+BF22+BF23+BF24</f>
        <v>0</v>
      </c>
      <c r="BG28" s="189"/>
      <c r="BH28" s="145"/>
      <c r="BI28" s="188">
        <f>Moyenne!D73</f>
        <v>24073.447352941177</v>
      </c>
      <c r="BJ28" s="189"/>
      <c r="BK28" s="145"/>
      <c r="BO28" s="34"/>
      <c r="BP28" s="554" t="s">
        <v>283</v>
      </c>
      <c r="BQ28" s="555"/>
      <c r="BR28" s="555"/>
      <c r="BS28" s="555" t="e">
        <f>AP7/AP48</f>
        <v>#DIV/0!</v>
      </c>
      <c r="BT28" s="555"/>
      <c r="BU28" s="555"/>
      <c r="BV28" s="555"/>
      <c r="BW28" s="556"/>
      <c r="BX28" s="34"/>
      <c r="BY28" s="554" t="e">
        <f>AS7/AS48</f>
        <v>#DIV/0!</v>
      </c>
      <c r="BZ28" s="555"/>
      <c r="CA28" s="555"/>
      <c r="CB28" s="555"/>
      <c r="CC28" s="556"/>
      <c r="CD28" s="34"/>
      <c r="CE28" s="554">
        <f>Moyenne!D9/Moyenne!D46</f>
        <v>23136.315294117645</v>
      </c>
      <c r="CF28" s="555"/>
      <c r="CG28" s="555"/>
      <c r="CH28" s="555"/>
      <c r="CI28" s="555"/>
      <c r="CJ28" s="556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8:100" ht="33.75" thickBot="1"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0</v>
      </c>
      <c r="AQ29" s="103" t="e">
        <f>SUM(AP29/AP5)</f>
        <v>#DIV/0!</v>
      </c>
      <c r="AR29" s="42"/>
      <c r="AS29" s="102">
        <f>SUM(AS13-AS21-AS26-AS27)</f>
        <v>0</v>
      </c>
      <c r="AT29" s="104" t="e">
        <f>SUM(AS29/AS5)</f>
        <v>#DIV/0!</v>
      </c>
      <c r="AU29" s="105"/>
      <c r="AV29" s="102">
        <f>Moyenne!D31</f>
        <v>4100.4044117647063</v>
      </c>
      <c r="AW29" s="104">
        <f>SUM(AV29/AV5)</f>
        <v>7.5180534799586668E-2</v>
      </c>
      <c r="AX29" s="39"/>
      <c r="BB29" s="190" t="s">
        <v>251</v>
      </c>
      <c r="BC29" s="191">
        <f>(BC9+BC10+BC11+BC26)-BC20</f>
        <v>0</v>
      </c>
      <c r="BD29" s="192"/>
      <c r="BE29" s="145"/>
      <c r="BF29" s="191">
        <f>(BF9+BF10+BF11+BF26)-BF20</f>
        <v>0</v>
      </c>
      <c r="BG29" s="192"/>
      <c r="BH29" s="145"/>
      <c r="BI29" s="191">
        <f>Moyenne!D74</f>
        <v>23850.981176470588</v>
      </c>
      <c r="BJ29" s="192"/>
      <c r="BK29" s="145"/>
      <c r="BO29" s="34"/>
      <c r="BP29" s="557"/>
      <c r="BQ29" s="558"/>
      <c r="BR29" s="558"/>
      <c r="BS29" s="558"/>
      <c r="BT29" s="558"/>
      <c r="BU29" s="558"/>
      <c r="BV29" s="558"/>
      <c r="BW29" s="559"/>
      <c r="BX29" s="226"/>
      <c r="BY29" s="557"/>
      <c r="BZ29" s="558"/>
      <c r="CA29" s="558"/>
      <c r="CB29" s="558"/>
      <c r="CC29" s="559"/>
      <c r="CD29" s="226"/>
      <c r="CE29" s="557"/>
      <c r="CF29" s="558"/>
      <c r="CG29" s="558"/>
      <c r="CH29" s="558"/>
      <c r="CI29" s="558"/>
      <c r="CJ29" s="559"/>
      <c r="CK29" s="34"/>
      <c r="CL29" s="34"/>
      <c r="CM29" s="238"/>
      <c r="CN29" s="264" t="s">
        <v>75</v>
      </c>
      <c r="CO29" s="265" t="e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#DIV/0!</v>
      </c>
      <c r="CP29" s="254"/>
      <c r="CQ29" s="232"/>
      <c r="CR29" s="232"/>
      <c r="CS29" s="266">
        <f>BC12/BI12</f>
        <v>0</v>
      </c>
      <c r="CT29" s="239"/>
      <c r="CU29" s="266">
        <f>BF12/BI12</f>
        <v>0</v>
      </c>
      <c r="CV29" s="240"/>
    </row>
    <row r="30" spans="8:100" ht="24" thickBot="1">
      <c r="H30">
        <v>64</v>
      </c>
      <c r="I30" t="s">
        <v>143</v>
      </c>
      <c r="J30" s="2">
        <f t="shared" si="0"/>
        <v>0</v>
      </c>
      <c r="K30" s="2">
        <f t="shared" si="1"/>
        <v>0</v>
      </c>
      <c r="AO30" s="62" t="s">
        <v>158</v>
      </c>
      <c r="AP30" s="89">
        <f>J32-K32</f>
        <v>0</v>
      </c>
      <c r="AQ30" s="64" t="e">
        <f>SUM(AP30/AP5)</f>
        <v>#DIV/0!</v>
      </c>
      <c r="AR30" s="42"/>
      <c r="AS30" s="65">
        <f>J325-K325</f>
        <v>0</v>
      </c>
      <c r="AT30" s="66" t="e">
        <f>SUM(AS30/AS5)</f>
        <v>#DIV/0!</v>
      </c>
      <c r="AU30" s="42"/>
      <c r="AV30" s="89">
        <f>Moyenne!D32</f>
        <v>591.3011764705883</v>
      </c>
      <c r="AW30" s="67">
        <f>SUM(AV30/AV5)</f>
        <v>1.0841452259473992E-2</v>
      </c>
      <c r="AX30" s="39"/>
      <c r="BB30" s="193" t="s">
        <v>252</v>
      </c>
      <c r="BC30" s="152">
        <f>BC28-BC29</f>
        <v>0</v>
      </c>
      <c r="BD30" s="194"/>
      <c r="BE30" s="145"/>
      <c r="BF30" s="152">
        <f>BF28-BF29</f>
        <v>0</v>
      </c>
      <c r="BG30" s="194"/>
      <c r="BH30" s="145"/>
      <c r="BI30" s="152">
        <f>Moyenne!D75</f>
        <v>222.46617647058883</v>
      </c>
      <c r="BJ30" s="194"/>
      <c r="BK30" s="145"/>
      <c r="BO30" s="34"/>
      <c r="BP30" s="466" t="s">
        <v>284</v>
      </c>
      <c r="BQ30" s="482"/>
      <c r="BR30" s="483"/>
      <c r="BS30" s="560" t="e">
        <f>AP22/(AP47+AP48)</f>
        <v>#DIV/0!</v>
      </c>
      <c r="BT30" s="561"/>
      <c r="BU30" s="561"/>
      <c r="BV30" s="561"/>
      <c r="BW30" s="562"/>
      <c r="BX30" s="226"/>
      <c r="BY30" s="560" t="e">
        <f>AS22/(AS47+AS48)</f>
        <v>#DIV/0!</v>
      </c>
      <c r="BZ30" s="561"/>
      <c r="CA30" s="561"/>
      <c r="CB30" s="561"/>
      <c r="CC30" s="562"/>
      <c r="CD30" s="226"/>
      <c r="CE30" s="560">
        <f>Moyenne!D24/(Moyenne!D45+Moyenne!D46)</f>
        <v>9544.3720588235301</v>
      </c>
      <c r="CF30" s="561"/>
      <c r="CG30" s="561"/>
      <c r="CH30" s="561"/>
      <c r="CI30" s="561"/>
      <c r="CJ30" s="562"/>
      <c r="CK30" s="34"/>
      <c r="CL30" s="34"/>
      <c r="CM30" s="267"/>
      <c r="CN30" s="252" t="s">
        <v>285</v>
      </c>
      <c r="CO30" s="253" t="e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#DIV/0!</v>
      </c>
      <c r="CP30" s="254"/>
      <c r="CQ30" s="232"/>
      <c r="CR30" s="232"/>
      <c r="CS30" s="266">
        <f>AP52/AV52</f>
        <v>0</v>
      </c>
      <c r="CT30" s="239"/>
      <c r="CU30" s="266">
        <f>AS52/AV52</f>
        <v>0</v>
      </c>
      <c r="CV30" s="240"/>
    </row>
    <row r="31" spans="8:100" ht="24" thickBot="1">
      <c r="H31">
        <v>66</v>
      </c>
      <c r="I31" t="s">
        <v>113</v>
      </c>
      <c r="J31" s="2">
        <f t="shared" si="0"/>
        <v>0</v>
      </c>
      <c r="K31" s="2">
        <f t="shared" si="1"/>
        <v>0</v>
      </c>
      <c r="AO31" s="62" t="s">
        <v>164</v>
      </c>
      <c r="AP31" s="65">
        <f>J34-K34</f>
        <v>0</v>
      </c>
      <c r="AQ31" s="64" t="e">
        <f>SUM(AP31/AP5)</f>
        <v>#DIV/0!</v>
      </c>
      <c r="AR31" s="42"/>
      <c r="AS31" s="65">
        <f>J327-K327</f>
        <v>0</v>
      </c>
      <c r="AT31" s="66" t="e">
        <f>SUM(AS31/AS5)</f>
        <v>#DIV/0!</v>
      </c>
      <c r="AU31" s="42"/>
      <c r="AV31" s="65">
        <f>Moyenne!D33</f>
        <v>1519.8261764705883</v>
      </c>
      <c r="AW31" s="67">
        <f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63">
        <f>AP25</f>
        <v>0</v>
      </c>
      <c r="BT31" s="564"/>
      <c r="BU31" s="564"/>
      <c r="BV31" s="564"/>
      <c r="BW31" s="565"/>
      <c r="BX31" s="226"/>
      <c r="BY31" s="563">
        <f>AS25</f>
        <v>0</v>
      </c>
      <c r="BZ31" s="564"/>
      <c r="CA31" s="564"/>
      <c r="CB31" s="564"/>
      <c r="CC31" s="565"/>
      <c r="CD31" s="226"/>
      <c r="CE31" s="563">
        <f>Moyenne!D27</f>
        <v>470.58823529411762</v>
      </c>
      <c r="CF31" s="564"/>
      <c r="CG31" s="564"/>
      <c r="CH31" s="564"/>
      <c r="CI31" s="564"/>
      <c r="CJ31" s="565"/>
      <c r="CK31" s="34"/>
      <c r="CL31" s="34"/>
      <c r="CM31" s="238"/>
      <c r="CN31" s="270" t="s">
        <v>287</v>
      </c>
      <c r="CO31" s="260" t="e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#DIV/0!</v>
      </c>
      <c r="CP31" s="254"/>
      <c r="CQ31" s="232"/>
      <c r="CR31" s="232"/>
      <c r="CS31" s="271" t="e">
        <f>BS10/CE10</f>
        <v>#DIV/0!</v>
      </c>
      <c r="CT31" s="239"/>
      <c r="CU31" s="271" t="e">
        <f>BY10/CE10</f>
        <v>#DIV/0!</v>
      </c>
      <c r="CV31" s="240"/>
    </row>
    <row r="32" spans="8:100" ht="24" thickBot="1"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0</v>
      </c>
      <c r="AQ32" s="64" t="e">
        <f>SUM(AP32/AP5)</f>
        <v>#DIV/0!</v>
      </c>
      <c r="AR32" s="42"/>
      <c r="AS32" s="65">
        <f>J316-K316</f>
        <v>0</v>
      </c>
      <c r="AT32" s="66" t="e">
        <f>SUM(AS32/AS5)</f>
        <v>#DIV/0!</v>
      </c>
      <c r="AU32" s="42"/>
      <c r="AV32" s="65">
        <f>Moyenne!D34</f>
        <v>390.6661764705882</v>
      </c>
      <c r="AW32" s="67">
        <f>SUM(AV32/AV5)</f>
        <v>7.1628281324885796E-3</v>
      </c>
      <c r="AX32" s="39"/>
      <c r="BB32" s="195" t="s">
        <v>253</v>
      </c>
      <c r="BC32" s="196" t="e">
        <f>BC26/BC14</f>
        <v>#DIV/0!</v>
      </c>
      <c r="BD32" s="197"/>
      <c r="BE32" s="145"/>
      <c r="BF32" s="196" t="e">
        <f>BF26/BF14</f>
        <v>#DIV/0!</v>
      </c>
      <c r="BG32" s="197"/>
      <c r="BH32" s="145"/>
      <c r="BI32" s="196">
        <f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8:100" ht="24" thickBot="1"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 t="e">
        <f>SUM(AP33/AP5)</f>
        <v>#DIV/0!</v>
      </c>
      <c r="AR33" s="42"/>
      <c r="AS33" s="65">
        <f>J328-K328</f>
        <v>0</v>
      </c>
      <c r="AT33" s="66" t="e">
        <f>SUM(AS33/AS5)</f>
        <v>#DIV/0!</v>
      </c>
      <c r="AU33" s="42"/>
      <c r="AV33" s="65">
        <f>Moyenne!D35</f>
        <v>0</v>
      </c>
      <c r="AW33" s="67">
        <f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19" t="s">
        <v>249</v>
      </c>
      <c r="BQ33" s="519"/>
      <c r="BR33" s="519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8:100" ht="24" thickBot="1">
      <c r="H34">
        <v>68</v>
      </c>
      <c r="I34" t="s">
        <v>164</v>
      </c>
      <c r="J34" s="2">
        <f t="shared" si="0"/>
        <v>0</v>
      </c>
      <c r="K34" s="2">
        <f t="shared" si="1"/>
        <v>0</v>
      </c>
      <c r="AO34" s="96" t="s">
        <v>158</v>
      </c>
      <c r="AP34" s="97">
        <f>SUM(AP30:AP33)</f>
        <v>0</v>
      </c>
      <c r="AQ34" s="98" t="e">
        <f>SUM(AP34/AP5)</f>
        <v>#DIV/0!</v>
      </c>
      <c r="AR34" s="42"/>
      <c r="AS34" s="97">
        <f>SUM(AS30:AS33)</f>
        <v>0</v>
      </c>
      <c r="AT34" s="99" t="e">
        <f>SUM(AS34/AS5)</f>
        <v>#DIV/0!</v>
      </c>
      <c r="AU34" s="42"/>
      <c r="AV34" s="97">
        <f>Moyenne!D36</f>
        <v>2501.7935294117651</v>
      </c>
      <c r="AW34" s="99">
        <f>SUM(AV34/AV5)</f>
        <v>4.5870152456102403E-2</v>
      </c>
      <c r="AX34" s="39"/>
      <c r="BO34" s="34"/>
      <c r="BP34" s="276" t="s">
        <v>288</v>
      </c>
      <c r="BQ34" s="277"/>
      <c r="BR34" s="278"/>
      <c r="BS34" s="566" t="e">
        <f>BD26</f>
        <v>#DIV/0!</v>
      </c>
      <c r="BT34" s="567"/>
      <c r="BU34" s="567"/>
      <c r="BV34" s="567"/>
      <c r="BW34" s="568"/>
      <c r="BX34" s="258"/>
      <c r="BY34" s="566" t="e">
        <f>BG26</f>
        <v>#DIV/0!</v>
      </c>
      <c r="BZ34" s="567"/>
      <c r="CA34" s="567"/>
      <c r="CB34" s="567"/>
      <c r="CC34" s="568"/>
      <c r="CD34" s="258"/>
      <c r="CE34" s="566">
        <f>Moyenne!E71</f>
        <v>0.6884432394816471</v>
      </c>
      <c r="CF34" s="567"/>
      <c r="CG34" s="567"/>
      <c r="CH34" s="567"/>
      <c r="CI34" s="567"/>
      <c r="CJ34" s="568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8:100" ht="24" thickBot="1"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0</v>
      </c>
      <c r="AQ35" s="108" t="e">
        <f>SUM(AP35/AP5)</f>
        <v>#DIV/0!</v>
      </c>
      <c r="AR35" s="42"/>
      <c r="AS35" s="109">
        <f>SUM(AS21+AS26+AS34+AS27)</f>
        <v>0</v>
      </c>
      <c r="AT35" s="110" t="e">
        <f>SUM(AS35/AS5)</f>
        <v>#DIV/0!</v>
      </c>
      <c r="AU35" s="100"/>
      <c r="AV35" s="109">
        <f>Moyenne!D37</f>
        <v>30873.153823529414</v>
      </c>
      <c r="AW35" s="110">
        <f>SUM(AV35/AV5)</f>
        <v>0.56605641354383429</v>
      </c>
      <c r="AX35" s="39"/>
      <c r="BO35" s="34"/>
      <c r="BP35" s="279" t="s">
        <v>289</v>
      </c>
      <c r="BQ35" s="280"/>
      <c r="BR35" s="281"/>
      <c r="BS35" s="569">
        <f>BC20</f>
        <v>0</v>
      </c>
      <c r="BT35" s="570"/>
      <c r="BU35" s="570"/>
      <c r="BV35" s="570"/>
      <c r="BW35" s="571"/>
      <c r="BX35" s="282"/>
      <c r="BY35" s="569">
        <f>BF20</f>
        <v>0</v>
      </c>
      <c r="BZ35" s="570"/>
      <c r="CA35" s="570"/>
      <c r="CB35" s="570"/>
      <c r="CC35" s="571"/>
      <c r="CD35" s="282"/>
      <c r="CE35" s="569">
        <f>Moyenne!D65</f>
        <v>6401.5894117647058</v>
      </c>
      <c r="CF35" s="570"/>
      <c r="CG35" s="570"/>
      <c r="CH35" s="570"/>
      <c r="CI35" s="570"/>
      <c r="CJ35" s="571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8:100" ht="24" thickBot="1"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0</v>
      </c>
      <c r="AQ36" s="112" t="e">
        <f>SUM(AP36/AP5)</f>
        <v>#DIV/0!</v>
      </c>
      <c r="AR36" s="42"/>
      <c r="AS36" s="113">
        <f>SUM(AS13-AS21-AS26-AS34-AS27)</f>
        <v>0</v>
      </c>
      <c r="AT36" s="114" t="e">
        <f>SUM(AS36/AS5)</f>
        <v>#DIV/0!</v>
      </c>
      <c r="AU36" s="42"/>
      <c r="AV36" s="113">
        <f>Moyenne!D38</f>
        <v>1598.6108823529394</v>
      </c>
      <c r="AW36" s="114">
        <f>SUM(AV36/AV5)</f>
        <v>2.9310382343484237E-2</v>
      </c>
      <c r="AX36" s="39"/>
      <c r="BO36" s="34"/>
      <c r="BP36" s="283" t="s">
        <v>290</v>
      </c>
      <c r="BQ36" s="284"/>
      <c r="BR36" s="285"/>
      <c r="BS36" s="577">
        <f>E290</f>
        <v>0</v>
      </c>
      <c r="BT36" s="578"/>
      <c r="BU36" s="578"/>
      <c r="BV36" s="578"/>
      <c r="BW36" s="579"/>
      <c r="BX36" s="282"/>
      <c r="BY36" s="572">
        <f>E584</f>
        <v>0</v>
      </c>
      <c r="BZ36" s="573"/>
      <c r="CA36" s="573"/>
      <c r="CB36" s="573"/>
      <c r="CC36" s="574"/>
      <c r="CD36" s="282"/>
      <c r="CE36" s="572"/>
      <c r="CF36" s="573"/>
      <c r="CG36" s="573"/>
      <c r="CH36" s="573"/>
      <c r="CI36" s="573"/>
      <c r="CJ36" s="574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8:100" ht="18">
      <c r="H37">
        <v>77</v>
      </c>
      <c r="I37" t="s">
        <v>188</v>
      </c>
      <c r="J37" s="2">
        <f t="shared" si="0"/>
        <v>0</v>
      </c>
      <c r="K37" s="2">
        <f t="shared" si="1"/>
        <v>0</v>
      </c>
      <c r="AO37" s="62" t="s">
        <v>188</v>
      </c>
      <c r="AP37" s="89">
        <f>K37-J37</f>
        <v>0</v>
      </c>
      <c r="AQ37" s="64" t="e">
        <f>SUM(AP37/AP5)</f>
        <v>#DIV/0!</v>
      </c>
      <c r="AR37" s="42"/>
      <c r="AS37" s="65">
        <f>K330-J330</f>
        <v>0</v>
      </c>
      <c r="AT37" s="66" t="e">
        <f>SUM(AS37/AS5)</f>
        <v>#DIV/0!</v>
      </c>
      <c r="AU37" s="42"/>
      <c r="AV37" s="89">
        <f>Moyenne!D39</f>
        <v>354.82647058823522</v>
      </c>
      <c r="AW37" s="67">
        <f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8:100" ht="15.75" thickBot="1">
      <c r="H38">
        <v>607</v>
      </c>
      <c r="I38" t="s">
        <v>82</v>
      </c>
      <c r="J38" s="2">
        <f t="shared" si="0"/>
        <v>0</v>
      </c>
      <c r="K38" s="2">
        <f t="shared" si="1"/>
        <v>0</v>
      </c>
      <c r="AO38" s="62" t="s">
        <v>113</v>
      </c>
      <c r="AP38" s="69">
        <f>J31-K31</f>
        <v>0</v>
      </c>
      <c r="AQ38" s="64" t="e">
        <f>SUM(AP38/AP5)</f>
        <v>#DIV/0!</v>
      </c>
      <c r="AR38" s="42"/>
      <c r="AS38" s="65">
        <f>J324-K324</f>
        <v>0</v>
      </c>
      <c r="AT38" s="66" t="e">
        <f>SUM(AS38/AS5)</f>
        <v>#DIV/0!</v>
      </c>
      <c r="AU38" s="42"/>
      <c r="AV38" s="69">
        <f>Moyenne!D40</f>
        <v>140.69294117647058</v>
      </c>
      <c r="AW38" s="67">
        <f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8:100" ht="16.5" thickBot="1">
      <c r="H39">
        <v>607</v>
      </c>
      <c r="I39" t="s">
        <v>80</v>
      </c>
      <c r="J39" s="2">
        <f t="shared" si="0"/>
        <v>0</v>
      </c>
      <c r="K39" s="2">
        <f t="shared" si="1"/>
        <v>0</v>
      </c>
      <c r="AO39" s="96" t="s">
        <v>234</v>
      </c>
      <c r="AP39" s="97">
        <f>SUM(AP36+AP37-AP38)</f>
        <v>0</v>
      </c>
      <c r="AQ39" s="98" t="e">
        <f>SUM(AP39/AP5)</f>
        <v>#DIV/0!</v>
      </c>
      <c r="AR39" s="42"/>
      <c r="AS39" s="97">
        <f>SUM(AS36+AS37-AS38)</f>
        <v>0</v>
      </c>
      <c r="AT39" s="99" t="e">
        <f>SUM(AS39/AS5)</f>
        <v>#DIV/0!</v>
      </c>
      <c r="AU39" s="42"/>
      <c r="AV39" s="97">
        <f>Moyenne!D41</f>
        <v>1812.744411764704</v>
      </c>
      <c r="AW39" s="99">
        <f>SUM(AV39/AV5)</f>
        <v>3.3236500755977852E-2</v>
      </c>
      <c r="AX39" s="39"/>
    </row>
    <row r="40" spans="8:100">
      <c r="H40">
        <v>707</v>
      </c>
      <c r="I40" t="s">
        <v>176</v>
      </c>
      <c r="J40" s="2">
        <f t="shared" si="0"/>
        <v>0</v>
      </c>
      <c r="K40" s="2">
        <f t="shared" si="1"/>
        <v>0</v>
      </c>
      <c r="AO40" s="62" t="s">
        <v>197</v>
      </c>
      <c r="AP40" s="89">
        <f>K33-J33</f>
        <v>0</v>
      </c>
      <c r="AQ40" s="64" t="e">
        <f>SUM(AP40/AP5)</f>
        <v>#DIV/0!</v>
      </c>
      <c r="AR40" s="42"/>
      <c r="AS40" s="89">
        <f>K326-J326</f>
        <v>0</v>
      </c>
      <c r="AT40" s="66" t="e">
        <f>SUM(AS40/AS5)</f>
        <v>#DIV/0!</v>
      </c>
      <c r="AU40" s="42"/>
      <c r="AV40" s="89">
        <f>Moyenne!D42</f>
        <v>0</v>
      </c>
      <c r="AW40" s="67">
        <f>SUM(AV40/AV5)</f>
        <v>0</v>
      </c>
      <c r="AX40" s="39"/>
    </row>
    <row r="41" spans="8:100" ht="15.75" thickBot="1">
      <c r="H41">
        <v>707</v>
      </c>
      <c r="I41" t="s">
        <v>168</v>
      </c>
      <c r="J41" s="2">
        <f t="shared" si="0"/>
        <v>0</v>
      </c>
      <c r="K41" s="2">
        <f t="shared" si="1"/>
        <v>0</v>
      </c>
      <c r="AO41" s="62" t="s">
        <v>235</v>
      </c>
      <c r="AP41" s="289">
        <f>J36-K36</f>
        <v>0</v>
      </c>
      <c r="AQ41" s="64" t="e">
        <f>SUM(AP41/AP5)</f>
        <v>#DIV/0!</v>
      </c>
      <c r="AR41" s="42"/>
      <c r="AS41" s="290">
        <f>J329-K329</f>
        <v>0</v>
      </c>
      <c r="AT41" s="66" t="e">
        <f>SUM(AS41/AS5)</f>
        <v>#DIV/0!</v>
      </c>
      <c r="AU41" s="42"/>
      <c r="AV41" s="69">
        <f>Moyenne!D43</f>
        <v>118.91176470588235</v>
      </c>
      <c r="AW41" s="67">
        <f>SUM(AV41/AV5)</f>
        <v>2.1802361832654877E-3</v>
      </c>
      <c r="AX41" s="39"/>
    </row>
    <row r="42" spans="8:100" ht="16.5" thickBot="1">
      <c r="J42" s="2"/>
      <c r="K42" s="2"/>
      <c r="AO42" s="115" t="s">
        <v>236</v>
      </c>
      <c r="AP42" s="116">
        <f>SUM(AP39+AP40-AP41)</f>
        <v>0</v>
      </c>
      <c r="AQ42" s="117" t="e">
        <f>SUM(AP42/AP5)</f>
        <v>#DIV/0!</v>
      </c>
      <c r="AR42" s="42"/>
      <c r="AS42" s="116">
        <f>SUM(AS39+AS40-AS41)</f>
        <v>0</v>
      </c>
      <c r="AT42" s="118" t="e">
        <f>SUM(AS42/AS5)</f>
        <v>#DIV/0!</v>
      </c>
      <c r="AU42" s="42"/>
      <c r="AV42" s="119">
        <f>Moyenne!D44</f>
        <v>1693.8326470588215</v>
      </c>
      <c r="AW42" s="120">
        <f>SUM(AV42/AV5)</f>
        <v>3.1056264572712367E-2</v>
      </c>
      <c r="AX42" s="39"/>
    </row>
    <row r="43" spans="8:100" ht="18">
      <c r="J43" s="2">
        <f>SUM(J21:J42)</f>
        <v>0</v>
      </c>
      <c r="K43" s="2">
        <f>SUM(K21:K42)</f>
        <v>0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8:100">
      <c r="H44" s="5">
        <v>12</v>
      </c>
      <c r="I44" s="5" t="s">
        <v>199</v>
      </c>
      <c r="J44" s="6">
        <f>SUM(K43-J43)</f>
        <v>0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8:100"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8:100"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8:100" ht="31.5">
      <c r="AO47" s="125" t="s">
        <v>237</v>
      </c>
      <c r="AP47" s="126">
        <f>C290</f>
        <v>0</v>
      </c>
      <c r="AQ47" s="126"/>
      <c r="AR47" s="127"/>
      <c r="AS47" s="126">
        <f>C584</f>
        <v>0</v>
      </c>
      <c r="AT47" s="126"/>
      <c r="AU47" s="127"/>
      <c r="AV47" s="128">
        <f>Moyenne!D45</f>
        <v>0.5</v>
      </c>
      <c r="AW47" s="39"/>
      <c r="AX47" s="124"/>
      <c r="BB47" s="200" t="s">
        <v>254</v>
      </c>
      <c r="BC47" s="201" t="e">
        <f>($AP$42+$AP$31+$AP$33)/($J$8)</f>
        <v>#DIV/0!</v>
      </c>
      <c r="BD47" s="201"/>
      <c r="BE47" s="202"/>
      <c r="BF47" s="201" t="e">
        <f>($AS$42+$AS$31+$AS$33)/($J$302)</f>
        <v>#DIV/0!</v>
      </c>
      <c r="BG47" s="201"/>
      <c r="BH47" s="202"/>
      <c r="BI47" s="201">
        <f>Moyenne!D77</f>
        <v>0.14893590165065201</v>
      </c>
      <c r="BJ47" s="201"/>
      <c r="BK47" s="199"/>
    </row>
    <row r="48" spans="8:100" ht="16.5">
      <c r="AO48" s="125" t="s">
        <v>238</v>
      </c>
      <c r="AP48" s="126">
        <f>D290</f>
        <v>0</v>
      </c>
      <c r="AQ48" s="126"/>
      <c r="AR48" s="129"/>
      <c r="AS48" s="126">
        <f>D584</f>
        <v>0</v>
      </c>
      <c r="AT48" s="126"/>
      <c r="AU48" s="129"/>
      <c r="AV48" s="474">
        <f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41:63" ht="30">
      <c r="AO49" s="125" t="s">
        <v>239</v>
      </c>
      <c r="AP49" s="131" t="e">
        <f>SUM(AP26/AP13)</f>
        <v>#DIV/0!</v>
      </c>
      <c r="AQ49" s="131"/>
      <c r="AR49" s="132"/>
      <c r="AS49" s="131" t="e">
        <f>SUM(AS26/AS13)</f>
        <v>#DIV/0!</v>
      </c>
      <c r="AT49" s="131"/>
      <c r="AU49" s="132"/>
      <c r="AV49" s="131">
        <f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41:63" ht="16.5">
      <c r="AO50" s="125" t="s">
        <v>240</v>
      </c>
      <c r="AP50" s="133" t="e">
        <f>SUM(AP13/(AP47+AP48))</f>
        <v>#DIV/0!</v>
      </c>
      <c r="AQ50" s="133"/>
      <c r="AR50" s="134"/>
      <c r="AS50" s="133" t="e">
        <f>SUM(AS13/(AS47+AS48))</f>
        <v>#DIV/0!</v>
      </c>
      <c r="AT50" s="133"/>
      <c r="AU50" s="127"/>
      <c r="AV50" s="133">
        <f>SUM(AV13/(AV48+AV47))</f>
        <v>32471.764705882353</v>
      </c>
      <c r="AW50" s="39"/>
      <c r="AX50" s="124"/>
      <c r="BB50" s="200" t="s">
        <v>256</v>
      </c>
      <c r="BC50" s="205" t="e">
        <f>$BC$9/($AP$9/365)</f>
        <v>#DIV/0!</v>
      </c>
      <c r="BD50" s="205"/>
      <c r="BE50" s="206"/>
      <c r="BF50" s="205" t="e">
        <f>$BF$9/($AS$9/365)</f>
        <v>#DIV/0!</v>
      </c>
      <c r="BG50" s="205"/>
      <c r="BH50" s="206"/>
      <c r="BI50" s="205">
        <f>$BI$9/($AV$9/365)</f>
        <v>79.135216841558162</v>
      </c>
      <c r="BJ50" s="205"/>
      <c r="BK50" s="199"/>
    </row>
    <row r="51" spans="41:63" ht="16.5"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 t="e">
        <f>$BC$10/($AP$5*1.2/365)</f>
        <v>#DIV/0!</v>
      </c>
      <c r="BD51" s="205"/>
      <c r="BE51" s="206"/>
      <c r="BF51" s="205" t="e">
        <f>$BF$10/($AS$5*1.2/365)</f>
        <v>#DIV/0!</v>
      </c>
      <c r="BG51" s="205"/>
      <c r="BH51" s="206"/>
      <c r="BI51" s="205">
        <f>$BI$10/($AV$5*1.2/365)</f>
        <v>24.872006259034048</v>
      </c>
      <c r="BJ51" s="205"/>
      <c r="BK51" s="199"/>
    </row>
    <row r="52" spans="41:63" ht="16.5">
      <c r="AO52" s="125" t="s">
        <v>241</v>
      </c>
      <c r="AP52" s="128">
        <f>SUM(AP42+AP31)</f>
        <v>0</v>
      </c>
      <c r="AQ52" s="128"/>
      <c r="AR52" s="137"/>
      <c r="AS52" s="128">
        <f>SUM(AS42+AS31)</f>
        <v>0</v>
      </c>
      <c r="AT52" s="128"/>
      <c r="AU52" s="135"/>
      <c r="AV52" s="128">
        <f>SUM(AV42+AV31)</f>
        <v>3213.6588235294098</v>
      </c>
      <c r="AW52" s="121"/>
      <c r="AX52" s="124"/>
      <c r="BB52" s="200" t="s">
        <v>257</v>
      </c>
      <c r="BC52" s="205" t="e">
        <f>$BC$22/(($AP$9+$AP$17+$AP$18+$AP$20+$AP$24)*1.2/365)</f>
        <v>#DIV/0!</v>
      </c>
      <c r="BD52" s="205"/>
      <c r="BE52" s="206"/>
      <c r="BF52" s="205" t="e">
        <f>$BF$22/(($AS$9+$AS$17+$AS$18+$AS$20+$AS$24)*1.2/365)</f>
        <v>#DIV/0!</v>
      </c>
      <c r="BG52" s="205"/>
      <c r="BH52" s="206"/>
      <c r="BI52" s="205">
        <f>$BI$21/(($AV$9+$AV$17+$AV$18+$AV$20+$AV$24)*1.2/365)</f>
        <v>122.5493708467914</v>
      </c>
      <c r="BJ52" s="205"/>
      <c r="BK52" s="199"/>
    </row>
    <row r="53" spans="41:63"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67" spans="54:65" ht="24" customHeight="1"/>
    <row r="69" spans="54:65"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1" spans="54:65" ht="30" customHeight="1"/>
    <row r="72" spans="54:65" ht="23.25" customHeight="1"/>
    <row r="74" spans="54:65" ht="26.25" customHeight="1"/>
    <row r="75" spans="54:65" ht="23.25" customHeight="1"/>
    <row r="82" ht="23.25" customHeight="1"/>
    <row r="294" spans="1:20">
      <c r="A294" s="2"/>
    </row>
    <row r="298" spans="1:20">
      <c r="A298" s="488" t="s">
        <v>221</v>
      </c>
      <c r="B298" s="488"/>
      <c r="C298" s="488"/>
      <c r="D298" s="488"/>
      <c r="E298" s="488"/>
      <c r="H298" s="488" t="s">
        <v>222</v>
      </c>
      <c r="I298" s="488"/>
      <c r="J298" s="488"/>
      <c r="K298" s="488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0</v>
      </c>
      <c r="K300" s="2">
        <f t="shared" ref="K300:K334" si="8">SUMIF($B$301:$B$579,$I300,$E$301:$E$579)</f>
        <v>0</v>
      </c>
      <c r="M300" s="7"/>
      <c r="N300" s="8"/>
      <c r="O300" s="8"/>
      <c r="P300" s="8"/>
      <c r="Q300" s="505" t="s">
        <v>200</v>
      </c>
      <c r="R300" s="506"/>
      <c r="S300" s="9" t="s">
        <v>201</v>
      </c>
      <c r="T300" s="10" t="s">
        <v>202</v>
      </c>
    </row>
    <row r="301" spans="1:20" ht="15.75" thickTop="1">
      <c r="H301">
        <v>16</v>
      </c>
      <c r="I301" t="s">
        <v>9</v>
      </c>
      <c r="J301" s="2">
        <f t="shared" si="7"/>
        <v>0</v>
      </c>
      <c r="K301" s="2">
        <f t="shared" si="8"/>
        <v>0</v>
      </c>
      <c r="M301" s="11" t="s">
        <v>203</v>
      </c>
      <c r="N301" s="12">
        <f>AS29</f>
        <v>0</v>
      </c>
      <c r="O301" s="13" t="s">
        <v>204</v>
      </c>
      <c r="P301" s="12">
        <f>BF26</f>
        <v>0</v>
      </c>
      <c r="Q301" s="14" t="s">
        <v>205</v>
      </c>
      <c r="R301" s="15" t="e">
        <f>N301/P301</f>
        <v>#DIV/0!</v>
      </c>
      <c r="S301" s="16">
        <v>24</v>
      </c>
      <c r="T301" s="17" t="e">
        <f>R301*S301</f>
        <v>#DIV/0!</v>
      </c>
    </row>
    <row r="302" spans="1:20">
      <c r="H302">
        <v>20</v>
      </c>
      <c r="I302" t="s">
        <v>16</v>
      </c>
      <c r="J302" s="2">
        <f t="shared" si="7"/>
        <v>0</v>
      </c>
      <c r="K302" s="2">
        <f t="shared" si="8"/>
        <v>0</v>
      </c>
      <c r="L302" s="2"/>
      <c r="M302" s="18" t="s">
        <v>206</v>
      </c>
      <c r="N302" s="19">
        <f>BF21</f>
        <v>0</v>
      </c>
      <c r="O302" s="493" t="s">
        <v>207</v>
      </c>
      <c r="P302" s="494">
        <f>BF14</f>
        <v>0</v>
      </c>
      <c r="Q302" s="20" t="s">
        <v>208</v>
      </c>
      <c r="R302" s="15" t="e">
        <f>N302/P302</f>
        <v>#DIV/0!</v>
      </c>
      <c r="S302" s="21">
        <v>22</v>
      </c>
      <c r="T302" s="22" t="e">
        <f t="shared" ref="T302:T305" si="9">R302*S302</f>
        <v>#DIV/0!</v>
      </c>
    </row>
    <row r="303" spans="1:20">
      <c r="H303">
        <v>20</v>
      </c>
      <c r="I303" t="s">
        <v>23</v>
      </c>
      <c r="J303" s="2">
        <f t="shared" si="7"/>
        <v>0</v>
      </c>
      <c r="K303" s="2">
        <f t="shared" si="8"/>
        <v>0</v>
      </c>
      <c r="M303" s="18" t="s">
        <v>209</v>
      </c>
      <c r="N303" s="19">
        <f>BF13</f>
        <v>0</v>
      </c>
      <c r="O303" s="493"/>
      <c r="P303" s="495"/>
      <c r="Q303" s="20" t="s">
        <v>210</v>
      </c>
      <c r="R303" s="15" t="e">
        <f>N303/P302</f>
        <v>#DIV/0!</v>
      </c>
      <c r="S303" s="21">
        <v>16</v>
      </c>
      <c r="T303" s="22" t="e">
        <f t="shared" si="9"/>
        <v>#DIV/0!</v>
      </c>
    </row>
    <row r="304" spans="1:20">
      <c r="H304">
        <v>20</v>
      </c>
      <c r="I304" t="s">
        <v>13</v>
      </c>
      <c r="J304" s="2">
        <f t="shared" si="7"/>
        <v>0</v>
      </c>
      <c r="K304" s="2">
        <f t="shared" si="8"/>
        <v>0</v>
      </c>
      <c r="M304" s="18" t="s">
        <v>211</v>
      </c>
      <c r="N304" s="19">
        <f>AS38</f>
        <v>0</v>
      </c>
      <c r="O304" s="23" t="s">
        <v>212</v>
      </c>
      <c r="P304" s="19">
        <f>AS5</f>
        <v>0</v>
      </c>
      <c r="Q304" s="20" t="s">
        <v>213</v>
      </c>
      <c r="R304" s="15" t="e">
        <f>N304/P304</f>
        <v>#DIV/0!</v>
      </c>
      <c r="S304" s="21">
        <v>-87</v>
      </c>
      <c r="T304" s="22" t="e">
        <f t="shared" si="9"/>
        <v>#DIV/0!</v>
      </c>
    </row>
    <row r="305" spans="8:20" ht="15.75" thickBot="1">
      <c r="H305">
        <v>30</v>
      </c>
      <c r="I305" t="s">
        <v>32</v>
      </c>
      <c r="J305" s="2">
        <f t="shared" si="7"/>
        <v>0</v>
      </c>
      <c r="K305" s="2">
        <f t="shared" si="8"/>
        <v>0</v>
      </c>
      <c r="M305" s="24" t="s">
        <v>214</v>
      </c>
      <c r="N305" s="25">
        <f>AS26</f>
        <v>0</v>
      </c>
      <c r="O305" s="26" t="s">
        <v>215</v>
      </c>
      <c r="P305" s="25">
        <f>AS29+AS26+AS27</f>
        <v>0</v>
      </c>
      <c r="Q305" s="27" t="s">
        <v>216</v>
      </c>
      <c r="R305" s="28" t="e">
        <f>N305/P305</f>
        <v>#DIV/0!</v>
      </c>
      <c r="S305" s="29">
        <v>-10</v>
      </c>
      <c r="T305" s="30" t="e">
        <f t="shared" si="9"/>
        <v>#DIV/0!</v>
      </c>
    </row>
    <row r="306" spans="8:20" ht="16.5" thickTop="1" thickBot="1">
      <c r="H306">
        <v>40</v>
      </c>
      <c r="I306" t="s">
        <v>35</v>
      </c>
      <c r="J306" s="2">
        <f t="shared" si="7"/>
        <v>0</v>
      </c>
      <c r="K306" s="2">
        <f t="shared" si="8"/>
        <v>0</v>
      </c>
      <c r="M306" s="8"/>
      <c r="N306" s="8"/>
      <c r="O306" s="8"/>
      <c r="P306" s="8"/>
      <c r="Q306" s="8"/>
      <c r="R306" s="8"/>
      <c r="S306" s="31" t="s">
        <v>217</v>
      </c>
      <c r="T306" s="32" t="e">
        <f>SUM(T301:T305)</f>
        <v>#DIV/0!</v>
      </c>
    </row>
    <row r="307" spans="8:20" ht="15.75" thickTop="1">
      <c r="H307">
        <v>41</v>
      </c>
      <c r="I307" t="s">
        <v>39</v>
      </c>
      <c r="J307" s="2">
        <f t="shared" si="7"/>
        <v>0</v>
      </c>
      <c r="K307" s="2">
        <f t="shared" si="8"/>
        <v>0</v>
      </c>
    </row>
    <row r="308" spans="8:20">
      <c r="H308">
        <v>42</v>
      </c>
      <c r="I308" t="s">
        <v>42</v>
      </c>
      <c r="J308" s="2">
        <f t="shared" si="7"/>
        <v>0</v>
      </c>
      <c r="K308" s="2">
        <f t="shared" si="8"/>
        <v>0</v>
      </c>
    </row>
    <row r="309" spans="8:20">
      <c r="H309">
        <v>45</v>
      </c>
      <c r="I309" t="s">
        <v>65</v>
      </c>
      <c r="J309" s="2">
        <f t="shared" si="7"/>
        <v>0</v>
      </c>
      <c r="K309" s="2">
        <f t="shared" si="8"/>
        <v>0</v>
      </c>
    </row>
    <row r="310" spans="8:20"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8:20">
      <c r="H311">
        <v>46</v>
      </c>
      <c r="I311" t="s">
        <v>70</v>
      </c>
      <c r="J311" s="2">
        <f t="shared" si="7"/>
        <v>0</v>
      </c>
      <c r="K311" s="2">
        <f t="shared" si="8"/>
        <v>0</v>
      </c>
    </row>
    <row r="312" spans="8:20">
      <c r="H312">
        <v>50</v>
      </c>
      <c r="I312" t="s">
        <v>75</v>
      </c>
      <c r="J312" s="2">
        <f t="shared" si="7"/>
        <v>0</v>
      </c>
      <c r="K312" s="2">
        <f t="shared" si="8"/>
        <v>0</v>
      </c>
    </row>
    <row r="313" spans="8:20"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8:20">
      <c r="H314">
        <v>62</v>
      </c>
      <c r="I314" t="s">
        <v>110</v>
      </c>
      <c r="J314" s="2">
        <f t="shared" si="7"/>
        <v>0</v>
      </c>
      <c r="K314" s="2">
        <f t="shared" si="8"/>
        <v>0</v>
      </c>
    </row>
    <row r="315" spans="8:20">
      <c r="H315">
        <v>62</v>
      </c>
      <c r="I315" t="s">
        <v>83</v>
      </c>
      <c r="J315" s="2">
        <f t="shared" si="7"/>
        <v>0</v>
      </c>
      <c r="K315" s="2">
        <f t="shared" si="8"/>
        <v>0</v>
      </c>
    </row>
    <row r="316" spans="8:20">
      <c r="H316">
        <v>62</v>
      </c>
      <c r="I316" t="s">
        <v>98</v>
      </c>
      <c r="J316" s="2">
        <f t="shared" si="7"/>
        <v>0</v>
      </c>
      <c r="K316" s="2">
        <f t="shared" si="8"/>
        <v>0</v>
      </c>
    </row>
    <row r="317" spans="8:20">
      <c r="H317">
        <v>62</v>
      </c>
      <c r="I317" t="s">
        <v>116</v>
      </c>
      <c r="J317" s="2">
        <f t="shared" si="7"/>
        <v>0</v>
      </c>
      <c r="K317" s="2">
        <f t="shared" si="8"/>
        <v>0</v>
      </c>
    </row>
    <row r="318" spans="8:20">
      <c r="H318">
        <v>62</v>
      </c>
      <c r="I318" t="s">
        <v>101</v>
      </c>
      <c r="J318" s="2">
        <f t="shared" si="7"/>
        <v>0</v>
      </c>
      <c r="K318" s="2">
        <f t="shared" si="8"/>
        <v>0</v>
      </c>
    </row>
    <row r="319" spans="8:20">
      <c r="H319">
        <v>63</v>
      </c>
      <c r="I319" t="s">
        <v>124</v>
      </c>
      <c r="J319" s="2">
        <f t="shared" si="7"/>
        <v>0</v>
      </c>
      <c r="K319" s="2">
        <f t="shared" si="8"/>
        <v>0</v>
      </c>
    </row>
    <row r="320" spans="8:20">
      <c r="H320">
        <v>63</v>
      </c>
      <c r="I320" t="s">
        <v>138</v>
      </c>
      <c r="J320" s="2">
        <f t="shared" si="7"/>
        <v>0</v>
      </c>
      <c r="K320" s="2">
        <f t="shared" si="8"/>
        <v>0</v>
      </c>
    </row>
    <row r="321" spans="8:11">
      <c r="H321">
        <v>64</v>
      </c>
      <c r="I321" t="s">
        <v>149</v>
      </c>
      <c r="J321" s="2">
        <f t="shared" si="7"/>
        <v>0</v>
      </c>
      <c r="K321" s="2">
        <f t="shared" si="8"/>
        <v>0</v>
      </c>
    </row>
    <row r="322" spans="8:11"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8:11">
      <c r="H323">
        <v>64</v>
      </c>
      <c r="I323" t="s">
        <v>143</v>
      </c>
      <c r="J323" s="2">
        <f t="shared" si="7"/>
        <v>0</v>
      </c>
      <c r="K323" s="2">
        <f t="shared" si="8"/>
        <v>0</v>
      </c>
    </row>
    <row r="324" spans="8:11">
      <c r="H324">
        <v>66</v>
      </c>
      <c r="I324" t="s">
        <v>113</v>
      </c>
      <c r="J324" s="2">
        <f t="shared" si="7"/>
        <v>0</v>
      </c>
      <c r="K324" s="2">
        <f t="shared" si="8"/>
        <v>0</v>
      </c>
    </row>
    <row r="325" spans="8:11">
      <c r="H325">
        <v>67</v>
      </c>
      <c r="I325" t="s">
        <v>158</v>
      </c>
      <c r="J325" s="2">
        <f t="shared" si="7"/>
        <v>0</v>
      </c>
      <c r="K325" s="2">
        <f t="shared" si="8"/>
        <v>0</v>
      </c>
    </row>
    <row r="326" spans="8:11"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8:11">
      <c r="H327">
        <v>68</v>
      </c>
      <c r="I327" t="s">
        <v>164</v>
      </c>
      <c r="J327" s="2">
        <f t="shared" si="7"/>
        <v>0</v>
      </c>
      <c r="K327" s="2">
        <f t="shared" si="8"/>
        <v>0</v>
      </c>
    </row>
    <row r="328" spans="8:11"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8:11"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8:11">
      <c r="H330">
        <v>77</v>
      </c>
      <c r="I330" t="s">
        <v>188</v>
      </c>
      <c r="J330" s="2">
        <f t="shared" si="7"/>
        <v>0</v>
      </c>
      <c r="K330" s="2">
        <f t="shared" si="8"/>
        <v>0</v>
      </c>
    </row>
    <row r="331" spans="8:11">
      <c r="H331">
        <v>607</v>
      </c>
      <c r="I331" t="s">
        <v>82</v>
      </c>
      <c r="J331" s="2">
        <f t="shared" si="7"/>
        <v>0</v>
      </c>
      <c r="K331" s="2">
        <f t="shared" si="8"/>
        <v>0</v>
      </c>
    </row>
    <row r="332" spans="8:11">
      <c r="H332">
        <v>607</v>
      </c>
      <c r="I332" t="s">
        <v>80</v>
      </c>
      <c r="J332" s="2">
        <f t="shared" si="7"/>
        <v>0</v>
      </c>
      <c r="K332" s="2">
        <f t="shared" si="8"/>
        <v>0</v>
      </c>
    </row>
    <row r="333" spans="8:11">
      <c r="H333">
        <v>707</v>
      </c>
      <c r="I333" t="s">
        <v>176</v>
      </c>
      <c r="J333" s="2">
        <f t="shared" si="7"/>
        <v>0</v>
      </c>
      <c r="K333" s="2">
        <f t="shared" si="8"/>
        <v>0</v>
      </c>
    </row>
    <row r="334" spans="8:11">
      <c r="H334">
        <v>707</v>
      </c>
      <c r="I334" t="s">
        <v>168</v>
      </c>
      <c r="J334" s="2">
        <f t="shared" si="7"/>
        <v>0</v>
      </c>
      <c r="K334" s="2">
        <f t="shared" si="8"/>
        <v>0</v>
      </c>
    </row>
    <row r="335" spans="8:11">
      <c r="J335" s="2"/>
      <c r="K335" s="2"/>
    </row>
    <row r="336" spans="8:11">
      <c r="J336" s="2">
        <f>SUM(J314:J335)</f>
        <v>0</v>
      </c>
      <c r="K336" s="2">
        <f>SUM(K314:K335)</f>
        <v>0</v>
      </c>
    </row>
    <row r="337" spans="8:11">
      <c r="J337" s="2"/>
      <c r="K337" s="2"/>
    </row>
    <row r="338" spans="8:11">
      <c r="H338" s="5"/>
      <c r="I338" s="5" t="s">
        <v>199</v>
      </c>
      <c r="J338" s="6">
        <f>SUM(K336-J336)</f>
        <v>0</v>
      </c>
      <c r="K338" s="2"/>
    </row>
    <row r="339" spans="8:11">
      <c r="J339" s="2"/>
      <c r="K339" s="2"/>
    </row>
    <row r="340" spans="8:11">
      <c r="I340" s="575"/>
      <c r="J340" s="2"/>
      <c r="K340" s="2"/>
    </row>
    <row r="341" spans="8:11">
      <c r="I341" s="575"/>
      <c r="J341" s="2"/>
      <c r="K341" s="2"/>
    </row>
    <row r="342" spans="8:11">
      <c r="I342" s="575"/>
      <c r="J342" s="576"/>
      <c r="K342" s="576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O302:O303"/>
    <mergeCell ref="P302:P303"/>
    <mergeCell ref="I340:I342"/>
    <mergeCell ref="J342:K342"/>
    <mergeCell ref="BS36:BW36"/>
    <mergeCell ref="BY36:CC36"/>
    <mergeCell ref="CE36:CJ36"/>
    <mergeCell ref="A298:E298"/>
    <mergeCell ref="H298:K298"/>
    <mergeCell ref="Q300:R300"/>
    <mergeCell ref="BP33:BR33"/>
    <mergeCell ref="BS34:BW34"/>
    <mergeCell ref="BY34:CC34"/>
    <mergeCell ref="CE34:CJ34"/>
    <mergeCell ref="BS35:BW35"/>
    <mergeCell ref="BY35:CC35"/>
    <mergeCell ref="CE35:CJ35"/>
    <mergeCell ref="BS30:BW30"/>
    <mergeCell ref="BY30:CC30"/>
    <mergeCell ref="CE30:CJ30"/>
    <mergeCell ref="BS31:BW31"/>
    <mergeCell ref="BY31:CC31"/>
    <mergeCell ref="CE31:CJ31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P25:BR25"/>
    <mergeCell ref="BP26:BR26"/>
    <mergeCell ref="BS26:BW26"/>
    <mergeCell ref="BY26:CC26"/>
    <mergeCell ref="CE26:CJ26"/>
    <mergeCell ref="BS22:BW22"/>
    <mergeCell ref="BY22:CC22"/>
    <mergeCell ref="CE22:CJ22"/>
    <mergeCell ref="BS23:BW23"/>
    <mergeCell ref="BY23:CC23"/>
    <mergeCell ref="CE23:CJ23"/>
    <mergeCell ref="CE18:CJ18"/>
    <mergeCell ref="BS19:BW19"/>
    <mergeCell ref="BY19:CC19"/>
    <mergeCell ref="CE19:CJ19"/>
    <mergeCell ref="CM19:CV19"/>
    <mergeCell ref="BY18:CC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BP12:BQ12"/>
    <mergeCell ref="BP13:BQ13"/>
    <mergeCell ref="BP14:BQ14"/>
    <mergeCell ref="BP17:BR17"/>
    <mergeCell ref="BS18:BW18"/>
    <mergeCell ref="BY9:CC9"/>
    <mergeCell ref="CE9:CI9"/>
    <mergeCell ref="CO9:CS9"/>
    <mergeCell ref="CT9:CV9"/>
    <mergeCell ref="BS10:BW10"/>
    <mergeCell ref="BY10:CC10"/>
    <mergeCell ref="CE10:CI10"/>
    <mergeCell ref="BS5:BW5"/>
    <mergeCell ref="CB5:CI5"/>
    <mergeCell ref="R6:S6"/>
    <mergeCell ref="BS6:BW6"/>
    <mergeCell ref="CB6:CI6"/>
    <mergeCell ref="P8:P9"/>
    <mergeCell ref="Q8:Q9"/>
    <mergeCell ref="BP9:BP10"/>
    <mergeCell ref="BQ9:BQ10"/>
    <mergeCell ref="BS9:BW9"/>
    <mergeCell ref="BF4:BG4"/>
    <mergeCell ref="A4:E4"/>
    <mergeCell ref="H4:K4"/>
    <mergeCell ref="AP4:AQ4"/>
    <mergeCell ref="AS4:AT4"/>
    <mergeCell ref="BC4:BD4"/>
  </mergeCells>
  <conditionalFormatting sqref="CO23:CO24 CO26:CO27 CO29:CO31">
    <cfRule type="containsText" dxfId="80" priority="19" operator="containsText" text="è">
      <formula>NOT(ISERROR(SEARCH("è",CO23)))</formula>
    </cfRule>
    <cfRule type="cellIs" dxfId="79" priority="20" operator="equal">
      <formula>"éé"</formula>
    </cfRule>
    <cfRule type="cellIs" dxfId="78" priority="21" operator="equal">
      <formula>"ìì"</formula>
    </cfRule>
    <cfRule type="cellIs" dxfId="77" priority="22" operator="equal">
      <formula>"ì"</formula>
    </cfRule>
    <cfRule type="cellIs" dxfId="76" priority="23" operator="equal">
      <formula>"èì"</formula>
    </cfRule>
    <cfRule type="cellIs" dxfId="75" priority="24" operator="equal">
      <formula>"îè"</formula>
    </cfRule>
    <cfRule type="cellIs" dxfId="74" priority="25" operator="equal">
      <formula>"î"</formula>
    </cfRule>
    <cfRule type="cellIs" dxfId="73" priority="26" operator="equal">
      <formula>"îî"</formula>
    </cfRule>
    <cfRule type="cellIs" dxfId="72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71" priority="10" operator="containsText" text="è">
      <formula>NOT(ISERROR(SEARCH("è",CO29)))</formula>
    </cfRule>
  </conditionalFormatting>
  <conditionalFormatting sqref="CO29">
    <cfRule type="cellIs" dxfId="70" priority="18" operator="equal">
      <formula>"êê"</formula>
    </cfRule>
  </conditionalFormatting>
  <conditionalFormatting sqref="CO29">
    <cfRule type="cellIs" dxfId="69" priority="11" operator="equal">
      <formula>"éé"</formula>
    </cfRule>
    <cfRule type="cellIs" dxfId="68" priority="12" operator="equal">
      <formula>"ìì"</formula>
    </cfRule>
    <cfRule type="cellIs" dxfId="67" priority="13" operator="equal">
      <formula>"ì"</formula>
    </cfRule>
    <cfRule type="cellIs" dxfId="66" priority="14" operator="equal">
      <formula>"èì"</formula>
    </cfRule>
    <cfRule type="cellIs" dxfId="65" priority="15" operator="equal">
      <formula>"îè"</formula>
    </cfRule>
    <cfRule type="cellIs" dxfId="64" priority="16" operator="equal">
      <formula>"î"</formula>
    </cfRule>
    <cfRule type="cellIs" dxfId="63" priority="17" operator="equal">
      <formula>"îî"</formula>
    </cfRule>
  </conditionalFormatting>
  <conditionalFormatting sqref="CO25">
    <cfRule type="cellIs" dxfId="62" priority="1" operator="equal">
      <formula>"è"</formula>
    </cfRule>
    <cfRule type="cellIs" dxfId="61" priority="2" operator="equal">
      <formula>"éé"</formula>
    </cfRule>
    <cfRule type="cellIs" dxfId="60" priority="3" operator="equal">
      <formula>"ìì"</formula>
    </cfRule>
    <cfRule type="cellIs" dxfId="59" priority="4" operator="equal">
      <formula>"ì"</formula>
    </cfRule>
    <cfRule type="cellIs" dxfId="58" priority="5" operator="equal">
      <formula>"èì"</formula>
    </cfRule>
    <cfRule type="cellIs" dxfId="57" priority="6" operator="equal">
      <formula>"îè"</formula>
    </cfRule>
    <cfRule type="cellIs" dxfId="56" priority="7" operator="equal">
      <formula>"î"</formula>
    </cfRule>
    <cfRule type="cellIs" dxfId="55" priority="8" operator="equal">
      <formula>"îî"</formula>
    </cfRule>
    <cfRule type="cellIs" dxfId="54" priority="9" operator="equal">
      <formula>"êê"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9" r:id="rId6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0" r:id="rId7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1" r:id="rId8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2" r:id="rId9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3" r:id="rId10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4" r:id="rId11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5" r:id="rId12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6" r:id="rId13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0483-220F-4880-9F98-F8B106EF7B70}">
  <sheetPr codeName="Feuil4">
    <pageSetUpPr fitToPage="1"/>
  </sheetPr>
  <dimension ref="A1:DE669"/>
  <sheetViews>
    <sheetView workbookViewId="0">
      <selection sqref="A1:XFD1048576"/>
    </sheetView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4" max="54" width="30.7109375" bestFit="1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3.14062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88" t="s">
        <v>219</v>
      </c>
      <c r="B4" s="488"/>
      <c r="C4" s="488"/>
      <c r="D4" s="488"/>
      <c r="E4" s="488"/>
      <c r="H4" s="488" t="s">
        <v>220</v>
      </c>
      <c r="I4" s="488"/>
      <c r="J4" s="488"/>
      <c r="K4" s="488"/>
      <c r="AO4" s="35" t="s">
        <v>223</v>
      </c>
      <c r="AP4" s="489">
        <f>A290</f>
        <v>43983</v>
      </c>
      <c r="AQ4" s="490"/>
      <c r="AR4" s="36"/>
      <c r="AS4" s="491">
        <f>A584</f>
        <v>43525</v>
      </c>
      <c r="AT4" s="490"/>
      <c r="AU4" s="34"/>
      <c r="AV4" s="37"/>
      <c r="AW4" s="38"/>
      <c r="AX4" s="39"/>
      <c r="BB4" s="138" t="s">
        <v>242</v>
      </c>
      <c r="BC4" s="492">
        <f>A290</f>
        <v>43983</v>
      </c>
      <c r="BD4" s="487"/>
      <c r="BE4" s="139"/>
      <c r="BF4" s="486">
        <f>A584</f>
        <v>43525</v>
      </c>
      <c r="BG4" s="487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423</v>
      </c>
      <c r="AO5" s="40" t="s">
        <v>212</v>
      </c>
      <c r="AP5" s="41">
        <f>SUM(AP6+AP7)</f>
        <v>46377.330588235294</v>
      </c>
      <c r="AQ5" s="44">
        <v>1</v>
      </c>
      <c r="AR5" s="42"/>
      <c r="AS5" s="43">
        <f>SUM(AS6:AS7)</f>
        <v>45371.068235294108</v>
      </c>
      <c r="AT5" s="44">
        <v>1</v>
      </c>
      <c r="AU5" s="42"/>
      <c r="AV5" s="43">
        <f>Moyenne!D7</f>
        <v>54540.772058823524</v>
      </c>
      <c r="AW5" s="44">
        <v>1</v>
      </c>
      <c r="AX5" s="39"/>
      <c r="BB5" s="142" t="s">
        <v>13</v>
      </c>
      <c r="BC5" s="143">
        <f>$J$10-$K$10</f>
        <v>1764.7058823529412</v>
      </c>
      <c r="BD5" s="144">
        <f>BC5/$BC$14</f>
        <v>0.10559059618597616</v>
      </c>
      <c r="BE5" s="145"/>
      <c r="BF5" s="146">
        <f>$J$304-$K$304</f>
        <v>1764.7058823529412</v>
      </c>
      <c r="BG5" s="144">
        <f>BF5/$BF$14</f>
        <v>0.10248947270840286</v>
      </c>
      <c r="BH5" s="145"/>
      <c r="BI5" s="143">
        <f>Moyenne!D50</f>
        <v>7333.7102941176463</v>
      </c>
      <c r="BJ5" s="144">
        <f>Moyenne!E50</f>
        <v>0.27604888599574018</v>
      </c>
      <c r="BK5" s="145"/>
      <c r="BO5" s="34"/>
      <c r="BP5" s="208" t="s">
        <v>258</v>
      </c>
      <c r="BQ5" s="209"/>
      <c r="BR5" s="34"/>
      <c r="BS5" s="499" t="s">
        <v>259</v>
      </c>
      <c r="BT5" s="500"/>
      <c r="BU5" s="500"/>
      <c r="BV5" s="500"/>
      <c r="BW5" s="501"/>
      <c r="BX5" s="210"/>
      <c r="BY5" s="211"/>
      <c r="BZ5" s="34"/>
      <c r="CA5" s="34"/>
      <c r="CB5" s="502" t="s">
        <v>260</v>
      </c>
      <c r="CC5" s="503"/>
      <c r="CD5" s="503"/>
      <c r="CE5" s="503"/>
      <c r="CF5" s="503"/>
      <c r="CG5" s="503"/>
      <c r="CH5" s="503"/>
      <c r="CI5" s="50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98814.337058823599</v>
      </c>
      <c r="E6" s="2">
        <f>SUM($E$7:$E$285)</f>
        <v>98814.337058823498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4139.9552941176471</v>
      </c>
      <c r="N6" s="7"/>
      <c r="O6" s="8"/>
      <c r="P6" s="8"/>
      <c r="Q6" s="8"/>
      <c r="R6" s="505" t="s">
        <v>200</v>
      </c>
      <c r="S6" s="506"/>
      <c r="T6" s="9" t="s">
        <v>201</v>
      </c>
      <c r="U6" s="10" t="s">
        <v>202</v>
      </c>
      <c r="AO6" s="45" t="s">
        <v>224</v>
      </c>
      <c r="AP6" s="46">
        <f>K41-J41</f>
        <v>34365.868235294118</v>
      </c>
      <c r="AQ6" s="47">
        <f>SUM(AP6/AP5)</f>
        <v>0.74100574136994057</v>
      </c>
      <c r="AR6" s="42"/>
      <c r="AS6" s="48">
        <f>K334-J334</f>
        <v>34229.152941176464</v>
      </c>
      <c r="AT6" s="49">
        <f>SUM(AS6/AS5)</f>
        <v>0.75442686876280429</v>
      </c>
      <c r="AU6" s="42"/>
      <c r="AV6" s="48">
        <f>Moyenne!D8</f>
        <v>42972.614411764705</v>
      </c>
      <c r="AW6" s="49">
        <f>SUM(AV6/AV5)</f>
        <v>0.78789890186038647</v>
      </c>
      <c r="AX6" s="39"/>
      <c r="BB6" s="147" t="s">
        <v>16</v>
      </c>
      <c r="BC6" s="148">
        <f>$J$8-$K$8</f>
        <v>4012.0611764705864</v>
      </c>
      <c r="BD6" s="149">
        <f t="shared" ref="BD6:BD13" si="2">BC6/$BC$14</f>
        <v>0.24006036121627827</v>
      </c>
      <c r="BE6" s="145"/>
      <c r="BF6" s="150">
        <f>$J$302-$K$302</f>
        <v>5087.0588235294126</v>
      </c>
      <c r="BG6" s="149">
        <f t="shared" ref="BG6:BG13" si="3">BF6/$BF$14</f>
        <v>0.29544298666075602</v>
      </c>
      <c r="BH6" s="145"/>
      <c r="BI6" s="148">
        <f>Moyenne!D51</f>
        <v>5057.5023529411774</v>
      </c>
      <c r="BJ6" s="149">
        <f>Moyenne!E51</f>
        <v>0.19036992660728227</v>
      </c>
      <c r="BK6" s="145"/>
      <c r="BO6" s="34"/>
      <c r="BP6" s="291">
        <f>AP47+AP48</f>
        <v>1</v>
      </c>
      <c r="BQ6" s="209"/>
      <c r="BR6" s="34"/>
      <c r="BS6" s="507" t="str">
        <f>TEXT(CS22,"jj/mm")</f>
        <v>01/06</v>
      </c>
      <c r="BT6" s="508"/>
      <c r="BU6" s="508"/>
      <c r="BV6" s="508"/>
      <c r="BW6" s="509"/>
      <c r="BX6" s="210"/>
      <c r="BY6" s="211"/>
      <c r="BZ6" s="34"/>
      <c r="CA6" s="34"/>
      <c r="CB6" s="510" t="s">
        <v>261</v>
      </c>
      <c r="CC6" s="511"/>
      <c r="CD6" s="511"/>
      <c r="CE6" s="511"/>
      <c r="CF6" s="511"/>
      <c r="CG6" s="511"/>
      <c r="CH6" s="511"/>
      <c r="CI6" s="512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A7" s="3">
        <v>101300</v>
      </c>
      <c r="B7" s="3" t="s">
        <v>3</v>
      </c>
      <c r="C7" s="3" t="s">
        <v>4</v>
      </c>
      <c r="D7" s="3">
        <v>0</v>
      </c>
      <c r="E7" s="4">
        <v>2941.1764705882351</v>
      </c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3737.6741176470605</v>
      </c>
      <c r="P7" s="13" t="s">
        <v>204</v>
      </c>
      <c r="Q7" s="12">
        <f>BC26</f>
        <v>10449.712941176469</v>
      </c>
      <c r="R7" s="14" t="s">
        <v>205</v>
      </c>
      <c r="S7" s="15">
        <f>O7/Q7</f>
        <v>0.35768198980078958</v>
      </c>
      <c r="T7" s="16">
        <v>24</v>
      </c>
      <c r="U7" s="17">
        <f>S7*T7</f>
        <v>8.584367755218949</v>
      </c>
      <c r="AO7" s="50" t="s">
        <v>225</v>
      </c>
      <c r="AP7" s="51">
        <f>K40-J40</f>
        <v>12011.462352941177</v>
      </c>
      <c r="AQ7" s="52">
        <f>SUM(AP7/AP5)</f>
        <v>0.25899425863005937</v>
      </c>
      <c r="AR7" s="42"/>
      <c r="AS7" s="53">
        <f>K333-J333</f>
        <v>11141.915294117647</v>
      </c>
      <c r="AT7" s="54">
        <f>SUM(AS7/AS5)</f>
        <v>0.24557313123719585</v>
      </c>
      <c r="AU7" s="42"/>
      <c r="AV7" s="48">
        <f>Moyenne!D9</f>
        <v>11568.157647058822</v>
      </c>
      <c r="AW7" s="54">
        <f>SUM(AV7/AV5)</f>
        <v>0.21210109813961359</v>
      </c>
      <c r="AX7" s="39"/>
      <c r="BB7" s="151" t="s">
        <v>23</v>
      </c>
      <c r="BC7" s="152">
        <f>$J$9-$K$9</f>
        <v>1514.2905882352941</v>
      </c>
      <c r="BD7" s="153">
        <f t="shared" si="2"/>
        <v>9.0607079405993773E-2</v>
      </c>
      <c r="BE7" s="145"/>
      <c r="BF7" s="154">
        <f>$J$303-$K$303</f>
        <v>1514.2905882352941</v>
      </c>
      <c r="BG7" s="153">
        <f t="shared" si="3"/>
        <v>8.7946011552135078E-2</v>
      </c>
      <c r="BH7" s="145"/>
      <c r="BI7" s="152">
        <f>Moyenne!D52</f>
        <v>1841.1094117647058</v>
      </c>
      <c r="BJ7" s="153">
        <f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A8" s="3">
        <v>106110</v>
      </c>
      <c r="B8" s="3" t="s">
        <v>3</v>
      </c>
      <c r="C8" s="3" t="s">
        <v>5</v>
      </c>
      <c r="D8" s="3">
        <v>0</v>
      </c>
      <c r="E8" s="4">
        <v>294.11764705882354</v>
      </c>
      <c r="H8">
        <v>20</v>
      </c>
      <c r="I8" t="s">
        <v>16</v>
      </c>
      <c r="J8" s="2">
        <f t="shared" si="0"/>
        <v>25211.426470588234</v>
      </c>
      <c r="K8" s="2">
        <f t="shared" si="1"/>
        <v>21199.365294117648</v>
      </c>
      <c r="L8" s="2"/>
      <c r="N8" s="18" t="s">
        <v>206</v>
      </c>
      <c r="O8" s="19">
        <f>BC21</f>
        <v>6263.0052941176491</v>
      </c>
      <c r="P8" s="493" t="s">
        <v>207</v>
      </c>
      <c r="Q8" s="494">
        <f>BC14</f>
        <v>16712.718235294116</v>
      </c>
      <c r="R8" s="20" t="s">
        <v>208</v>
      </c>
      <c r="S8" s="15">
        <f>O8/Q8</f>
        <v>0.3747448623223576</v>
      </c>
      <c r="T8" s="21">
        <v>22</v>
      </c>
      <c r="U8" s="22">
        <f t="shared" ref="U8:U11" si="4">S8*T8</f>
        <v>8.2443869710918669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7291.0576470588221</v>
      </c>
      <c r="BD8" s="157">
        <f t="shared" si="2"/>
        <v>0.43625803680824826</v>
      </c>
      <c r="BE8" s="145"/>
      <c r="BF8" s="156">
        <f>SUM(BF5:BF7)</f>
        <v>8366.0552941176484</v>
      </c>
      <c r="BG8" s="157">
        <f t="shared" si="3"/>
        <v>0.48587847092129399</v>
      </c>
      <c r="BH8" s="145"/>
      <c r="BI8" s="156">
        <f>Moyenne!D53</f>
        <v>14232.322058823531</v>
      </c>
      <c r="BJ8" s="157">
        <f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A9" s="3">
        <v>106800</v>
      </c>
      <c r="B9" s="3" t="s">
        <v>3</v>
      </c>
      <c r="C9" s="3" t="s">
        <v>6</v>
      </c>
      <c r="D9" s="3">
        <v>0</v>
      </c>
      <c r="E9" s="4">
        <v>904.6611764705882</v>
      </c>
      <c r="H9">
        <v>20</v>
      </c>
      <c r="I9" t="s">
        <v>23</v>
      </c>
      <c r="J9" s="2">
        <f t="shared" si="0"/>
        <v>1514.2905882352941</v>
      </c>
      <c r="K9" s="2">
        <f t="shared" si="1"/>
        <v>0</v>
      </c>
      <c r="N9" s="18" t="s">
        <v>209</v>
      </c>
      <c r="O9" s="19">
        <f>BC13</f>
        <v>9421.660588235296</v>
      </c>
      <c r="P9" s="493"/>
      <c r="Q9" s="495"/>
      <c r="R9" s="20" t="s">
        <v>210</v>
      </c>
      <c r="S9" s="15">
        <f>O9/Q8</f>
        <v>0.56374196319175185</v>
      </c>
      <c r="T9" s="21">
        <v>16</v>
      </c>
      <c r="U9" s="22">
        <f t="shared" si="4"/>
        <v>9.0198714110680296</v>
      </c>
      <c r="AO9" s="58" t="s">
        <v>226</v>
      </c>
      <c r="AP9" s="59">
        <f>SUM(AP11+AP10)</f>
        <v>17500.759411764702</v>
      </c>
      <c r="AQ9" s="60">
        <v>1</v>
      </c>
      <c r="AR9" s="42"/>
      <c r="AS9" s="59">
        <f>SUM(AS10:AS11)</f>
        <v>17392.635294117645</v>
      </c>
      <c r="AT9" s="61">
        <v>1</v>
      </c>
      <c r="AU9" s="42"/>
      <c r="AV9" s="59">
        <f>Moyenne!D11</f>
        <v>22069.007352941175</v>
      </c>
      <c r="AW9" s="61">
        <v>1</v>
      </c>
      <c r="AX9" s="39"/>
      <c r="BB9" s="142" t="s">
        <v>32</v>
      </c>
      <c r="BC9" s="148">
        <f>$J$11-$K$11</f>
        <v>4960.0594117647061</v>
      </c>
      <c r="BD9" s="149">
        <f t="shared" si="2"/>
        <v>0.29678352389678858</v>
      </c>
      <c r="BE9" s="145"/>
      <c r="BF9" s="150">
        <f>$J$305-$K$305</f>
        <v>3943.3205882352941</v>
      </c>
      <c r="BG9" s="149">
        <f t="shared" si="3"/>
        <v>0.22901768042477377</v>
      </c>
      <c r="BH9" s="145"/>
      <c r="BI9" s="148">
        <f>Moyenne!D54</f>
        <v>4784.7552941176473</v>
      </c>
      <c r="BJ9" s="144">
        <f>Moyenne!E54</f>
        <v>0.18010342865095569</v>
      </c>
      <c r="BK9" s="145"/>
      <c r="BO9" s="212"/>
      <c r="BP9" s="496" t="s">
        <v>262</v>
      </c>
      <c r="BQ9" s="497" t="s">
        <v>263</v>
      </c>
      <c r="BR9" s="213"/>
      <c r="BS9" s="498">
        <f>CS22</f>
        <v>43983</v>
      </c>
      <c r="BT9" s="498"/>
      <c r="BU9" s="498"/>
      <c r="BV9" s="498"/>
      <c r="BW9" s="498"/>
      <c r="BX9" s="212"/>
      <c r="BY9" s="498">
        <f>CU22</f>
        <v>43525</v>
      </c>
      <c r="BZ9" s="498"/>
      <c r="CA9" s="498"/>
      <c r="CB9" s="498"/>
      <c r="CC9" s="498"/>
      <c r="CD9" s="212"/>
      <c r="CE9" s="498" t="s">
        <v>422</v>
      </c>
      <c r="CF9" s="498"/>
      <c r="CG9" s="498"/>
      <c r="CH9" s="498"/>
      <c r="CI9" s="498"/>
      <c r="CJ9" s="212"/>
      <c r="CK9" s="34"/>
      <c r="CL9" s="34"/>
      <c r="CM9" s="34"/>
      <c r="CN9" s="34"/>
      <c r="CO9" s="513"/>
      <c r="CP9" s="513"/>
      <c r="CQ9" s="513"/>
      <c r="CR9" s="513"/>
      <c r="CS9" s="513"/>
      <c r="CT9" s="514" t="str">
        <f>A5</f>
        <v>Mag 1</v>
      </c>
      <c r="CU9" s="514"/>
      <c r="CV9" s="514"/>
      <c r="DD9">
        <v>7</v>
      </c>
    </row>
    <row r="10" spans="1:109" ht="18.75" customHeight="1">
      <c r="A10" s="3">
        <v>110000</v>
      </c>
      <c r="B10" s="3" t="s">
        <v>3</v>
      </c>
      <c r="C10" s="3" t="s">
        <v>7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2279.4117647058824</v>
      </c>
      <c r="K10" s="2">
        <f t="shared" si="1"/>
        <v>514.70588235294122</v>
      </c>
      <c r="N10" s="18" t="s">
        <v>211</v>
      </c>
      <c r="O10" s="19">
        <f>AP38</f>
        <v>48.581764705882357</v>
      </c>
      <c r="P10" s="23" t="s">
        <v>212</v>
      </c>
      <c r="Q10" s="19">
        <f>AP5</f>
        <v>46377.330588235294</v>
      </c>
      <c r="R10" s="20" t="s">
        <v>213</v>
      </c>
      <c r="S10" s="15">
        <f>O10/Q10</f>
        <v>1.0475325787337633E-3</v>
      </c>
      <c r="T10" s="21">
        <v>-87</v>
      </c>
      <c r="U10" s="22">
        <f t="shared" si="4"/>
        <v>-9.1135334349837407E-2</v>
      </c>
      <c r="AO10" s="62" t="s">
        <v>224</v>
      </c>
      <c r="AP10" s="63">
        <f>J39-K39</f>
        <v>12994.734117647056</v>
      </c>
      <c r="AQ10" s="64">
        <f>SUM(AP10/AP9)</f>
        <v>0.74252401349575048</v>
      </c>
      <c r="AR10" s="42"/>
      <c r="AS10" s="65">
        <f>J332-K332</f>
        <v>12448.346470588234</v>
      </c>
      <c r="AT10" s="66">
        <f>SUM(AS10/AS9)</f>
        <v>0.71572514803425935</v>
      </c>
      <c r="AU10" s="42"/>
      <c r="AV10" s="65">
        <f>Moyenne!D12</f>
        <v>16163.949411764705</v>
      </c>
      <c r="AW10" s="67">
        <f>SUM(AV10/AV9)</f>
        <v>0.732427569272186</v>
      </c>
      <c r="AX10" s="39"/>
      <c r="BB10" s="147" t="s">
        <v>39</v>
      </c>
      <c r="BC10" s="148">
        <f>$J$14-$K$14</f>
        <v>4374.8147058823533</v>
      </c>
      <c r="BD10" s="149">
        <f t="shared" si="2"/>
        <v>0.26176559936513305</v>
      </c>
      <c r="BE10" s="145"/>
      <c r="BF10" s="150">
        <f>$J$307-$K$307</f>
        <v>3204.9035294117648</v>
      </c>
      <c r="BG10" s="149">
        <f t="shared" si="3"/>
        <v>0.18613236125940294</v>
      </c>
      <c r="BH10" s="145"/>
      <c r="BI10" s="148">
        <f>Moyenne!D55</f>
        <v>4459.8523529411768</v>
      </c>
      <c r="BJ10" s="149">
        <f>Moyenne!E55</f>
        <v>0.167873726171374</v>
      </c>
      <c r="BK10" s="145"/>
      <c r="BO10" s="212"/>
      <c r="BP10" s="496"/>
      <c r="BQ10" s="497"/>
      <c r="BR10" s="212"/>
      <c r="BS10" s="515">
        <f>U12</f>
        <v>18.284337973754486</v>
      </c>
      <c r="BT10" s="515"/>
      <c r="BU10" s="515"/>
      <c r="BV10" s="515"/>
      <c r="BW10" s="515"/>
      <c r="BX10" s="212"/>
      <c r="BY10" s="515">
        <f>T306</f>
        <v>18.987660598154694</v>
      </c>
      <c r="BZ10" s="515"/>
      <c r="CA10" s="515"/>
      <c r="CB10" s="515"/>
      <c r="CC10" s="515"/>
      <c r="CD10" s="212"/>
      <c r="CE10" s="515">
        <f>Moyenne!$I$85</f>
        <v>16.998273903208627</v>
      </c>
      <c r="CF10" s="515"/>
      <c r="CG10" s="515"/>
      <c r="CH10" s="515"/>
      <c r="CI10" s="515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A11" s="3">
        <v>120000</v>
      </c>
      <c r="B11" s="3" t="s">
        <v>3</v>
      </c>
      <c r="C11" s="3" t="s">
        <v>8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4960.0594117647061</v>
      </c>
      <c r="K11" s="2">
        <f t="shared" si="1"/>
        <v>0</v>
      </c>
      <c r="N11" s="24" t="s">
        <v>214</v>
      </c>
      <c r="O11" s="25">
        <f>AP26</f>
        <v>11965.67294117647</v>
      </c>
      <c r="P11" s="26" t="s">
        <v>215</v>
      </c>
      <c r="Q11" s="25">
        <f>AP29+AP26+AP27</f>
        <v>16011.545882352942</v>
      </c>
      <c r="R11" s="27" t="s">
        <v>216</v>
      </c>
      <c r="S11" s="28">
        <f>O11/Q11</f>
        <v>0.74731528292745208</v>
      </c>
      <c r="T11" s="29">
        <v>-10</v>
      </c>
      <c r="U11" s="30">
        <f t="shared" si="4"/>
        <v>-7.4731528292745208</v>
      </c>
      <c r="AO11" s="68" t="s">
        <v>225</v>
      </c>
      <c r="AP11" s="69">
        <f>J38-K38</f>
        <v>4506.0252941176477</v>
      </c>
      <c r="AQ11" s="70">
        <f>SUM(AP11/AP9)</f>
        <v>0.25747598650424963</v>
      </c>
      <c r="AR11" s="42"/>
      <c r="AS11" s="69">
        <f>J331-K331</f>
        <v>4944.2888235294113</v>
      </c>
      <c r="AT11" s="71">
        <f>SUM(AS11/AS9)</f>
        <v>0.28427485196574076</v>
      </c>
      <c r="AU11" s="42"/>
      <c r="AV11" s="69">
        <f>Moyenne!D13</f>
        <v>5905.0579411764702</v>
      </c>
      <c r="AW11" s="72">
        <f>SUM(AV11/AV9)</f>
        <v>0.267572430727814</v>
      </c>
      <c r="AX11" s="39"/>
      <c r="BB11" s="147" t="s">
        <v>70</v>
      </c>
      <c r="BC11" s="148">
        <f>$J$18-$K$18</f>
        <v>18.633529411764705</v>
      </c>
      <c r="BD11" s="149">
        <f t="shared" si="2"/>
        <v>1.1149311051277223E-3</v>
      </c>
      <c r="BE11" s="145"/>
      <c r="BF11" s="150">
        <f>$J$311-$K$311</f>
        <v>4.3570588235294112</v>
      </c>
      <c r="BG11" s="149">
        <f t="shared" si="3"/>
        <v>2.5304650811704664E-4</v>
      </c>
      <c r="BH11" s="145"/>
      <c r="BI11" s="148">
        <f>Moyenne!D56</f>
        <v>2718.2920588235293</v>
      </c>
      <c r="BJ11" s="149">
        <f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A12" s="3">
        <v>164101</v>
      </c>
      <c r="B12" s="3" t="s">
        <v>9</v>
      </c>
      <c r="C12" s="3" t="s">
        <v>10</v>
      </c>
      <c r="D12" s="3">
        <v>0</v>
      </c>
      <c r="E12" s="3">
        <v>0</v>
      </c>
      <c r="H12">
        <v>40</v>
      </c>
      <c r="I12" t="s">
        <v>35</v>
      </c>
      <c r="J12" s="2">
        <f t="shared" si="0"/>
        <v>2039.0635294117646</v>
      </c>
      <c r="K12" s="2">
        <f t="shared" si="1"/>
        <v>10191.962941176469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18.284337973754486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68.152941176470591</v>
      </c>
      <c r="BD12" s="149">
        <f t="shared" si="2"/>
        <v>4.0779088247024E-3</v>
      </c>
      <c r="BE12" s="145"/>
      <c r="BF12" s="150">
        <f>$J$312-$K$312</f>
        <v>1699.7747058823529</v>
      </c>
      <c r="BG12" s="149">
        <f t="shared" si="3"/>
        <v>9.8718440886412309E-2</v>
      </c>
      <c r="BH12" s="145"/>
      <c r="BI12" s="148">
        <f>Moyenne!D57</f>
        <v>371.48676470588236</v>
      </c>
      <c r="BJ12" s="153">
        <f>Moyenne!E57</f>
        <v>1.3983168607229333E-2</v>
      </c>
      <c r="BK12" s="145"/>
      <c r="BO12" s="212"/>
      <c r="BP12" s="516" t="s">
        <v>264</v>
      </c>
      <c r="BQ12" s="516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43983</v>
      </c>
      <c r="CT12" s="251" t="s">
        <v>332</v>
      </c>
      <c r="CU12" s="468">
        <f>A584</f>
        <v>43525</v>
      </c>
      <c r="CV12" s="34"/>
      <c r="DD12">
        <v>10</v>
      </c>
    </row>
    <row r="13" spans="1:109" ht="24.75" thickTop="1" thickBot="1">
      <c r="A13" s="3">
        <v>164102</v>
      </c>
      <c r="B13" s="3" t="s">
        <v>9</v>
      </c>
      <c r="C13" s="3" t="s">
        <v>11</v>
      </c>
      <c r="D13" s="3">
        <v>0</v>
      </c>
      <c r="E13" s="3">
        <v>0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28876.571176470588</v>
      </c>
      <c r="AQ13" s="75">
        <f>SUM(AP13/AP5)</f>
        <v>0.62264409810158006</v>
      </c>
      <c r="AR13" s="42"/>
      <c r="AS13" s="74">
        <f>SUM(AS14:AS15)</f>
        <v>27978.432941176463</v>
      </c>
      <c r="AT13" s="76">
        <f>SUM(AS13/AS5)</f>
        <v>0.61665801642757156</v>
      </c>
      <c r="AU13" s="42"/>
      <c r="AV13" s="74">
        <f>Moyenne!D15</f>
        <v>32471.764705882353</v>
      </c>
      <c r="AW13" s="76">
        <f>SUM(AV13/AV5)</f>
        <v>0.59536679588731856</v>
      </c>
      <c r="AX13" s="39"/>
      <c r="BB13" s="155" t="s">
        <v>244</v>
      </c>
      <c r="BC13" s="156">
        <f>SUM(BC9:BC12)</f>
        <v>9421.660588235296</v>
      </c>
      <c r="BD13" s="157">
        <f t="shared" si="2"/>
        <v>0.56374196319175185</v>
      </c>
      <c r="BE13" s="145"/>
      <c r="BF13" s="156">
        <f>SUM(BF9:BF12)</f>
        <v>8852.355882352942</v>
      </c>
      <c r="BG13" s="157">
        <f t="shared" si="3"/>
        <v>0.51412152907870612</v>
      </c>
      <c r="BH13" s="145"/>
      <c r="BI13" s="156">
        <f>Moyenne!D58</f>
        <v>12334.386470588237</v>
      </c>
      <c r="BJ13" s="157">
        <f>Moyenne!E58</f>
        <v>0.46427981309513555</v>
      </c>
      <c r="BK13" s="145"/>
      <c r="BO13" s="212"/>
      <c r="BP13" s="517" t="s">
        <v>265</v>
      </c>
      <c r="BQ13" s="517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A14" s="3">
        <v>168840</v>
      </c>
      <c r="B14" s="3" t="s">
        <v>9</v>
      </c>
      <c r="C14" s="3" t="s">
        <v>12</v>
      </c>
      <c r="D14" s="3">
        <v>0</v>
      </c>
      <c r="E14" s="3">
        <v>0</v>
      </c>
      <c r="H14">
        <v>41</v>
      </c>
      <c r="I14" t="s">
        <v>39</v>
      </c>
      <c r="J14" s="2">
        <f t="shared" si="0"/>
        <v>4374.8147058823533</v>
      </c>
      <c r="K14" s="2">
        <f t="shared" si="1"/>
        <v>0</v>
      </c>
      <c r="AO14" s="62" t="s">
        <v>224</v>
      </c>
      <c r="AP14" s="77">
        <f>SUM(AP6-AP10)</f>
        <v>21371.13411764706</v>
      </c>
      <c r="AQ14" s="78">
        <f>SUM(AP14/AP6)</f>
        <v>0.62187092062753924</v>
      </c>
      <c r="AR14" s="42"/>
      <c r="AS14" s="79">
        <f>SUM(AS6-AS10)</f>
        <v>21780.806470588228</v>
      </c>
      <c r="AT14" s="80">
        <f>SUM(AS14/AS6)</f>
        <v>0.6363232682976121</v>
      </c>
      <c r="AU14" s="42"/>
      <c r="AV14" s="81">
        <f>Moyenne!D16</f>
        <v>26808.665000000001</v>
      </c>
      <c r="AW14" s="82">
        <f>SUM(AV14/AV6)</f>
        <v>0.62385464247342914</v>
      </c>
      <c r="AX14" s="39"/>
      <c r="BB14" s="158" t="s">
        <v>245</v>
      </c>
      <c r="BC14" s="159">
        <f>BC8+BC13</f>
        <v>16712.718235294116</v>
      </c>
      <c r="BD14" s="160">
        <v>1</v>
      </c>
      <c r="BE14" s="161"/>
      <c r="BF14" s="159">
        <f>BF8+BF13</f>
        <v>17218.411176470589</v>
      </c>
      <c r="BG14" s="160">
        <v>1</v>
      </c>
      <c r="BH14" s="161"/>
      <c r="BI14" s="159">
        <f>Moyenne!D59</f>
        <v>26566.708529411764</v>
      </c>
      <c r="BJ14" s="160">
        <v>1</v>
      </c>
      <c r="BK14" s="145"/>
      <c r="BO14" s="212"/>
      <c r="BP14" s="518" t="s">
        <v>266</v>
      </c>
      <c r="BQ14" s="518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A15" s="3">
        <v>205000</v>
      </c>
      <c r="B15" s="3" t="s">
        <v>13</v>
      </c>
      <c r="C15" s="3" t="s">
        <v>14</v>
      </c>
      <c r="D15" s="4">
        <v>514.70588235294122</v>
      </c>
      <c r="E15" s="3">
        <v>0</v>
      </c>
      <c r="H15">
        <v>42</v>
      </c>
      <c r="I15" t="s">
        <v>42</v>
      </c>
      <c r="J15" s="2">
        <f t="shared" si="0"/>
        <v>359.67705882352936</v>
      </c>
      <c r="K15" s="2">
        <f t="shared" si="1"/>
        <v>2358.4494117647059</v>
      </c>
      <c r="AO15" s="68" t="s">
        <v>225</v>
      </c>
      <c r="AP15" s="83">
        <f>SUM(AP7-AP11)</f>
        <v>7505.4370588235288</v>
      </c>
      <c r="AQ15" s="84">
        <f>SUM(AP15/AP7)</f>
        <v>0.62485622801670904</v>
      </c>
      <c r="AR15" s="42"/>
      <c r="AS15" s="83">
        <f>SUM(AS7-AS11)</f>
        <v>6197.6264705882359</v>
      </c>
      <c r="AT15" s="85">
        <f>SUM(AS15/AS7)</f>
        <v>0.55624426384396053</v>
      </c>
      <c r="AU15" s="42"/>
      <c r="AV15" s="86">
        <f>Moyenne!D17</f>
        <v>5663.0997058823523</v>
      </c>
      <c r="AW15" s="87">
        <f>SUM(AV15/AV7)</f>
        <v>0.4895420583520646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A16" s="3">
        <v>206000</v>
      </c>
      <c r="B16" s="3" t="s">
        <v>13</v>
      </c>
      <c r="C16" s="3" t="s">
        <v>15</v>
      </c>
      <c r="D16" s="4">
        <v>1764.7058823529412</v>
      </c>
      <c r="E16" s="3">
        <v>0</v>
      </c>
      <c r="H16">
        <v>45</v>
      </c>
      <c r="I16" t="s">
        <v>65</v>
      </c>
      <c r="J16" s="2">
        <f t="shared" si="0"/>
        <v>1314.5588235294117</v>
      </c>
      <c r="K16" s="2">
        <f t="shared" si="1"/>
        <v>2239.5423529411764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4139.9552941176471</v>
      </c>
      <c r="BD16" s="144">
        <f t="shared" ref="BD16:BD26" si="5">BC16/$BC$14</f>
        <v>0.24771286369053003</v>
      </c>
      <c r="BE16" s="167"/>
      <c r="BF16" s="146">
        <f>$K$300-$J$300</f>
        <v>2739.7282352941174</v>
      </c>
      <c r="BG16" s="144">
        <f t="shared" ref="BG16:BG26" si="6">BF16/$BF$14</f>
        <v>0.15911620457978307</v>
      </c>
      <c r="BH16" s="168"/>
      <c r="BI16" s="143">
        <f>Moyenne!D61</f>
        <v>6120.7132352941171</v>
      </c>
      <c r="BJ16" s="144">
        <f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>
      <c r="A17" s="3">
        <v>213100</v>
      </c>
      <c r="B17" s="3" t="s">
        <v>16</v>
      </c>
      <c r="C17" s="3" t="s">
        <v>17</v>
      </c>
      <c r="D17" s="4">
        <v>4010.5882352941176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5492.9041176470582</v>
      </c>
      <c r="AQ17" s="90">
        <f>SUM(AP17/AP5)</f>
        <v>0.11843941960386274</v>
      </c>
      <c r="AR17" s="42"/>
      <c r="AS17" s="89">
        <f>J318-K318</f>
        <v>5797.5552941176475</v>
      </c>
      <c r="AT17" s="91">
        <f>SUM(AS17/AS5)</f>
        <v>0.12778088591724485</v>
      </c>
      <c r="AU17" s="42"/>
      <c r="AV17" s="89">
        <f>Moyenne!D19</f>
        <v>6967.3464705882343</v>
      </c>
      <c r="AW17" s="92">
        <f>SUM(AV17/AV5)</f>
        <v>0.12774565169473187</v>
      </c>
      <c r="AX17" s="39"/>
      <c r="BB17" s="169" t="s">
        <v>246</v>
      </c>
      <c r="BC17" s="170">
        <f>$J$44</f>
        <v>1198.0664705882373</v>
      </c>
      <c r="BD17" s="171">
        <f t="shared" si="5"/>
        <v>7.1685913309909477E-2</v>
      </c>
      <c r="BE17" s="145"/>
      <c r="BF17" s="172">
        <f>$J$338</f>
        <v>1400.227058823526</v>
      </c>
      <c r="BG17" s="171">
        <f t="shared" si="6"/>
        <v>8.1321501994154555E-2</v>
      </c>
      <c r="BH17" s="145"/>
      <c r="BI17" s="170">
        <f>Moyenne!D62</f>
        <v>1693.8326470588145</v>
      </c>
      <c r="BJ17" s="171">
        <f>Moyenne!E62</f>
        <v>6.3757715607998172E-2</v>
      </c>
      <c r="BK17" s="145"/>
      <c r="BO17" s="34"/>
      <c r="BP17" s="519" t="s">
        <v>267</v>
      </c>
      <c r="BQ17" s="519"/>
      <c r="BR17" s="519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.5" thickBot="1">
      <c r="A18" s="3">
        <v>214500</v>
      </c>
      <c r="B18" s="3" t="s">
        <v>16</v>
      </c>
      <c r="C18" s="3" t="s">
        <v>18</v>
      </c>
      <c r="D18" s="4">
        <v>5907.3964705882354</v>
      </c>
      <c r="E18" s="3">
        <v>0</v>
      </c>
      <c r="H18">
        <v>46</v>
      </c>
      <c r="I18" t="s">
        <v>70</v>
      </c>
      <c r="J18" s="2">
        <f t="shared" si="0"/>
        <v>18.633529411764705</v>
      </c>
      <c r="K18" s="2">
        <f t="shared" si="1"/>
        <v>0</v>
      </c>
      <c r="AO18" s="93" t="s">
        <v>124</v>
      </c>
      <c r="AP18" s="94">
        <f>J26-K26</f>
        <v>3778.0223529411765</v>
      </c>
      <c r="AQ18" s="64">
        <f>SUM(AP18/AP5)</f>
        <v>8.146269535184418E-2</v>
      </c>
      <c r="AR18" s="95"/>
      <c r="AS18" s="94">
        <f>J319-K319</f>
        <v>4104.8805882352935</v>
      </c>
      <c r="AT18" s="67">
        <f>SUM(AS18/AS5)</f>
        <v>9.0473527467931886E-2</v>
      </c>
      <c r="AU18" s="42"/>
      <c r="AV18" s="65">
        <f>Moyenne!D20</f>
        <v>3220.185882352941</v>
      </c>
      <c r="AW18" s="67">
        <f>SUM(AV18/AV5)</f>
        <v>5.9041809655350934E-2</v>
      </c>
      <c r="AX18" s="39"/>
      <c r="BB18" s="151" t="s">
        <v>65</v>
      </c>
      <c r="BC18" s="152">
        <f>$K$16-$J$16</f>
        <v>924.98352941176472</v>
      </c>
      <c r="BD18" s="153">
        <f t="shared" si="5"/>
        <v>5.5346085321918106E-2</v>
      </c>
      <c r="BE18" s="167"/>
      <c r="BF18" s="154">
        <f>$K$309-$J$309</f>
        <v>872.5241176470588</v>
      </c>
      <c r="BG18" s="153">
        <f t="shared" si="6"/>
        <v>5.0673904154373194E-2</v>
      </c>
      <c r="BH18" s="167"/>
      <c r="BI18" s="152">
        <f>Moyenne!D63</f>
        <v>462.49176470588236</v>
      </c>
      <c r="BJ18" s="153">
        <f>Moyenne!E63</f>
        <v>1.7408696459098871E-2</v>
      </c>
      <c r="BK18" s="145"/>
      <c r="BO18" s="34"/>
      <c r="BP18" s="223" t="s">
        <v>268</v>
      </c>
      <c r="BQ18" s="224"/>
      <c r="BR18" s="225"/>
      <c r="BS18" s="520">
        <f>AP5</f>
        <v>46377.330588235294</v>
      </c>
      <c r="BT18" s="521"/>
      <c r="BU18" s="521"/>
      <c r="BV18" s="521"/>
      <c r="BW18" s="522"/>
      <c r="BX18" s="226"/>
      <c r="BY18" s="520">
        <f>AS5</f>
        <v>45371.068235294108</v>
      </c>
      <c r="BZ18" s="521"/>
      <c r="CA18" s="521"/>
      <c r="CB18" s="521"/>
      <c r="CC18" s="522"/>
      <c r="CD18" s="226"/>
      <c r="CE18" s="520">
        <f>Moyenne!D7</f>
        <v>54540.772058823524</v>
      </c>
      <c r="CF18" s="521"/>
      <c r="CG18" s="521"/>
      <c r="CH18" s="521"/>
      <c r="CI18" s="521"/>
      <c r="CJ18" s="522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>
      <c r="A19" s="3">
        <v>215000</v>
      </c>
      <c r="B19" s="3" t="s">
        <v>16</v>
      </c>
      <c r="C19" s="3" t="s">
        <v>19</v>
      </c>
      <c r="D19" s="4">
        <v>2195.3311764705882</v>
      </c>
      <c r="E19" s="3">
        <v>0</v>
      </c>
      <c r="H19">
        <v>50</v>
      </c>
      <c r="I19" t="s">
        <v>75</v>
      </c>
      <c r="J19" s="2">
        <f t="shared" si="0"/>
        <v>68.152941176470591</v>
      </c>
      <c r="K19" s="2">
        <f t="shared" si="1"/>
        <v>0</v>
      </c>
      <c r="AO19" s="62" t="s">
        <v>110</v>
      </c>
      <c r="AP19" s="65">
        <f>J21-K21</f>
        <v>367.13588235294117</v>
      </c>
      <c r="AQ19" s="64">
        <f>SUM(AP19/AP5)</f>
        <v>7.9162788736718247E-3</v>
      </c>
      <c r="AR19" s="42"/>
      <c r="AS19" s="65">
        <f>J314-K314</f>
        <v>630.98176470588237</v>
      </c>
      <c r="AT19" s="66">
        <f>SUM(AS19/AS5)</f>
        <v>1.3907139268434555E-2</v>
      </c>
      <c r="AU19" s="42"/>
      <c r="AV19" s="65">
        <f>Moyenne!D21</f>
        <v>316.65499999999997</v>
      </c>
      <c r="AW19" s="67">
        <f>SUM(AV19/AV5)</f>
        <v>5.8058400724228841E-3</v>
      </c>
      <c r="AX19" s="39"/>
      <c r="BB19" s="173" t="s">
        <v>247</v>
      </c>
      <c r="BC19" s="174">
        <f>SUM(BC16:BC18)</f>
        <v>6263.0052941176491</v>
      </c>
      <c r="BD19" s="175">
        <f t="shared" si="5"/>
        <v>0.3747448623223576</v>
      </c>
      <c r="BE19" s="167"/>
      <c r="BF19" s="174">
        <f>SUM(BF16:BF18)</f>
        <v>5012.4794117647025</v>
      </c>
      <c r="BG19" s="175">
        <f t="shared" si="6"/>
        <v>0.29111161072831082</v>
      </c>
      <c r="BH19" s="167"/>
      <c r="BI19" s="156">
        <f>Moyenne!D64</f>
        <v>8277.0376470588126</v>
      </c>
      <c r="BJ19" s="157">
        <f>Moyenne!E64</f>
        <v>0.31155676051835246</v>
      </c>
      <c r="BK19" s="145"/>
      <c r="BO19" s="34"/>
      <c r="BP19" s="228" t="s">
        <v>269</v>
      </c>
      <c r="BQ19" s="229"/>
      <c r="BR19" s="230"/>
      <c r="BS19" s="523">
        <f>AQ13</f>
        <v>0.62264409810158006</v>
      </c>
      <c r="BT19" s="524"/>
      <c r="BU19" s="524"/>
      <c r="BV19" s="524"/>
      <c r="BW19" s="525"/>
      <c r="BX19" s="226"/>
      <c r="BY19" s="523">
        <f>AT13</f>
        <v>0.61665801642757156</v>
      </c>
      <c r="BZ19" s="524"/>
      <c r="CA19" s="524"/>
      <c r="CB19" s="524"/>
      <c r="CC19" s="525"/>
      <c r="CD19" s="226"/>
      <c r="CE19" s="523">
        <f>Moyenne!E15</f>
        <v>0.59536679588731856</v>
      </c>
      <c r="CF19" s="524"/>
      <c r="CG19" s="524"/>
      <c r="CH19" s="524"/>
      <c r="CI19" s="524"/>
      <c r="CJ19" s="525"/>
      <c r="CK19" s="34"/>
      <c r="CL19" s="34"/>
      <c r="CM19" s="536" t="s">
        <v>270</v>
      </c>
      <c r="CN19" s="537"/>
      <c r="CO19" s="537"/>
      <c r="CP19" s="537"/>
      <c r="CQ19" s="537"/>
      <c r="CR19" s="537"/>
      <c r="CS19" s="537"/>
      <c r="CT19" s="537"/>
      <c r="CU19" s="537"/>
      <c r="CV19" s="538"/>
    </row>
    <row r="20" spans="1:100" ht="24" thickBot="1">
      <c r="A20" s="3">
        <v>218100</v>
      </c>
      <c r="B20" s="3" t="s">
        <v>16</v>
      </c>
      <c r="C20" s="3" t="s">
        <v>20</v>
      </c>
      <c r="D20" s="4">
        <v>2699.1752941176474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298.0411764705882</v>
      </c>
      <c r="AO20" s="68" t="s">
        <v>228</v>
      </c>
      <c r="AP20" s="69">
        <f>J22-K22</f>
        <v>3226.9629411764713</v>
      </c>
      <c r="AQ20" s="70">
        <f>SUM(AP20/AP5)</f>
        <v>6.9580609755816064E-2</v>
      </c>
      <c r="AR20" s="42"/>
      <c r="AS20" s="69">
        <f>J315-K315</f>
        <v>2697.4741176470598</v>
      </c>
      <c r="AT20" s="71">
        <f>SUM(AS20/AS5)</f>
        <v>5.9453617086068458E-2</v>
      </c>
      <c r="AU20" s="42"/>
      <c r="AV20" s="69">
        <f>Moyenne!D22</f>
        <v>2396.2767647058822</v>
      </c>
      <c r="AW20" s="72">
        <f>SUM(AV20/AV5)</f>
        <v>4.3935512356177146E-2</v>
      </c>
      <c r="AX20" s="39"/>
      <c r="BB20" s="176" t="s">
        <v>9</v>
      </c>
      <c r="BC20" s="177">
        <f>$K$7-$J$7</f>
        <v>0</v>
      </c>
      <c r="BD20" s="178">
        <f t="shared" si="5"/>
        <v>0</v>
      </c>
      <c r="BE20" s="145"/>
      <c r="BF20" s="179">
        <f>$K$301-$J$301</f>
        <v>1734.0117647058823</v>
      </c>
      <c r="BG20" s="178">
        <f t="shared" si="6"/>
        <v>0.10070683914642804</v>
      </c>
      <c r="BH20" s="145"/>
      <c r="BI20" s="180">
        <f>Moyenne!D65</f>
        <v>6401.5894117647058</v>
      </c>
      <c r="BJ20" s="181">
        <f>Moyenne!E65</f>
        <v>0.24096283529732573</v>
      </c>
      <c r="BK20" s="145"/>
      <c r="BO20" s="34"/>
      <c r="BP20" s="228" t="s">
        <v>271</v>
      </c>
      <c r="BQ20" s="229"/>
      <c r="BR20" s="230"/>
      <c r="BS20" s="523">
        <f>AQ17</f>
        <v>0.11843941960386274</v>
      </c>
      <c r="BT20" s="524"/>
      <c r="BU20" s="524"/>
      <c r="BV20" s="524"/>
      <c r="BW20" s="525"/>
      <c r="BX20" s="226"/>
      <c r="BY20" s="523">
        <f>AT17</f>
        <v>0.12778088591724485</v>
      </c>
      <c r="BZ20" s="524"/>
      <c r="CA20" s="524"/>
      <c r="CB20" s="524"/>
      <c r="CC20" s="525"/>
      <c r="CD20" s="226"/>
      <c r="CE20" s="523">
        <f>Moyenne!E19</f>
        <v>0.12774565169473187</v>
      </c>
      <c r="CF20" s="524"/>
      <c r="CG20" s="524"/>
      <c r="CH20" s="524"/>
      <c r="CI20" s="524"/>
      <c r="CJ20" s="525"/>
      <c r="CK20" s="34"/>
      <c r="CL20" s="34"/>
      <c r="CM20" s="231"/>
      <c r="CN20" s="526" t="s">
        <v>272</v>
      </c>
      <c r="CO20" s="527"/>
      <c r="CP20" s="232"/>
      <c r="CQ20" s="232"/>
      <c r="CR20" s="232"/>
      <c r="CS20" s="530" t="s">
        <v>421</v>
      </c>
      <c r="CT20" s="531"/>
      <c r="CU20" s="532"/>
      <c r="CV20" s="233"/>
    </row>
    <row r="21" spans="1:100" ht="24" thickBot="1">
      <c r="A21" s="3">
        <v>218300</v>
      </c>
      <c r="B21" s="3" t="s">
        <v>16</v>
      </c>
      <c r="C21" s="3" t="s">
        <v>21</v>
      </c>
      <c r="D21" s="4">
        <v>1527.4741176470588</v>
      </c>
      <c r="E21" s="3">
        <v>0</v>
      </c>
      <c r="H21">
        <v>62</v>
      </c>
      <c r="I21" t="s">
        <v>110</v>
      </c>
      <c r="J21" s="2">
        <f t="shared" si="0"/>
        <v>367.13588235294117</v>
      </c>
      <c r="K21" s="2">
        <f t="shared" si="1"/>
        <v>0</v>
      </c>
      <c r="AO21" s="96" t="s">
        <v>229</v>
      </c>
      <c r="AP21" s="97">
        <f>SUM(AP17:AP20)</f>
        <v>12865.025294117646</v>
      </c>
      <c r="AQ21" s="98">
        <f>SUM(AP21/AP5)</f>
        <v>0.27739900358519476</v>
      </c>
      <c r="AR21" s="42"/>
      <c r="AS21" s="97">
        <f>SUM(AS17:AS20)</f>
        <v>13230.891764705882</v>
      </c>
      <c r="AT21" s="99">
        <f>SUM(AS21/AS5)</f>
        <v>0.29161516973967971</v>
      </c>
      <c r="AU21" s="42"/>
      <c r="AV21" s="97">
        <f>Moyenne!D23</f>
        <v>12900.464117647058</v>
      </c>
      <c r="AW21" s="99">
        <f>SUM(AV21/AV5)</f>
        <v>0.23652881377868284</v>
      </c>
      <c r="AX21" s="39"/>
      <c r="BB21" s="182" t="s">
        <v>248</v>
      </c>
      <c r="BC21" s="183">
        <f>BC19+BC20</f>
        <v>6263.0052941176491</v>
      </c>
      <c r="BD21" s="184">
        <f t="shared" si="5"/>
        <v>0.3747448623223576</v>
      </c>
      <c r="BE21" s="145"/>
      <c r="BF21" s="185">
        <f>BF19+BF20</f>
        <v>6746.4911764705848</v>
      </c>
      <c r="BG21" s="184">
        <f t="shared" si="6"/>
        <v>0.39181844987473885</v>
      </c>
      <c r="BH21" s="145"/>
      <c r="BI21" s="183">
        <f>Moyenne!D66</f>
        <v>14678.62705882352</v>
      </c>
      <c r="BJ21" s="184">
        <f>Moyenne!E66</f>
        <v>0.55251959581567822</v>
      </c>
      <c r="BK21" s="145"/>
      <c r="BO21" s="34"/>
      <c r="BP21" s="234" t="s">
        <v>273</v>
      </c>
      <c r="BQ21" s="235"/>
      <c r="BR21" s="236"/>
      <c r="BS21" s="539">
        <f>AQ36</f>
        <v>2.0532901837868052E-2</v>
      </c>
      <c r="BT21" s="540"/>
      <c r="BU21" s="540"/>
      <c r="BV21" s="540"/>
      <c r="BW21" s="541"/>
      <c r="BX21" s="237"/>
      <c r="BY21" s="539">
        <f>AT36</f>
        <v>3.8176712664364752E-2</v>
      </c>
      <c r="BZ21" s="540"/>
      <c r="CA21" s="540"/>
      <c r="CB21" s="540"/>
      <c r="CC21" s="541"/>
      <c r="CD21" s="237"/>
      <c r="CE21" s="539">
        <f>Moyenne!E38</f>
        <v>2.9310382343484237E-2</v>
      </c>
      <c r="CF21" s="540"/>
      <c r="CG21" s="540"/>
      <c r="CH21" s="540"/>
      <c r="CI21" s="540"/>
      <c r="CJ21" s="541"/>
      <c r="CK21" s="34"/>
      <c r="CL21" s="34"/>
      <c r="CM21" s="238"/>
      <c r="CN21" s="528"/>
      <c r="CO21" s="529"/>
      <c r="CP21" s="239"/>
      <c r="CQ21" s="232"/>
      <c r="CR21" s="232"/>
      <c r="CS21" s="533"/>
      <c r="CT21" s="534"/>
      <c r="CU21" s="535"/>
      <c r="CV21" s="240"/>
    </row>
    <row r="22" spans="1:100" ht="23.25" customHeight="1">
      <c r="A22" s="3">
        <v>218400</v>
      </c>
      <c r="B22" s="3" t="s">
        <v>16</v>
      </c>
      <c r="C22" s="3" t="s">
        <v>22</v>
      </c>
      <c r="D22" s="4">
        <v>8871.4611764705878</v>
      </c>
      <c r="E22" s="3">
        <v>0</v>
      </c>
      <c r="H22">
        <v>62</v>
      </c>
      <c r="I22" t="s">
        <v>83</v>
      </c>
      <c r="J22" s="2">
        <f t="shared" si="0"/>
        <v>5446.931176470589</v>
      </c>
      <c r="K22" s="2">
        <f t="shared" si="1"/>
        <v>2219.9682352941177</v>
      </c>
      <c r="AO22" s="88" t="s">
        <v>143</v>
      </c>
      <c r="AP22" s="89">
        <f>J30-K30</f>
        <v>8300.0570588235296</v>
      </c>
      <c r="AQ22" s="90">
        <f>SUM(AP22/AP5)</f>
        <v>0.17896797753446023</v>
      </c>
      <c r="AR22" s="42"/>
      <c r="AS22" s="89">
        <f>J323-K323</f>
        <v>6709.8347058823529</v>
      </c>
      <c r="AT22" s="91">
        <f>SUM(AS22/AS5)</f>
        <v>0.1478879595932189</v>
      </c>
      <c r="AU22" s="42"/>
      <c r="AV22" s="89">
        <f>Moyenne!D24</f>
        <v>9544.3720588235301</v>
      </c>
      <c r="AW22" s="92">
        <f>SUM(AV22/AV5)</f>
        <v>0.17499517697567055</v>
      </c>
      <c r="AX22" s="39"/>
      <c r="BB22" s="147" t="s">
        <v>35</v>
      </c>
      <c r="BC22" s="148">
        <f>$K$12-$J$12</f>
        <v>8152.8994117647044</v>
      </c>
      <c r="BD22" s="149">
        <f t="shared" si="5"/>
        <v>0.48782605540176671</v>
      </c>
      <c r="BE22" s="145"/>
      <c r="BF22" s="150">
        <f>$K$306-$J$306</f>
        <v>9436.9523529411763</v>
      </c>
      <c r="BG22" s="149">
        <f t="shared" si="6"/>
        <v>0.54807335335544893</v>
      </c>
      <c r="BH22" s="145"/>
      <c r="BI22" s="148">
        <f>Moyenne!D67</f>
        <v>10039.547352941176</v>
      </c>
      <c r="BJ22" s="144">
        <f>Moyenne!E67</f>
        <v>0.3778995558229008</v>
      </c>
      <c r="BK22" s="145"/>
      <c r="BO22" s="34"/>
      <c r="BP22" s="471" t="s">
        <v>274</v>
      </c>
      <c r="BQ22" s="472"/>
      <c r="BR22" s="241"/>
      <c r="BS22" s="542">
        <f>AP52/365</f>
        <v>6.7332731668009744</v>
      </c>
      <c r="BT22" s="543"/>
      <c r="BU22" s="543"/>
      <c r="BV22" s="543"/>
      <c r="BW22" s="544"/>
      <c r="BX22" s="242"/>
      <c r="BY22" s="542">
        <f>AS52/365</f>
        <v>8.0114907332795919</v>
      </c>
      <c r="BZ22" s="543"/>
      <c r="CA22" s="543"/>
      <c r="CB22" s="543"/>
      <c r="CC22" s="544"/>
      <c r="CD22" s="242"/>
      <c r="CE22" s="542">
        <f>Moyenne!D49/365</f>
        <v>8.8045447219983828</v>
      </c>
      <c r="CF22" s="543"/>
      <c r="CG22" s="543"/>
      <c r="CH22" s="543"/>
      <c r="CI22" s="543"/>
      <c r="CJ22" s="544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43983</v>
      </c>
      <c r="CT22" s="247"/>
      <c r="CU22" s="246">
        <f>A584</f>
        <v>43525</v>
      </c>
      <c r="CV22" s="240"/>
    </row>
    <row r="23" spans="1:100" ht="24" thickBot="1">
      <c r="A23" s="3">
        <v>275000</v>
      </c>
      <c r="B23" s="3" t="s">
        <v>23</v>
      </c>
      <c r="C23" s="3" t="s">
        <v>24</v>
      </c>
      <c r="D23" s="4">
        <v>1514.2905882352941</v>
      </c>
      <c r="E23" s="3">
        <v>0</v>
      </c>
      <c r="H23">
        <v>62</v>
      </c>
      <c r="I23" t="s">
        <v>98</v>
      </c>
      <c r="J23" s="2">
        <f t="shared" si="0"/>
        <v>343.23235294117643</v>
      </c>
      <c r="K23" s="2">
        <f t="shared" si="1"/>
        <v>0</v>
      </c>
      <c r="AO23" s="62" t="s">
        <v>149</v>
      </c>
      <c r="AP23" s="65">
        <f>J28-K28</f>
        <v>2407.3670588235291</v>
      </c>
      <c r="AQ23" s="64">
        <f>SUM(AP23/AP5)</f>
        <v>5.1908271310341751E-2</v>
      </c>
      <c r="AR23" s="42"/>
      <c r="AS23" s="65">
        <f>J321-K321</f>
        <v>1778.1829411764702</v>
      </c>
      <c r="AT23" s="66">
        <f>SUM(AS23/AS5)</f>
        <v>3.9192000769186726E-2</v>
      </c>
      <c r="AU23" s="42"/>
      <c r="AV23" s="65">
        <f>Moyenne!D25</f>
        <v>3357.3691176470584</v>
      </c>
      <c r="AW23" s="67">
        <f>SUM(AV23/AV5)</f>
        <v>6.1557051558163781E-2</v>
      </c>
      <c r="AX23" s="39"/>
      <c r="BB23" s="147" t="s">
        <v>42</v>
      </c>
      <c r="BC23" s="148">
        <f>$K$15-$J$15</f>
        <v>1998.7723529411765</v>
      </c>
      <c r="BD23" s="149">
        <f t="shared" si="5"/>
        <v>0.11959588648602627</v>
      </c>
      <c r="BE23" s="145"/>
      <c r="BF23" s="150">
        <f>$K$308-$J$308</f>
        <v>1034.9676470588233</v>
      </c>
      <c r="BG23" s="149">
        <f t="shared" si="6"/>
        <v>6.0108196769811946E-2</v>
      </c>
      <c r="BH23" s="145"/>
      <c r="BI23" s="148">
        <f>Moyenne!D68</f>
        <v>1699.5135294117647</v>
      </c>
      <c r="BJ23" s="149">
        <f>Moyenne!E68</f>
        <v>6.3971550240416439E-2</v>
      </c>
      <c r="BK23" s="145"/>
      <c r="BO23" s="34"/>
      <c r="BP23" s="248" t="s">
        <v>231</v>
      </c>
      <c r="BQ23" s="249"/>
      <c r="BR23" s="250"/>
      <c r="BS23" s="545">
        <f>AP29</f>
        <v>3737.6741176470605</v>
      </c>
      <c r="BT23" s="546"/>
      <c r="BU23" s="546"/>
      <c r="BV23" s="546"/>
      <c r="BW23" s="547"/>
      <c r="BX23" s="251"/>
      <c r="BY23" s="545">
        <f>AS29</f>
        <v>4645.655882352934</v>
      </c>
      <c r="BZ23" s="546"/>
      <c r="CA23" s="546"/>
      <c r="CB23" s="546"/>
      <c r="CC23" s="547"/>
      <c r="CD23" s="251"/>
      <c r="CE23" s="545">
        <f>Moyenne!D31</f>
        <v>4100.4044117647063</v>
      </c>
      <c r="CF23" s="546"/>
      <c r="CG23" s="546"/>
      <c r="CH23" s="546"/>
      <c r="CI23" s="546"/>
      <c r="CJ23" s="547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>BS18/CE18</f>
        <v>0.85032405735320793</v>
      </c>
      <c r="CT23" s="239"/>
      <c r="CU23" s="255">
        <f>BY18/CE18</f>
        <v>0.83187433038828873</v>
      </c>
      <c r="CV23" s="240"/>
    </row>
    <row r="24" spans="1:100" ht="23.25">
      <c r="A24" s="3">
        <v>280500</v>
      </c>
      <c r="B24" s="3" t="s">
        <v>13</v>
      </c>
      <c r="C24" s="3" t="s">
        <v>25</v>
      </c>
      <c r="D24" s="3">
        <v>0</v>
      </c>
      <c r="E24" s="4">
        <v>514.70588235294122</v>
      </c>
      <c r="H24">
        <v>62</v>
      </c>
      <c r="I24" t="s">
        <v>116</v>
      </c>
      <c r="J24" s="2">
        <f t="shared" si="0"/>
        <v>1258.2488235294118</v>
      </c>
      <c r="K24" s="2">
        <f t="shared" si="1"/>
        <v>0</v>
      </c>
      <c r="AO24" s="62" t="s">
        <v>116</v>
      </c>
      <c r="AP24" s="65">
        <f>J24-K24</f>
        <v>1258.2488235294118</v>
      </c>
      <c r="AQ24" s="64">
        <f>SUM(AP24/AP5)</f>
        <v>2.7130686643025467E-2</v>
      </c>
      <c r="AR24" s="42"/>
      <c r="AS24" s="65">
        <f>J317-K317</f>
        <v>1327.2129411764706</v>
      </c>
      <c r="AT24" s="66">
        <f>SUM(AS24/AS5)</f>
        <v>2.9252406716402436E-2</v>
      </c>
      <c r="AU24" s="42"/>
      <c r="AV24" s="65">
        <f>Moyenne!D26</f>
        <v>1779.4314705882355</v>
      </c>
      <c r="AW24" s="67">
        <f>SUM(AV24/AV5)</f>
        <v>3.2625711067475832E-2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>Moyenne!D69</f>
        <v>0</v>
      </c>
      <c r="BJ24" s="149">
        <f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ìì</v>
      </c>
      <c r="CP24" s="254"/>
      <c r="CQ24" s="232"/>
      <c r="CR24" s="232"/>
      <c r="CS24" s="255">
        <f>BS19/CE19</f>
        <v>1.0458159615260507</v>
      </c>
      <c r="CT24" s="239"/>
      <c r="CU24" s="255">
        <f>BY19/CE19</f>
        <v>1.0357615182561888</v>
      </c>
      <c r="CV24" s="240"/>
    </row>
    <row r="25" spans="1:100" ht="24" thickBot="1">
      <c r="A25" s="3">
        <v>281310</v>
      </c>
      <c r="B25" s="3" t="s">
        <v>16</v>
      </c>
      <c r="C25" s="3" t="s">
        <v>26</v>
      </c>
      <c r="D25" s="3">
        <v>0</v>
      </c>
      <c r="E25" s="4">
        <v>2321.8664705882356</v>
      </c>
      <c r="H25">
        <v>62</v>
      </c>
      <c r="I25" t="s">
        <v>101</v>
      </c>
      <c r="J25" s="2">
        <f t="shared" si="0"/>
        <v>5492.9041176470582</v>
      </c>
      <c r="K25" s="2">
        <f t="shared" si="1"/>
        <v>0</v>
      </c>
      <c r="AO25" s="68" t="s">
        <v>230</v>
      </c>
      <c r="AP25" s="69">
        <f>J29-K29</f>
        <v>0</v>
      </c>
      <c r="AQ25" s="70">
        <f>SUM(AP25/AP5)</f>
        <v>0</v>
      </c>
      <c r="AR25" s="42"/>
      <c r="AS25" s="69">
        <f>J322-K322</f>
        <v>0</v>
      </c>
      <c r="AT25" s="71">
        <f>SUM(AS25/AS5)</f>
        <v>0</v>
      </c>
      <c r="AU25" s="42"/>
      <c r="AV25" s="69">
        <f>Moyenne!D27</f>
        <v>470.58823529411762</v>
      </c>
      <c r="AW25" s="72">
        <f>SUM(AV25/AV5)</f>
        <v>8.6281916725816973E-3</v>
      </c>
      <c r="AX25" s="39"/>
      <c r="BB25" s="147" t="s">
        <v>73</v>
      </c>
      <c r="BC25" s="148">
        <f>$K$20-$J$20</f>
        <v>298.0411764705882</v>
      </c>
      <c r="BD25" s="149">
        <f t="shared" si="5"/>
        <v>1.7833195789849512E-2</v>
      </c>
      <c r="BE25" s="145"/>
      <c r="BF25" s="150">
        <f>$K$313-$J$313</f>
        <v>0</v>
      </c>
      <c r="BG25" s="149">
        <f t="shared" si="6"/>
        <v>0</v>
      </c>
      <c r="BH25" s="145"/>
      <c r="BI25" s="148">
        <f>Moyenne!D70</f>
        <v>149.0205882352941</v>
      </c>
      <c r="BJ25" s="153">
        <f>Moyenne!E70</f>
        <v>5.6092981210041411E-3</v>
      </c>
      <c r="BK25" s="145"/>
      <c r="BO25" s="34"/>
      <c r="BP25" s="548" t="s">
        <v>277</v>
      </c>
      <c r="BQ25" s="548"/>
      <c r="BR25" s="548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>BS20/CE20</f>
        <v>0.92715030243762953</v>
      </c>
      <c r="CT25" s="239"/>
      <c r="CU25" s="255">
        <f>BY20/CE20</f>
        <v>1.0002758154351679</v>
      </c>
      <c r="CV25" s="240"/>
    </row>
    <row r="26" spans="1:100" ht="24" thickBot="1">
      <c r="A26" s="3">
        <v>281450</v>
      </c>
      <c r="B26" s="3" t="s">
        <v>16</v>
      </c>
      <c r="C26" s="3" t="s">
        <v>27</v>
      </c>
      <c r="D26" s="3">
        <v>0</v>
      </c>
      <c r="E26" s="4">
        <v>4542.7294117647052</v>
      </c>
      <c r="H26">
        <v>63</v>
      </c>
      <c r="I26" t="s">
        <v>124</v>
      </c>
      <c r="J26" s="2">
        <f t="shared" si="0"/>
        <v>3778.0223529411765</v>
      </c>
      <c r="K26" s="2">
        <f t="shared" si="1"/>
        <v>0</v>
      </c>
      <c r="AO26" s="96" t="s">
        <v>214</v>
      </c>
      <c r="AP26" s="97">
        <f>SUM(AP22:AP25)</f>
        <v>11965.67294117647</v>
      </c>
      <c r="AQ26" s="98">
        <f>SUM(AP26/AP5)</f>
        <v>0.25800693548782744</v>
      </c>
      <c r="AR26" s="42"/>
      <c r="AS26" s="97">
        <f>SUM(AS22:AS25)</f>
        <v>9815.2305882352939</v>
      </c>
      <c r="AT26" s="99">
        <f>SUM(AS26/AS5)</f>
        <v>0.21633236707880807</v>
      </c>
      <c r="AU26" s="42"/>
      <c r="AV26" s="97">
        <f>Moyenne!D28</f>
        <v>15151.760882352941</v>
      </c>
      <c r="AW26" s="99">
        <f>SUM(AV26/AV5)</f>
        <v>0.27780613127389187</v>
      </c>
      <c r="AX26" s="39"/>
      <c r="BB26" s="176" t="s">
        <v>249</v>
      </c>
      <c r="BC26" s="180">
        <f>BC20+BC22+BC23+BC24+BC25</f>
        <v>10449.712941176469</v>
      </c>
      <c r="BD26" s="181">
        <f t="shared" si="5"/>
        <v>0.62525513767764251</v>
      </c>
      <c r="BE26" s="145"/>
      <c r="BF26" s="180">
        <f>BF20+BF22+BF23+BF24+BF25</f>
        <v>12205.931764705882</v>
      </c>
      <c r="BG26" s="181">
        <f t="shared" si="6"/>
        <v>0.70888838927168896</v>
      </c>
      <c r="BH26" s="186"/>
      <c r="BI26" s="180">
        <f>Moyenne!D71</f>
        <v>18289.670882352941</v>
      </c>
      <c r="BJ26" s="181">
        <f>Moyenne!E71</f>
        <v>0.6884432394816471</v>
      </c>
      <c r="BK26" s="145"/>
      <c r="BO26" s="34"/>
      <c r="BP26" s="549" t="s">
        <v>279</v>
      </c>
      <c r="BQ26" s="550"/>
      <c r="BR26" s="550"/>
      <c r="BS26" s="551">
        <f>AP5/(AP47+AP48)</f>
        <v>46377.330588235294</v>
      </c>
      <c r="BT26" s="551"/>
      <c r="BU26" s="551"/>
      <c r="BV26" s="551"/>
      <c r="BW26" s="552"/>
      <c r="BX26" s="258"/>
      <c r="BY26" s="553">
        <f>AS5/(AS47+AS48)</f>
        <v>45371.068235294108</v>
      </c>
      <c r="BZ26" s="551"/>
      <c r="CA26" s="551"/>
      <c r="CB26" s="551"/>
      <c r="CC26" s="552"/>
      <c r="CD26" s="226"/>
      <c r="CE26" s="553">
        <f>Moyenne!D7/(Moyenne!D45+Moyenne!D46)</f>
        <v>54540.772058823524</v>
      </c>
      <c r="CF26" s="551"/>
      <c r="CG26" s="551"/>
      <c r="CH26" s="551"/>
      <c r="CI26" s="551"/>
      <c r="CJ26" s="552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>BS26/CE26</f>
        <v>0.85032405735320793</v>
      </c>
      <c r="CT26" s="239"/>
      <c r="CU26" s="255">
        <f>BY26/CE26</f>
        <v>0.83187433038828873</v>
      </c>
      <c r="CV26" s="240"/>
    </row>
    <row r="27" spans="1:100" ht="24" thickBot="1">
      <c r="A27" s="3">
        <v>281500</v>
      </c>
      <c r="B27" s="3" t="s">
        <v>16</v>
      </c>
      <c r="C27" s="3" t="s">
        <v>28</v>
      </c>
      <c r="D27" s="3">
        <v>0</v>
      </c>
      <c r="E27" s="4">
        <v>2132.2905882352943</v>
      </c>
      <c r="H27">
        <v>63</v>
      </c>
      <c r="I27" t="s">
        <v>138</v>
      </c>
      <c r="J27" s="2">
        <f t="shared" si="0"/>
        <v>308.19882352941175</v>
      </c>
      <c r="K27" s="2">
        <f t="shared" si="1"/>
        <v>0</v>
      </c>
      <c r="AO27" s="96" t="s">
        <v>138</v>
      </c>
      <c r="AP27" s="97">
        <f>J27-K27</f>
        <v>308.19882352941175</v>
      </c>
      <c r="AQ27" s="98">
        <f>SUM(AP27/AP5)</f>
        <v>6.6454627642496024E-3</v>
      </c>
      <c r="AR27" s="42"/>
      <c r="AS27" s="97">
        <f>J320-K320</f>
        <v>286.65470588235291</v>
      </c>
      <c r="AT27" s="99">
        <f>SUM(AS27/AS5)</f>
        <v>6.3180065409913473E-3</v>
      </c>
      <c r="AU27" s="100"/>
      <c r="AV27" s="97">
        <f>Moyenne!D29</f>
        <v>319.13529411764705</v>
      </c>
      <c r="AW27" s="99">
        <f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54" t="s">
        <v>281</v>
      </c>
      <c r="BQ27" s="555"/>
      <c r="BR27" s="555"/>
      <c r="BS27" s="555">
        <f>AP6/AP47</f>
        <v>68731.736470588236</v>
      </c>
      <c r="BT27" s="555"/>
      <c r="BU27" s="555"/>
      <c r="BV27" s="555"/>
      <c r="BW27" s="556"/>
      <c r="BX27" s="226"/>
      <c r="BY27" s="554">
        <f>AS6/AS47</f>
        <v>68458.305882352928</v>
      </c>
      <c r="BZ27" s="555"/>
      <c r="CA27" s="555"/>
      <c r="CB27" s="555"/>
      <c r="CC27" s="556"/>
      <c r="CD27" s="226"/>
      <c r="CE27" s="554">
        <f>Moyenne!D8/Moyenne!D45</f>
        <v>85945.228823529411</v>
      </c>
      <c r="CF27" s="555"/>
      <c r="CG27" s="555"/>
      <c r="CH27" s="555"/>
      <c r="CI27" s="555"/>
      <c r="CJ27" s="556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>AP39/AV39</f>
        <v>0.79210835828872617</v>
      </c>
      <c r="CT27" s="239"/>
      <c r="CU27" s="261">
        <f>AS39/AV39</f>
        <v>0.8649822636493123</v>
      </c>
      <c r="CV27" s="240"/>
    </row>
    <row r="28" spans="1:100" ht="24" thickBot="1">
      <c r="A28" s="3">
        <v>281810</v>
      </c>
      <c r="B28" s="3" t="s">
        <v>16</v>
      </c>
      <c r="C28" s="3" t="s">
        <v>29</v>
      </c>
      <c r="D28" s="3">
        <v>0</v>
      </c>
      <c r="E28" s="4">
        <v>2006.7311764705883</v>
      </c>
      <c r="H28">
        <v>64</v>
      </c>
      <c r="I28" t="s">
        <v>149</v>
      </c>
      <c r="J28" s="2">
        <f t="shared" si="0"/>
        <v>2407.3670588235291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19573.332352941179</v>
      </c>
      <c r="BD28" s="189"/>
      <c r="BE28" s="145"/>
      <c r="BF28" s="188">
        <f>BF13+BF22+BF23+BF24</f>
        <v>19324.275882352944</v>
      </c>
      <c r="BG28" s="189"/>
      <c r="BH28" s="145"/>
      <c r="BI28" s="188">
        <f>Moyenne!D73</f>
        <v>24073.447352941177</v>
      </c>
      <c r="BJ28" s="189"/>
      <c r="BK28" s="145"/>
      <c r="BO28" s="34"/>
      <c r="BP28" s="554" t="s">
        <v>283</v>
      </c>
      <c r="BQ28" s="555"/>
      <c r="BR28" s="555"/>
      <c r="BS28" s="555">
        <f>AP7/AP48</f>
        <v>24022.924705882353</v>
      </c>
      <c r="BT28" s="555"/>
      <c r="BU28" s="555"/>
      <c r="BV28" s="555"/>
      <c r="BW28" s="556"/>
      <c r="BX28" s="34"/>
      <c r="BY28" s="554">
        <f>AS7/AS48</f>
        <v>22283.830588235294</v>
      </c>
      <c r="BZ28" s="555"/>
      <c r="CA28" s="555"/>
      <c r="CB28" s="555"/>
      <c r="CC28" s="556"/>
      <c r="CD28" s="34"/>
      <c r="CE28" s="554">
        <f>Moyenne!D9/Moyenne!D46</f>
        <v>23136.315294117645</v>
      </c>
      <c r="CF28" s="555"/>
      <c r="CG28" s="555"/>
      <c r="CH28" s="555"/>
      <c r="CI28" s="555"/>
      <c r="CJ28" s="556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33.75" thickBot="1">
      <c r="A29" s="3">
        <v>281830</v>
      </c>
      <c r="B29" s="3" t="s">
        <v>16</v>
      </c>
      <c r="C29" s="3" t="s">
        <v>30</v>
      </c>
      <c r="D29" s="3">
        <v>0</v>
      </c>
      <c r="E29" s="4">
        <v>1324.2864705882353</v>
      </c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3737.6741176470605</v>
      </c>
      <c r="AQ29" s="103">
        <f>SUM(AP29/AP5)</f>
        <v>8.0592696264308275E-2</v>
      </c>
      <c r="AR29" s="42"/>
      <c r="AS29" s="102">
        <f>SUM(AS13-AS21-AS26-AS27)</f>
        <v>4645.655882352934</v>
      </c>
      <c r="AT29" s="104">
        <f>SUM(AS29/AS5)</f>
        <v>0.10239247306809239</v>
      </c>
      <c r="AU29" s="105"/>
      <c r="AV29" s="102">
        <f>Moyenne!D31</f>
        <v>4100.4044117647063</v>
      </c>
      <c r="AW29" s="104">
        <f>SUM(AV29/AV5)</f>
        <v>7.5180534799586668E-2</v>
      </c>
      <c r="AX29" s="39"/>
      <c r="BB29" s="190" t="s">
        <v>251</v>
      </c>
      <c r="BC29" s="191">
        <f>(BC9+BC10+BC11+BC26)-BC20</f>
        <v>19803.220588235294</v>
      </c>
      <c r="BD29" s="192"/>
      <c r="BE29" s="145"/>
      <c r="BF29" s="191">
        <f>(BF9+BF10+BF11+BF26)-BF20</f>
        <v>17624.501176470589</v>
      </c>
      <c r="BG29" s="192"/>
      <c r="BH29" s="145"/>
      <c r="BI29" s="191">
        <f>Moyenne!D74</f>
        <v>23850.981176470588</v>
      </c>
      <c r="BJ29" s="192"/>
      <c r="BK29" s="145"/>
      <c r="BO29" s="34"/>
      <c r="BP29" s="557"/>
      <c r="BQ29" s="558"/>
      <c r="BR29" s="558"/>
      <c r="BS29" s="558"/>
      <c r="BT29" s="558"/>
      <c r="BU29" s="558"/>
      <c r="BV29" s="558"/>
      <c r="BW29" s="559"/>
      <c r="BX29" s="226"/>
      <c r="BY29" s="557"/>
      <c r="BZ29" s="558"/>
      <c r="CA29" s="558"/>
      <c r="CB29" s="558"/>
      <c r="CC29" s="559"/>
      <c r="CD29" s="226"/>
      <c r="CE29" s="557"/>
      <c r="CF29" s="558"/>
      <c r="CG29" s="558"/>
      <c r="CH29" s="558"/>
      <c r="CI29" s="558"/>
      <c r="CJ29" s="559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>BC12/BI12</f>
        <v>0.18345994434129947</v>
      </c>
      <c r="CT29" s="239"/>
      <c r="CU29" s="266">
        <f>BF12/BI12</f>
        <v>4.5755996373871284</v>
      </c>
      <c r="CV29" s="240"/>
    </row>
    <row r="30" spans="1:100" ht="24" thickBot="1">
      <c r="A30" s="3">
        <v>281840</v>
      </c>
      <c r="B30" s="3" t="s">
        <v>16</v>
      </c>
      <c r="C30" s="3" t="s">
        <v>31</v>
      </c>
      <c r="D30" s="3">
        <v>0</v>
      </c>
      <c r="E30" s="4">
        <v>8871.4611764705878</v>
      </c>
      <c r="H30">
        <v>64</v>
      </c>
      <c r="I30" t="s">
        <v>143</v>
      </c>
      <c r="J30" s="2">
        <f t="shared" si="0"/>
        <v>8300.0570588235296</v>
      </c>
      <c r="K30" s="2">
        <f t="shared" si="1"/>
        <v>0</v>
      </c>
      <c r="AO30" s="62" t="s">
        <v>158</v>
      </c>
      <c r="AP30" s="89">
        <f>J32-K32</f>
        <v>1182.6023529411766</v>
      </c>
      <c r="AQ30" s="64">
        <f>SUM(AP30/AP5)</f>
        <v>2.5499577874393047E-2</v>
      </c>
      <c r="AR30" s="42"/>
      <c r="AS30" s="65">
        <f>J325-K325</f>
        <v>1180.0364705882353</v>
      </c>
      <c r="AT30" s="66">
        <f>SUM(AS30/AS5)</f>
        <v>2.6008567055740735E-2</v>
      </c>
      <c r="AU30" s="42"/>
      <c r="AV30" s="89">
        <f>Moyenne!D32</f>
        <v>591.3011764705883</v>
      </c>
      <c r="AW30" s="67">
        <f>SUM(AV30/AV5)</f>
        <v>1.0841452259473992E-2</v>
      </c>
      <c r="AX30" s="39"/>
      <c r="BB30" s="193" t="s">
        <v>252</v>
      </c>
      <c r="BC30" s="152">
        <f>BC28-BC29</f>
        <v>-229.88823529411457</v>
      </c>
      <c r="BD30" s="194"/>
      <c r="BE30" s="145"/>
      <c r="BF30" s="152">
        <f>BF28-BF29</f>
        <v>1699.7747058823552</v>
      </c>
      <c r="BG30" s="194"/>
      <c r="BH30" s="145"/>
      <c r="BI30" s="152">
        <f>Moyenne!D75</f>
        <v>222.46617647058883</v>
      </c>
      <c r="BJ30" s="194"/>
      <c r="BK30" s="145"/>
      <c r="BO30" s="34"/>
      <c r="BP30" s="466" t="s">
        <v>284</v>
      </c>
      <c r="BQ30" s="469"/>
      <c r="BR30" s="470"/>
      <c r="BS30" s="560">
        <f>AP22/(AP47+AP48)</f>
        <v>8300.0570588235296</v>
      </c>
      <c r="BT30" s="561"/>
      <c r="BU30" s="561"/>
      <c r="BV30" s="561"/>
      <c r="BW30" s="562"/>
      <c r="BX30" s="226"/>
      <c r="BY30" s="560">
        <f>AS22/(AS47+AS48)</f>
        <v>6709.8347058823529</v>
      </c>
      <c r="BZ30" s="561"/>
      <c r="CA30" s="561"/>
      <c r="CB30" s="561"/>
      <c r="CC30" s="562"/>
      <c r="CD30" s="226"/>
      <c r="CE30" s="560">
        <f>Moyenne!D24/(Moyenne!D45+Moyenne!D46)</f>
        <v>9544.3720588235301</v>
      </c>
      <c r="CF30" s="561"/>
      <c r="CG30" s="561"/>
      <c r="CH30" s="561"/>
      <c r="CI30" s="561"/>
      <c r="CJ30" s="562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>AP52/AV52</f>
        <v>0.76474972635185967</v>
      </c>
      <c r="CT30" s="239"/>
      <c r="CU30" s="266">
        <f>AS52/AV52</f>
        <v>0.90992674649748495</v>
      </c>
      <c r="CV30" s="240"/>
    </row>
    <row r="31" spans="1:100" ht="24" thickBot="1">
      <c r="A31" s="3">
        <v>371000</v>
      </c>
      <c r="B31" s="3" t="s">
        <v>32</v>
      </c>
      <c r="C31" s="3" t="s">
        <v>33</v>
      </c>
      <c r="D31" s="4">
        <v>3512.04</v>
      </c>
      <c r="E31" s="3">
        <v>0</v>
      </c>
      <c r="H31">
        <v>66</v>
      </c>
      <c r="I31" t="s">
        <v>113</v>
      </c>
      <c r="J31" s="2">
        <f t="shared" si="0"/>
        <v>52.0564705882353</v>
      </c>
      <c r="K31" s="2">
        <f t="shared" si="1"/>
        <v>3.4747058823529411</v>
      </c>
      <c r="AO31" s="62" t="s">
        <v>164</v>
      </c>
      <c r="AP31" s="65">
        <f>J34-K34</f>
        <v>1259.5782352941178</v>
      </c>
      <c r="AQ31" s="64">
        <f>SUM(AP31/AP5)</f>
        <v>2.7159351763416061E-2</v>
      </c>
      <c r="AR31" s="42"/>
      <c r="AS31" s="65">
        <f>J327-K327</f>
        <v>1523.9670588235294</v>
      </c>
      <c r="AT31" s="66">
        <f>SUM(AS31/AS5)</f>
        <v>3.3588961382179601E-2</v>
      </c>
      <c r="AU31" s="42"/>
      <c r="AV31" s="65">
        <f>Moyenne!D33</f>
        <v>1519.8261764705883</v>
      </c>
      <c r="AW31" s="67">
        <f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63">
        <f>AP25</f>
        <v>0</v>
      </c>
      <c r="BT31" s="564"/>
      <c r="BU31" s="564"/>
      <c r="BV31" s="564"/>
      <c r="BW31" s="565"/>
      <c r="BX31" s="226"/>
      <c r="BY31" s="563">
        <f>AS25</f>
        <v>0</v>
      </c>
      <c r="BZ31" s="564"/>
      <c r="CA31" s="564"/>
      <c r="CB31" s="564"/>
      <c r="CC31" s="565"/>
      <c r="CD31" s="226"/>
      <c r="CE31" s="563">
        <f>Moyenne!D27</f>
        <v>470.58823529411762</v>
      </c>
      <c r="CF31" s="564"/>
      <c r="CG31" s="564"/>
      <c r="CH31" s="564"/>
      <c r="CI31" s="564"/>
      <c r="CJ31" s="565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>BS10/CE10</f>
        <v>1.0756585096739204</v>
      </c>
      <c r="CT31" s="239"/>
      <c r="CU31" s="271">
        <f>BY10/CE10</f>
        <v>1.1170346298850111</v>
      </c>
      <c r="CV31" s="240"/>
    </row>
    <row r="32" spans="1:100" ht="24" thickBot="1">
      <c r="A32" s="3">
        <v>372000</v>
      </c>
      <c r="B32" s="3" t="s">
        <v>32</v>
      </c>
      <c r="C32" s="3" t="s">
        <v>34</v>
      </c>
      <c r="D32" s="4">
        <v>1448.0194117647061</v>
      </c>
      <c r="E32" s="3">
        <v>0</v>
      </c>
      <c r="H32">
        <v>67</v>
      </c>
      <c r="I32" t="s">
        <v>158</v>
      </c>
      <c r="J32" s="2">
        <f t="shared" si="0"/>
        <v>1182.6023529411766</v>
      </c>
      <c r="K32" s="2">
        <f t="shared" si="1"/>
        <v>0</v>
      </c>
      <c r="AO32" s="62" t="s">
        <v>98</v>
      </c>
      <c r="AP32" s="65">
        <f>J23-K23</f>
        <v>343.23235294117643</v>
      </c>
      <c r="AQ32" s="64">
        <f>SUM(AP32/AP5)</f>
        <v>7.4008647886311387E-3</v>
      </c>
      <c r="AR32" s="42"/>
      <c r="AS32" s="65">
        <f>J316-K316</f>
        <v>209.53411764705882</v>
      </c>
      <c r="AT32" s="66">
        <f>SUM(AS32/AS5)</f>
        <v>4.6182319658072861E-3</v>
      </c>
      <c r="AU32" s="42"/>
      <c r="AV32" s="65">
        <f>Moyenne!D34</f>
        <v>390.6661764705882</v>
      </c>
      <c r="AW32" s="67">
        <f>SUM(AV32/AV5)</f>
        <v>7.1628281324885796E-3</v>
      </c>
      <c r="AX32" s="39"/>
      <c r="BB32" s="195" t="s">
        <v>253</v>
      </c>
      <c r="BC32" s="196">
        <f>BC26/BC14</f>
        <v>0.62525513767764251</v>
      </c>
      <c r="BD32" s="197"/>
      <c r="BE32" s="145"/>
      <c r="BF32" s="196">
        <f>BF26/BF14</f>
        <v>0.70888838927168896</v>
      </c>
      <c r="BG32" s="197"/>
      <c r="BH32" s="145"/>
      <c r="BI32" s="196">
        <f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>
      <c r="A33" s="3">
        <v>401000</v>
      </c>
      <c r="B33" s="3" t="s">
        <v>35</v>
      </c>
      <c r="C33" s="3" t="s">
        <v>36</v>
      </c>
      <c r="D33" s="4">
        <v>679.49882352941177</v>
      </c>
      <c r="E33" s="4">
        <v>10151.021764705882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>Moyenne!D35</f>
        <v>0</v>
      </c>
      <c r="AW33" s="67">
        <f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19" t="s">
        <v>249</v>
      </c>
      <c r="BQ33" s="519"/>
      <c r="BR33" s="519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>
      <c r="A34" s="3">
        <v>408100</v>
      </c>
      <c r="B34" s="3" t="s">
        <v>35</v>
      </c>
      <c r="C34" s="3" t="s">
        <v>37</v>
      </c>
      <c r="D34" s="3">
        <v>0</v>
      </c>
      <c r="E34" s="3">
        <v>40.941176470588232</v>
      </c>
      <c r="H34">
        <v>68</v>
      </c>
      <c r="I34" t="s">
        <v>164</v>
      </c>
      <c r="J34" s="2">
        <f t="shared" si="0"/>
        <v>1259.5782352941178</v>
      </c>
      <c r="K34" s="2">
        <f t="shared" si="1"/>
        <v>0</v>
      </c>
      <c r="AO34" s="96" t="s">
        <v>158</v>
      </c>
      <c r="AP34" s="97">
        <f>SUM(AP30:AP33)</f>
        <v>2785.4129411764711</v>
      </c>
      <c r="AQ34" s="98">
        <f>SUM(AP34/AP5)</f>
        <v>6.0059794426440251E-2</v>
      </c>
      <c r="AR34" s="42"/>
      <c r="AS34" s="97">
        <f>SUM(AS30:AS33)</f>
        <v>2913.5376470588235</v>
      </c>
      <c r="AT34" s="99">
        <f>SUM(AS34/AS5)</f>
        <v>6.4215760403727618E-2</v>
      </c>
      <c r="AU34" s="42"/>
      <c r="AV34" s="97">
        <f>Moyenne!D36</f>
        <v>2501.7935294117651</v>
      </c>
      <c r="AW34" s="99">
        <f>SUM(AV34/AV5)</f>
        <v>4.5870152456102403E-2</v>
      </c>
      <c r="AX34" s="39"/>
      <c r="BO34" s="34"/>
      <c r="BP34" s="276" t="s">
        <v>288</v>
      </c>
      <c r="BQ34" s="277"/>
      <c r="BR34" s="278"/>
      <c r="BS34" s="566">
        <f>BD26</f>
        <v>0.62525513767764251</v>
      </c>
      <c r="BT34" s="567"/>
      <c r="BU34" s="567"/>
      <c r="BV34" s="567"/>
      <c r="BW34" s="568"/>
      <c r="BX34" s="258"/>
      <c r="BY34" s="566">
        <f>BG26</f>
        <v>0.70888838927168896</v>
      </c>
      <c r="BZ34" s="567"/>
      <c r="CA34" s="567"/>
      <c r="CB34" s="567"/>
      <c r="CC34" s="568"/>
      <c r="CD34" s="258"/>
      <c r="CE34" s="566">
        <f>Moyenne!E71</f>
        <v>0.6884432394816471</v>
      </c>
      <c r="CF34" s="567"/>
      <c r="CG34" s="567"/>
      <c r="CH34" s="567"/>
      <c r="CI34" s="567"/>
      <c r="CJ34" s="568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>
      <c r="A35" s="3">
        <v>409800</v>
      </c>
      <c r="B35" s="3" t="s">
        <v>35</v>
      </c>
      <c r="C35" s="3" t="s">
        <v>38</v>
      </c>
      <c r="D35" s="4">
        <v>1359.5647058823529</v>
      </c>
      <c r="E35" s="3">
        <v>0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27924.309999999998</v>
      </c>
      <c r="AQ35" s="108">
        <f>SUM(AP35/AP5)</f>
        <v>0.60211119626371201</v>
      </c>
      <c r="AR35" s="42"/>
      <c r="AS35" s="109">
        <f>SUM(AS21+AS26+AS34+AS27)</f>
        <v>26246.314705882352</v>
      </c>
      <c r="AT35" s="110">
        <f>SUM(AS35/AS5)</f>
        <v>0.57848130376320672</v>
      </c>
      <c r="AU35" s="100"/>
      <c r="AV35" s="109">
        <f>Moyenne!D37</f>
        <v>30873.153823529414</v>
      </c>
      <c r="AW35" s="110">
        <f>SUM(AV35/AV5)</f>
        <v>0.56605641354383429</v>
      </c>
      <c r="AX35" s="39"/>
      <c r="BO35" s="34"/>
      <c r="BP35" s="279" t="s">
        <v>289</v>
      </c>
      <c r="BQ35" s="280"/>
      <c r="BR35" s="281"/>
      <c r="BS35" s="569">
        <f>BC20</f>
        <v>0</v>
      </c>
      <c r="BT35" s="570"/>
      <c r="BU35" s="570"/>
      <c r="BV35" s="570"/>
      <c r="BW35" s="571"/>
      <c r="BX35" s="282"/>
      <c r="BY35" s="569">
        <f>BF20</f>
        <v>1734.0117647058823</v>
      </c>
      <c r="BZ35" s="570"/>
      <c r="CA35" s="570"/>
      <c r="CB35" s="570"/>
      <c r="CC35" s="571"/>
      <c r="CD35" s="282"/>
      <c r="CE35" s="569">
        <f>Moyenne!D65</f>
        <v>6401.5894117647058</v>
      </c>
      <c r="CF35" s="570"/>
      <c r="CG35" s="570"/>
      <c r="CH35" s="570"/>
      <c r="CI35" s="570"/>
      <c r="CJ35" s="571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>
      <c r="A36" s="3">
        <v>411002</v>
      </c>
      <c r="B36" s="3" t="s">
        <v>39</v>
      </c>
      <c r="C36" s="3" t="s">
        <v>40</v>
      </c>
      <c r="D36" s="4">
        <v>1076.5323529411764</v>
      </c>
      <c r="E36" s="3">
        <v>0</v>
      </c>
      <c r="H36">
        <v>69</v>
      </c>
      <c r="I36" t="s">
        <v>166</v>
      </c>
      <c r="J36" s="2">
        <f t="shared" si="0"/>
        <v>237.8235294117647</v>
      </c>
      <c r="K36" s="2">
        <f t="shared" si="1"/>
        <v>0</v>
      </c>
      <c r="AO36" s="111" t="s">
        <v>233</v>
      </c>
      <c r="AP36" s="97">
        <f>SUM(AP13-AP35)</f>
        <v>952.26117647059073</v>
      </c>
      <c r="AQ36" s="112">
        <f>SUM(AP36/AP5)</f>
        <v>2.0532901837868052E-2</v>
      </c>
      <c r="AR36" s="42"/>
      <c r="AS36" s="113">
        <f>SUM(AS13-AS21-AS26-AS34-AS27)</f>
        <v>1732.11823529411</v>
      </c>
      <c r="AT36" s="114">
        <f>SUM(AS36/AS5)</f>
        <v>3.8176712664364752E-2</v>
      </c>
      <c r="AU36" s="42"/>
      <c r="AV36" s="113">
        <f>Moyenne!D38</f>
        <v>1598.6108823529394</v>
      </c>
      <c r="AW36" s="114">
        <f>SUM(AV36/AV5)</f>
        <v>2.9310382343484237E-2</v>
      </c>
      <c r="AX36" s="39"/>
      <c r="BO36" s="34"/>
      <c r="BP36" s="283" t="s">
        <v>290</v>
      </c>
      <c r="BQ36" s="284"/>
      <c r="BR36" s="285"/>
      <c r="BS36" s="577">
        <f>E290</f>
        <v>8</v>
      </c>
      <c r="BT36" s="578"/>
      <c r="BU36" s="578"/>
      <c r="BV36" s="578"/>
      <c r="BW36" s="579"/>
      <c r="BX36" s="282"/>
      <c r="BY36" s="572">
        <f>E584</f>
        <v>8</v>
      </c>
      <c r="BZ36" s="573"/>
      <c r="CA36" s="573"/>
      <c r="CB36" s="573"/>
      <c r="CC36" s="574"/>
      <c r="CD36" s="282"/>
      <c r="CE36" s="572"/>
      <c r="CF36" s="573"/>
      <c r="CG36" s="573"/>
      <c r="CH36" s="573"/>
      <c r="CI36" s="573"/>
      <c r="CJ36" s="574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>
      <c r="A37" s="3">
        <v>411003</v>
      </c>
      <c r="B37" s="3" t="s">
        <v>39</v>
      </c>
      <c r="C37" s="3" t="s">
        <v>41</v>
      </c>
      <c r="D37" s="4">
        <v>3298.2823529411767</v>
      </c>
      <c r="E37" s="3">
        <v>0</v>
      </c>
      <c r="H37">
        <v>77</v>
      </c>
      <c r="I37" t="s">
        <v>188</v>
      </c>
      <c r="J37" s="2">
        <f t="shared" si="0"/>
        <v>0</v>
      </c>
      <c r="K37" s="2">
        <f t="shared" si="1"/>
        <v>532.21058823529404</v>
      </c>
      <c r="AO37" s="62" t="s">
        <v>188</v>
      </c>
      <c r="AP37" s="89">
        <f>K37-J37</f>
        <v>532.21058823529404</v>
      </c>
      <c r="AQ37" s="64">
        <f>SUM(AP37/AP5)</f>
        <v>1.1475662386879634E-2</v>
      </c>
      <c r="AR37" s="42"/>
      <c r="AS37" s="65">
        <f>K330-J330</f>
        <v>11.798823529411765</v>
      </c>
      <c r="AT37" s="66">
        <f>SUM(AS37/AS5)</f>
        <v>2.6005170229237564E-4</v>
      </c>
      <c r="AU37" s="42"/>
      <c r="AV37" s="89">
        <f>Moyenne!D39</f>
        <v>354.82647058823522</v>
      </c>
      <c r="AW37" s="67">
        <f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5.75" thickBot="1">
      <c r="A38" s="3">
        <v>421000</v>
      </c>
      <c r="B38" s="3" t="s">
        <v>42</v>
      </c>
      <c r="C38" s="3" t="s">
        <v>43</v>
      </c>
      <c r="D38" s="3">
        <v>0</v>
      </c>
      <c r="E38" s="4">
        <v>143.60411764705881</v>
      </c>
      <c r="H38">
        <v>607</v>
      </c>
      <c r="I38" t="s">
        <v>82</v>
      </c>
      <c r="J38" s="2">
        <f t="shared" si="0"/>
        <v>5753.63</v>
      </c>
      <c r="K38" s="2">
        <f t="shared" si="1"/>
        <v>1247.6047058823528</v>
      </c>
      <c r="AO38" s="62" t="s">
        <v>113</v>
      </c>
      <c r="AP38" s="69">
        <f>J31-K31</f>
        <v>48.581764705882357</v>
      </c>
      <c r="AQ38" s="64">
        <f>SUM(AP38/AP5)</f>
        <v>1.0475325787337633E-3</v>
      </c>
      <c r="AR38" s="42"/>
      <c r="AS38" s="65">
        <f>J324-K324</f>
        <v>175.92529411764707</v>
      </c>
      <c r="AT38" s="66">
        <f>SUM(AS38/AS5)</f>
        <v>3.8774774533696117E-3</v>
      </c>
      <c r="AU38" s="42"/>
      <c r="AV38" s="69">
        <f>Moyenne!D40</f>
        <v>140.69294117647058</v>
      </c>
      <c r="AW38" s="67">
        <f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6.5" thickBot="1">
      <c r="A39" s="3">
        <v>425000</v>
      </c>
      <c r="B39" s="3" t="s">
        <v>42</v>
      </c>
      <c r="C39" s="3" t="s">
        <v>44</v>
      </c>
      <c r="D39" s="3">
        <v>0</v>
      </c>
      <c r="E39" s="3">
        <v>0</v>
      </c>
      <c r="H39">
        <v>607</v>
      </c>
      <c r="I39" t="s">
        <v>80</v>
      </c>
      <c r="J39" s="2">
        <f t="shared" si="0"/>
        <v>13482.63470588235</v>
      </c>
      <c r="K39" s="2">
        <f t="shared" si="1"/>
        <v>487.90058823529409</v>
      </c>
      <c r="AO39" s="96" t="s">
        <v>234</v>
      </c>
      <c r="AP39" s="97">
        <f>SUM(AP36+AP37-AP38)</f>
        <v>1435.8900000000024</v>
      </c>
      <c r="AQ39" s="98">
        <f>SUM(AP39/AP5)</f>
        <v>3.0961031646013923E-2</v>
      </c>
      <c r="AR39" s="42"/>
      <c r="AS39" s="97">
        <f>SUM(AS36+AS37-AS38)</f>
        <v>1567.9917647058746</v>
      </c>
      <c r="AT39" s="99">
        <f>SUM(AS39/AS5)</f>
        <v>3.4559286913287517E-2</v>
      </c>
      <c r="AU39" s="42"/>
      <c r="AV39" s="97">
        <f>Moyenne!D41</f>
        <v>1812.744411764704</v>
      </c>
      <c r="AW39" s="99">
        <f>SUM(AV39/AV5)</f>
        <v>3.3236500755977852E-2</v>
      </c>
      <c r="AX39" s="39"/>
    </row>
    <row r="40" spans="1:100">
      <c r="A40" s="3">
        <v>428200</v>
      </c>
      <c r="B40" s="3" t="s">
        <v>42</v>
      </c>
      <c r="C40" s="3" t="s">
        <v>45</v>
      </c>
      <c r="D40" s="3">
        <v>0</v>
      </c>
      <c r="E40" s="4">
        <v>574.48470588235296</v>
      </c>
      <c r="H40">
        <v>707</v>
      </c>
      <c r="I40" t="s">
        <v>176</v>
      </c>
      <c r="J40" s="2">
        <f t="shared" si="0"/>
        <v>2440.8282352941178</v>
      </c>
      <c r="K40" s="2">
        <f t="shared" si="1"/>
        <v>14452.290588235295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>Moyenne!D42</f>
        <v>0</v>
      </c>
      <c r="AW40" s="67">
        <f>SUM(AV40/AV5)</f>
        <v>0</v>
      </c>
      <c r="AX40" s="39"/>
    </row>
    <row r="41" spans="1:100" ht="15.75" thickBot="1">
      <c r="A41" s="3">
        <v>431000</v>
      </c>
      <c r="B41" s="3" t="s">
        <v>42</v>
      </c>
      <c r="C41" s="3" t="s">
        <v>46</v>
      </c>
      <c r="D41" s="3">
        <v>0</v>
      </c>
      <c r="E41" s="4">
        <v>531.77823529411762</v>
      </c>
      <c r="H41">
        <v>707</v>
      </c>
      <c r="I41" t="s">
        <v>168</v>
      </c>
      <c r="J41" s="2">
        <f t="shared" si="0"/>
        <v>4562.9970588235292</v>
      </c>
      <c r="K41" s="2">
        <f t="shared" si="1"/>
        <v>38928.865294117648</v>
      </c>
      <c r="AO41" s="62" t="s">
        <v>235</v>
      </c>
      <c r="AP41" s="289">
        <f>J36-K36</f>
        <v>237.8235294117647</v>
      </c>
      <c r="AQ41" s="64">
        <f>SUM(AP41/AP5)</f>
        <v>5.1280124663340212E-3</v>
      </c>
      <c r="AR41" s="42"/>
      <c r="AS41" s="290">
        <f>J329-K329</f>
        <v>167.76470588235293</v>
      </c>
      <c r="AT41" s="66">
        <f>SUM(AS41/AS5)</f>
        <v>3.6976141935280453E-3</v>
      </c>
      <c r="AU41" s="42"/>
      <c r="AV41" s="69">
        <f>Moyenne!D43</f>
        <v>118.91176470588235</v>
      </c>
      <c r="AW41" s="67">
        <f>SUM(AV41/AV5)</f>
        <v>2.1802361832654877E-3</v>
      </c>
      <c r="AX41" s="39"/>
    </row>
    <row r="42" spans="1:100" ht="16.5" thickBot="1">
      <c r="A42" s="3">
        <v>437200</v>
      </c>
      <c r="B42" s="3" t="s">
        <v>42</v>
      </c>
      <c r="C42" s="3" t="s">
        <v>47</v>
      </c>
      <c r="D42" s="3">
        <v>0</v>
      </c>
      <c r="E42" s="3">
        <v>43.478235294117646</v>
      </c>
      <c r="J42" s="2"/>
      <c r="K42" s="2"/>
      <c r="AO42" s="115" t="s">
        <v>236</v>
      </c>
      <c r="AP42" s="116">
        <f>SUM(AP39+AP40-AP41)</f>
        <v>1198.0664705882377</v>
      </c>
      <c r="AQ42" s="117">
        <f>SUM(AP42/AP5)</f>
        <v>2.5833019179679902E-2</v>
      </c>
      <c r="AR42" s="42"/>
      <c r="AS42" s="116">
        <f>SUM(AS39+AS40-AS41)</f>
        <v>1400.2270588235217</v>
      </c>
      <c r="AT42" s="118">
        <f>SUM(AS42/AS5)</f>
        <v>3.0861672719759474E-2</v>
      </c>
      <c r="AU42" s="42"/>
      <c r="AV42" s="119">
        <f>Moyenne!D44</f>
        <v>1693.8326470588215</v>
      </c>
      <c r="AW42" s="120">
        <f>SUM(AV42/AV5)</f>
        <v>3.1056264572712367E-2</v>
      </c>
      <c r="AX42" s="39"/>
    </row>
    <row r="43" spans="1:100" ht="18">
      <c r="A43" s="3">
        <v>437400</v>
      </c>
      <c r="B43" s="3" t="s">
        <v>42</v>
      </c>
      <c r="C43" s="3" t="s">
        <v>48</v>
      </c>
      <c r="D43" s="3">
        <v>15.528235294117648</v>
      </c>
      <c r="E43" s="3">
        <v>0</v>
      </c>
      <c r="J43" s="2">
        <f>SUM(J21:J42)</f>
        <v>56674.248235294115</v>
      </c>
      <c r="K43" s="2">
        <f>SUM(K21:K42)</f>
        <v>57872.314705882352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>
      <c r="A44" s="3">
        <v>437800</v>
      </c>
      <c r="B44" s="3" t="s">
        <v>42</v>
      </c>
      <c r="C44" s="3" t="s">
        <v>49</v>
      </c>
      <c r="D44" s="3">
        <v>0</v>
      </c>
      <c r="E44" s="3">
        <v>9.1776470588235295</v>
      </c>
      <c r="H44" s="5">
        <v>12</v>
      </c>
      <c r="I44" s="5" t="s">
        <v>199</v>
      </c>
      <c r="J44" s="6">
        <f>SUM(K43-J43)</f>
        <v>1198.0664705882373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>
      <c r="A45" s="3">
        <v>438200</v>
      </c>
      <c r="B45" s="3" t="s">
        <v>42</v>
      </c>
      <c r="C45" s="3" t="s">
        <v>50</v>
      </c>
      <c r="D45" s="3">
        <v>0</v>
      </c>
      <c r="E45" s="4">
        <v>187.84235294117647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>
      <c r="A46" s="3">
        <v>442000</v>
      </c>
      <c r="B46" s="3" t="s">
        <v>42</v>
      </c>
      <c r="C46" s="3" t="s">
        <v>51</v>
      </c>
      <c r="D46" s="3">
        <v>0</v>
      </c>
      <c r="E46" s="3">
        <v>32.414705882352941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1.5">
      <c r="A47" s="3">
        <v>443000</v>
      </c>
      <c r="B47" s="3" t="s">
        <v>42</v>
      </c>
      <c r="C47" s="3" t="s">
        <v>52</v>
      </c>
      <c r="D47" s="4">
        <v>249.45529411764704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>Moyenne!D45</f>
        <v>0.5</v>
      </c>
      <c r="AW47" s="39"/>
      <c r="AX47" s="124"/>
      <c r="BB47" s="200" t="s">
        <v>254</v>
      </c>
      <c r="BC47" s="201">
        <f>($AP$42+$AP$31+$AP$33)/($J$8)</f>
        <v>9.748138244971799E-2</v>
      </c>
      <c r="BD47" s="201"/>
      <c r="BE47" s="202"/>
      <c r="BF47" s="201">
        <f>($AS$42+$AS$31+$AS$33)/($J$302)</f>
        <v>0.11684229532531598</v>
      </c>
      <c r="BG47" s="201"/>
      <c r="BH47" s="202"/>
      <c r="BI47" s="201">
        <f>Moyenne!D77</f>
        <v>0.14893590165065201</v>
      </c>
      <c r="BJ47" s="201"/>
      <c r="BK47" s="199"/>
    </row>
    <row r="48" spans="1:100" ht="16.5">
      <c r="A48" s="3">
        <v>444000</v>
      </c>
      <c r="B48" s="3" t="s">
        <v>42</v>
      </c>
      <c r="C48" s="3" t="s">
        <v>53</v>
      </c>
      <c r="D48" s="3">
        <v>0</v>
      </c>
      <c r="E48" s="3">
        <v>52.411764705882355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30">
      <c r="A49" s="3">
        <v>445510</v>
      </c>
      <c r="B49" s="3" t="s">
        <v>42</v>
      </c>
      <c r="C49" s="3" t="s">
        <v>54</v>
      </c>
      <c r="D49" s="3">
        <v>0</v>
      </c>
      <c r="E49" s="4">
        <v>282.52941176470586</v>
      </c>
      <c r="AO49" s="125" t="s">
        <v>239</v>
      </c>
      <c r="AP49" s="131">
        <f>SUM(AP26/AP13)</f>
        <v>0.41437305239780076</v>
      </c>
      <c r="AQ49" s="131"/>
      <c r="AR49" s="132"/>
      <c r="AS49" s="131">
        <f>SUM(AS26/AS13)</f>
        <v>0.35081416492737189</v>
      </c>
      <c r="AT49" s="131"/>
      <c r="AU49" s="132"/>
      <c r="AV49" s="131">
        <f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6.5">
      <c r="A50" s="3">
        <v>445620</v>
      </c>
      <c r="B50" s="3" t="s">
        <v>42</v>
      </c>
      <c r="C50" s="3" t="s">
        <v>55</v>
      </c>
      <c r="D50" s="3">
        <v>0</v>
      </c>
      <c r="E50" s="3">
        <v>0</v>
      </c>
      <c r="AO50" s="125" t="s">
        <v>240</v>
      </c>
      <c r="AP50" s="133">
        <f>SUM(AP13/(AP47+AP48))</f>
        <v>28876.571176470588</v>
      </c>
      <c r="AQ50" s="133"/>
      <c r="AR50" s="134"/>
      <c r="AS50" s="133">
        <f>SUM(AS13/(AS47+AS48))</f>
        <v>27978.432941176463</v>
      </c>
      <c r="AT50" s="133"/>
      <c r="AU50" s="127"/>
      <c r="AV50" s="133">
        <f>SUM(AV13/(AV48+AV47))</f>
        <v>32471.764705882353</v>
      </c>
      <c r="AW50" s="39"/>
      <c r="AX50" s="124"/>
      <c r="BB50" s="200" t="s">
        <v>256</v>
      </c>
      <c r="BC50" s="205">
        <f>$BC$9/($AP$9/365)</f>
        <v>103.4481786017286</v>
      </c>
      <c r="BD50" s="205"/>
      <c r="BE50" s="206"/>
      <c r="BF50" s="205">
        <f>$BF$9/($AS$9/365)</f>
        <v>82.754107722403134</v>
      </c>
      <c r="BG50" s="205"/>
      <c r="BH50" s="206"/>
      <c r="BI50" s="205">
        <f>$BI$9/($AV$9/365)</f>
        <v>79.135216841558162</v>
      </c>
      <c r="BJ50" s="205"/>
      <c r="BK50" s="199"/>
    </row>
    <row r="51" spans="1:63" ht="16.5">
      <c r="A51" s="3">
        <v>445660</v>
      </c>
      <c r="B51" s="3" t="s">
        <v>42</v>
      </c>
      <c r="C51" s="3" t="s">
        <v>56</v>
      </c>
      <c r="D51" s="4">
        <v>58.944705882352935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28.692311297237662</v>
      </c>
      <c r="BD51" s="205"/>
      <c r="BE51" s="206"/>
      <c r="BF51" s="205">
        <f>$BF$10/($AS$5*1.2/365)</f>
        <v>21.485604404859405</v>
      </c>
      <c r="BG51" s="205"/>
      <c r="BH51" s="206"/>
      <c r="BI51" s="205">
        <f>$BI$10/($AV$5*1.2/365)</f>
        <v>24.872006259034048</v>
      </c>
      <c r="BJ51" s="205"/>
      <c r="BK51" s="199"/>
    </row>
    <row r="52" spans="1:63" ht="16.5">
      <c r="A52" s="3">
        <v>445670</v>
      </c>
      <c r="B52" s="3" t="s">
        <v>42</v>
      </c>
      <c r="C52" s="3" t="s">
        <v>57</v>
      </c>
      <c r="D52" s="3">
        <v>0</v>
      </c>
      <c r="E52" s="3">
        <v>0</v>
      </c>
      <c r="AO52" s="125" t="s">
        <v>241</v>
      </c>
      <c r="AP52" s="128">
        <f>SUM(AP42+AP31)</f>
        <v>2457.6447058823555</v>
      </c>
      <c r="AQ52" s="128"/>
      <c r="AR52" s="137"/>
      <c r="AS52" s="128">
        <f>SUM(AS42+AS31)</f>
        <v>2924.1941176470509</v>
      </c>
      <c r="AT52" s="128"/>
      <c r="AU52" s="135"/>
      <c r="AV52" s="128">
        <f>SUM(AV42+AV31)</f>
        <v>3213.6588235294098</v>
      </c>
      <c r="AW52" s="121"/>
      <c r="AX52" s="124"/>
      <c r="BB52" s="200" t="s">
        <v>257</v>
      </c>
      <c r="BC52" s="205">
        <f>$BC$22/(($AP$9+$AP$17+$AP$18+$AP$20+$AP$24)*1.2/365)</f>
        <v>79.33737588888458</v>
      </c>
      <c r="BD52" s="205"/>
      <c r="BE52" s="206"/>
      <c r="BF52" s="205">
        <f>$BF$22/(($AS$9+$AS$17+$AS$18+$AS$20+$AS$24)*1.2/365)</f>
        <v>91.648419477632643</v>
      </c>
      <c r="BG52" s="205"/>
      <c r="BH52" s="206"/>
      <c r="BI52" s="205">
        <f>$BI$21/(($AV$9+$AV$17+$AV$18+$AV$20+$AV$24)*1.2/365)</f>
        <v>122.5493708467914</v>
      </c>
      <c r="BJ52" s="205"/>
      <c r="BK52" s="199"/>
    </row>
    <row r="53" spans="1:63">
      <c r="A53" s="3">
        <v>445711</v>
      </c>
      <c r="B53" s="3" t="s">
        <v>42</v>
      </c>
      <c r="C53" s="3" t="s">
        <v>58</v>
      </c>
      <c r="D53" s="3">
        <v>0</v>
      </c>
      <c r="E53" s="4">
        <v>179.41176470588235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>
      <c r="A54" s="3">
        <v>445720</v>
      </c>
      <c r="B54" s="3" t="s">
        <v>42</v>
      </c>
      <c r="C54" s="3" t="s">
        <v>59</v>
      </c>
      <c r="D54" s="3">
        <v>0</v>
      </c>
      <c r="E54" s="3">
        <v>0</v>
      </c>
    </row>
    <row r="55" spans="1:63">
      <c r="A55" s="3">
        <v>445840</v>
      </c>
      <c r="B55" s="3" t="s">
        <v>42</v>
      </c>
      <c r="C55" s="3" t="s">
        <v>60</v>
      </c>
      <c r="D55" s="3">
        <v>0</v>
      </c>
      <c r="E55" s="4">
        <v>226.59411764705882</v>
      </c>
    </row>
    <row r="56" spans="1:63">
      <c r="A56" s="3">
        <v>445860</v>
      </c>
      <c r="B56" s="3" t="s">
        <v>42</v>
      </c>
      <c r="C56" s="3" t="s">
        <v>61</v>
      </c>
      <c r="D56" s="3">
        <v>9.8235294117647065</v>
      </c>
      <c r="E56" s="3">
        <v>0</v>
      </c>
    </row>
    <row r="57" spans="1:63">
      <c r="A57" s="3">
        <v>445880</v>
      </c>
      <c r="B57" s="3" t="s">
        <v>42</v>
      </c>
      <c r="C57" s="3" t="s">
        <v>62</v>
      </c>
      <c r="D57" s="3">
        <v>25.925294117647059</v>
      </c>
      <c r="E57" s="3">
        <v>0</v>
      </c>
    </row>
    <row r="58" spans="1:63">
      <c r="A58" s="3">
        <v>447000</v>
      </c>
      <c r="B58" s="3" t="s">
        <v>42</v>
      </c>
      <c r="C58" s="3" t="s">
        <v>63</v>
      </c>
      <c r="D58" s="3">
        <v>0</v>
      </c>
      <c r="E58" s="4">
        <v>62.790000000000006</v>
      </c>
    </row>
    <row r="59" spans="1:63">
      <c r="A59" s="3">
        <v>448600</v>
      </c>
      <c r="B59" s="3" t="s">
        <v>42</v>
      </c>
      <c r="C59" s="3" t="s">
        <v>64</v>
      </c>
      <c r="D59" s="3">
        <v>0</v>
      </c>
      <c r="E59" s="3">
        <v>31.932352941176472</v>
      </c>
    </row>
    <row r="60" spans="1:63">
      <c r="A60" s="3">
        <v>455101</v>
      </c>
      <c r="B60" s="3" t="s">
        <v>65</v>
      </c>
      <c r="C60" s="3" t="s">
        <v>66</v>
      </c>
      <c r="D60" s="3">
        <v>0</v>
      </c>
      <c r="E60" s="4">
        <v>2177.3329411764707</v>
      </c>
    </row>
    <row r="61" spans="1:63">
      <c r="A61" s="3">
        <v>455102</v>
      </c>
      <c r="B61" s="3" t="s">
        <v>65</v>
      </c>
      <c r="C61" s="3" t="s">
        <v>67</v>
      </c>
      <c r="D61" s="3">
        <v>0</v>
      </c>
      <c r="E61" s="3">
        <v>1.9905882352941178</v>
      </c>
    </row>
    <row r="62" spans="1:63">
      <c r="A62" s="3">
        <v>467200</v>
      </c>
      <c r="B62" s="3" t="s">
        <v>65</v>
      </c>
      <c r="C62" s="3" t="s">
        <v>68</v>
      </c>
      <c r="D62" s="3">
        <v>0</v>
      </c>
      <c r="E62" s="4">
        <v>60.218823529411765</v>
      </c>
    </row>
    <row r="63" spans="1:63">
      <c r="A63" s="3">
        <v>467300</v>
      </c>
      <c r="B63" s="3" t="s">
        <v>65</v>
      </c>
      <c r="C63" s="3" t="s">
        <v>69</v>
      </c>
      <c r="D63" s="4">
        <v>1314.5588235294117</v>
      </c>
      <c r="E63" s="3">
        <v>0</v>
      </c>
    </row>
    <row r="64" spans="1:63">
      <c r="A64" s="3">
        <v>471000</v>
      </c>
      <c r="B64" s="3" t="s">
        <v>70</v>
      </c>
      <c r="C64" s="3" t="s">
        <v>71</v>
      </c>
      <c r="D64" s="3">
        <v>0</v>
      </c>
      <c r="E64" s="3">
        <v>0</v>
      </c>
    </row>
    <row r="65" spans="1:65">
      <c r="A65" s="3">
        <v>486000</v>
      </c>
      <c r="B65" s="3" t="s">
        <v>70</v>
      </c>
      <c r="C65" s="3" t="s">
        <v>72</v>
      </c>
      <c r="D65" s="3">
        <v>18.633529411764705</v>
      </c>
      <c r="E65" s="3">
        <v>0</v>
      </c>
    </row>
    <row r="66" spans="1:65">
      <c r="A66" s="3">
        <v>512100</v>
      </c>
      <c r="B66" s="3" t="s">
        <v>73</v>
      </c>
      <c r="C66" s="3" t="s">
        <v>74</v>
      </c>
      <c r="D66" s="3">
        <v>0</v>
      </c>
      <c r="E66" s="4">
        <v>298.0411764705882</v>
      </c>
    </row>
    <row r="67" spans="1:65" ht="24" customHeight="1">
      <c r="A67" s="3">
        <v>512200</v>
      </c>
      <c r="B67" s="3" t="s">
        <v>75</v>
      </c>
      <c r="C67" s="3" t="s">
        <v>76</v>
      </c>
      <c r="D67" s="3">
        <v>53.561176470588236</v>
      </c>
      <c r="E67" s="3">
        <v>0</v>
      </c>
    </row>
    <row r="68" spans="1:65">
      <c r="A68" s="3">
        <v>531000</v>
      </c>
      <c r="B68" s="3" t="s">
        <v>75</v>
      </c>
      <c r="C68" s="3" t="s">
        <v>77</v>
      </c>
      <c r="D68" s="3">
        <v>14.591764705882353</v>
      </c>
      <c r="E68" s="3">
        <v>0</v>
      </c>
    </row>
    <row r="69" spans="1:65">
      <c r="A69" s="3">
        <v>580100</v>
      </c>
      <c r="B69" s="3" t="s">
        <v>75</v>
      </c>
      <c r="C69" s="3" t="s">
        <v>78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>
      <c r="A70" s="3">
        <v>581000</v>
      </c>
      <c r="B70" s="3" t="s">
        <v>75</v>
      </c>
      <c r="C70" s="3" t="s">
        <v>79</v>
      </c>
      <c r="D70" s="3">
        <v>0</v>
      </c>
      <c r="E70" s="3">
        <v>0</v>
      </c>
    </row>
    <row r="71" spans="1:65" ht="30" customHeight="1">
      <c r="A71" s="3">
        <v>603710</v>
      </c>
      <c r="B71" s="3" t="s">
        <v>80</v>
      </c>
      <c r="C71" s="3" t="s">
        <v>81</v>
      </c>
      <c r="D71" s="3">
        <v>0</v>
      </c>
      <c r="E71" s="4">
        <v>487.90058823529409</v>
      </c>
    </row>
    <row r="72" spans="1:65" ht="23.25" customHeight="1">
      <c r="A72" s="3">
        <v>603720</v>
      </c>
      <c r="B72" s="3" t="s">
        <v>82</v>
      </c>
      <c r="C72" s="3" t="s">
        <v>34</v>
      </c>
      <c r="D72" s="3">
        <v>0</v>
      </c>
      <c r="E72" s="4">
        <v>528.83823529411768</v>
      </c>
    </row>
    <row r="73" spans="1:65">
      <c r="A73" s="3">
        <v>606110</v>
      </c>
      <c r="B73" s="3" t="s">
        <v>83</v>
      </c>
      <c r="C73" s="3" t="s">
        <v>84</v>
      </c>
      <c r="D73" s="4">
        <v>255.04470588235296</v>
      </c>
      <c r="E73" s="3">
        <v>0</v>
      </c>
    </row>
    <row r="74" spans="1:65" ht="26.25" customHeight="1">
      <c r="A74" s="3">
        <v>606140</v>
      </c>
      <c r="B74" s="3" t="s">
        <v>83</v>
      </c>
      <c r="C74" s="3" t="s">
        <v>85</v>
      </c>
      <c r="D74" s="4">
        <v>140.46352941176471</v>
      </c>
      <c r="E74" s="3">
        <v>0</v>
      </c>
    </row>
    <row r="75" spans="1:65" ht="23.25" customHeight="1">
      <c r="A75" s="3">
        <v>606300</v>
      </c>
      <c r="B75" s="3" t="s">
        <v>83</v>
      </c>
      <c r="C75" s="3" t="s">
        <v>86</v>
      </c>
      <c r="D75" s="3">
        <v>44.405882352941177</v>
      </c>
      <c r="E75" s="3">
        <v>0</v>
      </c>
    </row>
    <row r="76" spans="1:65">
      <c r="A76" s="3">
        <v>606400</v>
      </c>
      <c r="B76" s="3" t="s">
        <v>83</v>
      </c>
      <c r="C76" s="3" t="s">
        <v>87</v>
      </c>
      <c r="D76" s="4">
        <v>132.84352941176471</v>
      </c>
      <c r="E76" s="3">
        <v>0</v>
      </c>
    </row>
    <row r="77" spans="1:65">
      <c r="A77" s="3">
        <v>606500</v>
      </c>
      <c r="B77" s="3" t="s">
        <v>83</v>
      </c>
      <c r="C77" s="3" t="s">
        <v>88</v>
      </c>
      <c r="D77" s="4">
        <v>341.93294117647059</v>
      </c>
      <c r="E77" s="3">
        <v>0</v>
      </c>
    </row>
    <row r="78" spans="1:65">
      <c r="A78" s="3">
        <v>607100</v>
      </c>
      <c r="B78" s="3" t="s">
        <v>80</v>
      </c>
      <c r="C78" s="3" t="s">
        <v>89</v>
      </c>
      <c r="D78" s="4">
        <v>742.43470588235289</v>
      </c>
      <c r="E78" s="3">
        <v>0</v>
      </c>
    </row>
    <row r="79" spans="1:65">
      <c r="A79" s="3">
        <v>607200</v>
      </c>
      <c r="B79" s="3" t="s">
        <v>80</v>
      </c>
      <c r="C79" s="3" t="s">
        <v>90</v>
      </c>
      <c r="D79" s="4">
        <v>7900.464705882353</v>
      </c>
      <c r="E79" s="3">
        <v>0</v>
      </c>
    </row>
    <row r="80" spans="1:65">
      <c r="A80" s="3">
        <v>607300</v>
      </c>
      <c r="B80" s="3" t="s">
        <v>80</v>
      </c>
      <c r="C80" s="3" t="s">
        <v>91</v>
      </c>
      <c r="D80" s="4">
        <v>1290.5541176470588</v>
      </c>
      <c r="E80" s="3">
        <v>0</v>
      </c>
    </row>
    <row r="81" spans="1:5">
      <c r="A81" s="3">
        <v>607310</v>
      </c>
      <c r="B81" s="3" t="s">
        <v>80</v>
      </c>
      <c r="C81" s="3" t="s">
        <v>92</v>
      </c>
      <c r="D81" s="4">
        <v>98.258235294117654</v>
      </c>
      <c r="E81" s="3">
        <v>0</v>
      </c>
    </row>
    <row r="82" spans="1:5" ht="23.25" customHeight="1">
      <c r="A82" s="3">
        <v>607600</v>
      </c>
      <c r="B82" s="3" t="s">
        <v>80</v>
      </c>
      <c r="C82" s="3" t="s">
        <v>93</v>
      </c>
      <c r="D82" s="4">
        <v>3191.6323529411766</v>
      </c>
      <c r="E82" s="3">
        <v>0</v>
      </c>
    </row>
    <row r="83" spans="1:5">
      <c r="A83" s="3">
        <v>607700</v>
      </c>
      <c r="B83" s="3" t="s">
        <v>82</v>
      </c>
      <c r="C83" s="3" t="s">
        <v>94</v>
      </c>
      <c r="D83" s="4">
        <v>3774.0747058823526</v>
      </c>
      <c r="E83" s="3">
        <v>0</v>
      </c>
    </row>
    <row r="84" spans="1:5">
      <c r="A84" s="3">
        <v>607710</v>
      </c>
      <c r="B84" s="3" t="s">
        <v>82</v>
      </c>
      <c r="C84" s="3" t="s">
        <v>95</v>
      </c>
      <c r="D84" s="4">
        <v>945.5923529411765</v>
      </c>
      <c r="E84" s="3">
        <v>0</v>
      </c>
    </row>
    <row r="85" spans="1:5">
      <c r="A85" s="3">
        <v>607800</v>
      </c>
      <c r="B85" s="3" t="s">
        <v>82</v>
      </c>
      <c r="C85" s="3" t="s">
        <v>96</v>
      </c>
      <c r="D85" s="4">
        <v>1033.9629411764706</v>
      </c>
      <c r="E85" s="3">
        <v>0</v>
      </c>
    </row>
    <row r="86" spans="1:5">
      <c r="A86" s="3">
        <v>609700</v>
      </c>
      <c r="B86" s="3" t="s">
        <v>82</v>
      </c>
      <c r="C86" s="3" t="s">
        <v>97</v>
      </c>
      <c r="D86" s="3">
        <v>0</v>
      </c>
      <c r="E86" s="4">
        <v>718.76647058823528</v>
      </c>
    </row>
    <row r="87" spans="1:5">
      <c r="A87" s="3">
        <v>612000</v>
      </c>
      <c r="B87" s="3" t="s">
        <v>98</v>
      </c>
      <c r="C87" s="3" t="s">
        <v>99</v>
      </c>
      <c r="D87" s="4">
        <v>328.33</v>
      </c>
      <c r="E87" s="3">
        <v>0</v>
      </c>
    </row>
    <row r="88" spans="1:5">
      <c r="A88" s="3">
        <v>612200</v>
      </c>
      <c r="B88" s="3" t="s">
        <v>98</v>
      </c>
      <c r="C88" s="3" t="s">
        <v>100</v>
      </c>
      <c r="D88" s="3">
        <v>14.902352941176471</v>
      </c>
      <c r="E88" s="3">
        <v>0</v>
      </c>
    </row>
    <row r="89" spans="1:5">
      <c r="A89" s="3">
        <v>613200</v>
      </c>
      <c r="B89" s="3" t="s">
        <v>101</v>
      </c>
      <c r="C89" s="3" t="s">
        <v>102</v>
      </c>
      <c r="D89" s="4">
        <v>3972.6388235294116</v>
      </c>
      <c r="E89" s="3">
        <v>0</v>
      </c>
    </row>
    <row r="90" spans="1:5">
      <c r="A90" s="3">
        <v>613300</v>
      </c>
      <c r="B90" s="3" t="s">
        <v>83</v>
      </c>
      <c r="C90" s="3" t="s">
        <v>103</v>
      </c>
      <c r="D90" s="3">
        <v>11.555294117647058</v>
      </c>
      <c r="E90" s="3">
        <v>0</v>
      </c>
    </row>
    <row r="91" spans="1:5">
      <c r="A91" s="3">
        <v>613400</v>
      </c>
      <c r="B91" s="3" t="s">
        <v>83</v>
      </c>
      <c r="C91" s="3" t="s">
        <v>104</v>
      </c>
      <c r="D91" s="3">
        <v>13.976470588235294</v>
      </c>
      <c r="E91" s="3">
        <v>0</v>
      </c>
    </row>
    <row r="92" spans="1:5">
      <c r="A92" s="3">
        <v>614000</v>
      </c>
      <c r="B92" s="3" t="s">
        <v>101</v>
      </c>
      <c r="C92" s="3" t="s">
        <v>105</v>
      </c>
      <c r="D92" s="4">
        <v>1520.265294117647</v>
      </c>
      <c r="E92" s="3">
        <v>0</v>
      </c>
    </row>
    <row r="93" spans="1:5">
      <c r="A93" s="3">
        <v>615200</v>
      </c>
      <c r="B93" s="3" t="s">
        <v>83</v>
      </c>
      <c r="C93" s="3" t="s">
        <v>106</v>
      </c>
      <c r="D93" s="4">
        <v>231.92529411764707</v>
      </c>
      <c r="E93" s="3">
        <v>0</v>
      </c>
    </row>
    <row r="94" spans="1:5">
      <c r="A94" s="3">
        <v>615510</v>
      </c>
      <c r="B94" s="3" t="s">
        <v>83</v>
      </c>
      <c r="C94" s="3" t="s">
        <v>107</v>
      </c>
      <c r="D94" s="4">
        <v>409.11647058823525</v>
      </c>
      <c r="E94" s="3">
        <v>0</v>
      </c>
    </row>
    <row r="95" spans="1:5">
      <c r="A95" s="3">
        <v>615520</v>
      </c>
      <c r="B95" s="3" t="s">
        <v>83</v>
      </c>
      <c r="C95" s="3" t="s">
        <v>108</v>
      </c>
      <c r="D95" s="3">
        <v>50.567058823529408</v>
      </c>
      <c r="E95" s="3">
        <v>0</v>
      </c>
    </row>
    <row r="96" spans="1:5">
      <c r="A96" s="3">
        <v>615600</v>
      </c>
      <c r="B96" s="3" t="s">
        <v>83</v>
      </c>
      <c r="C96" s="3" t="s">
        <v>109</v>
      </c>
      <c r="D96" s="4">
        <v>422.80352941176471</v>
      </c>
      <c r="E96" s="3">
        <v>0</v>
      </c>
    </row>
    <row r="97" spans="1:5">
      <c r="A97" s="3">
        <v>616000</v>
      </c>
      <c r="B97" s="3" t="s">
        <v>110</v>
      </c>
      <c r="C97" s="3" t="s">
        <v>111</v>
      </c>
      <c r="D97" s="4">
        <v>229.70058823529411</v>
      </c>
      <c r="E97" s="3">
        <v>0</v>
      </c>
    </row>
    <row r="98" spans="1:5">
      <c r="A98" s="3">
        <v>616001</v>
      </c>
      <c r="B98" s="3" t="s">
        <v>110</v>
      </c>
      <c r="C98" s="3" t="s">
        <v>112</v>
      </c>
      <c r="D98" s="4">
        <v>137.43529411764706</v>
      </c>
      <c r="E98" s="3">
        <v>0</v>
      </c>
    </row>
    <row r="99" spans="1:5">
      <c r="A99" s="3">
        <v>616100</v>
      </c>
      <c r="B99" s="3" t="s">
        <v>113</v>
      </c>
      <c r="C99" s="3" t="s">
        <v>114</v>
      </c>
      <c r="D99" s="3">
        <v>37.058823529411768</v>
      </c>
      <c r="E99" s="3">
        <v>0</v>
      </c>
    </row>
    <row r="100" spans="1:5">
      <c r="A100" s="3">
        <v>618500</v>
      </c>
      <c r="B100" s="3" t="s">
        <v>83</v>
      </c>
      <c r="C100" s="3" t="s">
        <v>115</v>
      </c>
      <c r="D100" s="4">
        <v>384.35294117647061</v>
      </c>
      <c r="E100" s="3">
        <v>0</v>
      </c>
    </row>
    <row r="101" spans="1:5">
      <c r="A101" s="3">
        <v>621000</v>
      </c>
      <c r="B101" s="3" t="s">
        <v>116</v>
      </c>
      <c r="C101" s="3" t="s">
        <v>117</v>
      </c>
      <c r="D101" s="4">
        <v>1258.2488235294118</v>
      </c>
      <c r="E101" s="3">
        <v>0</v>
      </c>
    </row>
    <row r="102" spans="1:5">
      <c r="A102" s="3">
        <v>622300</v>
      </c>
      <c r="B102" s="3" t="s">
        <v>83</v>
      </c>
      <c r="C102" s="3" t="s">
        <v>118</v>
      </c>
      <c r="D102" s="4">
        <v>326.83823529411762</v>
      </c>
      <c r="E102" s="3">
        <v>0</v>
      </c>
    </row>
    <row r="103" spans="1:5">
      <c r="A103" s="3">
        <v>622301</v>
      </c>
      <c r="B103" s="3" t="s">
        <v>83</v>
      </c>
      <c r="C103" s="3" t="s">
        <v>119</v>
      </c>
      <c r="D103" s="4">
        <v>159.8235294117647</v>
      </c>
      <c r="E103" s="3">
        <v>0</v>
      </c>
    </row>
    <row r="104" spans="1:5">
      <c r="A104" s="3">
        <v>622302</v>
      </c>
      <c r="B104" s="3" t="s">
        <v>83</v>
      </c>
      <c r="C104" s="3" t="s">
        <v>120</v>
      </c>
      <c r="D104" s="3">
        <v>34.117647058823529</v>
      </c>
      <c r="E104" s="3">
        <v>0</v>
      </c>
    </row>
    <row r="105" spans="1:5">
      <c r="A105" s="3">
        <v>622400</v>
      </c>
      <c r="B105" s="3" t="s">
        <v>83</v>
      </c>
      <c r="C105" s="3" t="s">
        <v>121</v>
      </c>
      <c r="D105" s="4">
        <v>94.117647058823536</v>
      </c>
      <c r="E105" s="3">
        <v>0</v>
      </c>
    </row>
    <row r="106" spans="1:5">
      <c r="A106" s="3">
        <v>622600</v>
      </c>
      <c r="B106" s="3" t="s">
        <v>83</v>
      </c>
      <c r="C106" s="3" t="s">
        <v>122</v>
      </c>
      <c r="D106" s="4">
        <v>82.352941176470594</v>
      </c>
      <c r="E106" s="3">
        <v>0</v>
      </c>
    </row>
    <row r="107" spans="1:5">
      <c r="A107" s="3">
        <v>622700</v>
      </c>
      <c r="B107" s="3" t="s">
        <v>83</v>
      </c>
      <c r="C107" s="3" t="s">
        <v>123</v>
      </c>
      <c r="D107" s="3">
        <v>12.052941176470588</v>
      </c>
      <c r="E107" s="3">
        <v>0</v>
      </c>
    </row>
    <row r="108" spans="1:5">
      <c r="A108" s="3">
        <v>623101</v>
      </c>
      <c r="B108" s="3" t="s">
        <v>124</v>
      </c>
      <c r="C108" s="3" t="s">
        <v>125</v>
      </c>
      <c r="D108" s="4">
        <v>216.49235294117648</v>
      </c>
      <c r="E108" s="3">
        <v>0</v>
      </c>
    </row>
    <row r="109" spans="1:5">
      <c r="A109" s="3">
        <v>623102</v>
      </c>
      <c r="B109" s="3" t="s">
        <v>124</v>
      </c>
      <c r="C109" s="3" t="s">
        <v>126</v>
      </c>
      <c r="D109" s="4">
        <v>1391.3570588235293</v>
      </c>
      <c r="E109" s="3">
        <v>0</v>
      </c>
    </row>
    <row r="110" spans="1:5">
      <c r="A110" s="3">
        <v>623200</v>
      </c>
      <c r="B110" s="3" t="s">
        <v>124</v>
      </c>
      <c r="C110" s="3" t="s">
        <v>127</v>
      </c>
      <c r="D110" s="4">
        <v>2100</v>
      </c>
      <c r="E110" s="3">
        <v>0</v>
      </c>
    </row>
    <row r="111" spans="1:5">
      <c r="A111" s="3">
        <v>623400</v>
      </c>
      <c r="B111" s="3" t="s">
        <v>124</v>
      </c>
      <c r="C111" s="3" t="s">
        <v>128</v>
      </c>
      <c r="D111" s="4">
        <v>70.172941176470587</v>
      </c>
      <c r="E111" s="3">
        <v>0</v>
      </c>
    </row>
    <row r="112" spans="1:5">
      <c r="A112" s="3">
        <v>624100</v>
      </c>
      <c r="B112" s="3" t="s">
        <v>80</v>
      </c>
      <c r="C112" s="3" t="s">
        <v>129</v>
      </c>
      <c r="D112" s="4">
        <v>259.29058823529408</v>
      </c>
      <c r="E112" s="3">
        <v>0</v>
      </c>
    </row>
    <row r="113" spans="1:5">
      <c r="A113" s="3">
        <v>625100</v>
      </c>
      <c r="B113" s="3" t="s">
        <v>83</v>
      </c>
      <c r="C113" s="3" t="s">
        <v>130</v>
      </c>
      <c r="D113" s="4">
        <v>504.42411764705878</v>
      </c>
      <c r="E113" s="3">
        <v>0</v>
      </c>
    </row>
    <row r="114" spans="1:5">
      <c r="A114" s="3">
        <v>625101</v>
      </c>
      <c r="B114" s="3" t="s">
        <v>83</v>
      </c>
      <c r="C114" s="3" t="s">
        <v>131</v>
      </c>
      <c r="D114" s="3">
        <v>54.277647058823533</v>
      </c>
      <c r="E114" s="3">
        <v>0</v>
      </c>
    </row>
    <row r="115" spans="1:5">
      <c r="A115" s="3">
        <v>625700</v>
      </c>
      <c r="B115" s="3" t="s">
        <v>83</v>
      </c>
      <c r="C115" s="3" t="s">
        <v>132</v>
      </c>
      <c r="D115" s="4">
        <v>396.54176470588237</v>
      </c>
      <c r="E115" s="3">
        <v>0</v>
      </c>
    </row>
    <row r="116" spans="1:5">
      <c r="A116" s="3">
        <v>626100</v>
      </c>
      <c r="B116" s="3" t="s">
        <v>83</v>
      </c>
      <c r="C116" s="3" t="s">
        <v>133</v>
      </c>
      <c r="D116" s="4">
        <v>83.536470588235289</v>
      </c>
      <c r="E116" s="3">
        <v>0</v>
      </c>
    </row>
    <row r="117" spans="1:5">
      <c r="A117" s="3">
        <v>626200</v>
      </c>
      <c r="B117" s="3" t="s">
        <v>83</v>
      </c>
      <c r="C117" s="3" t="s">
        <v>134</v>
      </c>
      <c r="D117" s="4">
        <v>275.18823529411765</v>
      </c>
      <c r="E117" s="3">
        <v>0</v>
      </c>
    </row>
    <row r="118" spans="1:5">
      <c r="A118" s="3">
        <v>627500</v>
      </c>
      <c r="B118" s="3" t="s">
        <v>83</v>
      </c>
      <c r="C118" s="3" t="s">
        <v>135</v>
      </c>
      <c r="D118" s="4">
        <v>113.68294117647058</v>
      </c>
      <c r="E118" s="3">
        <v>0</v>
      </c>
    </row>
    <row r="119" spans="1:5">
      <c r="A119" s="3">
        <v>627600</v>
      </c>
      <c r="B119" s="3" t="s">
        <v>83</v>
      </c>
      <c r="C119" s="3" t="s">
        <v>136</v>
      </c>
      <c r="D119" s="4">
        <v>93.634705882352932</v>
      </c>
      <c r="E119" s="3">
        <v>0</v>
      </c>
    </row>
    <row r="120" spans="1:5">
      <c r="A120" s="3">
        <v>628100</v>
      </c>
      <c r="B120" s="3" t="s">
        <v>83</v>
      </c>
      <c r="C120" s="3" t="s">
        <v>137</v>
      </c>
      <c r="D120" s="4">
        <v>218.52941176470588</v>
      </c>
      <c r="E120" s="3">
        <v>0</v>
      </c>
    </row>
    <row r="121" spans="1:5">
      <c r="A121" s="3">
        <v>631200</v>
      </c>
      <c r="B121" s="3" t="s">
        <v>138</v>
      </c>
      <c r="C121" s="3" t="s">
        <v>139</v>
      </c>
      <c r="D121" s="3">
        <v>6.1676470588235288</v>
      </c>
      <c r="E121" s="3">
        <v>0</v>
      </c>
    </row>
    <row r="122" spans="1:5">
      <c r="A122" s="3">
        <v>633300</v>
      </c>
      <c r="B122" s="3" t="s">
        <v>138</v>
      </c>
      <c r="C122" s="3" t="s">
        <v>140</v>
      </c>
      <c r="D122" s="3">
        <v>53.737058823529409</v>
      </c>
      <c r="E122" s="3">
        <v>0</v>
      </c>
    </row>
    <row r="123" spans="1:5">
      <c r="A123" s="3">
        <v>635111</v>
      </c>
      <c r="B123" s="3" t="s">
        <v>138</v>
      </c>
      <c r="C123" s="3" t="s">
        <v>141</v>
      </c>
      <c r="D123" s="4">
        <v>216.70588235294119</v>
      </c>
      <c r="E123" s="3">
        <v>0</v>
      </c>
    </row>
    <row r="124" spans="1:5">
      <c r="A124" s="3">
        <v>635140</v>
      </c>
      <c r="B124" s="3" t="s">
        <v>138</v>
      </c>
      <c r="C124" s="3" t="s">
        <v>142</v>
      </c>
      <c r="D124" s="3">
        <v>31.588235294117649</v>
      </c>
      <c r="E124" s="3">
        <v>0</v>
      </c>
    </row>
    <row r="125" spans="1:5">
      <c r="A125" s="3">
        <v>641100</v>
      </c>
      <c r="B125" s="3" t="s">
        <v>143</v>
      </c>
      <c r="C125" s="3" t="s">
        <v>144</v>
      </c>
      <c r="D125" s="4">
        <v>7170.4652941176473</v>
      </c>
      <c r="E125" s="3">
        <v>0</v>
      </c>
    </row>
    <row r="126" spans="1:5">
      <c r="A126" s="3">
        <v>641200</v>
      </c>
      <c r="B126" s="3" t="s">
        <v>143</v>
      </c>
      <c r="C126" s="3" t="s">
        <v>145</v>
      </c>
      <c r="D126" s="4">
        <v>241.1370588235294</v>
      </c>
      <c r="E126" s="3">
        <v>0</v>
      </c>
    </row>
    <row r="127" spans="1:5">
      <c r="A127" s="3">
        <v>641300</v>
      </c>
      <c r="B127" s="3" t="s">
        <v>143</v>
      </c>
      <c r="C127" s="3" t="s">
        <v>146</v>
      </c>
      <c r="D127" s="4">
        <v>814.65470588235291</v>
      </c>
      <c r="E127" s="3">
        <v>0</v>
      </c>
    </row>
    <row r="128" spans="1:5">
      <c r="A128" s="3">
        <v>641400</v>
      </c>
      <c r="B128" s="3" t="s">
        <v>143</v>
      </c>
      <c r="C128" s="3" t="s">
        <v>147</v>
      </c>
      <c r="D128" s="3">
        <v>21.28235294117647</v>
      </c>
      <c r="E128" s="3">
        <v>0</v>
      </c>
    </row>
    <row r="129" spans="1:5">
      <c r="A129" s="3">
        <v>641401</v>
      </c>
      <c r="B129" s="3" t="s">
        <v>143</v>
      </c>
      <c r="C129" s="3" t="s">
        <v>148</v>
      </c>
      <c r="D129" s="3">
        <v>52.517647058823528</v>
      </c>
      <c r="E129" s="3">
        <v>0</v>
      </c>
    </row>
    <row r="130" spans="1:5">
      <c r="A130" s="3">
        <v>645100</v>
      </c>
      <c r="B130" s="3" t="s">
        <v>149</v>
      </c>
      <c r="C130" s="3" t="s">
        <v>150</v>
      </c>
      <c r="D130" s="4">
        <v>1632.620588235294</v>
      </c>
      <c r="E130" s="3">
        <v>0</v>
      </c>
    </row>
    <row r="131" spans="1:5">
      <c r="A131" s="3">
        <v>645320</v>
      </c>
      <c r="B131" s="3" t="s">
        <v>149</v>
      </c>
      <c r="C131" s="3" t="s">
        <v>151</v>
      </c>
      <c r="D131" s="4">
        <v>442.1764705882353</v>
      </c>
      <c r="E131" s="3">
        <v>0</v>
      </c>
    </row>
    <row r="132" spans="1:5">
      <c r="A132" s="3">
        <v>645500</v>
      </c>
      <c r="B132" s="3" t="s">
        <v>149</v>
      </c>
      <c r="C132" s="3" t="s">
        <v>152</v>
      </c>
      <c r="D132" s="4">
        <v>197.41117647058823</v>
      </c>
      <c r="E132" s="3">
        <v>0</v>
      </c>
    </row>
    <row r="133" spans="1:5">
      <c r="A133" s="3">
        <v>645800</v>
      </c>
      <c r="B133" s="3" t="s">
        <v>149</v>
      </c>
      <c r="C133" s="3" t="s">
        <v>153</v>
      </c>
      <c r="D133" s="3">
        <v>22.037647058823527</v>
      </c>
      <c r="E133" s="3">
        <v>0</v>
      </c>
    </row>
    <row r="134" spans="1:5">
      <c r="A134" s="3">
        <v>645900</v>
      </c>
      <c r="B134" s="3" t="s">
        <v>149</v>
      </c>
      <c r="C134" s="3" t="s">
        <v>154</v>
      </c>
      <c r="D134" s="3">
        <v>4.3570588235294112</v>
      </c>
      <c r="E134" s="3">
        <v>0</v>
      </c>
    </row>
    <row r="135" spans="1:5">
      <c r="A135" s="3">
        <v>647000</v>
      </c>
      <c r="B135" s="3" t="s">
        <v>149</v>
      </c>
      <c r="C135" s="3" t="s">
        <v>155</v>
      </c>
      <c r="D135" s="4">
        <v>86.340588235294121</v>
      </c>
      <c r="E135" s="3">
        <v>0</v>
      </c>
    </row>
    <row r="136" spans="1:5">
      <c r="A136" s="3">
        <v>647500</v>
      </c>
      <c r="B136" s="3" t="s">
        <v>149</v>
      </c>
      <c r="C136" s="3" t="s">
        <v>156</v>
      </c>
      <c r="D136" s="3">
        <v>22.423529411764704</v>
      </c>
      <c r="E136" s="3">
        <v>0</v>
      </c>
    </row>
    <row r="137" spans="1:5">
      <c r="A137" s="3">
        <v>651000</v>
      </c>
      <c r="B137" s="3" t="s">
        <v>83</v>
      </c>
      <c r="C137" s="3" t="s">
        <v>157</v>
      </c>
      <c r="D137" s="4">
        <v>558.8252941176471</v>
      </c>
      <c r="E137" s="3">
        <v>0</v>
      </c>
    </row>
    <row r="138" spans="1:5">
      <c r="A138" s="3">
        <v>658000</v>
      </c>
      <c r="B138" s="3" t="s">
        <v>158</v>
      </c>
      <c r="C138" s="3" t="s">
        <v>159</v>
      </c>
      <c r="D138" s="3">
        <v>0.83764705882352941</v>
      </c>
      <c r="E138" s="3">
        <v>0</v>
      </c>
    </row>
    <row r="139" spans="1:5">
      <c r="A139" s="3">
        <v>661160</v>
      </c>
      <c r="B139" s="3" t="s">
        <v>113</v>
      </c>
      <c r="C139" s="3" t="s">
        <v>160</v>
      </c>
      <c r="D139" s="3">
        <v>14.99764705882353</v>
      </c>
      <c r="E139" s="3">
        <v>0</v>
      </c>
    </row>
    <row r="140" spans="1:5">
      <c r="A140" s="3">
        <v>661161</v>
      </c>
      <c r="B140" s="3" t="s">
        <v>113</v>
      </c>
      <c r="C140" s="3" t="s">
        <v>161</v>
      </c>
      <c r="D140" s="3">
        <v>0</v>
      </c>
      <c r="E140" s="3">
        <v>3.4747058823529411</v>
      </c>
    </row>
    <row r="141" spans="1:5">
      <c r="A141" s="3">
        <v>671200</v>
      </c>
      <c r="B141" s="3" t="s">
        <v>158</v>
      </c>
      <c r="C141" s="3" t="s">
        <v>162</v>
      </c>
      <c r="D141" s="3">
        <v>5.2941176470588234</v>
      </c>
      <c r="E141" s="3">
        <v>0</v>
      </c>
    </row>
    <row r="142" spans="1:5">
      <c r="A142" s="3">
        <v>671800</v>
      </c>
      <c r="B142" s="3" t="s">
        <v>158</v>
      </c>
      <c r="C142" s="3" t="s">
        <v>163</v>
      </c>
      <c r="D142" s="4">
        <v>1176.4705882352941</v>
      </c>
      <c r="E142" s="3">
        <v>0</v>
      </c>
    </row>
    <row r="143" spans="1:5">
      <c r="A143" s="3">
        <v>681120</v>
      </c>
      <c r="B143" s="3" t="s">
        <v>164</v>
      </c>
      <c r="C143" s="3" t="s">
        <v>165</v>
      </c>
      <c r="D143" s="4">
        <v>1259.5782352941178</v>
      </c>
      <c r="E143" s="3">
        <v>0</v>
      </c>
    </row>
    <row r="144" spans="1:5">
      <c r="A144" s="3">
        <v>695000</v>
      </c>
      <c r="B144" s="3" t="s">
        <v>166</v>
      </c>
      <c r="C144" s="3" t="s">
        <v>167</v>
      </c>
      <c r="D144" s="4">
        <v>237.8235294117647</v>
      </c>
      <c r="E144" s="3">
        <v>0</v>
      </c>
    </row>
    <row r="145" spans="1:5">
      <c r="A145" s="3">
        <v>707100</v>
      </c>
      <c r="B145" s="3" t="s">
        <v>168</v>
      </c>
      <c r="C145" s="3" t="s">
        <v>169</v>
      </c>
      <c r="D145" s="3">
        <v>0</v>
      </c>
      <c r="E145" s="4">
        <v>9354.4158823529415</v>
      </c>
    </row>
    <row r="146" spans="1:5">
      <c r="A146" s="3">
        <v>707200</v>
      </c>
      <c r="B146" s="3" t="s">
        <v>168</v>
      </c>
      <c r="C146" s="3" t="s">
        <v>170</v>
      </c>
      <c r="D146" s="3">
        <v>0</v>
      </c>
      <c r="E146" s="4">
        <v>24644.921176470587</v>
      </c>
    </row>
    <row r="147" spans="1:5">
      <c r="A147" s="3">
        <v>707300</v>
      </c>
      <c r="B147" s="3" t="s">
        <v>168</v>
      </c>
      <c r="C147" s="3" t="s">
        <v>171</v>
      </c>
      <c r="D147" s="3">
        <v>0</v>
      </c>
      <c r="E147" s="4">
        <v>1913.9594117647059</v>
      </c>
    </row>
    <row r="148" spans="1:5">
      <c r="A148" s="3">
        <v>707310</v>
      </c>
      <c r="B148" s="3" t="s">
        <v>168</v>
      </c>
      <c r="C148" s="3" t="s">
        <v>172</v>
      </c>
      <c r="D148" s="3">
        <v>0</v>
      </c>
      <c r="E148" s="4">
        <v>216.01294117647058</v>
      </c>
    </row>
    <row r="149" spans="1:5">
      <c r="A149" s="3">
        <v>707410</v>
      </c>
      <c r="B149" s="3" t="s">
        <v>168</v>
      </c>
      <c r="C149" s="3" t="s">
        <v>173</v>
      </c>
      <c r="D149" s="3">
        <v>0</v>
      </c>
      <c r="E149" s="4">
        <v>287.46470588235292</v>
      </c>
    </row>
    <row r="150" spans="1:5">
      <c r="A150" s="3">
        <v>707610</v>
      </c>
      <c r="B150" s="3" t="s">
        <v>168</v>
      </c>
      <c r="C150" s="3" t="s">
        <v>174</v>
      </c>
      <c r="D150" s="3">
        <v>1.9611764705882355</v>
      </c>
      <c r="E150" s="3">
        <v>0</v>
      </c>
    </row>
    <row r="151" spans="1:5">
      <c r="A151" s="3">
        <v>707700</v>
      </c>
      <c r="B151" s="3" t="s">
        <v>168</v>
      </c>
      <c r="C151" s="3" t="s">
        <v>175</v>
      </c>
      <c r="D151" s="3">
        <v>0</v>
      </c>
      <c r="E151" s="4">
        <v>2512.0911764705884</v>
      </c>
    </row>
    <row r="152" spans="1:5">
      <c r="A152" s="3">
        <v>707810</v>
      </c>
      <c r="B152" s="3" t="s">
        <v>176</v>
      </c>
      <c r="C152" s="3" t="s">
        <v>177</v>
      </c>
      <c r="D152" s="3">
        <v>0</v>
      </c>
      <c r="E152" s="4">
        <v>11465.345294117647</v>
      </c>
    </row>
    <row r="153" spans="1:5">
      <c r="A153" s="3">
        <v>707820</v>
      </c>
      <c r="B153" s="3" t="s">
        <v>176</v>
      </c>
      <c r="C153" s="3" t="s">
        <v>178</v>
      </c>
      <c r="D153" s="3">
        <v>0</v>
      </c>
      <c r="E153" s="4">
        <v>1620.5717647058825</v>
      </c>
    </row>
    <row r="154" spans="1:5">
      <c r="A154" s="3">
        <v>707821</v>
      </c>
      <c r="B154" s="3" t="s">
        <v>176</v>
      </c>
      <c r="C154" s="3" t="s">
        <v>179</v>
      </c>
      <c r="D154" s="3">
        <v>0</v>
      </c>
      <c r="E154" s="4">
        <v>1366.3735294117646</v>
      </c>
    </row>
    <row r="155" spans="1:5">
      <c r="A155" s="3">
        <v>709700</v>
      </c>
      <c r="B155" s="3" t="s">
        <v>168</v>
      </c>
      <c r="C155" s="3" t="s">
        <v>180</v>
      </c>
      <c r="D155" s="4">
        <v>555.37823529411764</v>
      </c>
      <c r="E155" s="3">
        <v>0</v>
      </c>
    </row>
    <row r="156" spans="1:5">
      <c r="A156" s="3">
        <v>709710</v>
      </c>
      <c r="B156" s="3" t="s">
        <v>168</v>
      </c>
      <c r="C156" s="3" t="s">
        <v>181</v>
      </c>
      <c r="D156" s="4">
        <v>1330.6417647058825</v>
      </c>
      <c r="E156" s="3">
        <v>0</v>
      </c>
    </row>
    <row r="157" spans="1:5">
      <c r="A157" s="3">
        <v>709720</v>
      </c>
      <c r="B157" s="3" t="s">
        <v>168</v>
      </c>
      <c r="C157" s="3" t="s">
        <v>182</v>
      </c>
      <c r="D157" s="4">
        <v>2559.7664705882353</v>
      </c>
      <c r="E157" s="3">
        <v>0</v>
      </c>
    </row>
    <row r="158" spans="1:5">
      <c r="A158" s="3">
        <v>709730</v>
      </c>
      <c r="B158" s="3" t="s">
        <v>168</v>
      </c>
      <c r="C158" s="3" t="s">
        <v>183</v>
      </c>
      <c r="D158" s="3">
        <v>43.763529411764708</v>
      </c>
      <c r="E158" s="3">
        <v>0</v>
      </c>
    </row>
    <row r="159" spans="1:5">
      <c r="A159" s="3">
        <v>709731</v>
      </c>
      <c r="B159" s="3" t="s">
        <v>168</v>
      </c>
      <c r="C159" s="3" t="s">
        <v>184</v>
      </c>
      <c r="D159" s="3">
        <v>41.04117647058824</v>
      </c>
      <c r="E159" s="3">
        <v>0</v>
      </c>
    </row>
    <row r="160" spans="1:5">
      <c r="A160" s="3">
        <v>709741</v>
      </c>
      <c r="B160" s="3" t="s">
        <v>168</v>
      </c>
      <c r="C160" s="3" t="s">
        <v>185</v>
      </c>
      <c r="D160" s="3">
        <v>30.444705882352938</v>
      </c>
      <c r="E160" s="3">
        <v>0</v>
      </c>
    </row>
    <row r="161" spans="1:5">
      <c r="A161" s="3">
        <v>709781</v>
      </c>
      <c r="B161" s="3" t="s">
        <v>176</v>
      </c>
      <c r="C161" s="3" t="s">
        <v>186</v>
      </c>
      <c r="D161" s="4">
        <v>1757.0082352941176</v>
      </c>
      <c r="E161" s="3">
        <v>0</v>
      </c>
    </row>
    <row r="162" spans="1:5">
      <c r="A162" s="3">
        <v>709782</v>
      </c>
      <c r="B162" s="3" t="s">
        <v>176</v>
      </c>
      <c r="C162" s="3" t="s">
        <v>187</v>
      </c>
      <c r="D162" s="4">
        <v>683.82</v>
      </c>
      <c r="E162" s="3">
        <v>0</v>
      </c>
    </row>
    <row r="163" spans="1:5">
      <c r="A163" s="3">
        <v>740000</v>
      </c>
      <c r="B163" s="3" t="s">
        <v>188</v>
      </c>
      <c r="C163" s="3" t="s">
        <v>189</v>
      </c>
      <c r="D163" s="3">
        <v>0</v>
      </c>
      <c r="E163" s="4">
        <v>117.64705882352941</v>
      </c>
    </row>
    <row r="164" spans="1:5">
      <c r="A164" s="3">
        <v>758000</v>
      </c>
      <c r="B164" s="3" t="s">
        <v>188</v>
      </c>
      <c r="C164" s="3" t="s">
        <v>190</v>
      </c>
      <c r="D164" s="3">
        <v>0</v>
      </c>
      <c r="E164" s="3">
        <v>8.3641176470588228</v>
      </c>
    </row>
    <row r="165" spans="1:5">
      <c r="A165" s="3">
        <v>791009</v>
      </c>
      <c r="B165" s="3" t="s">
        <v>83</v>
      </c>
      <c r="C165" s="3" t="s">
        <v>191</v>
      </c>
      <c r="D165" s="3">
        <v>0</v>
      </c>
      <c r="E165" s="4">
        <v>2219.9682352941177</v>
      </c>
    </row>
    <row r="166" spans="1:5">
      <c r="A166" s="3">
        <v>791011</v>
      </c>
      <c r="B166" s="3" t="s">
        <v>188</v>
      </c>
      <c r="C166" s="3" t="s">
        <v>192</v>
      </c>
      <c r="D166" s="3">
        <v>0</v>
      </c>
      <c r="E166" s="4">
        <v>107.16294117647058</v>
      </c>
    </row>
    <row r="167" spans="1:5">
      <c r="A167" s="3">
        <v>791012</v>
      </c>
      <c r="B167" s="3" t="s">
        <v>188</v>
      </c>
      <c r="C167" s="3" t="s">
        <v>193</v>
      </c>
      <c r="D167" s="3">
        <v>0</v>
      </c>
      <c r="E167" s="4">
        <v>299.03647058823526</v>
      </c>
    </row>
    <row r="290" spans="1:20">
      <c r="A290" s="288">
        <v>43983</v>
      </c>
      <c r="C290">
        <v>0.5</v>
      </c>
      <c r="D290">
        <v>0.5</v>
      </c>
      <c r="E290">
        <v>8</v>
      </c>
    </row>
    <row r="294" spans="1:20">
      <c r="A294" s="2"/>
    </row>
    <row r="298" spans="1:20">
      <c r="A298" s="488" t="s">
        <v>221</v>
      </c>
      <c r="B298" s="488"/>
      <c r="C298" s="488"/>
      <c r="D298" s="488"/>
      <c r="E298" s="488"/>
      <c r="H298" s="488" t="s">
        <v>222</v>
      </c>
      <c r="I298" s="488"/>
      <c r="J298" s="488"/>
      <c r="K298" s="488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201.44823529411764</v>
      </c>
      <c r="K300" s="2">
        <f t="shared" ref="K300:K334" si="8">SUMIF($B$301:$B$579,$I300,$E$301:$E$579)</f>
        <v>2941.1764705882351</v>
      </c>
      <c r="M300" s="7"/>
      <c r="N300" s="8"/>
      <c r="O300" s="8"/>
      <c r="P300" s="8"/>
      <c r="Q300" s="505" t="s">
        <v>200</v>
      </c>
      <c r="R300" s="506"/>
      <c r="S300" s="9" t="s">
        <v>201</v>
      </c>
      <c r="T300" s="10" t="s">
        <v>202</v>
      </c>
    </row>
    <row r="301" spans="1:20" ht="15.75" thickTop="1">
      <c r="A301" s="3">
        <v>101300</v>
      </c>
      <c r="B301" s="3" t="s">
        <v>3</v>
      </c>
      <c r="C301" s="3" t="s">
        <v>4</v>
      </c>
      <c r="D301" s="3">
        <v>0</v>
      </c>
      <c r="E301" s="4">
        <v>2941.1764705882351</v>
      </c>
      <c r="H301">
        <v>16</v>
      </c>
      <c r="I301" t="s">
        <v>9</v>
      </c>
      <c r="J301" s="2">
        <f t="shared" si="7"/>
        <v>0</v>
      </c>
      <c r="K301" s="2">
        <f t="shared" si="8"/>
        <v>1734.0117647058823</v>
      </c>
      <c r="M301" s="11" t="s">
        <v>203</v>
      </c>
      <c r="N301" s="12">
        <f>AS29</f>
        <v>4645.655882352934</v>
      </c>
      <c r="O301" s="13" t="s">
        <v>204</v>
      </c>
      <c r="P301" s="12">
        <f>BF26</f>
        <v>12205.931764705882</v>
      </c>
      <c r="Q301" s="14" t="s">
        <v>205</v>
      </c>
      <c r="R301" s="15">
        <f>N301/P301</f>
        <v>0.38060641103910653</v>
      </c>
      <c r="S301" s="16">
        <v>24</v>
      </c>
      <c r="T301" s="17">
        <f>R301*S301</f>
        <v>9.1345538649385567</v>
      </c>
    </row>
    <row r="302" spans="1:20">
      <c r="A302" s="3">
        <v>110000</v>
      </c>
      <c r="B302" s="3" t="s">
        <v>3</v>
      </c>
      <c r="C302" s="3" t="s">
        <v>7</v>
      </c>
      <c r="D302" s="4">
        <v>201.44823529411764</v>
      </c>
      <c r="E302" s="3">
        <v>0</v>
      </c>
      <c r="H302">
        <v>20</v>
      </c>
      <c r="I302" t="s">
        <v>16</v>
      </c>
      <c r="J302" s="2">
        <f t="shared" si="7"/>
        <v>25026.845882352944</v>
      </c>
      <c r="K302" s="2">
        <f t="shared" si="8"/>
        <v>19939.787058823531</v>
      </c>
      <c r="L302" s="2"/>
      <c r="M302" s="18" t="s">
        <v>206</v>
      </c>
      <c r="N302" s="19">
        <f>BF21</f>
        <v>6746.4911764705848</v>
      </c>
      <c r="O302" s="493" t="s">
        <v>207</v>
      </c>
      <c r="P302" s="494">
        <f>BF14</f>
        <v>17218.411176470589</v>
      </c>
      <c r="Q302" s="20" t="s">
        <v>208</v>
      </c>
      <c r="R302" s="15">
        <f>N302/P302</f>
        <v>0.39181844987473885</v>
      </c>
      <c r="S302" s="21">
        <v>22</v>
      </c>
      <c r="T302" s="22">
        <f t="shared" ref="T302:T305" si="9">R302*S302</f>
        <v>8.6200058972442548</v>
      </c>
    </row>
    <row r="303" spans="1:20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1514.2905882352941</v>
      </c>
      <c r="K303" s="2">
        <f t="shared" si="8"/>
        <v>0</v>
      </c>
      <c r="M303" s="18" t="s">
        <v>209</v>
      </c>
      <c r="N303" s="19">
        <f>BF13</f>
        <v>8852.355882352942</v>
      </c>
      <c r="O303" s="493"/>
      <c r="P303" s="495"/>
      <c r="Q303" s="20" t="s">
        <v>210</v>
      </c>
      <c r="R303" s="15">
        <f>N303/P302</f>
        <v>0.51412152907870612</v>
      </c>
      <c r="S303" s="21">
        <v>16</v>
      </c>
      <c r="T303" s="22">
        <f t="shared" si="9"/>
        <v>8.2259444652592979</v>
      </c>
    </row>
    <row r="304" spans="1:20">
      <c r="A304" s="3">
        <v>164101</v>
      </c>
      <c r="B304" s="3" t="s">
        <v>9</v>
      </c>
      <c r="C304" s="3" t="s">
        <v>10</v>
      </c>
      <c r="D304" s="3">
        <v>0</v>
      </c>
      <c r="E304" s="4">
        <v>400.56294117647059</v>
      </c>
      <c r="H304">
        <v>20</v>
      </c>
      <c r="I304" t="s">
        <v>13</v>
      </c>
      <c r="J304" s="2">
        <f t="shared" si="7"/>
        <v>2279.4117647058824</v>
      </c>
      <c r="K304" s="2">
        <f t="shared" si="8"/>
        <v>514.70588235294122</v>
      </c>
      <c r="M304" s="18" t="s">
        <v>211</v>
      </c>
      <c r="N304" s="19">
        <f>AS38</f>
        <v>175.92529411764707</v>
      </c>
      <c r="O304" s="23" t="s">
        <v>212</v>
      </c>
      <c r="P304" s="19">
        <f>AS5</f>
        <v>45371.068235294108</v>
      </c>
      <c r="Q304" s="20" t="s">
        <v>213</v>
      </c>
      <c r="R304" s="15">
        <f>N304/P304</f>
        <v>3.8774774533696117E-3</v>
      </c>
      <c r="S304" s="21">
        <v>-87</v>
      </c>
      <c r="T304" s="22">
        <f t="shared" si="9"/>
        <v>-0.3373405384431562</v>
      </c>
    </row>
    <row r="305" spans="1:20" ht="15.75" thickBot="1">
      <c r="A305" s="3">
        <v>164102</v>
      </c>
      <c r="B305" s="3" t="s">
        <v>9</v>
      </c>
      <c r="C305" s="3" t="s">
        <v>11</v>
      </c>
      <c r="D305" s="3">
        <v>0</v>
      </c>
      <c r="E305" s="4">
        <v>1329.9741176470588</v>
      </c>
      <c r="H305">
        <v>30</v>
      </c>
      <c r="I305" t="s">
        <v>32</v>
      </c>
      <c r="J305" s="2">
        <f t="shared" si="7"/>
        <v>3943.3205882352941</v>
      </c>
      <c r="K305" s="2">
        <f t="shared" si="8"/>
        <v>0</v>
      </c>
      <c r="M305" s="24" t="s">
        <v>214</v>
      </c>
      <c r="N305" s="25">
        <f>AS26</f>
        <v>9815.2305882352939</v>
      </c>
      <c r="O305" s="26" t="s">
        <v>215</v>
      </c>
      <c r="P305" s="25">
        <f>AS29+AS26+AS27</f>
        <v>14747.54117647058</v>
      </c>
      <c r="Q305" s="27" t="s">
        <v>216</v>
      </c>
      <c r="R305" s="28">
        <f>N305/P305</f>
        <v>0.66555030908442603</v>
      </c>
      <c r="S305" s="29">
        <v>-10</v>
      </c>
      <c r="T305" s="30">
        <f t="shared" si="9"/>
        <v>-6.6555030908442605</v>
      </c>
    </row>
    <row r="306" spans="1:20" ht="16.5" thickTop="1" thickBot="1">
      <c r="A306" s="3">
        <v>168840</v>
      </c>
      <c r="B306" s="3" t="s">
        <v>9</v>
      </c>
      <c r="C306" s="3" t="s">
        <v>12</v>
      </c>
      <c r="D306" s="3">
        <v>0</v>
      </c>
      <c r="E306" s="3">
        <v>3.4747058823529411</v>
      </c>
      <c r="H306">
        <v>40</v>
      </c>
      <c r="I306" t="s">
        <v>35</v>
      </c>
      <c r="J306" s="2">
        <f t="shared" si="7"/>
        <v>2296.3447058823531</v>
      </c>
      <c r="K306" s="2">
        <f t="shared" si="8"/>
        <v>11733.297058823529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18.987660598154694</v>
      </c>
    </row>
    <row r="307" spans="1:20" ht="15.75" thickTop="1">
      <c r="A307" s="3">
        <v>205000</v>
      </c>
      <c r="B307" s="3" t="s">
        <v>13</v>
      </c>
      <c r="C307" s="3" t="s">
        <v>14</v>
      </c>
      <c r="D307" s="4">
        <v>514.70588235294122</v>
      </c>
      <c r="E307" s="3">
        <v>0</v>
      </c>
      <c r="H307">
        <v>41</v>
      </c>
      <c r="I307" t="s">
        <v>39</v>
      </c>
      <c r="J307" s="2">
        <f t="shared" si="7"/>
        <v>3204.9035294117648</v>
      </c>
      <c r="K307" s="2">
        <f t="shared" si="8"/>
        <v>0</v>
      </c>
    </row>
    <row r="308" spans="1:20">
      <c r="A308" s="3">
        <v>206000</v>
      </c>
      <c r="B308" s="3" t="s">
        <v>13</v>
      </c>
      <c r="C308" s="3" t="s">
        <v>15</v>
      </c>
      <c r="D308" s="4">
        <v>1764.7058823529412</v>
      </c>
      <c r="E308" s="3">
        <v>0</v>
      </c>
      <c r="H308">
        <v>42</v>
      </c>
      <c r="I308" t="s">
        <v>42</v>
      </c>
      <c r="J308" s="2">
        <f t="shared" si="7"/>
        <v>451.5735294117647</v>
      </c>
      <c r="K308" s="2">
        <f t="shared" si="8"/>
        <v>1486.541176470588</v>
      </c>
    </row>
    <row r="309" spans="1:20">
      <c r="A309" s="3">
        <v>213100</v>
      </c>
      <c r="B309" s="3" t="s">
        <v>16</v>
      </c>
      <c r="C309" s="3" t="s">
        <v>17</v>
      </c>
      <c r="D309" s="4">
        <v>4010.5882352941176</v>
      </c>
      <c r="E309" s="3">
        <v>0</v>
      </c>
      <c r="H309">
        <v>45</v>
      </c>
      <c r="I309" t="s">
        <v>65</v>
      </c>
      <c r="J309" s="2">
        <f t="shared" si="7"/>
        <v>315.02941176470586</v>
      </c>
      <c r="K309" s="2">
        <f t="shared" si="8"/>
        <v>1187.5535294117647</v>
      </c>
    </row>
    <row r="310" spans="1:20">
      <c r="A310" s="3">
        <v>214500</v>
      </c>
      <c r="B310" s="3" t="s">
        <v>16</v>
      </c>
      <c r="C310" s="3" t="s">
        <v>18</v>
      </c>
      <c r="D310" s="4">
        <v>5907.3964705882354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>
      <c r="A311" s="3">
        <v>215000</v>
      </c>
      <c r="B311" s="3" t="s">
        <v>16</v>
      </c>
      <c r="C311" s="3" t="s">
        <v>19</v>
      </c>
      <c r="D311" s="4">
        <v>2122.7329411764704</v>
      </c>
      <c r="E311" s="3">
        <v>0</v>
      </c>
      <c r="H311">
        <v>46</v>
      </c>
      <c r="I311" t="s">
        <v>70</v>
      </c>
      <c r="J311" s="2">
        <f t="shared" si="7"/>
        <v>4.3570588235294112</v>
      </c>
      <c r="K311" s="2">
        <f t="shared" si="8"/>
        <v>0</v>
      </c>
    </row>
    <row r="312" spans="1:20">
      <c r="A312" s="3">
        <v>218100</v>
      </c>
      <c r="B312" s="3" t="s">
        <v>16</v>
      </c>
      <c r="C312" s="3" t="s">
        <v>20</v>
      </c>
      <c r="D312" s="4">
        <v>2699.1752941176474</v>
      </c>
      <c r="E312" s="3">
        <v>0</v>
      </c>
      <c r="H312">
        <v>50</v>
      </c>
      <c r="I312" t="s">
        <v>75</v>
      </c>
      <c r="J312" s="2">
        <f t="shared" si="7"/>
        <v>1699.7747058823529</v>
      </c>
      <c r="K312" s="2">
        <f t="shared" si="8"/>
        <v>0</v>
      </c>
    </row>
    <row r="313" spans="1:20">
      <c r="A313" s="3">
        <v>218300</v>
      </c>
      <c r="B313" s="3" t="s">
        <v>16</v>
      </c>
      <c r="C313" s="3" t="s">
        <v>21</v>
      </c>
      <c r="D313" s="4">
        <v>1415.4917647058824</v>
      </c>
      <c r="E313" s="3">
        <v>0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>
      <c r="A314" s="3">
        <v>218400</v>
      </c>
      <c r="B314" s="3" t="s">
        <v>16</v>
      </c>
      <c r="C314" s="3" t="s">
        <v>22</v>
      </c>
      <c r="D314" s="4">
        <v>8871.4611764705878</v>
      </c>
      <c r="E314" s="3">
        <v>0</v>
      </c>
      <c r="H314">
        <v>62</v>
      </c>
      <c r="I314" t="s">
        <v>110</v>
      </c>
      <c r="J314" s="2">
        <f t="shared" si="7"/>
        <v>630.98176470588237</v>
      </c>
      <c r="K314" s="2">
        <f t="shared" si="8"/>
        <v>0</v>
      </c>
    </row>
    <row r="315" spans="1:20">
      <c r="A315" s="3">
        <v>275000</v>
      </c>
      <c r="B315" s="3" t="s">
        <v>23</v>
      </c>
      <c r="C315" s="3" t="s">
        <v>24</v>
      </c>
      <c r="D315" s="4">
        <v>1514.2905882352941</v>
      </c>
      <c r="E315" s="3">
        <v>0</v>
      </c>
      <c r="H315">
        <v>62</v>
      </c>
      <c r="I315" t="s">
        <v>83</v>
      </c>
      <c r="J315" s="2">
        <f t="shared" si="7"/>
        <v>4283.8741176470594</v>
      </c>
      <c r="K315" s="2">
        <f t="shared" si="8"/>
        <v>1586.3999999999999</v>
      </c>
    </row>
    <row r="316" spans="1:20">
      <c r="A316" s="3">
        <v>280500</v>
      </c>
      <c r="B316" s="3" t="s">
        <v>13</v>
      </c>
      <c r="C316" s="3" t="s">
        <v>25</v>
      </c>
      <c r="D316" s="3">
        <v>0</v>
      </c>
      <c r="E316" s="4">
        <v>514.70588235294122</v>
      </c>
      <c r="H316">
        <v>62</v>
      </c>
      <c r="I316" t="s">
        <v>98</v>
      </c>
      <c r="J316" s="2">
        <f t="shared" si="7"/>
        <v>209.53411764705882</v>
      </c>
      <c r="K316" s="2">
        <f t="shared" si="8"/>
        <v>0</v>
      </c>
    </row>
    <row r="317" spans="1:20">
      <c r="A317" s="3">
        <v>281310</v>
      </c>
      <c r="B317" s="3" t="s">
        <v>16</v>
      </c>
      <c r="C317" s="3" t="s">
        <v>26</v>
      </c>
      <c r="D317" s="3">
        <v>0</v>
      </c>
      <c r="E317" s="4">
        <v>2021.6900000000003</v>
      </c>
      <c r="H317">
        <v>62</v>
      </c>
      <c r="I317" t="s">
        <v>116</v>
      </c>
      <c r="J317" s="2">
        <f t="shared" si="7"/>
        <v>1327.2129411764706</v>
      </c>
      <c r="K317" s="2">
        <f t="shared" si="8"/>
        <v>0</v>
      </c>
    </row>
    <row r="318" spans="1:20">
      <c r="A318" s="3">
        <v>281450</v>
      </c>
      <c r="B318" s="3" t="s">
        <v>16</v>
      </c>
      <c r="C318" s="3" t="s">
        <v>27</v>
      </c>
      <c r="D318" s="3">
        <v>0</v>
      </c>
      <c r="E318" s="4">
        <v>3951.9894117647063</v>
      </c>
      <c r="H318">
        <v>62</v>
      </c>
      <c r="I318" t="s">
        <v>101</v>
      </c>
      <c r="J318" s="2">
        <f t="shared" si="7"/>
        <v>5797.5552941176475</v>
      </c>
      <c r="K318" s="2">
        <f t="shared" si="8"/>
        <v>0</v>
      </c>
    </row>
    <row r="319" spans="1:20">
      <c r="A319" s="3">
        <v>281500</v>
      </c>
      <c r="B319" s="3" t="s">
        <v>16</v>
      </c>
      <c r="C319" s="3" t="s">
        <v>28</v>
      </c>
      <c r="D319" s="3">
        <v>0</v>
      </c>
      <c r="E319" s="4">
        <v>2114.7805882352941</v>
      </c>
      <c r="H319">
        <v>63</v>
      </c>
      <c r="I319" t="s">
        <v>124</v>
      </c>
      <c r="J319" s="2">
        <f t="shared" si="7"/>
        <v>4104.8805882352935</v>
      </c>
      <c r="K319" s="2">
        <f t="shared" si="8"/>
        <v>0</v>
      </c>
    </row>
    <row r="320" spans="1:20">
      <c r="A320" s="3">
        <v>281810</v>
      </c>
      <c r="B320" s="3" t="s">
        <v>16</v>
      </c>
      <c r="C320" s="3" t="s">
        <v>29</v>
      </c>
      <c r="D320" s="3">
        <v>0</v>
      </c>
      <c r="E320" s="4">
        <v>1741.96</v>
      </c>
      <c r="H320">
        <v>63</v>
      </c>
      <c r="I320" t="s">
        <v>138</v>
      </c>
      <c r="J320" s="2">
        <f t="shared" si="7"/>
        <v>286.65470588235291</v>
      </c>
      <c r="K320" s="2">
        <f t="shared" si="8"/>
        <v>0</v>
      </c>
    </row>
    <row r="321" spans="1:11">
      <c r="A321" s="3">
        <v>281830</v>
      </c>
      <c r="B321" s="3" t="s">
        <v>16</v>
      </c>
      <c r="C321" s="3" t="s">
        <v>30</v>
      </c>
      <c r="D321" s="3">
        <v>0</v>
      </c>
      <c r="E321" s="4">
        <v>1237.9058823529413</v>
      </c>
      <c r="H321">
        <v>64</v>
      </c>
      <c r="I321" t="s">
        <v>149</v>
      </c>
      <c r="J321" s="2">
        <f t="shared" si="7"/>
        <v>2059.7123529411761</v>
      </c>
      <c r="K321" s="2">
        <f t="shared" si="8"/>
        <v>281.52941176470586</v>
      </c>
    </row>
    <row r="322" spans="1:11">
      <c r="A322" s="3">
        <v>281840</v>
      </c>
      <c r="B322" s="3" t="s">
        <v>16</v>
      </c>
      <c r="C322" s="3" t="s">
        <v>31</v>
      </c>
      <c r="D322" s="3">
        <v>0</v>
      </c>
      <c r="E322" s="4">
        <v>8871.4611764705878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>
      <c r="A323" s="3">
        <v>371000</v>
      </c>
      <c r="B323" s="3" t="s">
        <v>32</v>
      </c>
      <c r="C323" s="3" t="s">
        <v>33</v>
      </c>
      <c r="D323" s="4">
        <v>3024.139411764706</v>
      </c>
      <c r="E323" s="3">
        <v>0</v>
      </c>
      <c r="H323">
        <v>64</v>
      </c>
      <c r="I323" t="s">
        <v>143</v>
      </c>
      <c r="J323" s="2">
        <f t="shared" si="7"/>
        <v>6709.8347058823529</v>
      </c>
      <c r="K323" s="2">
        <f t="shared" si="8"/>
        <v>0</v>
      </c>
    </row>
    <row r="324" spans="1:11">
      <c r="A324" s="3">
        <v>372000</v>
      </c>
      <c r="B324" s="3" t="s">
        <v>32</v>
      </c>
      <c r="C324" s="3" t="s">
        <v>34</v>
      </c>
      <c r="D324" s="4">
        <v>919.18117647058818</v>
      </c>
      <c r="E324" s="3">
        <v>0</v>
      </c>
      <c r="H324">
        <v>66</v>
      </c>
      <c r="I324" t="s">
        <v>113</v>
      </c>
      <c r="J324" s="2">
        <f t="shared" si="7"/>
        <v>186.06705882352941</v>
      </c>
      <c r="K324" s="2">
        <f t="shared" si="8"/>
        <v>10.141764705882352</v>
      </c>
    </row>
    <row r="325" spans="1:11">
      <c r="A325" s="3">
        <v>401000</v>
      </c>
      <c r="B325" s="3" t="s">
        <v>35</v>
      </c>
      <c r="C325" s="3" t="s">
        <v>36</v>
      </c>
      <c r="D325" s="4">
        <v>680.41176470588232</v>
      </c>
      <c r="E325" s="4">
        <v>11670.76294117647</v>
      </c>
      <c r="H325">
        <v>67</v>
      </c>
      <c r="I325" t="s">
        <v>158</v>
      </c>
      <c r="J325" s="2">
        <f t="shared" si="7"/>
        <v>1180.0364705882353</v>
      </c>
      <c r="K325" s="2">
        <f t="shared" si="8"/>
        <v>0</v>
      </c>
    </row>
    <row r="326" spans="1:11">
      <c r="A326" s="3">
        <v>408100</v>
      </c>
      <c r="B326" s="3" t="s">
        <v>35</v>
      </c>
      <c r="C326" s="3" t="s">
        <v>37</v>
      </c>
      <c r="D326" s="3">
        <v>0</v>
      </c>
      <c r="E326" s="4">
        <v>62.534117647058821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>
      <c r="A327" s="3">
        <v>409800</v>
      </c>
      <c r="B327" s="3" t="s">
        <v>35</v>
      </c>
      <c r="C327" s="3" t="s">
        <v>38</v>
      </c>
      <c r="D327" s="4">
        <v>1615.9329411764706</v>
      </c>
      <c r="E327" s="3">
        <v>0</v>
      </c>
      <c r="H327">
        <v>68</v>
      </c>
      <c r="I327" t="s">
        <v>164</v>
      </c>
      <c r="J327" s="2">
        <f t="shared" si="7"/>
        <v>1523.9670588235294</v>
      </c>
      <c r="K327" s="2">
        <f t="shared" si="8"/>
        <v>0</v>
      </c>
    </row>
    <row r="328" spans="1:11">
      <c r="A328" s="3">
        <v>411002</v>
      </c>
      <c r="B328" s="3" t="s">
        <v>39</v>
      </c>
      <c r="C328" s="3" t="s">
        <v>317</v>
      </c>
      <c r="D328" s="3">
        <v>0</v>
      </c>
      <c r="E328" s="3">
        <v>0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>
      <c r="A329" s="3">
        <v>411003</v>
      </c>
      <c r="B329" s="3" t="s">
        <v>39</v>
      </c>
      <c r="C329" s="3" t="s">
        <v>41</v>
      </c>
      <c r="D329" s="4">
        <v>3204.9035294117648</v>
      </c>
      <c r="E329" s="3">
        <v>0</v>
      </c>
      <c r="H329">
        <v>69</v>
      </c>
      <c r="I329" t="s">
        <v>166</v>
      </c>
      <c r="J329" s="2">
        <f t="shared" si="7"/>
        <v>185.41176470588235</v>
      </c>
      <c r="K329" s="2">
        <f t="shared" si="8"/>
        <v>17.647058823529413</v>
      </c>
    </row>
    <row r="330" spans="1:11">
      <c r="A330" s="3">
        <v>421000</v>
      </c>
      <c r="B330" s="3" t="s">
        <v>42</v>
      </c>
      <c r="C330" s="3" t="s">
        <v>43</v>
      </c>
      <c r="D330" s="3">
        <v>0</v>
      </c>
      <c r="E330" s="3">
        <v>0</v>
      </c>
      <c r="H330">
        <v>77</v>
      </c>
      <c r="I330" t="s">
        <v>188</v>
      </c>
      <c r="J330" s="2">
        <f t="shared" si="7"/>
        <v>0</v>
      </c>
      <c r="K330" s="2">
        <f t="shared" si="8"/>
        <v>11.798823529411765</v>
      </c>
    </row>
    <row r="331" spans="1:11">
      <c r="A331" s="3">
        <v>428200</v>
      </c>
      <c r="B331" s="3" t="s">
        <v>42</v>
      </c>
      <c r="C331" s="3" t="s">
        <v>45</v>
      </c>
      <c r="D331" s="3">
        <v>0</v>
      </c>
      <c r="E331" s="4">
        <v>333.3476470588235</v>
      </c>
      <c r="H331">
        <v>607</v>
      </c>
      <c r="I331" t="s">
        <v>82</v>
      </c>
      <c r="J331" s="2">
        <f t="shared" si="7"/>
        <v>4944.2888235294113</v>
      </c>
      <c r="K331" s="2">
        <f t="shared" si="8"/>
        <v>0</v>
      </c>
    </row>
    <row r="332" spans="1:11">
      <c r="A332" s="3">
        <v>431000</v>
      </c>
      <c r="B332" s="3" t="s">
        <v>42</v>
      </c>
      <c r="C332" s="3" t="s">
        <v>46</v>
      </c>
      <c r="D332" s="3">
        <v>0</v>
      </c>
      <c r="E332" s="4">
        <v>139.58823529411765</v>
      </c>
      <c r="H332">
        <v>607</v>
      </c>
      <c r="I332" t="s">
        <v>80</v>
      </c>
      <c r="J332" s="2">
        <f t="shared" si="7"/>
        <v>13553.85294117647</v>
      </c>
      <c r="K332" s="2">
        <f t="shared" si="8"/>
        <v>1105.5064705882353</v>
      </c>
    </row>
    <row r="333" spans="1:11">
      <c r="A333" s="3">
        <v>437200</v>
      </c>
      <c r="B333" s="3" t="s">
        <v>42</v>
      </c>
      <c r="C333" s="3" t="s">
        <v>47</v>
      </c>
      <c r="D333" s="3">
        <v>0</v>
      </c>
      <c r="E333" s="3">
        <v>40.544117647058826</v>
      </c>
      <c r="H333">
        <v>707</v>
      </c>
      <c r="I333" t="s">
        <v>176</v>
      </c>
      <c r="J333" s="2">
        <f t="shared" si="7"/>
        <v>2230.0911764705879</v>
      </c>
      <c r="K333" s="2">
        <f t="shared" si="8"/>
        <v>13372.006470588236</v>
      </c>
    </row>
    <row r="334" spans="1:11">
      <c r="A334" s="3">
        <v>437400</v>
      </c>
      <c r="B334" s="3" t="s">
        <v>42</v>
      </c>
      <c r="C334" s="3" t="s">
        <v>48</v>
      </c>
      <c r="D334" s="3">
        <v>0</v>
      </c>
      <c r="E334" s="3">
        <v>16.451176470588237</v>
      </c>
      <c r="H334">
        <v>707</v>
      </c>
      <c r="I334" t="s">
        <v>168</v>
      </c>
      <c r="J334" s="2">
        <f t="shared" si="7"/>
        <v>3813.3394117647058</v>
      </c>
      <c r="K334" s="2">
        <f t="shared" si="8"/>
        <v>38042.492352941168</v>
      </c>
    </row>
    <row r="335" spans="1:11">
      <c r="A335" s="3">
        <v>437800</v>
      </c>
      <c r="B335" s="3" t="s">
        <v>42</v>
      </c>
      <c r="C335" s="3" t="s">
        <v>49</v>
      </c>
      <c r="D335" s="3">
        <v>0</v>
      </c>
      <c r="E335" s="3">
        <v>8.3076470588235285</v>
      </c>
      <c r="J335" s="2"/>
      <c r="K335" s="2"/>
    </row>
    <row r="336" spans="1:11">
      <c r="A336" s="3">
        <v>438200</v>
      </c>
      <c r="B336" s="3" t="s">
        <v>42</v>
      </c>
      <c r="C336" s="3" t="s">
        <v>50</v>
      </c>
      <c r="D336" s="3">
        <v>0</v>
      </c>
      <c r="E336" s="4">
        <v>101.50176470588235</v>
      </c>
      <c r="J336" s="2">
        <f>SUM(J314:J335)</f>
        <v>53027.295294117641</v>
      </c>
      <c r="K336" s="2">
        <f>SUM(K314:K335)</f>
        <v>54427.522352941167</v>
      </c>
    </row>
    <row r="337" spans="1:11">
      <c r="A337" s="3">
        <v>442000</v>
      </c>
      <c r="B337" s="3" t="s">
        <v>42</v>
      </c>
      <c r="C337" s="3" t="s">
        <v>51</v>
      </c>
      <c r="D337" s="3">
        <v>0</v>
      </c>
      <c r="E337" s="3">
        <v>19.066470588235294</v>
      </c>
      <c r="J337" s="2"/>
      <c r="K337" s="2"/>
    </row>
    <row r="338" spans="1:11">
      <c r="A338" s="3">
        <v>444000</v>
      </c>
      <c r="B338" s="3" t="s">
        <v>42</v>
      </c>
      <c r="C338" s="3" t="s">
        <v>53</v>
      </c>
      <c r="D338" s="4">
        <v>170.88235294117646</v>
      </c>
      <c r="E338" s="3">
        <v>0</v>
      </c>
      <c r="H338" s="5"/>
      <c r="I338" s="5" t="s">
        <v>199</v>
      </c>
      <c r="J338" s="6">
        <f>SUM(K336-J336)</f>
        <v>1400.227058823526</v>
      </c>
      <c r="K338" s="2"/>
    </row>
    <row r="339" spans="1:11">
      <c r="A339" s="3">
        <v>445510</v>
      </c>
      <c r="B339" s="3" t="s">
        <v>42</v>
      </c>
      <c r="C339" s="3" t="s">
        <v>54</v>
      </c>
      <c r="D339" s="3">
        <v>0</v>
      </c>
      <c r="E339" s="4">
        <v>544</v>
      </c>
      <c r="J339" s="2"/>
      <c r="K339" s="2"/>
    </row>
    <row r="340" spans="1:11">
      <c r="A340" s="3">
        <v>445660</v>
      </c>
      <c r="B340" s="3" t="s">
        <v>42</v>
      </c>
      <c r="C340" s="3" t="s">
        <v>56</v>
      </c>
      <c r="D340" s="3">
        <v>3.9388235294117644</v>
      </c>
      <c r="E340" s="3">
        <v>0</v>
      </c>
      <c r="I340" s="575"/>
      <c r="J340" s="2"/>
      <c r="K340" s="2"/>
    </row>
    <row r="341" spans="1:11">
      <c r="A341" s="3">
        <v>445670</v>
      </c>
      <c r="B341" s="3" t="s">
        <v>42</v>
      </c>
      <c r="C341" s="3" t="s">
        <v>57</v>
      </c>
      <c r="D341" s="3">
        <v>0</v>
      </c>
      <c r="E341" s="3">
        <v>0</v>
      </c>
      <c r="I341" s="575"/>
      <c r="J341" s="2"/>
      <c r="K341" s="2"/>
    </row>
    <row r="342" spans="1:11">
      <c r="A342" s="3">
        <v>445711</v>
      </c>
      <c r="B342" s="3" t="s">
        <v>42</v>
      </c>
      <c r="C342" s="3" t="s">
        <v>58</v>
      </c>
      <c r="D342" s="3">
        <v>0</v>
      </c>
      <c r="E342" s="3">
        <v>0</v>
      </c>
      <c r="I342" s="575"/>
      <c r="J342" s="576"/>
      <c r="K342" s="576"/>
    </row>
    <row r="343" spans="1:11">
      <c r="A343" s="3">
        <v>445720</v>
      </c>
      <c r="B343" s="3" t="s">
        <v>42</v>
      </c>
      <c r="C343" s="3" t="s">
        <v>59</v>
      </c>
      <c r="D343" s="3">
        <v>0</v>
      </c>
      <c r="E343" s="3">
        <v>0</v>
      </c>
    </row>
    <row r="344" spans="1:11">
      <c r="A344" s="3">
        <v>445840</v>
      </c>
      <c r="B344" s="3" t="s">
        <v>42</v>
      </c>
      <c r="C344" s="3" t="s">
        <v>60</v>
      </c>
      <c r="D344" s="3">
        <v>0</v>
      </c>
      <c r="E344" s="4">
        <v>259.91058823529409</v>
      </c>
    </row>
    <row r="345" spans="1:11">
      <c r="A345" s="3">
        <v>445860</v>
      </c>
      <c r="B345" s="3" t="s">
        <v>42</v>
      </c>
      <c r="C345" s="3" t="s">
        <v>61</v>
      </c>
      <c r="D345" s="3">
        <v>12.92470588235294</v>
      </c>
      <c r="E345" s="3">
        <v>0</v>
      </c>
    </row>
    <row r="346" spans="1:11">
      <c r="A346" s="3">
        <v>445880</v>
      </c>
      <c r="B346" s="3" t="s">
        <v>42</v>
      </c>
      <c r="C346" s="3" t="s">
        <v>62</v>
      </c>
      <c r="D346" s="4">
        <v>263.82764705882352</v>
      </c>
      <c r="E346" s="3">
        <v>0</v>
      </c>
    </row>
    <row r="347" spans="1:11">
      <c r="A347" s="3">
        <v>447000</v>
      </c>
      <c r="B347" s="3" t="s">
        <v>42</v>
      </c>
      <c r="C347" s="3" t="s">
        <v>63</v>
      </c>
      <c r="D347" s="3">
        <v>0</v>
      </c>
      <c r="E347" s="3">
        <v>0</v>
      </c>
    </row>
    <row r="348" spans="1:11">
      <c r="A348" s="3">
        <v>448600</v>
      </c>
      <c r="B348" s="3" t="s">
        <v>42</v>
      </c>
      <c r="C348" s="3" t="s">
        <v>64</v>
      </c>
      <c r="D348" s="3">
        <v>0</v>
      </c>
      <c r="E348" s="3">
        <v>23.823529411764707</v>
      </c>
    </row>
    <row r="349" spans="1:11">
      <c r="A349" s="3">
        <v>448700</v>
      </c>
      <c r="B349" s="3" t="s">
        <v>42</v>
      </c>
      <c r="C349" s="3" t="s">
        <v>318</v>
      </c>
      <c r="D349" s="3">
        <v>0</v>
      </c>
      <c r="E349" s="3">
        <v>0</v>
      </c>
    </row>
    <row r="350" spans="1:11">
      <c r="A350" s="3">
        <v>455101</v>
      </c>
      <c r="B350" s="3" t="s">
        <v>65</v>
      </c>
      <c r="C350" s="3" t="s">
        <v>319</v>
      </c>
      <c r="D350" s="3">
        <v>0</v>
      </c>
      <c r="E350" s="4">
        <v>1123.2264705882353</v>
      </c>
    </row>
    <row r="351" spans="1:11">
      <c r="A351" s="3">
        <v>455102</v>
      </c>
      <c r="B351" s="3" t="s">
        <v>65</v>
      </c>
      <c r="C351" s="3" t="s">
        <v>67</v>
      </c>
      <c r="D351" s="3">
        <v>0</v>
      </c>
      <c r="E351" s="3">
        <v>1.9905882352941178</v>
      </c>
    </row>
    <row r="352" spans="1:11">
      <c r="A352" s="3">
        <v>467200</v>
      </c>
      <c r="B352" s="3" t="s">
        <v>65</v>
      </c>
      <c r="C352" s="3" t="s">
        <v>68</v>
      </c>
      <c r="D352" s="3">
        <v>0</v>
      </c>
      <c r="E352" s="4">
        <v>62.336470588235294</v>
      </c>
    </row>
    <row r="353" spans="1:5">
      <c r="A353" s="3">
        <v>467300</v>
      </c>
      <c r="B353" s="3" t="s">
        <v>65</v>
      </c>
      <c r="C353" s="3" t="s">
        <v>69</v>
      </c>
      <c r="D353" s="4">
        <v>315.02941176470586</v>
      </c>
      <c r="E353" s="3">
        <v>0</v>
      </c>
    </row>
    <row r="354" spans="1:5">
      <c r="A354" s="3">
        <v>467500</v>
      </c>
      <c r="B354" s="3" t="s">
        <v>65</v>
      </c>
      <c r="C354" s="3" t="s">
        <v>320</v>
      </c>
      <c r="D354" s="3">
        <v>0</v>
      </c>
      <c r="E354" s="3">
        <v>0</v>
      </c>
    </row>
    <row r="355" spans="1:5">
      <c r="A355" s="3">
        <v>472000</v>
      </c>
      <c r="B355" s="3" t="s">
        <v>65</v>
      </c>
      <c r="C355" s="3" t="s">
        <v>321</v>
      </c>
      <c r="D355" s="3">
        <v>0</v>
      </c>
      <c r="E355" s="3">
        <v>0</v>
      </c>
    </row>
    <row r="356" spans="1:5">
      <c r="A356" s="3">
        <v>486000</v>
      </c>
      <c r="B356" s="3" t="s">
        <v>70</v>
      </c>
      <c r="C356" s="3" t="s">
        <v>72</v>
      </c>
      <c r="D356" s="3">
        <v>4.3570588235294112</v>
      </c>
      <c r="E356" s="3">
        <v>0</v>
      </c>
    </row>
    <row r="357" spans="1:5">
      <c r="A357" s="3">
        <v>512100</v>
      </c>
      <c r="B357" s="3" t="s">
        <v>75</v>
      </c>
      <c r="C357" s="3" t="s">
        <v>74</v>
      </c>
      <c r="D357" s="4">
        <v>1054.2711764705882</v>
      </c>
      <c r="E357" s="3">
        <v>0</v>
      </c>
    </row>
    <row r="358" spans="1:5">
      <c r="A358" s="3">
        <v>512200</v>
      </c>
      <c r="B358" s="3" t="s">
        <v>75</v>
      </c>
      <c r="C358" s="3" t="s">
        <v>76</v>
      </c>
      <c r="D358" s="4">
        <v>644.21352941176463</v>
      </c>
      <c r="E358" s="3">
        <v>0</v>
      </c>
    </row>
    <row r="359" spans="1:5">
      <c r="A359" s="3">
        <v>531000</v>
      </c>
      <c r="B359" s="3" t="s">
        <v>75</v>
      </c>
      <c r="C359" s="3" t="s">
        <v>77</v>
      </c>
      <c r="D359" s="3">
        <v>1.29</v>
      </c>
      <c r="E359" s="3">
        <v>0</v>
      </c>
    </row>
    <row r="360" spans="1:5">
      <c r="A360" s="3">
        <v>580100</v>
      </c>
      <c r="B360" s="3" t="s">
        <v>75</v>
      </c>
      <c r="C360" s="3" t="s">
        <v>78</v>
      </c>
      <c r="D360" s="3">
        <v>0</v>
      </c>
      <c r="E360" s="3">
        <v>0</v>
      </c>
    </row>
    <row r="361" spans="1:5">
      <c r="A361" s="3">
        <v>581000</v>
      </c>
      <c r="B361" s="3" t="s">
        <v>75</v>
      </c>
      <c r="C361" s="3" t="s">
        <v>79</v>
      </c>
      <c r="D361" s="3">
        <v>0</v>
      </c>
      <c r="E361" s="3">
        <v>0</v>
      </c>
    </row>
    <row r="362" spans="1:5">
      <c r="A362" s="3">
        <v>602600</v>
      </c>
      <c r="B362" s="3" t="s">
        <v>83</v>
      </c>
      <c r="C362" s="3" t="s">
        <v>322</v>
      </c>
      <c r="D362" s="3">
        <v>7.5882352941176467</v>
      </c>
      <c r="E362" s="3">
        <v>0</v>
      </c>
    </row>
    <row r="363" spans="1:5">
      <c r="A363" s="3">
        <v>603710</v>
      </c>
      <c r="B363" s="3" t="s">
        <v>80</v>
      </c>
      <c r="C363" s="3" t="s">
        <v>81</v>
      </c>
      <c r="D363" s="3">
        <v>51.322352941176469</v>
      </c>
      <c r="E363" s="3">
        <v>0</v>
      </c>
    </row>
    <row r="364" spans="1:5">
      <c r="A364" s="3">
        <v>603720</v>
      </c>
      <c r="B364" s="3" t="s">
        <v>82</v>
      </c>
      <c r="C364" s="3" t="s">
        <v>34</v>
      </c>
      <c r="D364" s="3">
        <v>57.404705882352943</v>
      </c>
      <c r="E364" s="3">
        <v>0</v>
      </c>
    </row>
    <row r="365" spans="1:5">
      <c r="A365" s="3">
        <v>606110</v>
      </c>
      <c r="B365" s="3" t="s">
        <v>83</v>
      </c>
      <c r="C365" s="3" t="s">
        <v>84</v>
      </c>
      <c r="D365" s="4">
        <v>273.57823529411763</v>
      </c>
      <c r="E365" s="3">
        <v>0</v>
      </c>
    </row>
    <row r="366" spans="1:5">
      <c r="A366" s="3">
        <v>606140</v>
      </c>
      <c r="B366" s="3" t="s">
        <v>83</v>
      </c>
      <c r="C366" s="3" t="s">
        <v>85</v>
      </c>
      <c r="D366" s="4">
        <v>177.55470588235292</v>
      </c>
      <c r="E366" s="3">
        <v>0</v>
      </c>
    </row>
    <row r="367" spans="1:5">
      <c r="A367" s="3">
        <v>606300</v>
      </c>
      <c r="B367" s="3" t="s">
        <v>83</v>
      </c>
      <c r="C367" s="3" t="s">
        <v>86</v>
      </c>
      <c r="D367" s="3">
        <v>41.559411764705885</v>
      </c>
      <c r="E367" s="3">
        <v>0</v>
      </c>
    </row>
    <row r="368" spans="1:5">
      <c r="A368" s="3">
        <v>606400</v>
      </c>
      <c r="B368" s="3" t="s">
        <v>83</v>
      </c>
      <c r="C368" s="3" t="s">
        <v>87</v>
      </c>
      <c r="D368" s="4">
        <v>88.71764705882353</v>
      </c>
      <c r="E368" s="3">
        <v>0</v>
      </c>
    </row>
    <row r="369" spans="1:5">
      <c r="A369" s="3">
        <v>606410</v>
      </c>
      <c r="B369" s="3" t="s">
        <v>83</v>
      </c>
      <c r="C369" s="3" t="s">
        <v>323</v>
      </c>
      <c r="D369" s="3">
        <v>0</v>
      </c>
      <c r="E369" s="3">
        <v>0</v>
      </c>
    </row>
    <row r="370" spans="1:5">
      <c r="A370" s="3">
        <v>606500</v>
      </c>
      <c r="B370" s="3" t="s">
        <v>83</v>
      </c>
      <c r="C370" s="3" t="s">
        <v>88</v>
      </c>
      <c r="D370" s="4">
        <v>477.01117647058823</v>
      </c>
      <c r="E370" s="3">
        <v>0</v>
      </c>
    </row>
    <row r="371" spans="1:5">
      <c r="A371" s="3">
        <v>607100</v>
      </c>
      <c r="B371" s="3" t="s">
        <v>80</v>
      </c>
      <c r="C371" s="3" t="s">
        <v>89</v>
      </c>
      <c r="D371" s="4">
        <v>1320.6841176470589</v>
      </c>
      <c r="E371" s="3">
        <v>0</v>
      </c>
    </row>
    <row r="372" spans="1:5">
      <c r="A372" s="3">
        <v>607200</v>
      </c>
      <c r="B372" s="3" t="s">
        <v>80</v>
      </c>
      <c r="C372" s="3" t="s">
        <v>90</v>
      </c>
      <c r="D372" s="4">
        <v>7322.6535294117648</v>
      </c>
      <c r="E372" s="3">
        <v>0</v>
      </c>
    </row>
    <row r="373" spans="1:5">
      <c r="A373" s="3">
        <v>607300</v>
      </c>
      <c r="B373" s="3" t="s">
        <v>80</v>
      </c>
      <c r="C373" s="3" t="s">
        <v>91</v>
      </c>
      <c r="D373" s="4">
        <v>1251.0094117647059</v>
      </c>
      <c r="E373" s="3">
        <v>0</v>
      </c>
    </row>
    <row r="374" spans="1:5">
      <c r="A374" s="3">
        <v>607310</v>
      </c>
      <c r="B374" s="3" t="s">
        <v>80</v>
      </c>
      <c r="C374" s="3" t="s">
        <v>92</v>
      </c>
      <c r="D374" s="4">
        <v>93.642352941176469</v>
      </c>
      <c r="E374" s="3">
        <v>0</v>
      </c>
    </row>
    <row r="375" spans="1:5">
      <c r="A375" s="3">
        <v>607600</v>
      </c>
      <c r="B375" s="3" t="s">
        <v>80</v>
      </c>
      <c r="C375" s="3" t="s">
        <v>93</v>
      </c>
      <c r="D375" s="4">
        <v>3254.89</v>
      </c>
      <c r="E375" s="3">
        <v>0</v>
      </c>
    </row>
    <row r="376" spans="1:5">
      <c r="A376" s="3">
        <v>607700</v>
      </c>
      <c r="B376" s="3" t="s">
        <v>82</v>
      </c>
      <c r="C376" s="3" t="s">
        <v>94</v>
      </c>
      <c r="D376" s="4">
        <v>3424.575294117647</v>
      </c>
      <c r="E376" s="3">
        <v>0</v>
      </c>
    </row>
    <row r="377" spans="1:5">
      <c r="A377" s="3">
        <v>607710</v>
      </c>
      <c r="B377" s="3" t="s">
        <v>82</v>
      </c>
      <c r="C377" s="3" t="s">
        <v>95</v>
      </c>
      <c r="D377" s="4">
        <v>800.12764705882353</v>
      </c>
      <c r="E377" s="3">
        <v>0</v>
      </c>
    </row>
    <row r="378" spans="1:5">
      <c r="A378" s="3">
        <v>607800</v>
      </c>
      <c r="B378" s="3" t="s">
        <v>82</v>
      </c>
      <c r="C378" s="3" t="s">
        <v>96</v>
      </c>
      <c r="D378" s="4">
        <v>662.18117647058818</v>
      </c>
      <c r="E378" s="3">
        <v>0</v>
      </c>
    </row>
    <row r="379" spans="1:5">
      <c r="A379" s="3">
        <v>609700</v>
      </c>
      <c r="B379" s="3" t="s">
        <v>80</v>
      </c>
      <c r="C379" s="3" t="s">
        <v>324</v>
      </c>
      <c r="D379" s="3">
        <v>0</v>
      </c>
      <c r="E379" s="4">
        <v>1105.5064705882353</v>
      </c>
    </row>
    <row r="380" spans="1:5">
      <c r="A380" s="3">
        <v>612000</v>
      </c>
      <c r="B380" s="3" t="s">
        <v>98</v>
      </c>
      <c r="C380" s="3" t="s">
        <v>99</v>
      </c>
      <c r="D380" s="4">
        <v>209.53411764705882</v>
      </c>
      <c r="E380" s="3">
        <v>0</v>
      </c>
    </row>
    <row r="381" spans="1:5">
      <c r="A381" s="3">
        <v>613200</v>
      </c>
      <c r="B381" s="3" t="s">
        <v>101</v>
      </c>
      <c r="C381" s="3" t="s">
        <v>102</v>
      </c>
      <c r="D381" s="4">
        <v>4273.5147058823532</v>
      </c>
      <c r="E381" s="3">
        <v>0</v>
      </c>
    </row>
    <row r="382" spans="1:5">
      <c r="A382" s="3">
        <v>613300</v>
      </c>
      <c r="B382" s="3" t="s">
        <v>83</v>
      </c>
      <c r="C382" s="3" t="s">
        <v>103</v>
      </c>
      <c r="D382" s="3">
        <v>7.2958823529411765</v>
      </c>
      <c r="E382" s="3">
        <v>0</v>
      </c>
    </row>
    <row r="383" spans="1:5">
      <c r="A383" s="3">
        <v>613400</v>
      </c>
      <c r="B383" s="3" t="s">
        <v>83</v>
      </c>
      <c r="C383" s="3" t="s">
        <v>104</v>
      </c>
      <c r="D383" s="3">
        <v>13.976470588235294</v>
      </c>
      <c r="E383" s="3">
        <v>0</v>
      </c>
    </row>
    <row r="384" spans="1:5">
      <c r="A384" s="3">
        <v>613600</v>
      </c>
      <c r="B384" s="3" t="s">
        <v>83</v>
      </c>
      <c r="C384" s="3" t="s">
        <v>325</v>
      </c>
      <c r="D384" s="3">
        <v>26.431764705882351</v>
      </c>
      <c r="E384" s="3">
        <v>0</v>
      </c>
    </row>
    <row r="385" spans="1:5">
      <c r="A385" s="3">
        <v>614000</v>
      </c>
      <c r="B385" s="3" t="s">
        <v>101</v>
      </c>
      <c r="C385" s="3" t="s">
        <v>105</v>
      </c>
      <c r="D385" s="4">
        <v>1524.0405882352941</v>
      </c>
      <c r="E385" s="3">
        <v>0</v>
      </c>
    </row>
    <row r="386" spans="1:5">
      <c r="A386" s="3">
        <v>615200</v>
      </c>
      <c r="B386" s="3" t="s">
        <v>83</v>
      </c>
      <c r="C386" s="3" t="s">
        <v>106</v>
      </c>
      <c r="D386" s="4">
        <v>229.77470588235295</v>
      </c>
      <c r="E386" s="3">
        <v>0</v>
      </c>
    </row>
    <row r="387" spans="1:5">
      <c r="A387" s="3">
        <v>615510</v>
      </c>
      <c r="B387" s="3" t="s">
        <v>83</v>
      </c>
      <c r="C387" s="3" t="s">
        <v>107</v>
      </c>
      <c r="D387" s="4">
        <v>105.20823529411764</v>
      </c>
      <c r="E387" s="3">
        <v>0</v>
      </c>
    </row>
    <row r="388" spans="1:5">
      <c r="A388" s="3">
        <v>615520</v>
      </c>
      <c r="B388" s="3" t="s">
        <v>83</v>
      </c>
      <c r="C388" s="3" t="s">
        <v>108</v>
      </c>
      <c r="D388" s="3">
        <v>17.564705882352943</v>
      </c>
      <c r="E388" s="3">
        <v>0</v>
      </c>
    </row>
    <row r="389" spans="1:5">
      <c r="A389" s="3">
        <v>615600</v>
      </c>
      <c r="B389" s="3" t="s">
        <v>110</v>
      </c>
      <c r="C389" s="3" t="s">
        <v>109</v>
      </c>
      <c r="D389" s="4">
        <v>310.83294117647057</v>
      </c>
      <c r="E389" s="3">
        <v>0</v>
      </c>
    </row>
    <row r="390" spans="1:5">
      <c r="A390" s="3">
        <v>616000</v>
      </c>
      <c r="B390" s="3" t="s">
        <v>110</v>
      </c>
      <c r="C390" s="3" t="s">
        <v>326</v>
      </c>
      <c r="D390" s="4">
        <v>320.14882352941174</v>
      </c>
      <c r="E390" s="3">
        <v>0</v>
      </c>
    </row>
    <row r="391" spans="1:5">
      <c r="A391" s="3">
        <v>616100</v>
      </c>
      <c r="B391" s="3" t="s">
        <v>83</v>
      </c>
      <c r="C391" s="3" t="s">
        <v>114</v>
      </c>
      <c r="D391" s="4">
        <v>111.17647058823529</v>
      </c>
      <c r="E391" s="3">
        <v>0</v>
      </c>
    </row>
    <row r="392" spans="1:5">
      <c r="A392" s="3">
        <v>618300</v>
      </c>
      <c r="B392" s="3" t="s">
        <v>83</v>
      </c>
      <c r="C392" s="3" t="s">
        <v>327</v>
      </c>
      <c r="D392" s="3">
        <v>5.1276470588235297</v>
      </c>
      <c r="E392" s="3">
        <v>0</v>
      </c>
    </row>
    <row r="393" spans="1:5">
      <c r="A393" s="3">
        <v>618500</v>
      </c>
      <c r="B393" s="3" t="s">
        <v>83</v>
      </c>
      <c r="C393" s="3" t="s">
        <v>115</v>
      </c>
      <c r="D393" s="4">
        <v>85.195882352941169</v>
      </c>
      <c r="E393" s="3">
        <v>0</v>
      </c>
    </row>
    <row r="394" spans="1:5">
      <c r="A394" s="3">
        <v>621000</v>
      </c>
      <c r="B394" s="3" t="s">
        <v>116</v>
      </c>
      <c r="C394" s="3" t="s">
        <v>117</v>
      </c>
      <c r="D394" s="4">
        <v>1327.2129411764706</v>
      </c>
      <c r="E394" s="3">
        <v>0</v>
      </c>
    </row>
    <row r="395" spans="1:5">
      <c r="A395" s="3">
        <v>622300</v>
      </c>
      <c r="B395" s="3" t="s">
        <v>83</v>
      </c>
      <c r="C395" s="3" t="s">
        <v>118</v>
      </c>
      <c r="D395" s="4">
        <v>318.8235294117647</v>
      </c>
      <c r="E395" s="3">
        <v>0</v>
      </c>
    </row>
    <row r="396" spans="1:5">
      <c r="A396" s="3">
        <v>622301</v>
      </c>
      <c r="B396" s="3" t="s">
        <v>83</v>
      </c>
      <c r="C396" s="3" t="s">
        <v>119</v>
      </c>
      <c r="D396" s="4">
        <v>65.705882352941174</v>
      </c>
      <c r="E396" s="3">
        <v>0</v>
      </c>
    </row>
    <row r="397" spans="1:5">
      <c r="A397" s="3">
        <v>622302</v>
      </c>
      <c r="B397" s="3" t="s">
        <v>83</v>
      </c>
      <c r="C397" s="3" t="s">
        <v>120</v>
      </c>
      <c r="D397" s="4">
        <v>96.852941176470594</v>
      </c>
      <c r="E397" s="3">
        <v>0</v>
      </c>
    </row>
    <row r="398" spans="1:5">
      <c r="A398" s="3">
        <v>622400</v>
      </c>
      <c r="B398" s="3" t="s">
        <v>83</v>
      </c>
      <c r="C398" s="3" t="s">
        <v>121</v>
      </c>
      <c r="D398" s="4">
        <v>182.35294117647058</v>
      </c>
      <c r="E398" s="3">
        <v>0</v>
      </c>
    </row>
    <row r="399" spans="1:5">
      <c r="A399" s="3">
        <v>622700</v>
      </c>
      <c r="B399" s="3" t="s">
        <v>83</v>
      </c>
      <c r="C399" s="3" t="s">
        <v>123</v>
      </c>
      <c r="D399" s="3">
        <v>0.23117647058823532</v>
      </c>
      <c r="E399" s="3">
        <v>0</v>
      </c>
    </row>
    <row r="400" spans="1:5">
      <c r="A400" s="3">
        <v>623102</v>
      </c>
      <c r="B400" s="3" t="s">
        <v>124</v>
      </c>
      <c r="C400" s="3" t="s">
        <v>126</v>
      </c>
      <c r="D400" s="4">
        <v>1361.1464705882354</v>
      </c>
      <c r="E400" s="3">
        <v>0</v>
      </c>
    </row>
    <row r="401" spans="1:5">
      <c r="A401" s="3">
        <v>623200</v>
      </c>
      <c r="B401" s="3" t="s">
        <v>124</v>
      </c>
      <c r="C401" s="3" t="s">
        <v>127</v>
      </c>
      <c r="D401" s="4">
        <v>2674.5099999999998</v>
      </c>
      <c r="E401" s="3">
        <v>0</v>
      </c>
    </row>
    <row r="402" spans="1:5">
      <c r="A402" s="3">
        <v>623400</v>
      </c>
      <c r="B402" s="3" t="s">
        <v>124</v>
      </c>
      <c r="C402" s="3" t="s">
        <v>128</v>
      </c>
      <c r="D402" s="3">
        <v>30.33588235294118</v>
      </c>
      <c r="E402" s="3">
        <v>0</v>
      </c>
    </row>
    <row r="403" spans="1:5">
      <c r="A403" s="3">
        <v>623800</v>
      </c>
      <c r="B403" s="3" t="s">
        <v>124</v>
      </c>
      <c r="C403" s="3" t="s">
        <v>328</v>
      </c>
      <c r="D403" s="3">
        <v>38.888235294117649</v>
      </c>
      <c r="E403" s="3">
        <v>0</v>
      </c>
    </row>
    <row r="404" spans="1:5">
      <c r="A404" s="3">
        <v>624100</v>
      </c>
      <c r="B404" s="3" t="s">
        <v>80</v>
      </c>
      <c r="C404" s="3" t="s">
        <v>129</v>
      </c>
      <c r="D404" s="4">
        <v>259.65117647058821</v>
      </c>
      <c r="E404" s="3">
        <v>0</v>
      </c>
    </row>
    <row r="405" spans="1:5">
      <c r="A405" s="3">
        <v>625100</v>
      </c>
      <c r="B405" s="3" t="s">
        <v>83</v>
      </c>
      <c r="C405" s="3" t="s">
        <v>130</v>
      </c>
      <c r="D405" s="4">
        <v>316.87235294117647</v>
      </c>
      <c r="E405" s="3">
        <v>0</v>
      </c>
    </row>
    <row r="406" spans="1:5">
      <c r="A406" s="3">
        <v>625101</v>
      </c>
      <c r="B406" s="3" t="s">
        <v>83</v>
      </c>
      <c r="C406" s="3" t="s">
        <v>131</v>
      </c>
      <c r="D406" s="3">
        <v>35.745882352941173</v>
      </c>
      <c r="E406" s="3">
        <v>0</v>
      </c>
    </row>
    <row r="407" spans="1:5">
      <c r="A407" s="3">
        <v>625700</v>
      </c>
      <c r="B407" s="3" t="s">
        <v>83</v>
      </c>
      <c r="C407" s="3" t="s">
        <v>132</v>
      </c>
      <c r="D407" s="4">
        <v>389.18352941176471</v>
      </c>
      <c r="E407" s="3">
        <v>0</v>
      </c>
    </row>
    <row r="408" spans="1:5">
      <c r="A408" s="3">
        <v>626100</v>
      </c>
      <c r="B408" s="3" t="s">
        <v>83</v>
      </c>
      <c r="C408" s="3" t="s">
        <v>133</v>
      </c>
      <c r="D408" s="4">
        <v>102.24705882352941</v>
      </c>
      <c r="E408" s="3">
        <v>0</v>
      </c>
    </row>
    <row r="409" spans="1:5">
      <c r="A409" s="3">
        <v>626200</v>
      </c>
      <c r="B409" s="3" t="s">
        <v>83</v>
      </c>
      <c r="C409" s="3" t="s">
        <v>134</v>
      </c>
      <c r="D409" s="4">
        <v>220.01764705882354</v>
      </c>
      <c r="E409" s="3">
        <v>0</v>
      </c>
    </row>
    <row r="410" spans="1:5">
      <c r="A410" s="3">
        <v>627500</v>
      </c>
      <c r="B410" s="3" t="s">
        <v>83</v>
      </c>
      <c r="C410" s="3" t="s">
        <v>135</v>
      </c>
      <c r="D410" s="4">
        <v>119.71058823529411</v>
      </c>
      <c r="E410" s="3">
        <v>0</v>
      </c>
    </row>
    <row r="411" spans="1:5">
      <c r="A411" s="3">
        <v>627600</v>
      </c>
      <c r="B411" s="3" t="s">
        <v>83</v>
      </c>
      <c r="C411" s="3" t="s">
        <v>136</v>
      </c>
      <c r="D411" s="4">
        <v>89.057058823529417</v>
      </c>
      <c r="E411" s="3">
        <v>0</v>
      </c>
    </row>
    <row r="412" spans="1:5">
      <c r="A412" s="3">
        <v>628100</v>
      </c>
      <c r="B412" s="3" t="s">
        <v>83</v>
      </c>
      <c r="C412" s="3" t="s">
        <v>137</v>
      </c>
      <c r="D412" s="4">
        <v>218.52941176470588</v>
      </c>
      <c r="E412" s="3">
        <v>0</v>
      </c>
    </row>
    <row r="413" spans="1:5">
      <c r="A413" s="3">
        <v>631200</v>
      </c>
      <c r="B413" s="3" t="s">
        <v>138</v>
      </c>
      <c r="C413" s="3" t="s">
        <v>139</v>
      </c>
      <c r="D413" s="3">
        <v>0</v>
      </c>
      <c r="E413" s="3">
        <v>0</v>
      </c>
    </row>
    <row r="414" spans="1:5">
      <c r="A414" s="3">
        <v>633300</v>
      </c>
      <c r="B414" s="3" t="s">
        <v>138</v>
      </c>
      <c r="C414" s="3" t="s">
        <v>140</v>
      </c>
      <c r="D414" s="3">
        <v>48.066470588235291</v>
      </c>
      <c r="E414" s="3">
        <v>0</v>
      </c>
    </row>
    <row r="415" spans="1:5">
      <c r="A415" s="3">
        <v>635111</v>
      </c>
      <c r="B415" s="3" t="s">
        <v>138</v>
      </c>
      <c r="C415" s="3" t="s">
        <v>141</v>
      </c>
      <c r="D415" s="4">
        <v>207.58823529411765</v>
      </c>
      <c r="E415" s="3">
        <v>0</v>
      </c>
    </row>
    <row r="416" spans="1:5">
      <c r="A416" s="3">
        <v>635140</v>
      </c>
      <c r="B416" s="3" t="s">
        <v>138</v>
      </c>
      <c r="C416" s="3" t="s">
        <v>142</v>
      </c>
      <c r="D416" s="3">
        <v>31</v>
      </c>
      <c r="E416" s="3">
        <v>0</v>
      </c>
    </row>
    <row r="417" spans="1:5">
      <c r="A417" s="3">
        <v>641100</v>
      </c>
      <c r="B417" s="3" t="s">
        <v>143</v>
      </c>
      <c r="C417" s="3" t="s">
        <v>144</v>
      </c>
      <c r="D417" s="4">
        <v>6165.5317647058819</v>
      </c>
      <c r="E417" s="3">
        <v>0</v>
      </c>
    </row>
    <row r="418" spans="1:5">
      <c r="A418" s="3">
        <v>641200</v>
      </c>
      <c r="B418" s="3" t="s">
        <v>143</v>
      </c>
      <c r="C418" s="3" t="s">
        <v>145</v>
      </c>
      <c r="D418" s="4">
        <v>69.497647058823532</v>
      </c>
      <c r="E418" s="3">
        <v>0</v>
      </c>
    </row>
    <row r="419" spans="1:5">
      <c r="A419" s="3">
        <v>641300</v>
      </c>
      <c r="B419" s="3" t="s">
        <v>143</v>
      </c>
      <c r="C419" s="3" t="s">
        <v>146</v>
      </c>
      <c r="D419" s="4">
        <v>436.27588235294115</v>
      </c>
      <c r="E419" s="3">
        <v>0</v>
      </c>
    </row>
    <row r="420" spans="1:5">
      <c r="A420" s="3">
        <v>641400</v>
      </c>
      <c r="B420" s="3" t="s">
        <v>143</v>
      </c>
      <c r="C420" s="3" t="s">
        <v>147</v>
      </c>
      <c r="D420" s="3">
        <v>38.529411764705884</v>
      </c>
      <c r="E420" s="3">
        <v>0</v>
      </c>
    </row>
    <row r="421" spans="1:5">
      <c r="A421" s="3">
        <v>645100</v>
      </c>
      <c r="B421" s="3" t="s">
        <v>149</v>
      </c>
      <c r="C421" s="3" t="s">
        <v>150</v>
      </c>
      <c r="D421" s="4">
        <v>1479.5517647058823</v>
      </c>
      <c r="E421" s="3">
        <v>0</v>
      </c>
    </row>
    <row r="422" spans="1:5">
      <c r="A422" s="3">
        <v>645320</v>
      </c>
      <c r="B422" s="3" t="s">
        <v>149</v>
      </c>
      <c r="C422" s="3" t="s">
        <v>151</v>
      </c>
      <c r="D422" s="4">
        <v>367.33117647058822</v>
      </c>
      <c r="E422" s="3">
        <v>0</v>
      </c>
    </row>
    <row r="423" spans="1:5">
      <c r="A423" s="3">
        <v>645500</v>
      </c>
      <c r="B423" s="3" t="s">
        <v>149</v>
      </c>
      <c r="C423" s="3" t="s">
        <v>152</v>
      </c>
      <c r="D423" s="4">
        <v>151.46588235294118</v>
      </c>
      <c r="E423" s="3">
        <v>0</v>
      </c>
    </row>
    <row r="424" spans="1:5">
      <c r="A424" s="3">
        <v>645800</v>
      </c>
      <c r="B424" s="3" t="s">
        <v>149</v>
      </c>
      <c r="C424" s="3" t="s">
        <v>153</v>
      </c>
      <c r="D424" s="3">
        <v>17.528823529411767</v>
      </c>
      <c r="E424" s="3">
        <v>0</v>
      </c>
    </row>
    <row r="425" spans="1:5">
      <c r="A425" s="3">
        <v>645900</v>
      </c>
      <c r="B425" s="3" t="s">
        <v>149</v>
      </c>
      <c r="C425" s="3" t="s">
        <v>154</v>
      </c>
      <c r="D425" s="3">
        <v>3.1176470588235294</v>
      </c>
      <c r="E425" s="3">
        <v>0</v>
      </c>
    </row>
    <row r="426" spans="1:5">
      <c r="A426" s="3">
        <v>647000</v>
      </c>
      <c r="B426" s="3" t="s">
        <v>149</v>
      </c>
      <c r="C426" s="3" t="s">
        <v>155</v>
      </c>
      <c r="D426" s="3">
        <v>18.834705882352942</v>
      </c>
      <c r="E426" s="3">
        <v>0</v>
      </c>
    </row>
    <row r="427" spans="1:5">
      <c r="A427" s="3">
        <v>647500</v>
      </c>
      <c r="B427" s="3" t="s">
        <v>149</v>
      </c>
      <c r="C427" s="3" t="s">
        <v>156</v>
      </c>
      <c r="D427" s="3">
        <v>21.882352941176471</v>
      </c>
      <c r="E427" s="3">
        <v>0</v>
      </c>
    </row>
    <row r="428" spans="1:5">
      <c r="A428" s="3">
        <v>649100</v>
      </c>
      <c r="B428" s="3" t="s">
        <v>149</v>
      </c>
      <c r="C428" s="3" t="s">
        <v>329</v>
      </c>
      <c r="D428" s="3">
        <v>0</v>
      </c>
      <c r="E428" s="4">
        <v>281.52941176470586</v>
      </c>
    </row>
    <row r="429" spans="1:5">
      <c r="A429" s="3">
        <v>651000</v>
      </c>
      <c r="B429" s="3" t="s">
        <v>83</v>
      </c>
      <c r="C429" s="3" t="s">
        <v>157</v>
      </c>
      <c r="D429" s="4">
        <v>460.78294117647062</v>
      </c>
      <c r="E429" s="3">
        <v>0</v>
      </c>
    </row>
    <row r="430" spans="1:5">
      <c r="A430" s="3">
        <v>658000</v>
      </c>
      <c r="B430" s="3" t="s">
        <v>158</v>
      </c>
      <c r="C430" s="3" t="s">
        <v>159</v>
      </c>
      <c r="D430" s="3">
        <v>0.91882352941176471</v>
      </c>
      <c r="E430" s="3">
        <v>0</v>
      </c>
    </row>
    <row r="431" spans="1:5">
      <c r="A431" s="3">
        <v>661160</v>
      </c>
      <c r="B431" s="3" t="s">
        <v>113</v>
      </c>
      <c r="C431" s="3" t="s">
        <v>160</v>
      </c>
      <c r="D431" s="4">
        <v>186.06705882352941</v>
      </c>
      <c r="E431" s="3">
        <v>0</v>
      </c>
    </row>
    <row r="432" spans="1:5">
      <c r="A432" s="3">
        <v>661161</v>
      </c>
      <c r="B432" s="3" t="s">
        <v>113</v>
      </c>
      <c r="C432" s="3" t="s">
        <v>161</v>
      </c>
      <c r="D432" s="3">
        <v>0</v>
      </c>
      <c r="E432" s="3">
        <v>10.141764705882352</v>
      </c>
    </row>
    <row r="433" spans="1:5">
      <c r="A433" s="3">
        <v>671200</v>
      </c>
      <c r="B433" s="3" t="s">
        <v>158</v>
      </c>
      <c r="C433" s="3" t="s">
        <v>162</v>
      </c>
      <c r="D433" s="3">
        <v>2.6470588235294117</v>
      </c>
      <c r="E433" s="3">
        <v>0</v>
      </c>
    </row>
    <row r="434" spans="1:5">
      <c r="A434" s="3">
        <v>671800</v>
      </c>
      <c r="B434" s="3" t="s">
        <v>158</v>
      </c>
      <c r="C434" s="3" t="s">
        <v>163</v>
      </c>
      <c r="D434" s="4">
        <v>1176.4705882352941</v>
      </c>
      <c r="E434" s="3">
        <v>0</v>
      </c>
    </row>
    <row r="435" spans="1:5">
      <c r="A435" s="3">
        <v>681110</v>
      </c>
      <c r="B435" s="3" t="s">
        <v>164</v>
      </c>
      <c r="C435" s="3" t="s">
        <v>330</v>
      </c>
      <c r="D435" s="4">
        <v>72.630588235294113</v>
      </c>
      <c r="E435" s="3">
        <v>0</v>
      </c>
    </row>
    <row r="436" spans="1:5">
      <c r="A436" s="3">
        <v>681120</v>
      </c>
      <c r="B436" s="3" t="s">
        <v>164</v>
      </c>
      <c r="C436" s="3" t="s">
        <v>165</v>
      </c>
      <c r="D436" s="4">
        <v>1451.3364705882354</v>
      </c>
      <c r="E436" s="3">
        <v>0</v>
      </c>
    </row>
    <row r="437" spans="1:5">
      <c r="A437" s="3">
        <v>695000</v>
      </c>
      <c r="B437" s="3" t="s">
        <v>166</v>
      </c>
      <c r="C437" s="3" t="s">
        <v>167</v>
      </c>
      <c r="D437" s="4">
        <v>185.41176470588235</v>
      </c>
      <c r="E437" s="3">
        <v>0</v>
      </c>
    </row>
    <row r="438" spans="1:5">
      <c r="A438" s="3">
        <v>699200</v>
      </c>
      <c r="B438" s="3" t="s">
        <v>166</v>
      </c>
      <c r="C438" s="3" t="s">
        <v>331</v>
      </c>
      <c r="D438" s="3">
        <v>0</v>
      </c>
      <c r="E438" s="3">
        <v>17.647058823529413</v>
      </c>
    </row>
    <row r="439" spans="1:5">
      <c r="A439" s="3">
        <v>707100</v>
      </c>
      <c r="B439" s="3" t="s">
        <v>168</v>
      </c>
      <c r="C439" s="3" t="s">
        <v>169</v>
      </c>
      <c r="D439" s="3">
        <v>0</v>
      </c>
      <c r="E439" s="4">
        <v>9103.6470588235297</v>
      </c>
    </row>
    <row r="440" spans="1:5">
      <c r="A440" s="3">
        <v>707200</v>
      </c>
      <c r="B440" s="3" t="s">
        <v>168</v>
      </c>
      <c r="C440" s="3" t="s">
        <v>170</v>
      </c>
      <c r="D440" s="3">
        <v>0</v>
      </c>
      <c r="E440" s="4">
        <v>23479.806470588235</v>
      </c>
    </row>
    <row r="441" spans="1:5">
      <c r="A441" s="3">
        <v>707300</v>
      </c>
      <c r="B441" s="3" t="s">
        <v>168</v>
      </c>
      <c r="C441" s="3" t="s">
        <v>171</v>
      </c>
      <c r="D441" s="3">
        <v>0</v>
      </c>
      <c r="E441" s="4">
        <v>1909.3694117647058</v>
      </c>
    </row>
    <row r="442" spans="1:5">
      <c r="A442" s="3">
        <v>707310</v>
      </c>
      <c r="B442" s="3" t="s">
        <v>168</v>
      </c>
      <c r="C442" s="3" t="s">
        <v>172</v>
      </c>
      <c r="D442" s="3">
        <v>0</v>
      </c>
      <c r="E442" s="4">
        <v>215.82058823529411</v>
      </c>
    </row>
    <row r="443" spans="1:5">
      <c r="A443" s="3">
        <v>707410</v>
      </c>
      <c r="B443" s="3" t="s">
        <v>168</v>
      </c>
      <c r="C443" s="3" t="s">
        <v>173</v>
      </c>
      <c r="D443" s="3">
        <v>0</v>
      </c>
      <c r="E443" s="4">
        <v>274.93411764705883</v>
      </c>
    </row>
    <row r="444" spans="1:5">
      <c r="A444" s="3">
        <v>707610</v>
      </c>
      <c r="B444" s="3" t="s">
        <v>168</v>
      </c>
      <c r="C444" s="3" t="s">
        <v>174</v>
      </c>
      <c r="D444" s="3">
        <v>0</v>
      </c>
      <c r="E444" s="3">
        <v>0.49</v>
      </c>
    </row>
    <row r="445" spans="1:5">
      <c r="A445" s="3">
        <v>707700</v>
      </c>
      <c r="B445" s="3" t="s">
        <v>168</v>
      </c>
      <c r="C445" s="3" t="s">
        <v>175</v>
      </c>
      <c r="D445" s="3">
        <v>0</v>
      </c>
      <c r="E445" s="4">
        <v>3058.424705882353</v>
      </c>
    </row>
    <row r="446" spans="1:5">
      <c r="A446" s="3">
        <v>707810</v>
      </c>
      <c r="B446" s="3" t="s">
        <v>176</v>
      </c>
      <c r="C446" s="3" t="s">
        <v>177</v>
      </c>
      <c r="D446" s="3">
        <v>0</v>
      </c>
      <c r="E446" s="4">
        <v>10956.278823529412</v>
      </c>
    </row>
    <row r="447" spans="1:5">
      <c r="A447" s="3">
        <v>707820</v>
      </c>
      <c r="B447" s="3" t="s">
        <v>176</v>
      </c>
      <c r="C447" s="3" t="s">
        <v>178</v>
      </c>
      <c r="D447" s="3">
        <v>0</v>
      </c>
      <c r="E447" s="4">
        <v>1098.9694117647059</v>
      </c>
    </row>
    <row r="448" spans="1:5">
      <c r="A448" s="3">
        <v>707821</v>
      </c>
      <c r="B448" s="3" t="s">
        <v>176</v>
      </c>
      <c r="C448" s="3" t="s">
        <v>179</v>
      </c>
      <c r="D448" s="3">
        <v>0</v>
      </c>
      <c r="E448" s="4">
        <v>1316.7582352941176</v>
      </c>
    </row>
    <row r="449" spans="1:5">
      <c r="A449" s="3">
        <v>709700</v>
      </c>
      <c r="B449" s="3" t="s">
        <v>168</v>
      </c>
      <c r="C449" s="3" t="s">
        <v>180</v>
      </c>
      <c r="D449" s="4">
        <v>857.90352941176479</v>
      </c>
      <c r="E449" s="3">
        <v>0</v>
      </c>
    </row>
    <row r="450" spans="1:5">
      <c r="A450" s="3">
        <v>709710</v>
      </c>
      <c r="B450" s="3" t="s">
        <v>168</v>
      </c>
      <c r="C450" s="3" t="s">
        <v>181</v>
      </c>
      <c r="D450" s="4">
        <v>1158.3088235294117</v>
      </c>
      <c r="E450" s="3">
        <v>0</v>
      </c>
    </row>
    <row r="451" spans="1:5">
      <c r="A451" s="3">
        <v>709720</v>
      </c>
      <c r="B451" s="3" t="s">
        <v>168</v>
      </c>
      <c r="C451" s="3" t="s">
        <v>182</v>
      </c>
      <c r="D451" s="4">
        <v>1743.075294117647</v>
      </c>
      <c r="E451" s="3">
        <v>0</v>
      </c>
    </row>
    <row r="452" spans="1:5">
      <c r="A452" s="3">
        <v>709730</v>
      </c>
      <c r="B452" s="3" t="s">
        <v>168</v>
      </c>
      <c r="C452" s="3" t="s">
        <v>183</v>
      </c>
      <c r="D452" s="3">
        <v>37.742941176470588</v>
      </c>
      <c r="E452" s="3">
        <v>0</v>
      </c>
    </row>
    <row r="453" spans="1:5">
      <c r="A453" s="3">
        <v>709731</v>
      </c>
      <c r="B453" s="3" t="s">
        <v>168</v>
      </c>
      <c r="C453" s="3" t="s">
        <v>184</v>
      </c>
      <c r="D453" s="3">
        <v>2.8141176470588238</v>
      </c>
      <c r="E453" s="3">
        <v>0</v>
      </c>
    </row>
    <row r="454" spans="1:5">
      <c r="A454" s="3">
        <v>709741</v>
      </c>
      <c r="B454" s="3" t="s">
        <v>168</v>
      </c>
      <c r="C454" s="3" t="s">
        <v>185</v>
      </c>
      <c r="D454" s="3">
        <v>13.494705882352941</v>
      </c>
      <c r="E454" s="3">
        <v>0</v>
      </c>
    </row>
    <row r="455" spans="1:5">
      <c r="A455" s="3">
        <v>709781</v>
      </c>
      <c r="B455" s="3" t="s">
        <v>176</v>
      </c>
      <c r="C455" s="3" t="s">
        <v>186</v>
      </c>
      <c r="D455" s="4">
        <v>1727.1341176470587</v>
      </c>
      <c r="E455" s="3">
        <v>0</v>
      </c>
    </row>
    <row r="456" spans="1:5">
      <c r="A456" s="3">
        <v>709782</v>
      </c>
      <c r="B456" s="3" t="s">
        <v>176</v>
      </c>
      <c r="C456" s="3" t="s">
        <v>187</v>
      </c>
      <c r="D456" s="4">
        <v>502.95705882352945</v>
      </c>
      <c r="E456" s="3">
        <v>0</v>
      </c>
    </row>
    <row r="457" spans="1:5">
      <c r="A457" s="3">
        <v>758000</v>
      </c>
      <c r="B457" s="3" t="s">
        <v>188</v>
      </c>
      <c r="C457" s="3" t="s">
        <v>190</v>
      </c>
      <c r="D457" s="3">
        <v>0</v>
      </c>
      <c r="E457" s="3">
        <v>11.798823529411765</v>
      </c>
    </row>
    <row r="458" spans="1:5">
      <c r="A458" s="3">
        <v>791009</v>
      </c>
      <c r="B458" s="3" t="s">
        <v>83</v>
      </c>
      <c r="C458" s="3" t="s">
        <v>191</v>
      </c>
      <c r="D458" s="3">
        <v>0</v>
      </c>
      <c r="E458" s="4">
        <v>1586.3999999999999</v>
      </c>
    </row>
    <row r="459" spans="1:5">
      <c r="A459" s="3"/>
      <c r="B459" s="3"/>
      <c r="C459" s="3"/>
      <c r="D459" s="4"/>
      <c r="E459" s="4"/>
    </row>
    <row r="460" spans="1:5">
      <c r="A460" s="3"/>
      <c r="B460" s="3"/>
      <c r="C460" s="3"/>
      <c r="D460" s="4"/>
      <c r="E460" s="4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584" spans="1:5">
      <c r="A584" s="288">
        <v>43525</v>
      </c>
      <c r="C584">
        <v>0.5</v>
      </c>
      <c r="D584">
        <v>0.5</v>
      </c>
      <c r="E584">
        <v>8</v>
      </c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O302:O303"/>
    <mergeCell ref="P302:P303"/>
    <mergeCell ref="I340:I342"/>
    <mergeCell ref="J342:K342"/>
    <mergeCell ref="BS36:BW36"/>
    <mergeCell ref="BY36:CC36"/>
    <mergeCell ref="CE36:CJ36"/>
    <mergeCell ref="A298:E298"/>
    <mergeCell ref="H298:K298"/>
    <mergeCell ref="Q300:R300"/>
    <mergeCell ref="BP33:BR33"/>
    <mergeCell ref="BS34:BW34"/>
    <mergeCell ref="BY34:CC34"/>
    <mergeCell ref="CE34:CJ34"/>
    <mergeCell ref="BS35:BW35"/>
    <mergeCell ref="BY35:CC35"/>
    <mergeCell ref="CE35:CJ35"/>
    <mergeCell ref="BS30:BW30"/>
    <mergeCell ref="BY30:CC30"/>
    <mergeCell ref="CE30:CJ30"/>
    <mergeCell ref="BS31:BW31"/>
    <mergeCell ref="BY31:CC31"/>
    <mergeCell ref="CE31:CJ31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P25:BR25"/>
    <mergeCell ref="BP26:BR26"/>
    <mergeCell ref="BS26:BW26"/>
    <mergeCell ref="BY26:CC26"/>
    <mergeCell ref="CE26:CJ26"/>
    <mergeCell ref="BS22:BW22"/>
    <mergeCell ref="BY22:CC22"/>
    <mergeCell ref="CE22:CJ22"/>
    <mergeCell ref="BS23:BW23"/>
    <mergeCell ref="BY23:CC23"/>
    <mergeCell ref="CE23:CJ23"/>
    <mergeCell ref="CE18:CJ18"/>
    <mergeCell ref="BS19:BW19"/>
    <mergeCell ref="BY19:CC19"/>
    <mergeCell ref="CE19:CJ19"/>
    <mergeCell ref="CM19:CV19"/>
    <mergeCell ref="BY18:CC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BP12:BQ12"/>
    <mergeCell ref="BP13:BQ13"/>
    <mergeCell ref="BP14:BQ14"/>
    <mergeCell ref="BP17:BR17"/>
    <mergeCell ref="BS18:BW18"/>
    <mergeCell ref="BY9:CC9"/>
    <mergeCell ref="CE9:CI9"/>
    <mergeCell ref="CO9:CS9"/>
    <mergeCell ref="CT9:CV9"/>
    <mergeCell ref="BS10:BW10"/>
    <mergeCell ref="BY10:CC10"/>
    <mergeCell ref="CE10:CI10"/>
    <mergeCell ref="BS5:BW5"/>
    <mergeCell ref="CB5:CI5"/>
    <mergeCell ref="R6:S6"/>
    <mergeCell ref="BS6:BW6"/>
    <mergeCell ref="CB6:CI6"/>
    <mergeCell ref="P8:P9"/>
    <mergeCell ref="Q8:Q9"/>
    <mergeCell ref="BP9:BP10"/>
    <mergeCell ref="BQ9:BQ10"/>
    <mergeCell ref="BS9:BW9"/>
    <mergeCell ref="BF4:BG4"/>
    <mergeCell ref="A4:E4"/>
    <mergeCell ref="H4:K4"/>
    <mergeCell ref="AP4:AQ4"/>
    <mergeCell ref="AS4:AT4"/>
    <mergeCell ref="BC4:BD4"/>
  </mergeCells>
  <conditionalFormatting sqref="CO23:CO24 CO26:CO27 CO29:CO31">
    <cfRule type="containsText" dxfId="53" priority="19" operator="containsText" text="è">
      <formula>NOT(ISERROR(SEARCH("è",CO23)))</formula>
    </cfRule>
    <cfRule type="cellIs" dxfId="52" priority="20" operator="equal">
      <formula>"éé"</formula>
    </cfRule>
    <cfRule type="cellIs" dxfId="51" priority="21" operator="equal">
      <formula>"ìì"</formula>
    </cfRule>
    <cfRule type="cellIs" dxfId="50" priority="22" operator="equal">
      <formula>"ì"</formula>
    </cfRule>
    <cfRule type="cellIs" dxfId="49" priority="23" operator="equal">
      <formula>"èì"</formula>
    </cfRule>
    <cfRule type="cellIs" dxfId="48" priority="24" operator="equal">
      <formula>"îè"</formula>
    </cfRule>
    <cfRule type="cellIs" dxfId="47" priority="25" operator="equal">
      <formula>"î"</formula>
    </cfRule>
    <cfRule type="cellIs" dxfId="46" priority="26" operator="equal">
      <formula>"îî"</formula>
    </cfRule>
    <cfRule type="cellIs" dxfId="45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44" priority="10" operator="containsText" text="è">
      <formula>NOT(ISERROR(SEARCH("è",CO29)))</formula>
    </cfRule>
  </conditionalFormatting>
  <conditionalFormatting sqref="CO29">
    <cfRule type="cellIs" dxfId="43" priority="18" operator="equal">
      <formula>"êê"</formula>
    </cfRule>
  </conditionalFormatting>
  <conditionalFormatting sqref="CO29">
    <cfRule type="cellIs" dxfId="42" priority="11" operator="equal">
      <formula>"éé"</formula>
    </cfRule>
    <cfRule type="cellIs" dxfId="41" priority="12" operator="equal">
      <formula>"ìì"</formula>
    </cfRule>
    <cfRule type="cellIs" dxfId="40" priority="13" operator="equal">
      <formula>"ì"</formula>
    </cfRule>
    <cfRule type="cellIs" dxfId="39" priority="14" operator="equal">
      <formula>"èì"</formula>
    </cfRule>
    <cfRule type="cellIs" dxfId="38" priority="15" operator="equal">
      <formula>"îè"</formula>
    </cfRule>
    <cfRule type="cellIs" dxfId="37" priority="16" operator="equal">
      <formula>"î"</formula>
    </cfRule>
    <cfRule type="cellIs" dxfId="36" priority="17" operator="equal">
      <formula>"îî"</formula>
    </cfRule>
  </conditionalFormatting>
  <conditionalFormatting sqref="CO25">
    <cfRule type="cellIs" dxfId="35" priority="1" operator="equal">
      <formula>"è"</formula>
    </cfRule>
    <cfRule type="cellIs" dxfId="34" priority="2" operator="equal">
      <formula>"éé"</formula>
    </cfRule>
    <cfRule type="cellIs" dxfId="33" priority="3" operator="equal">
      <formula>"ìì"</formula>
    </cfRule>
    <cfRule type="cellIs" dxfId="32" priority="4" operator="equal">
      <formula>"ì"</formula>
    </cfRule>
    <cfRule type="cellIs" dxfId="31" priority="5" operator="equal">
      <formula>"èì"</formula>
    </cfRule>
    <cfRule type="cellIs" dxfId="30" priority="6" operator="equal">
      <formula>"îè"</formula>
    </cfRule>
    <cfRule type="cellIs" dxfId="29" priority="7" operator="equal">
      <formula>"î"</formula>
    </cfRule>
    <cfRule type="cellIs" dxfId="28" priority="8" operator="equal">
      <formula>"îî"</formula>
    </cfRule>
    <cfRule type="cellIs" dxfId="27" priority="9" operator="equal">
      <formula>"êê"</formula>
    </cfRule>
  </conditionalFormatting>
  <dataValidations count="1">
    <dataValidation type="list" allowBlank="1" showInputMessage="1" showErrorMessage="1" sqref="B301:B443 B7:B167" xr:uid="{89DF5AE9-E80F-4E2F-ABF0-8488EF4D15D7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utton 8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Button 9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0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Button 11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2" name="Button 2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F25FF-11BC-E940-A06A-A719B31A0A98}">
  <sheetPr codeName="Feuil5">
    <pageSetUpPr fitToPage="1"/>
  </sheetPr>
  <dimension ref="A1:DE669"/>
  <sheetViews>
    <sheetView tabSelected="1" workbookViewId="0"/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0.8554687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88" t="s">
        <v>219</v>
      </c>
      <c r="B4" s="488"/>
      <c r="C4" s="488"/>
      <c r="D4" s="488"/>
      <c r="E4" s="488"/>
      <c r="H4" s="488" t="s">
        <v>220</v>
      </c>
      <c r="I4" s="488"/>
      <c r="J4" s="488"/>
      <c r="K4" s="488"/>
      <c r="AO4" s="35" t="s">
        <v>223</v>
      </c>
      <c r="AP4" s="489">
        <f>A290</f>
        <v>43830</v>
      </c>
      <c r="AQ4" s="490"/>
      <c r="AR4" s="36"/>
      <c r="AS4" s="491">
        <f>A584</f>
        <v>43465</v>
      </c>
      <c r="AT4" s="490"/>
      <c r="AU4" s="34"/>
      <c r="AV4" s="37"/>
      <c r="AW4" s="38"/>
      <c r="AX4" s="39"/>
      <c r="BB4" s="138" t="s">
        <v>242</v>
      </c>
      <c r="BC4" s="492">
        <f>A290</f>
        <v>43830</v>
      </c>
      <c r="BD4" s="487"/>
      <c r="BE4" s="139"/>
      <c r="BF4" s="486">
        <f>A584</f>
        <v>43465</v>
      </c>
      <c r="BG4" s="487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424</v>
      </c>
      <c r="AO5" s="40" t="s">
        <v>212</v>
      </c>
      <c r="AP5" s="41">
        <f>SUM(AP6+AP7)</f>
        <v>62704.213529411762</v>
      </c>
      <c r="AQ5" s="44">
        <v>1</v>
      </c>
      <c r="AR5" s="42"/>
      <c r="AS5" s="43">
        <f>SUM(AS6:AS7)</f>
        <v>54462.002941176463</v>
      </c>
      <c r="AT5" s="44">
        <v>1</v>
      </c>
      <c r="AU5" s="42"/>
      <c r="AV5" s="43">
        <f>Moyenne!D7</f>
        <v>54540.772058823524</v>
      </c>
      <c r="AW5" s="44">
        <v>1</v>
      </c>
      <c r="AX5" s="39"/>
      <c r="BB5" s="142" t="s">
        <v>13</v>
      </c>
      <c r="BC5" s="143">
        <f>$J$10-$K$10</f>
        <v>12902.714705882352</v>
      </c>
      <c r="BD5" s="144">
        <f>BC5/$BC$14</f>
        <v>0.3542687296693664</v>
      </c>
      <c r="BE5" s="145"/>
      <c r="BF5" s="146">
        <f>$J$304-$K$304</f>
        <v>12902.714705882352</v>
      </c>
      <c r="BG5" s="144">
        <f>BF5/$BF$14</f>
        <v>0.35246718181288195</v>
      </c>
      <c r="BH5" s="145"/>
      <c r="BI5" s="143">
        <f>Moyenne!D50</f>
        <v>7333.7102941176463</v>
      </c>
      <c r="BJ5" s="144">
        <f>Moyenne!E50</f>
        <v>0.27604888599574018</v>
      </c>
      <c r="BK5" s="145"/>
      <c r="BO5" s="34"/>
      <c r="BP5" s="208" t="s">
        <v>258</v>
      </c>
      <c r="BQ5" s="209"/>
      <c r="BR5" s="34"/>
      <c r="BS5" s="499" t="s">
        <v>259</v>
      </c>
      <c r="BT5" s="500"/>
      <c r="BU5" s="500"/>
      <c r="BV5" s="500"/>
      <c r="BW5" s="501"/>
      <c r="BX5" s="210"/>
      <c r="BY5" s="211"/>
      <c r="BZ5" s="34"/>
      <c r="CA5" s="34"/>
      <c r="CB5" s="502" t="s">
        <v>260</v>
      </c>
      <c r="CC5" s="503"/>
      <c r="CD5" s="503"/>
      <c r="CE5" s="503"/>
      <c r="CF5" s="503"/>
      <c r="CG5" s="503"/>
      <c r="CH5" s="503"/>
      <c r="CI5" s="50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132176.15647058818</v>
      </c>
      <c r="E6" s="2">
        <f>SUM($E$7:$E$285)</f>
        <v>132176.15647058826</v>
      </c>
      <c r="H6">
        <v>10</v>
      </c>
      <c r="I6" t="s">
        <v>3</v>
      </c>
      <c r="J6" s="2">
        <f t="shared" ref="J6:J41" si="0">SUMIF($B$7:$B$285,$I6,$D$7:$D$285)</f>
        <v>5425.5023529411765</v>
      </c>
      <c r="K6" s="2">
        <f t="shared" ref="K6:K41" si="1">SUMIF($B$7:$B$285,$I6,$E$7:$E$285)</f>
        <v>13526.973529411764</v>
      </c>
      <c r="N6" s="7"/>
      <c r="O6" s="8"/>
      <c r="P6" s="8"/>
      <c r="Q6" s="8"/>
      <c r="R6" s="505" t="s">
        <v>200</v>
      </c>
      <c r="S6" s="506"/>
      <c r="T6" s="9" t="s">
        <v>201</v>
      </c>
      <c r="U6" s="10" t="s">
        <v>202</v>
      </c>
      <c r="AO6" s="45" t="s">
        <v>224</v>
      </c>
      <c r="AP6" s="46">
        <f>K41-J41</f>
        <v>51579.360588235293</v>
      </c>
      <c r="AQ6" s="47">
        <f>SUM(AP6/AP5)</f>
        <v>0.82258205126903805</v>
      </c>
      <c r="AR6" s="42"/>
      <c r="AS6" s="48">
        <f>K334-J334</f>
        <v>46280.36823529411</v>
      </c>
      <c r="AT6" s="49">
        <f>SUM(AS6/AS5)</f>
        <v>0.84977352531967643</v>
      </c>
      <c r="AU6" s="42"/>
      <c r="AV6" s="48">
        <f>Moyenne!D8</f>
        <v>42972.614411764705</v>
      </c>
      <c r="AW6" s="49">
        <f>SUM(AV6/AV5)</f>
        <v>0.78789890186038647</v>
      </c>
      <c r="AX6" s="39"/>
      <c r="BB6" s="147" t="s">
        <v>16</v>
      </c>
      <c r="BC6" s="148">
        <f>$J$8-$K$8</f>
        <v>6102.9435294117684</v>
      </c>
      <c r="BD6" s="149">
        <f t="shared" ref="BD6:BD13" si="2">BC6/$BC$14</f>
        <v>0.16756799640178766</v>
      </c>
      <c r="BE6" s="145"/>
      <c r="BF6" s="150">
        <f>$J$302-$K$302</f>
        <v>7883.0176470588267</v>
      </c>
      <c r="BG6" s="149">
        <f t="shared" ref="BG6:BG13" si="3">BF6/$BF$14</f>
        <v>0.21534266839003413</v>
      </c>
      <c r="BH6" s="145"/>
      <c r="BI6" s="148">
        <f>Moyenne!D51</f>
        <v>5057.5023529411774</v>
      </c>
      <c r="BJ6" s="149">
        <f>Moyenne!E51</f>
        <v>0.19036992660728227</v>
      </c>
      <c r="BK6" s="145"/>
      <c r="BO6" s="34"/>
      <c r="BP6" s="291">
        <f>AP47+AP48</f>
        <v>1</v>
      </c>
      <c r="BQ6" s="209"/>
      <c r="BR6" s="34"/>
      <c r="BS6" s="507" t="str">
        <f>TEXT(CS22,"jj/mm")</f>
        <v>31/12</v>
      </c>
      <c r="BT6" s="508"/>
      <c r="BU6" s="508"/>
      <c r="BV6" s="508"/>
      <c r="BW6" s="509"/>
      <c r="BX6" s="210"/>
      <c r="BY6" s="211"/>
      <c r="BZ6" s="34"/>
      <c r="CA6" s="34"/>
      <c r="CB6" s="510" t="s">
        <v>261</v>
      </c>
      <c r="CC6" s="511"/>
      <c r="CD6" s="511"/>
      <c r="CE6" s="511"/>
      <c r="CF6" s="511"/>
      <c r="CG6" s="511"/>
      <c r="CH6" s="511"/>
      <c r="CI6" s="512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A7" s="3">
        <v>101300</v>
      </c>
      <c r="B7" s="3" t="s">
        <v>3</v>
      </c>
      <c r="C7" s="3" t="s">
        <v>4</v>
      </c>
      <c r="D7" s="3">
        <v>0</v>
      </c>
      <c r="E7" s="4">
        <v>12352.941176470587</v>
      </c>
      <c r="H7">
        <v>16</v>
      </c>
      <c r="I7" t="s">
        <v>9</v>
      </c>
      <c r="J7" s="2">
        <f t="shared" si="0"/>
        <v>0</v>
      </c>
      <c r="K7" s="2">
        <f t="shared" si="1"/>
        <v>12803.178823529412</v>
      </c>
      <c r="N7" s="11" t="s">
        <v>203</v>
      </c>
      <c r="O7" s="12">
        <f>AP29</f>
        <v>4463.1347058823631</v>
      </c>
      <c r="P7" s="13" t="s">
        <v>204</v>
      </c>
      <c r="Q7" s="12">
        <f>BC26</f>
        <v>26129.628823529412</v>
      </c>
      <c r="R7" s="14" t="s">
        <v>205</v>
      </c>
      <c r="S7" s="15">
        <f>O7/Q7</f>
        <v>0.17080742845697697</v>
      </c>
      <c r="T7" s="16">
        <v>24</v>
      </c>
      <c r="U7" s="17">
        <f>S7*T7</f>
        <v>4.0993782829674474</v>
      </c>
      <c r="AO7" s="50" t="s">
        <v>225</v>
      </c>
      <c r="AP7" s="51">
        <f>K40-J40</f>
        <v>11124.85294117647</v>
      </c>
      <c r="AQ7" s="52">
        <f>SUM(AP7/AP5)</f>
        <v>0.17741794873096201</v>
      </c>
      <c r="AR7" s="42"/>
      <c r="AS7" s="53">
        <f>K333-J333</f>
        <v>8181.6347058823521</v>
      </c>
      <c r="AT7" s="54">
        <f>SUM(AS7/AS5)</f>
        <v>0.15022647468032355</v>
      </c>
      <c r="AU7" s="42"/>
      <c r="AV7" s="48">
        <f>Moyenne!D9</f>
        <v>11568.157647058822</v>
      </c>
      <c r="AW7" s="54">
        <f>SUM(AV7/AV5)</f>
        <v>0.21210109813961359</v>
      </c>
      <c r="AX7" s="39"/>
      <c r="BB7" s="151" t="s">
        <v>23</v>
      </c>
      <c r="BC7" s="152">
        <f>$J$9-$K$9</f>
        <v>2167.9282352941177</v>
      </c>
      <c r="BD7" s="153">
        <f t="shared" si="2"/>
        <v>5.9524619387411049E-2</v>
      </c>
      <c r="BE7" s="145"/>
      <c r="BF7" s="154">
        <f>$J$303-$K$303</f>
        <v>1872.4558823529412</v>
      </c>
      <c r="BG7" s="153">
        <f t="shared" si="3"/>
        <v>5.115041779704E-2</v>
      </c>
      <c r="BH7" s="145"/>
      <c r="BI7" s="152">
        <f>Moyenne!D52</f>
        <v>1841.1094117647058</v>
      </c>
      <c r="BJ7" s="153">
        <f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A8" s="3">
        <v>110000</v>
      </c>
      <c r="B8" s="3" t="s">
        <v>3</v>
      </c>
      <c r="C8" s="3" t="s">
        <v>7</v>
      </c>
      <c r="D8" s="3">
        <v>0</v>
      </c>
      <c r="E8" s="4">
        <v>1174.0323529411764</v>
      </c>
      <c r="H8">
        <v>20</v>
      </c>
      <c r="I8" t="s">
        <v>16</v>
      </c>
      <c r="J8" s="2">
        <f t="shared" si="0"/>
        <v>19809.694117647061</v>
      </c>
      <c r="K8" s="2">
        <f t="shared" si="1"/>
        <v>13706.750588235293</v>
      </c>
      <c r="L8" s="2"/>
      <c r="N8" s="18" t="s">
        <v>206</v>
      </c>
      <c r="O8" s="19">
        <f>BC21</f>
        <v>23094.248823529389</v>
      </c>
      <c r="P8" s="493" t="s">
        <v>207</v>
      </c>
      <c r="Q8" s="494">
        <f>BC14</f>
        <v>36420.698823529412</v>
      </c>
      <c r="R8" s="20" t="s">
        <v>208</v>
      </c>
      <c r="S8" s="15">
        <f>O8/Q8</f>
        <v>0.63409680674796565</v>
      </c>
      <c r="T8" s="21">
        <v>22</v>
      </c>
      <c r="U8" s="22">
        <f t="shared" ref="U8:U11" si="4">S8*T8</f>
        <v>13.950129748455245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21173.586470588238</v>
      </c>
      <c r="BD8" s="157">
        <f t="shared" si="2"/>
        <v>0.5813613454585651</v>
      </c>
      <c r="BE8" s="145"/>
      <c r="BF8" s="156">
        <f>SUM(BF5:BF7)</f>
        <v>22658.188235294121</v>
      </c>
      <c r="BG8" s="157">
        <f t="shared" si="3"/>
        <v>0.61896026799995607</v>
      </c>
      <c r="BH8" s="145"/>
      <c r="BI8" s="156">
        <f>Moyenne!D53</f>
        <v>14232.322058823531</v>
      </c>
      <c r="BJ8" s="157">
        <f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A9" s="3">
        <v>119000</v>
      </c>
      <c r="B9" s="3" t="s">
        <v>3</v>
      </c>
      <c r="C9" s="3" t="s">
        <v>333</v>
      </c>
      <c r="D9" s="4">
        <v>5425.5023529411765</v>
      </c>
      <c r="E9" s="3">
        <v>0</v>
      </c>
      <c r="H9">
        <v>20</v>
      </c>
      <c r="I9" t="s">
        <v>23</v>
      </c>
      <c r="J9" s="2">
        <f t="shared" si="0"/>
        <v>2167.9282352941177</v>
      </c>
      <c r="K9" s="2">
        <f t="shared" si="1"/>
        <v>0</v>
      </c>
      <c r="N9" s="18" t="s">
        <v>209</v>
      </c>
      <c r="O9" s="19">
        <f>BC13</f>
        <v>15247.112352941176</v>
      </c>
      <c r="P9" s="493"/>
      <c r="Q9" s="495"/>
      <c r="R9" s="20" t="s">
        <v>210</v>
      </c>
      <c r="S9" s="15">
        <f>O9/Q8</f>
        <v>0.41863865454143495</v>
      </c>
      <c r="T9" s="21">
        <v>16</v>
      </c>
      <c r="U9" s="22">
        <f t="shared" si="4"/>
        <v>6.6982184726629592</v>
      </c>
      <c r="AO9" s="58" t="s">
        <v>226</v>
      </c>
      <c r="AP9" s="59">
        <f>SUM(AP11+AP10)</f>
        <v>26637.255294117644</v>
      </c>
      <c r="AQ9" s="60">
        <v>1</v>
      </c>
      <c r="AR9" s="42"/>
      <c r="AS9" s="59">
        <f>SUM(AS10:AS11)</f>
        <v>21495.874117647058</v>
      </c>
      <c r="AT9" s="61">
        <v>1</v>
      </c>
      <c r="AU9" s="42"/>
      <c r="AV9" s="59">
        <f>Moyenne!D11</f>
        <v>22069.007352941175</v>
      </c>
      <c r="AW9" s="61">
        <v>1</v>
      </c>
      <c r="AX9" s="39"/>
      <c r="BB9" s="142" t="s">
        <v>32</v>
      </c>
      <c r="BC9" s="148">
        <f>$J$11-$K$11</f>
        <v>4609.4511764705876</v>
      </c>
      <c r="BD9" s="149">
        <f t="shared" si="2"/>
        <v>0.12656130511951283</v>
      </c>
      <c r="BE9" s="145"/>
      <c r="BF9" s="150">
        <f>$J$305-$K$305</f>
        <v>4572.0882352941171</v>
      </c>
      <c r="BG9" s="149">
        <f t="shared" si="3"/>
        <v>0.12489705399432428</v>
      </c>
      <c r="BH9" s="145"/>
      <c r="BI9" s="148">
        <f>Moyenne!D54</f>
        <v>4784.7552941176473</v>
      </c>
      <c r="BJ9" s="144">
        <f>Moyenne!E54</f>
        <v>0.18010342865095569</v>
      </c>
      <c r="BK9" s="145"/>
      <c r="BO9" s="212"/>
      <c r="BP9" s="496" t="s">
        <v>262</v>
      </c>
      <c r="BQ9" s="497" t="s">
        <v>263</v>
      </c>
      <c r="BR9" s="213"/>
      <c r="BS9" s="498">
        <f>CS22</f>
        <v>43830</v>
      </c>
      <c r="BT9" s="498"/>
      <c r="BU9" s="498"/>
      <c r="BV9" s="498"/>
      <c r="BW9" s="498"/>
      <c r="BX9" s="212"/>
      <c r="BY9" s="498">
        <f>CU22</f>
        <v>43465</v>
      </c>
      <c r="BZ9" s="498"/>
      <c r="CA9" s="498"/>
      <c r="CB9" s="498"/>
      <c r="CC9" s="498"/>
      <c r="CD9" s="212"/>
      <c r="CE9" s="498" t="s">
        <v>422</v>
      </c>
      <c r="CF9" s="498"/>
      <c r="CG9" s="498"/>
      <c r="CH9" s="498"/>
      <c r="CI9" s="498"/>
      <c r="CJ9" s="212"/>
      <c r="CK9" s="34"/>
      <c r="CL9" s="34"/>
      <c r="CM9" s="34"/>
      <c r="CN9" s="34"/>
      <c r="CO9" s="513"/>
      <c r="CP9" s="513"/>
      <c r="CQ9" s="513"/>
      <c r="CR9" s="513"/>
      <c r="CS9" s="513"/>
      <c r="CT9" s="514" t="str">
        <f>A5</f>
        <v>Mag 2</v>
      </c>
      <c r="CU9" s="514"/>
      <c r="CV9" s="514"/>
      <c r="DD9">
        <v>7</v>
      </c>
    </row>
    <row r="10" spans="1:109" ht="18.75" customHeight="1">
      <c r="A10" s="3">
        <v>120000</v>
      </c>
      <c r="B10" s="3" t="s">
        <v>3</v>
      </c>
      <c r="C10" s="3" t="s">
        <v>8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12902.714705882352</v>
      </c>
      <c r="K10" s="2">
        <f t="shared" si="1"/>
        <v>0</v>
      </c>
      <c r="N10" s="18" t="s">
        <v>211</v>
      </c>
      <c r="O10" s="19">
        <f>AP38</f>
        <v>232.80411764705883</v>
      </c>
      <c r="P10" s="23" t="s">
        <v>212</v>
      </c>
      <c r="Q10" s="19">
        <f>AP5</f>
        <v>62704.213529411762</v>
      </c>
      <c r="R10" s="20" t="s">
        <v>213</v>
      </c>
      <c r="S10" s="15">
        <f>O10/Q10</f>
        <v>3.7127348314138532E-3</v>
      </c>
      <c r="T10" s="21">
        <v>-87</v>
      </c>
      <c r="U10" s="22">
        <f t="shared" si="4"/>
        <v>-0.32300793033300523</v>
      </c>
      <c r="AO10" s="62" t="s">
        <v>224</v>
      </c>
      <c r="AP10" s="63">
        <f>J39-K39</f>
        <v>19333.164705882351</v>
      </c>
      <c r="AQ10" s="64">
        <f>SUM(AP10/AP9)</f>
        <v>0.7257941740773769</v>
      </c>
      <c r="AR10" s="42"/>
      <c r="AS10" s="65">
        <f>J332-K332</f>
        <v>17010.827647058821</v>
      </c>
      <c r="AT10" s="66">
        <f>SUM(AS10/AS9)</f>
        <v>0.79135314776958832</v>
      </c>
      <c r="AU10" s="42"/>
      <c r="AV10" s="65">
        <f>Moyenne!D12</f>
        <v>16163.949411764705</v>
      </c>
      <c r="AW10" s="67">
        <f>SUM(AV10/AV9)</f>
        <v>0.732427569272186</v>
      </c>
      <c r="AX10" s="39"/>
      <c r="BB10" s="147" t="s">
        <v>39</v>
      </c>
      <c r="BC10" s="148">
        <f>$J$14-$K$14</f>
        <v>4544.8900000000003</v>
      </c>
      <c r="BD10" s="149">
        <f t="shared" si="2"/>
        <v>0.124788654441298</v>
      </c>
      <c r="BE10" s="145"/>
      <c r="BF10" s="150">
        <f>$J$307-$K$307</f>
        <v>5647.3458823529418</v>
      </c>
      <c r="BG10" s="149">
        <f t="shared" si="3"/>
        <v>0.15427017749745742</v>
      </c>
      <c r="BH10" s="145"/>
      <c r="BI10" s="148">
        <f>Moyenne!D55</f>
        <v>4459.8523529411768</v>
      </c>
      <c r="BJ10" s="149">
        <f>Moyenne!E55</f>
        <v>0.167873726171374</v>
      </c>
      <c r="BK10" s="145"/>
      <c r="BO10" s="212"/>
      <c r="BP10" s="496"/>
      <c r="BQ10" s="497"/>
      <c r="BR10" s="212"/>
      <c r="BS10" s="515">
        <f>U12</f>
        <v>16.496913901480379</v>
      </c>
      <c r="BT10" s="515"/>
      <c r="BU10" s="515"/>
      <c r="BV10" s="515"/>
      <c r="BW10" s="515"/>
      <c r="BX10" s="212"/>
      <c r="BY10" s="515">
        <f>T306</f>
        <v>19.167353964057639</v>
      </c>
      <c r="BZ10" s="515"/>
      <c r="CA10" s="515"/>
      <c r="CB10" s="515"/>
      <c r="CC10" s="515"/>
      <c r="CD10" s="212"/>
      <c r="CE10" s="515">
        <f>Moyenne!$I$85</f>
        <v>16.998273903208627</v>
      </c>
      <c r="CF10" s="515"/>
      <c r="CG10" s="515"/>
      <c r="CH10" s="515"/>
      <c r="CI10" s="515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A11" s="3">
        <v>164000</v>
      </c>
      <c r="B11" s="3" t="s">
        <v>9</v>
      </c>
      <c r="C11" s="3" t="s">
        <v>334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4609.4511764705876</v>
      </c>
      <c r="K11" s="2">
        <f t="shared" si="1"/>
        <v>0</v>
      </c>
      <c r="N11" s="24" t="s">
        <v>214</v>
      </c>
      <c r="O11" s="25">
        <f>AP26</f>
        <v>18337.84882352941</v>
      </c>
      <c r="P11" s="26" t="s">
        <v>215</v>
      </c>
      <c r="Q11" s="25">
        <f>AP29+AP26+AP27</f>
        <v>23131.055294117654</v>
      </c>
      <c r="R11" s="27" t="s">
        <v>216</v>
      </c>
      <c r="S11" s="28">
        <f>O11/Q11</f>
        <v>0.79278046722722673</v>
      </c>
      <c r="T11" s="29">
        <v>-10</v>
      </c>
      <c r="U11" s="30">
        <f t="shared" si="4"/>
        <v>-7.9278046722722673</v>
      </c>
      <c r="AO11" s="68" t="s">
        <v>225</v>
      </c>
      <c r="AP11" s="69">
        <f>J38-K38</f>
        <v>7304.0905882352927</v>
      </c>
      <c r="AQ11" s="70">
        <f>SUM(AP11/AP9)</f>
        <v>0.2742058259226231</v>
      </c>
      <c r="AR11" s="42"/>
      <c r="AS11" s="69">
        <f>J331-K331</f>
        <v>4485.046470588235</v>
      </c>
      <c r="AT11" s="71">
        <f>SUM(AS11/AS9)</f>
        <v>0.2086468522304116</v>
      </c>
      <c r="AU11" s="42"/>
      <c r="AV11" s="69">
        <f>Moyenne!D13</f>
        <v>5905.0579411764702</v>
      </c>
      <c r="AW11" s="72">
        <f>SUM(AV11/AV9)</f>
        <v>0.267572430727814</v>
      </c>
      <c r="AX11" s="39"/>
      <c r="BB11" s="147" t="s">
        <v>70</v>
      </c>
      <c r="BC11" s="148">
        <f>$J$18-$K$18</f>
        <v>5417.9505882352942</v>
      </c>
      <c r="BD11" s="149">
        <f t="shared" si="2"/>
        <v>0.14876020403911233</v>
      </c>
      <c r="BE11" s="145"/>
      <c r="BF11" s="150">
        <f>$J$311-$K$311</f>
        <v>2482.4294117647059</v>
      </c>
      <c r="BG11" s="149">
        <f t="shared" si="3"/>
        <v>6.78132407605056E-2</v>
      </c>
      <c r="BH11" s="145"/>
      <c r="BI11" s="148">
        <f>Moyenne!D56</f>
        <v>2718.2920588235293</v>
      </c>
      <c r="BJ11" s="149">
        <f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A12" s="3">
        <v>164001</v>
      </c>
      <c r="B12" s="3" t="s">
        <v>9</v>
      </c>
      <c r="C12" s="3" t="s">
        <v>385</v>
      </c>
      <c r="D12" s="3">
        <v>0</v>
      </c>
      <c r="E12" s="4">
        <v>1588.8517647058823</v>
      </c>
      <c r="H12">
        <v>40</v>
      </c>
      <c r="I12" t="s">
        <v>35</v>
      </c>
      <c r="J12" s="2">
        <f t="shared" si="0"/>
        <v>1323.1470588235295</v>
      </c>
      <c r="K12" s="2">
        <f t="shared" si="1"/>
        <v>13249.342352941178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16.496913901480379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674.82058823529417</v>
      </c>
      <c r="BD12" s="149">
        <f t="shared" si="2"/>
        <v>1.8528490941511801E-2</v>
      </c>
      <c r="BE12" s="145"/>
      <c r="BF12" s="150">
        <f>$J$312-$K$312</f>
        <v>1246.8023529411764</v>
      </c>
      <c r="BG12" s="149">
        <f t="shared" si="3"/>
        <v>3.405925974775665E-2</v>
      </c>
      <c r="BH12" s="145"/>
      <c r="BI12" s="148">
        <f>Moyenne!D57</f>
        <v>371.48676470588236</v>
      </c>
      <c r="BJ12" s="153">
        <f>Moyenne!E57</f>
        <v>1.3983168607229333E-2</v>
      </c>
      <c r="BK12" s="145"/>
      <c r="BO12" s="212"/>
      <c r="BP12" s="516" t="s">
        <v>264</v>
      </c>
      <c r="BQ12" s="516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43830</v>
      </c>
      <c r="CT12" s="251" t="s">
        <v>332</v>
      </c>
      <c r="CU12" s="468">
        <f>A584</f>
        <v>43465</v>
      </c>
      <c r="CV12" s="34"/>
      <c r="DD12">
        <v>10</v>
      </c>
    </row>
    <row r="13" spans="1:109" ht="24.75" thickTop="1" thickBot="1">
      <c r="A13" s="3">
        <v>164002</v>
      </c>
      <c r="B13" s="3" t="s">
        <v>9</v>
      </c>
      <c r="C13" s="3" t="s">
        <v>386</v>
      </c>
      <c r="D13" s="3">
        <v>0</v>
      </c>
      <c r="E13" s="4">
        <v>4141.5717647058827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36066.958235294122</v>
      </c>
      <c r="AQ13" s="75">
        <f>SUM(AP13/AP5)</f>
        <v>0.57519194014572428</v>
      </c>
      <c r="AR13" s="42"/>
      <c r="AS13" s="74">
        <f>SUM(AS14:AS15)</f>
        <v>32966.128823529405</v>
      </c>
      <c r="AT13" s="76">
        <f>SUM(AS13/AS5)</f>
        <v>0.60530511261467179</v>
      </c>
      <c r="AU13" s="42"/>
      <c r="AV13" s="74">
        <f>Moyenne!D15</f>
        <v>32471.764705882353</v>
      </c>
      <c r="AW13" s="76">
        <f>SUM(AV13/AV5)</f>
        <v>0.59536679588731856</v>
      </c>
      <c r="AX13" s="39"/>
      <c r="BB13" s="155" t="s">
        <v>244</v>
      </c>
      <c r="BC13" s="156">
        <f>SUM(BC9:BC12)</f>
        <v>15247.112352941176</v>
      </c>
      <c r="BD13" s="157">
        <f t="shared" si="2"/>
        <v>0.41863865454143495</v>
      </c>
      <c r="BE13" s="145"/>
      <c r="BF13" s="156">
        <f>SUM(BF9:BF12)</f>
        <v>13948.665882352941</v>
      </c>
      <c r="BG13" s="157">
        <f t="shared" si="3"/>
        <v>0.38103973200004393</v>
      </c>
      <c r="BH13" s="145"/>
      <c r="BI13" s="156">
        <f>Moyenne!D58</f>
        <v>12334.386470588237</v>
      </c>
      <c r="BJ13" s="157">
        <f>Moyenne!E58</f>
        <v>0.46427981309513555</v>
      </c>
      <c r="BK13" s="145"/>
      <c r="BO13" s="212"/>
      <c r="BP13" s="517" t="s">
        <v>265</v>
      </c>
      <c r="BQ13" s="517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A14" s="3">
        <v>164003</v>
      </c>
      <c r="B14" s="3" t="s">
        <v>9</v>
      </c>
      <c r="C14" s="3" t="s">
        <v>387</v>
      </c>
      <c r="D14" s="3">
        <v>0</v>
      </c>
      <c r="E14" s="4">
        <v>7072.7552941176473</v>
      </c>
      <c r="H14">
        <v>41</v>
      </c>
      <c r="I14" t="s">
        <v>39</v>
      </c>
      <c r="J14" s="2">
        <f t="shared" si="0"/>
        <v>4544.8900000000003</v>
      </c>
      <c r="K14" s="2">
        <f t="shared" si="1"/>
        <v>0</v>
      </c>
      <c r="AO14" s="62" t="s">
        <v>224</v>
      </c>
      <c r="AP14" s="77">
        <f>SUM(AP6-AP10)</f>
        <v>32246.195882352942</v>
      </c>
      <c r="AQ14" s="78">
        <f>SUM(AP14/AP6)</f>
        <v>0.625176340198912</v>
      </c>
      <c r="AR14" s="42"/>
      <c r="AS14" s="79">
        <f>SUM(AS6-AS10)</f>
        <v>29269.54058823529</v>
      </c>
      <c r="AT14" s="80">
        <f>SUM(AS14/AS6)</f>
        <v>0.63243966511731198</v>
      </c>
      <c r="AU14" s="42"/>
      <c r="AV14" s="81">
        <f>Moyenne!D16</f>
        <v>26808.665000000001</v>
      </c>
      <c r="AW14" s="82">
        <f>SUM(AV14/AV6)</f>
        <v>0.62385464247342914</v>
      </c>
      <c r="AX14" s="39"/>
      <c r="BB14" s="158" t="s">
        <v>245</v>
      </c>
      <c r="BC14" s="159">
        <f>BC8+BC13</f>
        <v>36420.698823529412</v>
      </c>
      <c r="BD14" s="160">
        <v>1</v>
      </c>
      <c r="BE14" s="161"/>
      <c r="BF14" s="159">
        <f>BF8+BF13</f>
        <v>36606.854117647061</v>
      </c>
      <c r="BG14" s="160">
        <v>1</v>
      </c>
      <c r="BH14" s="161"/>
      <c r="BI14" s="159">
        <f>Moyenne!D59</f>
        <v>26566.708529411764</v>
      </c>
      <c r="BJ14" s="160">
        <v>1</v>
      </c>
      <c r="BK14" s="145"/>
      <c r="BO14" s="212"/>
      <c r="BP14" s="518" t="s">
        <v>266</v>
      </c>
      <c r="BQ14" s="518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A15" s="3">
        <v>168810</v>
      </c>
      <c r="B15" s="3" t="s">
        <v>9</v>
      </c>
      <c r="C15" s="3" t="s">
        <v>335</v>
      </c>
      <c r="D15" s="3">
        <v>0</v>
      </c>
      <c r="E15" s="3">
        <v>0</v>
      </c>
      <c r="H15">
        <v>42</v>
      </c>
      <c r="I15" t="s">
        <v>42</v>
      </c>
      <c r="J15" s="2">
        <f t="shared" si="0"/>
        <v>595.58823529411768</v>
      </c>
      <c r="K15" s="2">
        <f t="shared" si="1"/>
        <v>1995.8429411764705</v>
      </c>
      <c r="AO15" s="68" t="s">
        <v>225</v>
      </c>
      <c r="AP15" s="83">
        <f>SUM(AP7-AP11)</f>
        <v>3820.7623529411776</v>
      </c>
      <c r="AQ15" s="84">
        <f>SUM(AP15/AP7)</f>
        <v>0.34344385252944531</v>
      </c>
      <c r="AR15" s="42"/>
      <c r="AS15" s="83">
        <f>SUM(AS7-AS11)</f>
        <v>3696.5882352941171</v>
      </c>
      <c r="AT15" s="85">
        <f>SUM(AS15/AS7)</f>
        <v>0.45181536064380629</v>
      </c>
      <c r="AU15" s="42"/>
      <c r="AV15" s="86">
        <f>Moyenne!D17</f>
        <v>5663.0997058823523</v>
      </c>
      <c r="AW15" s="87">
        <f>SUM(AV15/AV7)</f>
        <v>0.4895420583520646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A16" s="3">
        <v>201000</v>
      </c>
      <c r="B16" s="3" t="s">
        <v>13</v>
      </c>
      <c r="C16" s="3" t="s">
        <v>336</v>
      </c>
      <c r="D16" s="4">
        <v>672.77352941176468</v>
      </c>
      <c r="E16" s="3">
        <v>0</v>
      </c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8101.4711764705871</v>
      </c>
      <c r="BD16" s="144">
        <f t="shared" ref="BD16:BD26" si="5">BC16/$BC$14</f>
        <v>0.22244139838515872</v>
      </c>
      <c r="BE16" s="167"/>
      <c r="BF16" s="146">
        <f>$K$300-$J$300</f>
        <v>12221.556470588235</v>
      </c>
      <c r="BG16" s="144">
        <f t="shared" ref="BG16:BG26" si="6">BF16/$BF$14</f>
        <v>0.33385978569233543</v>
      </c>
      <c r="BH16" s="168"/>
      <c r="BI16" s="143">
        <f>Moyenne!D61</f>
        <v>6120.7132352941171</v>
      </c>
      <c r="BJ16" s="144">
        <f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>
      <c r="A17" s="3">
        <v>206000</v>
      </c>
      <c r="B17" s="3" t="s">
        <v>13</v>
      </c>
      <c r="C17" s="3" t="s">
        <v>15</v>
      </c>
      <c r="D17" s="4">
        <v>12229.941176470587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8441.7888235294104</v>
      </c>
      <c r="AQ17" s="90">
        <f>SUM(AP17/AP5)</f>
        <v>0.13462873303673192</v>
      </c>
      <c r="AR17" s="42"/>
      <c r="AS17" s="89">
        <f>J318-K318</f>
        <v>8303.0011764705887</v>
      </c>
      <c r="AT17" s="91">
        <f>SUM(AS17/AS5)</f>
        <v>0.15245493606686716</v>
      </c>
      <c r="AU17" s="42"/>
      <c r="AV17" s="89">
        <f>Moyenne!D19</f>
        <v>6967.3464705882343</v>
      </c>
      <c r="AW17" s="92">
        <f>SUM(AV17/AV5)</f>
        <v>0.12774565169473187</v>
      </c>
      <c r="AX17" s="39"/>
      <c r="BB17" s="169" t="s">
        <v>246</v>
      </c>
      <c r="BC17" s="170">
        <f>$J$44</f>
        <v>2189.5988235293917</v>
      </c>
      <c r="BD17" s="171">
        <f t="shared" si="5"/>
        <v>6.0119626867642974E-2</v>
      </c>
      <c r="BE17" s="145"/>
      <c r="BF17" s="172">
        <f>$J$338</f>
        <v>3291.6794117647078</v>
      </c>
      <c r="BG17" s="171">
        <f t="shared" si="6"/>
        <v>8.9919756589460345E-2</v>
      </c>
      <c r="BH17" s="145"/>
      <c r="BI17" s="170">
        <f>Moyenne!D62</f>
        <v>1693.8326470588145</v>
      </c>
      <c r="BJ17" s="171">
        <f>Moyenne!E62</f>
        <v>6.3757715607998172E-2</v>
      </c>
      <c r="BK17" s="145"/>
      <c r="BO17" s="34"/>
      <c r="BP17" s="519" t="s">
        <v>267</v>
      </c>
      <c r="BQ17" s="519"/>
      <c r="BR17" s="519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.5" thickBot="1">
      <c r="A18" s="3">
        <v>213100</v>
      </c>
      <c r="B18" s="3" t="s">
        <v>16</v>
      </c>
      <c r="C18" s="3" t="s">
        <v>17</v>
      </c>
      <c r="D18" s="4">
        <v>1054.3529411764705</v>
      </c>
      <c r="E18" s="3">
        <v>0</v>
      </c>
      <c r="H18">
        <v>46</v>
      </c>
      <c r="I18" t="s">
        <v>70</v>
      </c>
      <c r="J18" s="2">
        <f t="shared" si="0"/>
        <v>5417.9505882352942</v>
      </c>
      <c r="K18" s="2">
        <f t="shared" si="1"/>
        <v>0</v>
      </c>
      <c r="AO18" s="93" t="s">
        <v>124</v>
      </c>
      <c r="AP18" s="94">
        <f>J26-K26</f>
        <v>2662.349411764706</v>
      </c>
      <c r="AQ18" s="64">
        <f>SUM(AP18/AP5)</f>
        <v>4.2458859810368503E-2</v>
      </c>
      <c r="AR18" s="95"/>
      <c r="AS18" s="94">
        <f>J319-K319</f>
        <v>906.57705882352934</v>
      </c>
      <c r="AT18" s="67">
        <f>SUM(AS18/AS5)</f>
        <v>1.6646046966041786E-2</v>
      </c>
      <c r="AU18" s="42"/>
      <c r="AV18" s="65">
        <f>Moyenne!D20</f>
        <v>3220.185882352941</v>
      </c>
      <c r="AW18" s="67">
        <f>SUM(AV18/AV5)</f>
        <v>5.9041809655350934E-2</v>
      </c>
      <c r="AX18" s="39"/>
      <c r="BB18" s="151" t="s">
        <v>65</v>
      </c>
      <c r="BC18" s="152">
        <f>$K$16-$J$16</f>
        <v>0</v>
      </c>
      <c r="BD18" s="153">
        <f t="shared" si="5"/>
        <v>0</v>
      </c>
      <c r="BE18" s="167"/>
      <c r="BF18" s="154">
        <f>$K$309-$J$309</f>
        <v>2.3188235294117647</v>
      </c>
      <c r="BG18" s="153">
        <f t="shared" si="6"/>
        <v>6.3343971649667917E-5</v>
      </c>
      <c r="BH18" s="167"/>
      <c r="BI18" s="152">
        <f>Moyenne!D63</f>
        <v>462.49176470588236</v>
      </c>
      <c r="BJ18" s="153">
        <f>Moyenne!E63</f>
        <v>1.7408696459098871E-2</v>
      </c>
      <c r="BK18" s="145"/>
      <c r="BO18" s="34"/>
      <c r="BP18" s="223" t="s">
        <v>268</v>
      </c>
      <c r="BQ18" s="224"/>
      <c r="BR18" s="225"/>
      <c r="BS18" s="520">
        <f>AP5</f>
        <v>62704.213529411762</v>
      </c>
      <c r="BT18" s="521"/>
      <c r="BU18" s="521"/>
      <c r="BV18" s="521"/>
      <c r="BW18" s="522"/>
      <c r="BX18" s="226"/>
      <c r="BY18" s="520">
        <f>AS5</f>
        <v>54462.002941176463</v>
      </c>
      <c r="BZ18" s="521"/>
      <c r="CA18" s="521"/>
      <c r="CB18" s="521"/>
      <c r="CC18" s="522"/>
      <c r="CD18" s="226"/>
      <c r="CE18" s="520">
        <f>Moyenne!D7</f>
        <v>54540.772058823524</v>
      </c>
      <c r="CF18" s="521"/>
      <c r="CG18" s="521"/>
      <c r="CH18" s="521"/>
      <c r="CI18" s="521"/>
      <c r="CJ18" s="522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>
      <c r="A19" s="3">
        <v>213500</v>
      </c>
      <c r="B19" s="3" t="s">
        <v>16</v>
      </c>
      <c r="C19" s="3" t="s">
        <v>337</v>
      </c>
      <c r="D19" s="4">
        <v>17692.741764705883</v>
      </c>
      <c r="E19" s="3">
        <v>0</v>
      </c>
      <c r="H19">
        <v>50</v>
      </c>
      <c r="I19" t="s">
        <v>75</v>
      </c>
      <c r="J19" s="2">
        <f t="shared" si="0"/>
        <v>674.82058823529417</v>
      </c>
      <c r="K19" s="2">
        <f t="shared" si="1"/>
        <v>0</v>
      </c>
      <c r="AO19" s="62" t="s">
        <v>110</v>
      </c>
      <c r="AP19" s="65">
        <f>J21-K21</f>
        <v>266.17411764705884</v>
      </c>
      <c r="AQ19" s="64">
        <f>SUM(AP19/AP5)</f>
        <v>4.2449159739832857E-3</v>
      </c>
      <c r="AR19" s="42"/>
      <c r="AS19" s="65">
        <f>J314-K314</f>
        <v>250.25941176470587</v>
      </c>
      <c r="AT19" s="66">
        <f>SUM(AS19/AS5)</f>
        <v>4.5951195007463653E-3</v>
      </c>
      <c r="AU19" s="42"/>
      <c r="AV19" s="65">
        <f>Moyenne!D21</f>
        <v>316.65499999999997</v>
      </c>
      <c r="AW19" s="67">
        <f>SUM(AV19/AV5)</f>
        <v>5.8058400724228841E-3</v>
      </c>
      <c r="AX19" s="39"/>
      <c r="BB19" s="173" t="s">
        <v>247</v>
      </c>
      <c r="BC19" s="174">
        <f>SUM(BC16:BC18)</f>
        <v>10291.069999999978</v>
      </c>
      <c r="BD19" s="175">
        <f t="shared" si="5"/>
        <v>0.28256102525280163</v>
      </c>
      <c r="BE19" s="167"/>
      <c r="BF19" s="174">
        <f>SUM(BF16:BF18)</f>
        <v>15515.554705882354</v>
      </c>
      <c r="BG19" s="175">
        <f t="shared" si="6"/>
        <v>0.42384288625344546</v>
      </c>
      <c r="BH19" s="167"/>
      <c r="BI19" s="156">
        <f>Moyenne!D64</f>
        <v>8277.0376470588126</v>
      </c>
      <c r="BJ19" s="157">
        <f>Moyenne!E64</f>
        <v>0.31155676051835246</v>
      </c>
      <c r="BK19" s="145"/>
      <c r="BO19" s="34"/>
      <c r="BP19" s="228" t="s">
        <v>269</v>
      </c>
      <c r="BQ19" s="229"/>
      <c r="BR19" s="230"/>
      <c r="BS19" s="523">
        <f>AQ13</f>
        <v>0.57519194014572428</v>
      </c>
      <c r="BT19" s="524"/>
      <c r="BU19" s="524"/>
      <c r="BV19" s="524"/>
      <c r="BW19" s="525"/>
      <c r="BX19" s="226"/>
      <c r="BY19" s="523">
        <f>AT13</f>
        <v>0.60530511261467179</v>
      </c>
      <c r="BZ19" s="524"/>
      <c r="CA19" s="524"/>
      <c r="CB19" s="524"/>
      <c r="CC19" s="525"/>
      <c r="CD19" s="226"/>
      <c r="CE19" s="523">
        <f>Moyenne!E15</f>
        <v>0.59536679588731856</v>
      </c>
      <c r="CF19" s="524"/>
      <c r="CG19" s="524"/>
      <c r="CH19" s="524"/>
      <c r="CI19" s="524"/>
      <c r="CJ19" s="525"/>
      <c r="CK19" s="34"/>
      <c r="CL19" s="34"/>
      <c r="CM19" s="536" t="s">
        <v>270</v>
      </c>
      <c r="CN19" s="537"/>
      <c r="CO19" s="537"/>
      <c r="CP19" s="537"/>
      <c r="CQ19" s="537"/>
      <c r="CR19" s="537"/>
      <c r="CS19" s="537"/>
      <c r="CT19" s="537"/>
      <c r="CU19" s="537"/>
      <c r="CV19" s="538"/>
    </row>
    <row r="20" spans="1:100" ht="24" thickBot="1">
      <c r="A20" s="3">
        <v>215000</v>
      </c>
      <c r="B20" s="3" t="s">
        <v>16</v>
      </c>
      <c r="C20" s="3" t="s">
        <v>19</v>
      </c>
      <c r="D20" s="4">
        <v>1019.3988235294117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1565.5905882352931</v>
      </c>
      <c r="AQ20" s="70">
        <f>SUM(AP20/AP5)</f>
        <v>2.4967868985406285E-2</v>
      </c>
      <c r="AR20" s="42"/>
      <c r="AS20" s="69">
        <f>J315-K315</f>
        <v>1984.7864705882353</v>
      </c>
      <c r="AT20" s="71">
        <f>SUM(AS20/AS5)</f>
        <v>3.644350856379578E-2</v>
      </c>
      <c r="AU20" s="42"/>
      <c r="AV20" s="69">
        <f>Moyenne!D22</f>
        <v>2396.2767647058822</v>
      </c>
      <c r="AW20" s="72">
        <f>SUM(AV20/AV5)</f>
        <v>4.3935512356177146E-2</v>
      </c>
      <c r="AX20" s="39"/>
      <c r="BB20" s="176" t="s">
        <v>9</v>
      </c>
      <c r="BC20" s="177">
        <f>$K$7-$J$7</f>
        <v>12803.178823529412</v>
      </c>
      <c r="BD20" s="178">
        <f t="shared" si="5"/>
        <v>0.35153578149516401</v>
      </c>
      <c r="BE20" s="145"/>
      <c r="BF20" s="179">
        <f>$K$301-$J$301</f>
        <v>7325.3552941176467</v>
      </c>
      <c r="BG20" s="178">
        <f t="shared" si="6"/>
        <v>0.20010884493312178</v>
      </c>
      <c r="BH20" s="145"/>
      <c r="BI20" s="180">
        <f>Moyenne!D65</f>
        <v>6401.5894117647058</v>
      </c>
      <c r="BJ20" s="181">
        <f>Moyenne!E65</f>
        <v>0.24096283529732573</v>
      </c>
      <c r="BK20" s="145"/>
      <c r="BO20" s="34"/>
      <c r="BP20" s="228" t="s">
        <v>271</v>
      </c>
      <c r="BQ20" s="229"/>
      <c r="BR20" s="230"/>
      <c r="BS20" s="523">
        <f>AQ17</f>
        <v>0.13462873303673192</v>
      </c>
      <c r="BT20" s="524"/>
      <c r="BU20" s="524"/>
      <c r="BV20" s="524"/>
      <c r="BW20" s="525"/>
      <c r="BX20" s="226"/>
      <c r="BY20" s="523">
        <f>AT17</f>
        <v>0.15245493606686716</v>
      </c>
      <c r="BZ20" s="524"/>
      <c r="CA20" s="524"/>
      <c r="CB20" s="524"/>
      <c r="CC20" s="525"/>
      <c r="CD20" s="226"/>
      <c r="CE20" s="523">
        <f>Moyenne!E19</f>
        <v>0.12774565169473187</v>
      </c>
      <c r="CF20" s="524"/>
      <c r="CG20" s="524"/>
      <c r="CH20" s="524"/>
      <c r="CI20" s="524"/>
      <c r="CJ20" s="525"/>
      <c r="CK20" s="34"/>
      <c r="CL20" s="34"/>
      <c r="CM20" s="231"/>
      <c r="CN20" s="526" t="s">
        <v>272</v>
      </c>
      <c r="CO20" s="527"/>
      <c r="CP20" s="232"/>
      <c r="CQ20" s="232"/>
      <c r="CR20" s="232"/>
      <c r="CS20" s="530" t="s">
        <v>420</v>
      </c>
      <c r="CT20" s="531"/>
      <c r="CU20" s="532"/>
      <c r="CV20" s="233"/>
    </row>
    <row r="21" spans="1:100" ht="24" thickBot="1">
      <c r="A21" s="3">
        <v>218300</v>
      </c>
      <c r="B21" s="3" t="s">
        <v>16</v>
      </c>
      <c r="C21" s="3" t="s">
        <v>21</v>
      </c>
      <c r="D21" s="3">
        <v>43.200588235294113</v>
      </c>
      <c r="E21" s="3">
        <v>0</v>
      </c>
      <c r="H21">
        <v>62</v>
      </c>
      <c r="I21" t="s">
        <v>110</v>
      </c>
      <c r="J21" s="2">
        <f t="shared" si="0"/>
        <v>266.17411764705884</v>
      </c>
      <c r="K21" s="2">
        <f t="shared" si="1"/>
        <v>0</v>
      </c>
      <c r="AO21" s="96" t="s">
        <v>229</v>
      </c>
      <c r="AP21" s="97">
        <f>SUM(AP17:AP20)</f>
        <v>12935.902941176468</v>
      </c>
      <c r="AQ21" s="98">
        <f>SUM(AP21/AP5)</f>
        <v>0.20630037780648999</v>
      </c>
      <c r="AR21" s="42"/>
      <c r="AS21" s="97">
        <f>SUM(AS17:AS20)</f>
        <v>11444.624117647059</v>
      </c>
      <c r="AT21" s="99">
        <f>SUM(AS21/AS5)</f>
        <v>0.21013961109745108</v>
      </c>
      <c r="AU21" s="42"/>
      <c r="AV21" s="97">
        <f>Moyenne!D23</f>
        <v>12900.464117647058</v>
      </c>
      <c r="AW21" s="99">
        <f>SUM(AV21/AV5)</f>
        <v>0.23652881377868284</v>
      </c>
      <c r="AX21" s="39"/>
      <c r="BB21" s="182" t="s">
        <v>248</v>
      </c>
      <c r="BC21" s="183">
        <f>BC19+BC20</f>
        <v>23094.248823529389</v>
      </c>
      <c r="BD21" s="184">
        <f t="shared" si="5"/>
        <v>0.63409680674796565</v>
      </c>
      <c r="BE21" s="145"/>
      <c r="BF21" s="185">
        <f>BF19+BF20</f>
        <v>22840.91</v>
      </c>
      <c r="BG21" s="184">
        <f t="shared" si="6"/>
        <v>0.62395173118656722</v>
      </c>
      <c r="BH21" s="145"/>
      <c r="BI21" s="183">
        <f>Moyenne!D66</f>
        <v>14678.62705882352</v>
      </c>
      <c r="BJ21" s="184">
        <f>Moyenne!E66</f>
        <v>0.55251959581567822</v>
      </c>
      <c r="BK21" s="145"/>
      <c r="BO21" s="34"/>
      <c r="BP21" s="234" t="s">
        <v>273</v>
      </c>
      <c r="BQ21" s="235"/>
      <c r="BR21" s="236"/>
      <c r="BS21" s="539">
        <f>AQ36</f>
        <v>3.5802388099203171E-2</v>
      </c>
      <c r="BT21" s="540"/>
      <c r="BU21" s="540"/>
      <c r="BV21" s="540"/>
      <c r="BW21" s="541"/>
      <c r="BX21" s="237"/>
      <c r="BY21" s="539">
        <f>AT36</f>
        <v>6.5341562204107528E-2</v>
      </c>
      <c r="BZ21" s="540"/>
      <c r="CA21" s="540"/>
      <c r="CB21" s="540"/>
      <c r="CC21" s="541"/>
      <c r="CD21" s="237"/>
      <c r="CE21" s="539">
        <f>Moyenne!E38</f>
        <v>2.9310382343484237E-2</v>
      </c>
      <c r="CF21" s="540"/>
      <c r="CG21" s="540"/>
      <c r="CH21" s="540"/>
      <c r="CI21" s="540"/>
      <c r="CJ21" s="541"/>
      <c r="CK21" s="34"/>
      <c r="CL21" s="34"/>
      <c r="CM21" s="238"/>
      <c r="CN21" s="528"/>
      <c r="CO21" s="529"/>
      <c r="CP21" s="239"/>
      <c r="CQ21" s="232"/>
      <c r="CR21" s="232"/>
      <c r="CS21" s="533"/>
      <c r="CT21" s="534"/>
      <c r="CU21" s="535"/>
      <c r="CV21" s="240"/>
    </row>
    <row r="22" spans="1:100" ht="23.25" customHeight="1">
      <c r="A22" s="3">
        <v>275000</v>
      </c>
      <c r="B22" s="3" t="s">
        <v>23</v>
      </c>
      <c r="C22" s="3" t="s">
        <v>24</v>
      </c>
      <c r="D22" s="4">
        <v>2167.9282352941177</v>
      </c>
      <c r="E22" s="3">
        <v>0</v>
      </c>
      <c r="H22">
        <v>62</v>
      </c>
      <c r="I22" t="s">
        <v>83</v>
      </c>
      <c r="J22" s="2">
        <f t="shared" si="0"/>
        <v>5188.9835294117638</v>
      </c>
      <c r="K22" s="2">
        <f t="shared" si="1"/>
        <v>3623.3929411764707</v>
      </c>
      <c r="AO22" s="88" t="s">
        <v>143</v>
      </c>
      <c r="AP22" s="89">
        <f>J30-K30</f>
        <v>10788.687058823531</v>
      </c>
      <c r="AQ22" s="90">
        <f>SUM(AP22/AP5)</f>
        <v>0.17205681168081371</v>
      </c>
      <c r="AR22" s="42"/>
      <c r="AS22" s="89">
        <f>J323-K323</f>
        <v>9953.032352941178</v>
      </c>
      <c r="AT22" s="91">
        <f>SUM(AS22/AS5)</f>
        <v>0.1827518602959074</v>
      </c>
      <c r="AU22" s="42"/>
      <c r="AV22" s="89">
        <f>Moyenne!D24</f>
        <v>9544.3720588235301</v>
      </c>
      <c r="AW22" s="92">
        <f>SUM(AV22/AV5)</f>
        <v>0.17499517697567055</v>
      </c>
      <c r="AX22" s="39"/>
      <c r="BB22" s="147" t="s">
        <v>35</v>
      </c>
      <c r="BC22" s="148">
        <f>$K$12-$J$12</f>
        <v>11926.195294117648</v>
      </c>
      <c r="BD22" s="149">
        <f t="shared" si="5"/>
        <v>0.32745652003834669</v>
      </c>
      <c r="BE22" s="145"/>
      <c r="BF22" s="150">
        <f>$K$306-$J$306</f>
        <v>13209.683529411766</v>
      </c>
      <c r="BG22" s="149">
        <f t="shared" si="6"/>
        <v>0.36085273776759136</v>
      </c>
      <c r="BH22" s="145"/>
      <c r="BI22" s="148">
        <f>Moyenne!D67</f>
        <v>10039.547352941176</v>
      </c>
      <c r="BJ22" s="144">
        <f>Moyenne!E67</f>
        <v>0.3778995558229008</v>
      </c>
      <c r="BK22" s="145"/>
      <c r="BO22" s="34"/>
      <c r="BP22" s="475" t="s">
        <v>274</v>
      </c>
      <c r="BQ22" s="476"/>
      <c r="BR22" s="241"/>
      <c r="BS22" s="542">
        <f>AP52/365</f>
        <v>10.875816277195844</v>
      </c>
      <c r="BT22" s="543"/>
      <c r="BU22" s="543"/>
      <c r="BV22" s="543"/>
      <c r="BW22" s="544"/>
      <c r="BX22" s="242"/>
      <c r="BY22" s="542">
        <f>AS52/365</f>
        <v>14.650124093472986</v>
      </c>
      <c r="BZ22" s="543"/>
      <c r="CA22" s="543"/>
      <c r="CB22" s="543"/>
      <c r="CC22" s="544"/>
      <c r="CD22" s="242"/>
      <c r="CE22" s="542">
        <f>Moyenne!D49/365</f>
        <v>8.8045447219983828</v>
      </c>
      <c r="CF22" s="543"/>
      <c r="CG22" s="543"/>
      <c r="CH22" s="543"/>
      <c r="CI22" s="543"/>
      <c r="CJ22" s="544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43830</v>
      </c>
      <c r="CT22" s="247"/>
      <c r="CU22" s="246">
        <f>A584</f>
        <v>43465</v>
      </c>
      <c r="CV22" s="240"/>
    </row>
    <row r="23" spans="1:100" ht="24" thickBot="1">
      <c r="A23" s="3">
        <v>277000</v>
      </c>
      <c r="B23" s="3" t="s">
        <v>23</v>
      </c>
      <c r="C23" s="3" t="s">
        <v>388</v>
      </c>
      <c r="D23" s="3">
        <v>0</v>
      </c>
      <c r="E23" s="3">
        <v>0</v>
      </c>
      <c r="H23">
        <v>62</v>
      </c>
      <c r="I23" t="s">
        <v>98</v>
      </c>
      <c r="J23" s="2">
        <f t="shared" si="0"/>
        <v>438.1</v>
      </c>
      <c r="K23" s="2">
        <f t="shared" si="1"/>
        <v>0</v>
      </c>
      <c r="AO23" s="62" t="s">
        <v>149</v>
      </c>
      <c r="AP23" s="65">
        <f>J28-K28</f>
        <v>4307.3711764705877</v>
      </c>
      <c r="AQ23" s="64">
        <f>SUM(AP23/AP5)</f>
        <v>6.8693488587496451E-2</v>
      </c>
      <c r="AR23" s="42"/>
      <c r="AS23" s="65">
        <f>J321-K321</f>
        <v>2881.1876470588231</v>
      </c>
      <c r="AT23" s="66">
        <f>SUM(AS23/AS5)</f>
        <v>5.2902711825908201E-2</v>
      </c>
      <c r="AU23" s="42"/>
      <c r="AV23" s="65">
        <f>Moyenne!D25</f>
        <v>3357.3691176470584</v>
      </c>
      <c r="AW23" s="67">
        <f>SUM(AV23/AV5)</f>
        <v>6.1557051558163781E-2</v>
      </c>
      <c r="AX23" s="39"/>
      <c r="BB23" s="147" t="s">
        <v>42</v>
      </c>
      <c r="BC23" s="148">
        <f>$K$15-$J$15</f>
        <v>1400.2547058823529</v>
      </c>
      <c r="BD23" s="149">
        <f t="shared" si="5"/>
        <v>3.8446673213687083E-2</v>
      </c>
      <c r="BE23" s="145"/>
      <c r="BF23" s="150">
        <f>$K$308-$J$308</f>
        <v>556.26058823529388</v>
      </c>
      <c r="BG23" s="149">
        <f t="shared" si="6"/>
        <v>1.5195531045841424E-2</v>
      </c>
      <c r="BH23" s="145"/>
      <c r="BI23" s="148">
        <f>Moyenne!D68</f>
        <v>1699.5135294117647</v>
      </c>
      <c r="BJ23" s="149">
        <f>Moyenne!E68</f>
        <v>6.3971550240416439E-2</v>
      </c>
      <c r="BK23" s="145"/>
      <c r="BO23" s="34"/>
      <c r="BP23" s="248" t="s">
        <v>231</v>
      </c>
      <c r="BQ23" s="249"/>
      <c r="BR23" s="250"/>
      <c r="BS23" s="545">
        <f>AP29</f>
        <v>4463.1347058823631</v>
      </c>
      <c r="BT23" s="546"/>
      <c r="BU23" s="546"/>
      <c r="BV23" s="546"/>
      <c r="BW23" s="547"/>
      <c r="BX23" s="251"/>
      <c r="BY23" s="545">
        <f>AS29</f>
        <v>6049.4682352941109</v>
      </c>
      <c r="BZ23" s="546"/>
      <c r="CA23" s="546"/>
      <c r="CB23" s="546"/>
      <c r="CC23" s="547"/>
      <c r="CD23" s="251"/>
      <c r="CE23" s="545">
        <f>Moyenne!D31</f>
        <v>4100.4044117647063</v>
      </c>
      <c r="CF23" s="546"/>
      <c r="CG23" s="546"/>
      <c r="CH23" s="546"/>
      <c r="CI23" s="546"/>
      <c r="CJ23" s="547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>BS18/CE18</f>
        <v>1.1496759426467922</v>
      </c>
      <c r="CT23" s="239"/>
      <c r="CU23" s="255">
        <f>BY18/CE18</f>
        <v>0.9985557755295047</v>
      </c>
      <c r="CV23" s="240"/>
    </row>
    <row r="24" spans="1:100" ht="23.25">
      <c r="A24" s="3">
        <v>281310</v>
      </c>
      <c r="B24" s="3" t="s">
        <v>16</v>
      </c>
      <c r="C24" s="3" t="s">
        <v>26</v>
      </c>
      <c r="D24" s="3">
        <v>0</v>
      </c>
      <c r="E24" s="4">
        <v>1054.3529411764705</v>
      </c>
      <c r="H24">
        <v>62</v>
      </c>
      <c r="I24" t="s">
        <v>116</v>
      </c>
      <c r="J24" s="2">
        <f t="shared" si="0"/>
        <v>2300.6141176470592</v>
      </c>
      <c r="K24" s="2">
        <f t="shared" si="1"/>
        <v>0</v>
      </c>
      <c r="AO24" s="62" t="s">
        <v>116</v>
      </c>
      <c r="AP24" s="65">
        <f>J24-K24</f>
        <v>2300.6141176470592</v>
      </c>
      <c r="AQ24" s="64">
        <f>SUM(AP24/AP5)</f>
        <v>3.6689944553214802E-2</v>
      </c>
      <c r="AR24" s="42"/>
      <c r="AS24" s="65">
        <f>J317-K317</f>
        <v>2241.6288235294119</v>
      </c>
      <c r="AT24" s="66">
        <f>SUM(AS24/AS5)</f>
        <v>4.1159500247366212E-2</v>
      </c>
      <c r="AU24" s="42"/>
      <c r="AV24" s="65">
        <f>Moyenne!D26</f>
        <v>1779.4314705882355</v>
      </c>
      <c r="AW24" s="67">
        <f>SUM(AV24/AV5)</f>
        <v>3.2625711067475832E-2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>Moyenne!D69</f>
        <v>0</v>
      </c>
      <c r="BJ24" s="149">
        <f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êê</v>
      </c>
      <c r="CP24" s="254"/>
      <c r="CQ24" s="232"/>
      <c r="CR24" s="232"/>
      <c r="CS24" s="255">
        <f>BS19/CE19</f>
        <v>0.96611356917960767</v>
      </c>
      <c r="CT24" s="239"/>
      <c r="CU24" s="255">
        <f>BY19/CE19</f>
        <v>1.0166927628413363</v>
      </c>
      <c r="CV24" s="240"/>
    </row>
    <row r="25" spans="1:100" ht="24" thickBot="1">
      <c r="A25" s="3">
        <v>281350</v>
      </c>
      <c r="B25" s="3" t="s">
        <v>16</v>
      </c>
      <c r="C25" s="3" t="s">
        <v>338</v>
      </c>
      <c r="D25" s="3">
        <v>0</v>
      </c>
      <c r="E25" s="4">
        <v>11592.918823529411</v>
      </c>
      <c r="H25">
        <v>62</v>
      </c>
      <c r="I25" t="s">
        <v>101</v>
      </c>
      <c r="J25" s="2">
        <f t="shared" si="0"/>
        <v>8441.7888235294104</v>
      </c>
      <c r="K25" s="2">
        <f t="shared" si="1"/>
        <v>0</v>
      </c>
      <c r="AO25" s="68" t="s">
        <v>230</v>
      </c>
      <c r="AP25" s="69">
        <f>J29-K29</f>
        <v>941.17647058823525</v>
      </c>
      <c r="AQ25" s="70">
        <f>SUM(AP25/AP5)</f>
        <v>1.5009780325954829E-2</v>
      </c>
      <c r="AR25" s="42"/>
      <c r="AS25" s="69">
        <f>J322-K322</f>
        <v>0</v>
      </c>
      <c r="AT25" s="71">
        <f>SUM(AS25/AS5)</f>
        <v>0</v>
      </c>
      <c r="AU25" s="42"/>
      <c r="AV25" s="69">
        <f>Moyenne!D27</f>
        <v>470.58823529411762</v>
      </c>
      <c r="AW25" s="72">
        <f>SUM(AV25/AV5)</f>
        <v>8.6281916725816973E-3</v>
      </c>
      <c r="AX25" s="39"/>
      <c r="BB25" s="147" t="s">
        <v>73</v>
      </c>
      <c r="BC25" s="148">
        <f>$K$20-$J$20</f>
        <v>0</v>
      </c>
      <c r="BD25" s="149">
        <f t="shared" si="5"/>
        <v>0</v>
      </c>
      <c r="BE25" s="145"/>
      <c r="BF25" s="150">
        <f>$K$313-$J$313</f>
        <v>0</v>
      </c>
      <c r="BG25" s="149">
        <f t="shared" si="6"/>
        <v>0</v>
      </c>
      <c r="BH25" s="145"/>
      <c r="BI25" s="148">
        <f>Moyenne!D70</f>
        <v>149.0205882352941</v>
      </c>
      <c r="BJ25" s="153">
        <f>Moyenne!E70</f>
        <v>5.6092981210041411E-3</v>
      </c>
      <c r="BK25" s="145"/>
      <c r="BO25" s="34"/>
      <c r="BP25" s="548" t="s">
        <v>277</v>
      </c>
      <c r="BQ25" s="548"/>
      <c r="BR25" s="548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>BS20/CE20</f>
        <v>1.0538811399893928</v>
      </c>
      <c r="CT25" s="239"/>
      <c r="CU25" s="255">
        <f>BY20/CE20</f>
        <v>1.1934256394979452</v>
      </c>
      <c r="CV25" s="240"/>
    </row>
    <row r="26" spans="1:100" ht="24" thickBot="1">
      <c r="A26" s="3">
        <v>281500</v>
      </c>
      <c r="B26" s="3" t="s">
        <v>16</v>
      </c>
      <c r="C26" s="3" t="s">
        <v>28</v>
      </c>
      <c r="D26" s="3">
        <v>0</v>
      </c>
      <c r="E26" s="4">
        <v>1019.3988235294117</v>
      </c>
      <c r="H26">
        <v>63</v>
      </c>
      <c r="I26" t="s">
        <v>124</v>
      </c>
      <c r="J26" s="2">
        <f t="shared" si="0"/>
        <v>2662.349411764706</v>
      </c>
      <c r="K26" s="2">
        <f t="shared" si="1"/>
        <v>0</v>
      </c>
      <c r="AO26" s="96" t="s">
        <v>214</v>
      </c>
      <c r="AP26" s="97">
        <f>SUM(AP22:AP25)</f>
        <v>18337.84882352941</v>
      </c>
      <c r="AQ26" s="98">
        <f>SUM(AP26/AP5)</f>
        <v>0.29245002514747975</v>
      </c>
      <c r="AR26" s="42"/>
      <c r="AS26" s="97">
        <f>SUM(AS22:AS25)</f>
        <v>15075.848823529413</v>
      </c>
      <c r="AT26" s="99">
        <f>SUM(AS26/AS5)</f>
        <v>0.27681407236918182</v>
      </c>
      <c r="AU26" s="42"/>
      <c r="AV26" s="97">
        <f>Moyenne!D28</f>
        <v>15151.760882352941</v>
      </c>
      <c r="AW26" s="99">
        <f>SUM(AV26/AV5)</f>
        <v>0.27780613127389187</v>
      </c>
      <c r="AX26" s="39"/>
      <c r="BB26" s="176" t="s">
        <v>249</v>
      </c>
      <c r="BC26" s="180">
        <f>BC20+BC22+BC23+BC24+BC25</f>
        <v>26129.628823529412</v>
      </c>
      <c r="BD26" s="181">
        <f t="shared" si="5"/>
        <v>0.71743897474719776</v>
      </c>
      <c r="BE26" s="145"/>
      <c r="BF26" s="180">
        <f>BF20+BF22+BF23+BF24+BF25</f>
        <v>21091.299411764707</v>
      </c>
      <c r="BG26" s="181">
        <f t="shared" si="6"/>
        <v>0.57615711374655454</v>
      </c>
      <c r="BH26" s="186"/>
      <c r="BI26" s="180">
        <f>Moyenne!D71</f>
        <v>18289.670882352941</v>
      </c>
      <c r="BJ26" s="181">
        <f>Moyenne!E71</f>
        <v>0.6884432394816471</v>
      </c>
      <c r="BK26" s="145"/>
      <c r="BO26" s="34"/>
      <c r="BP26" s="549" t="s">
        <v>279</v>
      </c>
      <c r="BQ26" s="550"/>
      <c r="BR26" s="550"/>
      <c r="BS26" s="551">
        <f>AP5/(AP47+AP48)</f>
        <v>62704.213529411762</v>
      </c>
      <c r="BT26" s="551"/>
      <c r="BU26" s="551"/>
      <c r="BV26" s="551"/>
      <c r="BW26" s="552"/>
      <c r="BX26" s="258"/>
      <c r="BY26" s="553">
        <f>AS5/(AS47+AS48)</f>
        <v>54462.002941176463</v>
      </c>
      <c r="BZ26" s="551"/>
      <c r="CA26" s="551"/>
      <c r="CB26" s="551"/>
      <c r="CC26" s="552"/>
      <c r="CD26" s="226"/>
      <c r="CE26" s="553">
        <f>Moyenne!D7/(Moyenne!D45+Moyenne!D46)</f>
        <v>54540.772058823524</v>
      </c>
      <c r="CF26" s="551"/>
      <c r="CG26" s="551"/>
      <c r="CH26" s="551"/>
      <c r="CI26" s="551"/>
      <c r="CJ26" s="552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>BS26/CE26</f>
        <v>1.1496759426467922</v>
      </c>
      <c r="CT26" s="239"/>
      <c r="CU26" s="255">
        <f>BY26/CE26</f>
        <v>0.9985557755295047</v>
      </c>
      <c r="CV26" s="240"/>
    </row>
    <row r="27" spans="1:100" ht="24" thickBot="1">
      <c r="A27" s="3">
        <v>281830</v>
      </c>
      <c r="B27" s="3" t="s">
        <v>16</v>
      </c>
      <c r="C27" s="3" t="s">
        <v>30</v>
      </c>
      <c r="D27" s="3">
        <v>0</v>
      </c>
      <c r="E27" s="3">
        <v>40.08</v>
      </c>
      <c r="H27">
        <v>63</v>
      </c>
      <c r="I27" t="s">
        <v>138</v>
      </c>
      <c r="J27" s="2">
        <f t="shared" si="0"/>
        <v>330.0717647058824</v>
      </c>
      <c r="K27" s="2">
        <f t="shared" si="1"/>
        <v>0</v>
      </c>
      <c r="AO27" s="96" t="s">
        <v>138</v>
      </c>
      <c r="AP27" s="97">
        <f>J27-K27</f>
        <v>330.0717647058824</v>
      </c>
      <c r="AQ27" s="98">
        <f>SUM(AP27/AP5)</f>
        <v>5.2639487225377667E-3</v>
      </c>
      <c r="AR27" s="42"/>
      <c r="AS27" s="97">
        <f>J320-K320</f>
        <v>396.18764705882359</v>
      </c>
      <c r="AT27" s="99">
        <f>SUM(AS27/AS5)</f>
        <v>7.2745698957627303E-3</v>
      </c>
      <c r="AU27" s="100"/>
      <c r="AV27" s="97">
        <f>Moyenne!D29</f>
        <v>319.13529411764705</v>
      </c>
      <c r="AW27" s="99">
        <f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54" t="s">
        <v>281</v>
      </c>
      <c r="BQ27" s="555"/>
      <c r="BR27" s="555"/>
      <c r="BS27" s="555">
        <f>AP6/AP47</f>
        <v>103158.72117647059</v>
      </c>
      <c r="BT27" s="555"/>
      <c r="BU27" s="555"/>
      <c r="BV27" s="555"/>
      <c r="BW27" s="556"/>
      <c r="BX27" s="226"/>
      <c r="BY27" s="554">
        <f>AS6/AS47</f>
        <v>92560.736470588221</v>
      </c>
      <c r="BZ27" s="555"/>
      <c r="CA27" s="555"/>
      <c r="CB27" s="555"/>
      <c r="CC27" s="556"/>
      <c r="CD27" s="226"/>
      <c r="CE27" s="554">
        <f>Moyenne!D8/Moyenne!D45</f>
        <v>85945.228823529411</v>
      </c>
      <c r="CF27" s="555"/>
      <c r="CG27" s="555"/>
      <c r="CH27" s="555"/>
      <c r="CI27" s="555"/>
      <c r="CJ27" s="556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>AP39/AV39</f>
        <v>1.2078916417112839</v>
      </c>
      <c r="CT27" s="239"/>
      <c r="CU27" s="261">
        <f>AS39/AV39</f>
        <v>1.8158541217403361</v>
      </c>
      <c r="CV27" s="240"/>
    </row>
    <row r="28" spans="1:100" ht="24" thickBot="1">
      <c r="A28" s="3">
        <v>371000</v>
      </c>
      <c r="B28" s="3" t="s">
        <v>32</v>
      </c>
      <c r="C28" s="3" t="s">
        <v>33</v>
      </c>
      <c r="D28" s="4">
        <v>3564.4935294117645</v>
      </c>
      <c r="E28" s="3">
        <v>0</v>
      </c>
      <c r="H28">
        <v>64</v>
      </c>
      <c r="I28" t="s">
        <v>149</v>
      </c>
      <c r="J28" s="2">
        <f t="shared" si="0"/>
        <v>4307.3711764705877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28573.562352941175</v>
      </c>
      <c r="BD28" s="189"/>
      <c r="BE28" s="145"/>
      <c r="BF28" s="188">
        <f>BF13+BF22+BF23+BF24</f>
        <v>27714.61</v>
      </c>
      <c r="BG28" s="189"/>
      <c r="BH28" s="145"/>
      <c r="BI28" s="188">
        <f>Moyenne!D73</f>
        <v>24073.447352941177</v>
      </c>
      <c r="BJ28" s="189"/>
      <c r="BK28" s="145"/>
      <c r="BO28" s="34"/>
      <c r="BP28" s="554" t="s">
        <v>283</v>
      </c>
      <c r="BQ28" s="555"/>
      <c r="BR28" s="555"/>
      <c r="BS28" s="555">
        <f>AP7/AP48</f>
        <v>22249.705882352941</v>
      </c>
      <c r="BT28" s="555"/>
      <c r="BU28" s="555"/>
      <c r="BV28" s="555"/>
      <c r="BW28" s="556"/>
      <c r="BX28" s="34"/>
      <c r="BY28" s="554">
        <f>AS7/AS48</f>
        <v>16363.269411764704</v>
      </c>
      <c r="BZ28" s="555"/>
      <c r="CA28" s="555"/>
      <c r="CB28" s="555"/>
      <c r="CC28" s="556"/>
      <c r="CD28" s="34"/>
      <c r="CE28" s="554">
        <f>Moyenne!D9/Moyenne!D46</f>
        <v>23136.315294117645</v>
      </c>
      <c r="CF28" s="555"/>
      <c r="CG28" s="555"/>
      <c r="CH28" s="555"/>
      <c r="CI28" s="555"/>
      <c r="CJ28" s="556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33.75" thickBot="1">
      <c r="A29" s="3">
        <v>372000</v>
      </c>
      <c r="B29" s="3" t="s">
        <v>32</v>
      </c>
      <c r="C29" s="3" t="s">
        <v>34</v>
      </c>
      <c r="D29" s="4">
        <v>1044.9576470588236</v>
      </c>
      <c r="E29" s="3">
        <v>0</v>
      </c>
      <c r="H29">
        <v>64</v>
      </c>
      <c r="I29" t="s">
        <v>196</v>
      </c>
      <c r="J29" s="2">
        <f t="shared" si="0"/>
        <v>941.17647058823525</v>
      </c>
      <c r="K29" s="2">
        <f t="shared" si="1"/>
        <v>0</v>
      </c>
      <c r="AO29" s="101" t="s">
        <v>231</v>
      </c>
      <c r="AP29" s="102">
        <f>SUM(AP13-AP21-AP27-AP26)</f>
        <v>4463.1347058823631</v>
      </c>
      <c r="AQ29" s="103">
        <f>SUM(AP29/AP5)</f>
        <v>7.1177588469216749E-2</v>
      </c>
      <c r="AR29" s="42"/>
      <c r="AS29" s="102">
        <f>SUM(AS13-AS21-AS26-AS27)</f>
        <v>6049.4682352941109</v>
      </c>
      <c r="AT29" s="104">
        <f>SUM(AS29/AS5)</f>
        <v>0.11107685925227621</v>
      </c>
      <c r="AU29" s="105"/>
      <c r="AV29" s="102">
        <f>Moyenne!D31</f>
        <v>4100.4044117647063</v>
      </c>
      <c r="AW29" s="104">
        <f>SUM(AV29/AV5)</f>
        <v>7.5180534799586668E-2</v>
      </c>
      <c r="AX29" s="39"/>
      <c r="BB29" s="190" t="s">
        <v>251</v>
      </c>
      <c r="BC29" s="191">
        <f>(BC9+BC10+BC11+BC26)-BC20</f>
        <v>27898.741764705886</v>
      </c>
      <c r="BD29" s="192"/>
      <c r="BE29" s="145"/>
      <c r="BF29" s="191">
        <f>(BF9+BF10+BF11+BF26)-BF20</f>
        <v>26467.807647058828</v>
      </c>
      <c r="BG29" s="192"/>
      <c r="BH29" s="145"/>
      <c r="BI29" s="191">
        <f>Moyenne!D74</f>
        <v>23850.981176470588</v>
      </c>
      <c r="BJ29" s="192"/>
      <c r="BK29" s="145"/>
      <c r="BO29" s="34"/>
      <c r="BP29" s="557"/>
      <c r="BQ29" s="558"/>
      <c r="BR29" s="558"/>
      <c r="BS29" s="558"/>
      <c r="BT29" s="558"/>
      <c r="BU29" s="558"/>
      <c r="BV29" s="558"/>
      <c r="BW29" s="559"/>
      <c r="BX29" s="226"/>
      <c r="BY29" s="557"/>
      <c r="BZ29" s="558"/>
      <c r="CA29" s="558"/>
      <c r="CB29" s="558"/>
      <c r="CC29" s="559"/>
      <c r="CD29" s="226"/>
      <c r="CE29" s="557"/>
      <c r="CF29" s="558"/>
      <c r="CG29" s="558"/>
      <c r="CH29" s="558"/>
      <c r="CI29" s="558"/>
      <c r="CJ29" s="559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>BC12/BI12</f>
        <v>1.8165400556587006</v>
      </c>
      <c r="CT29" s="239"/>
      <c r="CU29" s="266">
        <f>BF12/BI12</f>
        <v>3.3562497278424135</v>
      </c>
      <c r="CV29" s="240"/>
    </row>
    <row r="30" spans="1:100" ht="24" thickBot="1">
      <c r="A30" s="3">
        <v>401000</v>
      </c>
      <c r="B30" s="3" t="s">
        <v>35</v>
      </c>
      <c r="C30" s="3" t="s">
        <v>36</v>
      </c>
      <c r="D30" s="3">
        <v>0</v>
      </c>
      <c r="E30" s="4">
        <v>11698.21411764706</v>
      </c>
      <c r="H30">
        <v>64</v>
      </c>
      <c r="I30" t="s">
        <v>143</v>
      </c>
      <c r="J30" s="2">
        <f t="shared" si="0"/>
        <v>12823.704705882354</v>
      </c>
      <c r="K30" s="2">
        <f t="shared" si="1"/>
        <v>2035.0176470588237</v>
      </c>
      <c r="AO30" s="62" t="s">
        <v>158</v>
      </c>
      <c r="AP30" s="89">
        <f>J32-K32</f>
        <v>0</v>
      </c>
      <c r="AQ30" s="64">
        <f>SUM(AP30/AP5)</f>
        <v>0</v>
      </c>
      <c r="AR30" s="42"/>
      <c r="AS30" s="65">
        <f>J325-K325</f>
        <v>141.04352941176472</v>
      </c>
      <c r="AT30" s="66">
        <f>SUM(AS30/AS5)</f>
        <v>2.5897602327278266E-3</v>
      </c>
      <c r="AU30" s="42"/>
      <c r="AV30" s="89">
        <f>Moyenne!D32</f>
        <v>591.3011764705883</v>
      </c>
      <c r="AW30" s="67">
        <f>SUM(AV30/AV5)</f>
        <v>1.0841452259473992E-2</v>
      </c>
      <c r="AX30" s="39"/>
      <c r="BB30" s="193" t="s">
        <v>252</v>
      </c>
      <c r="BC30" s="152">
        <f>BC28-BC29</f>
        <v>674.8205882352886</v>
      </c>
      <c r="BD30" s="194"/>
      <c r="BE30" s="145"/>
      <c r="BF30" s="152">
        <f>BF28-BF29</f>
        <v>1246.802352941173</v>
      </c>
      <c r="BG30" s="194"/>
      <c r="BH30" s="145"/>
      <c r="BI30" s="152">
        <f>Moyenne!D75</f>
        <v>222.46617647058883</v>
      </c>
      <c r="BJ30" s="194"/>
      <c r="BK30" s="145"/>
      <c r="BO30" s="34"/>
      <c r="BP30" s="466" t="s">
        <v>284</v>
      </c>
      <c r="BQ30" s="477"/>
      <c r="BR30" s="478"/>
      <c r="BS30" s="560">
        <f>AP22/(AP47+AP48)</f>
        <v>10788.687058823531</v>
      </c>
      <c r="BT30" s="561"/>
      <c r="BU30" s="561"/>
      <c r="BV30" s="561"/>
      <c r="BW30" s="562"/>
      <c r="BX30" s="226"/>
      <c r="BY30" s="560">
        <f>AS22/(AS47+AS48)</f>
        <v>9953.032352941178</v>
      </c>
      <c r="BZ30" s="561"/>
      <c r="CA30" s="561"/>
      <c r="CB30" s="561"/>
      <c r="CC30" s="562"/>
      <c r="CD30" s="226"/>
      <c r="CE30" s="560">
        <f>Moyenne!D24/(Moyenne!D45+Moyenne!D46)</f>
        <v>9544.3720588235301</v>
      </c>
      <c r="CF30" s="561"/>
      <c r="CG30" s="561"/>
      <c r="CH30" s="561"/>
      <c r="CI30" s="561"/>
      <c r="CJ30" s="562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>AP52/AV52</f>
        <v>1.2352502736481461</v>
      </c>
      <c r="CT30" s="239"/>
      <c r="CU30" s="266">
        <f>AS52/AV52</f>
        <v>1.6639275006314944</v>
      </c>
      <c r="CV30" s="240"/>
    </row>
    <row r="31" spans="1:100" ht="24" thickBot="1">
      <c r="A31" s="3">
        <v>401100</v>
      </c>
      <c r="B31" s="3" t="s">
        <v>35</v>
      </c>
      <c r="C31" s="3" t="s">
        <v>339</v>
      </c>
      <c r="D31" s="3">
        <v>0</v>
      </c>
      <c r="E31" s="4">
        <v>1488.9258823529412</v>
      </c>
      <c r="H31">
        <v>66</v>
      </c>
      <c r="I31" t="s">
        <v>113</v>
      </c>
      <c r="J31" s="2">
        <f t="shared" si="0"/>
        <v>232.80411764705883</v>
      </c>
      <c r="K31" s="2">
        <f t="shared" si="1"/>
        <v>0</v>
      </c>
      <c r="AO31" s="62" t="s">
        <v>164</v>
      </c>
      <c r="AP31" s="65">
        <f>J34-K34</f>
        <v>1780.0741176470588</v>
      </c>
      <c r="AQ31" s="64">
        <f>SUM(AP31/AP5)</f>
        <v>2.8388429061662741E-2</v>
      </c>
      <c r="AR31" s="42"/>
      <c r="AS31" s="65">
        <f>J327-K327</f>
        <v>2055.6158823529413</v>
      </c>
      <c r="AT31" s="66">
        <f>SUM(AS31/AS5)</f>
        <v>3.7744037518656431E-2</v>
      </c>
      <c r="AU31" s="42"/>
      <c r="AV31" s="65">
        <f>Moyenne!D33</f>
        <v>1519.8261764705883</v>
      </c>
      <c r="AW31" s="67">
        <f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63">
        <f>AP25</f>
        <v>941.17647058823525</v>
      </c>
      <c r="BT31" s="564"/>
      <c r="BU31" s="564"/>
      <c r="BV31" s="564"/>
      <c r="BW31" s="565"/>
      <c r="BX31" s="226"/>
      <c r="BY31" s="563">
        <f>AS25</f>
        <v>0</v>
      </c>
      <c r="BZ31" s="564"/>
      <c r="CA31" s="564"/>
      <c r="CB31" s="564"/>
      <c r="CC31" s="565"/>
      <c r="CD31" s="226"/>
      <c r="CE31" s="563">
        <f>Moyenne!D27</f>
        <v>470.58823529411762</v>
      </c>
      <c r="CF31" s="564"/>
      <c r="CG31" s="564"/>
      <c r="CH31" s="564"/>
      <c r="CI31" s="564"/>
      <c r="CJ31" s="565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>BS10/CE10</f>
        <v>0.97050524043893593</v>
      </c>
      <c r="CT31" s="239"/>
      <c r="CU31" s="271">
        <f>BY10/CE10</f>
        <v>1.1276059012344526</v>
      </c>
      <c r="CV31" s="240"/>
    </row>
    <row r="32" spans="1:100" ht="24" thickBot="1">
      <c r="A32" s="3">
        <v>408100</v>
      </c>
      <c r="B32" s="3" t="s">
        <v>35</v>
      </c>
      <c r="C32" s="3" t="s">
        <v>340</v>
      </c>
      <c r="D32" s="3">
        <v>0</v>
      </c>
      <c r="E32" s="4">
        <v>62.202352941176471</v>
      </c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438.1</v>
      </c>
      <c r="AQ32" s="64">
        <f>SUM(AP32/AP5)</f>
        <v>6.9867713083508615E-3</v>
      </c>
      <c r="AR32" s="42"/>
      <c r="AS32" s="65">
        <f>J316-K316</f>
        <v>294.1764705882353</v>
      </c>
      <c r="AT32" s="66">
        <f>SUM(AS32/AS5)</f>
        <v>5.4014992967844127E-3</v>
      </c>
      <c r="AU32" s="42"/>
      <c r="AV32" s="65">
        <f>Moyenne!D34</f>
        <v>390.6661764705882</v>
      </c>
      <c r="AW32" s="67">
        <f>SUM(AV32/AV5)</f>
        <v>7.1628281324885796E-3</v>
      </c>
      <c r="AX32" s="39"/>
      <c r="BB32" s="195" t="s">
        <v>253</v>
      </c>
      <c r="BC32" s="196">
        <f>BC26/BC14</f>
        <v>0.71743897474719776</v>
      </c>
      <c r="BD32" s="197"/>
      <c r="BE32" s="145"/>
      <c r="BF32" s="196">
        <f>BF26/BF14</f>
        <v>0.57615711374655454</v>
      </c>
      <c r="BG32" s="197"/>
      <c r="BH32" s="145"/>
      <c r="BI32" s="196">
        <f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>
      <c r="A33" s="3">
        <v>409800</v>
      </c>
      <c r="B33" s="3" t="s">
        <v>35</v>
      </c>
      <c r="C33" s="3" t="s">
        <v>38</v>
      </c>
      <c r="D33" s="4">
        <v>1323.1470588235295</v>
      </c>
      <c r="E33" s="3">
        <v>0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>Moyenne!D35</f>
        <v>0</v>
      </c>
      <c r="AW33" s="67">
        <f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19" t="s">
        <v>249</v>
      </c>
      <c r="BQ33" s="519"/>
      <c r="BR33" s="519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>
      <c r="A34" s="3">
        <v>411002</v>
      </c>
      <c r="B34" s="3" t="s">
        <v>39</v>
      </c>
      <c r="C34" s="3" t="s">
        <v>341</v>
      </c>
      <c r="D34" s="4">
        <v>4544.8900000000003</v>
      </c>
      <c r="E34" s="3">
        <v>0</v>
      </c>
      <c r="H34">
        <v>68</v>
      </c>
      <c r="I34" t="s">
        <v>164</v>
      </c>
      <c r="J34" s="2">
        <f t="shared" si="0"/>
        <v>1780.0741176470588</v>
      </c>
      <c r="K34" s="2">
        <f t="shared" si="1"/>
        <v>0</v>
      </c>
      <c r="AO34" s="96" t="s">
        <v>158</v>
      </c>
      <c r="AP34" s="97">
        <f>SUM(AP30:AP33)</f>
        <v>2218.1741176470587</v>
      </c>
      <c r="AQ34" s="98">
        <f>SUM(AP34/AP5)</f>
        <v>3.5375200370013599E-2</v>
      </c>
      <c r="AR34" s="42"/>
      <c r="AS34" s="97">
        <f>SUM(AS30:AS33)</f>
        <v>2490.8358823529411</v>
      </c>
      <c r="AT34" s="99">
        <f>SUM(AS34/AS5)</f>
        <v>4.5735297048168665E-2</v>
      </c>
      <c r="AU34" s="42"/>
      <c r="AV34" s="97">
        <f>Moyenne!D36</f>
        <v>2501.7935294117651</v>
      </c>
      <c r="AW34" s="99">
        <f>SUM(AV34/AV5)</f>
        <v>4.5870152456102403E-2</v>
      </c>
      <c r="AX34" s="39"/>
      <c r="BO34" s="34"/>
      <c r="BP34" s="276" t="s">
        <v>288</v>
      </c>
      <c r="BQ34" s="277"/>
      <c r="BR34" s="278"/>
      <c r="BS34" s="566">
        <f>BD26</f>
        <v>0.71743897474719776</v>
      </c>
      <c r="BT34" s="567"/>
      <c r="BU34" s="567"/>
      <c r="BV34" s="567"/>
      <c r="BW34" s="568"/>
      <c r="BX34" s="258"/>
      <c r="BY34" s="566">
        <f>BG26</f>
        <v>0.57615711374655454</v>
      </c>
      <c r="BZ34" s="567"/>
      <c r="CA34" s="567"/>
      <c r="CB34" s="567"/>
      <c r="CC34" s="568"/>
      <c r="CD34" s="258"/>
      <c r="CE34" s="566">
        <f>Moyenne!E71</f>
        <v>0.6884432394816471</v>
      </c>
      <c r="CF34" s="567"/>
      <c r="CG34" s="567"/>
      <c r="CH34" s="567"/>
      <c r="CI34" s="567"/>
      <c r="CJ34" s="568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>
      <c r="A35" s="3">
        <v>421000</v>
      </c>
      <c r="B35" s="3" t="s">
        <v>42</v>
      </c>
      <c r="C35" s="3" t="s">
        <v>43</v>
      </c>
      <c r="D35" s="3">
        <v>0</v>
      </c>
      <c r="E35" s="3">
        <v>20.438235294117646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33821.997647058815</v>
      </c>
      <c r="AQ35" s="108">
        <f>SUM(AP35/AP5)</f>
        <v>0.53938955204652106</v>
      </c>
      <c r="AR35" s="42"/>
      <c r="AS35" s="109">
        <f>SUM(AS21+AS26+AS34+AS27)</f>
        <v>29407.496470588238</v>
      </c>
      <c r="AT35" s="110">
        <f>SUM(AS35/AS5)</f>
        <v>0.53996355041056432</v>
      </c>
      <c r="AU35" s="100"/>
      <c r="AV35" s="109">
        <f>Moyenne!D37</f>
        <v>30873.153823529414</v>
      </c>
      <c r="AW35" s="110">
        <f>SUM(AV35/AV5)</f>
        <v>0.56605641354383429</v>
      </c>
      <c r="AX35" s="39"/>
      <c r="BO35" s="34"/>
      <c r="BP35" s="279" t="s">
        <v>289</v>
      </c>
      <c r="BQ35" s="280"/>
      <c r="BR35" s="281"/>
      <c r="BS35" s="569">
        <f>BC20</f>
        <v>12803.178823529412</v>
      </c>
      <c r="BT35" s="570"/>
      <c r="BU35" s="570"/>
      <c r="BV35" s="570"/>
      <c r="BW35" s="571"/>
      <c r="BX35" s="282"/>
      <c r="BY35" s="569">
        <f>BF20</f>
        <v>7325.3552941176467</v>
      </c>
      <c r="BZ35" s="570"/>
      <c r="CA35" s="570"/>
      <c r="CB35" s="570"/>
      <c r="CC35" s="571"/>
      <c r="CD35" s="282"/>
      <c r="CE35" s="569">
        <f>Moyenne!D65</f>
        <v>6401.5894117647058</v>
      </c>
      <c r="CF35" s="570"/>
      <c r="CG35" s="570"/>
      <c r="CH35" s="570"/>
      <c r="CI35" s="570"/>
      <c r="CJ35" s="571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>
      <c r="A36" s="3">
        <v>428200</v>
      </c>
      <c r="B36" s="3" t="s">
        <v>42</v>
      </c>
      <c r="C36" s="3" t="s">
        <v>45</v>
      </c>
      <c r="D36" s="3">
        <v>0</v>
      </c>
      <c r="E36" s="4">
        <v>577.78352941176468</v>
      </c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2244.9605882353062</v>
      </c>
      <c r="AQ36" s="112">
        <f>SUM(AP36/AP5)</f>
        <v>3.5802388099203171E-2</v>
      </c>
      <c r="AR36" s="42"/>
      <c r="AS36" s="113">
        <f>SUM(AS13-AS21-AS26-AS34-AS27)</f>
        <v>3558.6323529411693</v>
      </c>
      <c r="AT36" s="114">
        <f>SUM(AS36/AS5)</f>
        <v>6.5341562204107528E-2</v>
      </c>
      <c r="AU36" s="42"/>
      <c r="AV36" s="113">
        <f>Moyenne!D38</f>
        <v>1598.6108823529394</v>
      </c>
      <c r="AW36" s="114">
        <f>SUM(AV36/AV5)</f>
        <v>2.9310382343484237E-2</v>
      </c>
      <c r="AX36" s="39"/>
      <c r="BO36" s="34"/>
      <c r="BP36" s="283" t="s">
        <v>290</v>
      </c>
      <c r="BQ36" s="284"/>
      <c r="BR36" s="285"/>
      <c r="BS36" s="577">
        <f>E290</f>
        <v>4</v>
      </c>
      <c r="BT36" s="578"/>
      <c r="BU36" s="578"/>
      <c r="BV36" s="578"/>
      <c r="BW36" s="579"/>
      <c r="BX36" s="282"/>
      <c r="BY36" s="572">
        <f>E584</f>
        <v>4</v>
      </c>
      <c r="BZ36" s="573"/>
      <c r="CA36" s="573"/>
      <c r="CB36" s="573"/>
      <c r="CC36" s="574"/>
      <c r="CD36" s="282"/>
      <c r="CE36" s="572"/>
      <c r="CF36" s="573"/>
      <c r="CG36" s="573"/>
      <c r="CH36" s="573"/>
      <c r="CI36" s="573"/>
      <c r="CJ36" s="574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>
      <c r="A37" s="3">
        <v>431000</v>
      </c>
      <c r="B37" s="3" t="s">
        <v>42</v>
      </c>
      <c r="C37" s="3" t="s">
        <v>46</v>
      </c>
      <c r="D37" s="3">
        <v>0</v>
      </c>
      <c r="E37" s="4">
        <v>275.91529411764708</v>
      </c>
      <c r="H37">
        <v>77</v>
      </c>
      <c r="I37" t="s">
        <v>188</v>
      </c>
      <c r="J37" s="2">
        <f t="shared" si="0"/>
        <v>0</v>
      </c>
      <c r="K37" s="2">
        <f t="shared" si="1"/>
        <v>177.44235294117647</v>
      </c>
      <c r="AO37" s="62" t="s">
        <v>188</v>
      </c>
      <c r="AP37" s="89">
        <f>K37-J37</f>
        <v>177.44235294117647</v>
      </c>
      <c r="AQ37" s="64">
        <f>SUM(AP37/AP5)</f>
        <v>2.8298314093030789E-3</v>
      </c>
      <c r="AR37" s="42"/>
      <c r="AS37" s="65">
        <f>K330-J330</f>
        <v>67.928235294117655</v>
      </c>
      <c r="AT37" s="66">
        <f>SUM(AS37/AS5)</f>
        <v>1.2472592197441922E-3</v>
      </c>
      <c r="AU37" s="42"/>
      <c r="AV37" s="89">
        <f>Moyenne!D39</f>
        <v>354.82647058823522</v>
      </c>
      <c r="AW37" s="67">
        <f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5.75" thickBot="1">
      <c r="A38" s="3">
        <v>437000</v>
      </c>
      <c r="B38" s="3" t="s">
        <v>42</v>
      </c>
      <c r="C38" s="3" t="s">
        <v>389</v>
      </c>
      <c r="D38" s="3">
        <v>0</v>
      </c>
      <c r="E38" s="4">
        <v>114.29823529411765</v>
      </c>
      <c r="H38">
        <v>607</v>
      </c>
      <c r="I38" t="s">
        <v>82</v>
      </c>
      <c r="J38" s="2">
        <f t="shared" si="0"/>
        <v>7304.0905882352927</v>
      </c>
      <c r="K38" s="2">
        <f t="shared" si="1"/>
        <v>0</v>
      </c>
      <c r="AO38" s="62" t="s">
        <v>113</v>
      </c>
      <c r="AP38" s="69">
        <f>J31-K31</f>
        <v>232.80411764705883</v>
      </c>
      <c r="AQ38" s="64">
        <f>SUM(AP38/AP5)</f>
        <v>3.7127348314138532E-3</v>
      </c>
      <c r="AR38" s="42"/>
      <c r="AS38" s="65">
        <f>J324-K324</f>
        <v>334.88117647058823</v>
      </c>
      <c r="AT38" s="66">
        <f>SUM(AS38/AS5)</f>
        <v>6.1488957141787098E-3</v>
      </c>
      <c r="AU38" s="42"/>
      <c r="AV38" s="69">
        <f>Moyenne!D40</f>
        <v>140.69294117647058</v>
      </c>
      <c r="AW38" s="67">
        <f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6.5" thickBot="1">
      <c r="A39" s="3">
        <v>437300</v>
      </c>
      <c r="B39" s="3" t="s">
        <v>42</v>
      </c>
      <c r="C39" s="3" t="s">
        <v>47</v>
      </c>
      <c r="D39" s="3">
        <v>0</v>
      </c>
      <c r="E39" s="4">
        <v>60.39764705882353</v>
      </c>
      <c r="H39">
        <v>607</v>
      </c>
      <c r="I39" t="s">
        <v>80</v>
      </c>
      <c r="J39" s="2">
        <f t="shared" si="0"/>
        <v>20682.902352941175</v>
      </c>
      <c r="K39" s="2">
        <f t="shared" si="1"/>
        <v>1349.7376470588235</v>
      </c>
      <c r="AO39" s="96" t="s">
        <v>234</v>
      </c>
      <c r="AP39" s="97">
        <f>SUM(AP36+AP37-AP38)</f>
        <v>2189.598823529424</v>
      </c>
      <c r="AQ39" s="98">
        <f>SUM(AP39/AP5)</f>
        <v>3.4919484677092397E-2</v>
      </c>
      <c r="AR39" s="42"/>
      <c r="AS39" s="97">
        <f>SUM(AS36+AS37-AS38)</f>
        <v>3291.6794117646987</v>
      </c>
      <c r="AT39" s="99">
        <f>SUM(AS39/AS5)</f>
        <v>6.0439925709673013E-2</v>
      </c>
      <c r="AU39" s="42"/>
      <c r="AV39" s="97">
        <f>Moyenne!D41</f>
        <v>1812.744411764704</v>
      </c>
      <c r="AW39" s="99">
        <f>SUM(AV39/AV5)</f>
        <v>3.3236500755977852E-2</v>
      </c>
      <c r="AX39" s="39"/>
    </row>
    <row r="40" spans="1:100">
      <c r="A40" s="3">
        <v>437500</v>
      </c>
      <c r="B40" s="3" t="s">
        <v>42</v>
      </c>
      <c r="C40" s="3" t="s">
        <v>49</v>
      </c>
      <c r="D40" s="3">
        <v>0</v>
      </c>
      <c r="E40" s="3">
        <v>6.9729411764705889</v>
      </c>
      <c r="H40">
        <v>707</v>
      </c>
      <c r="I40" t="s">
        <v>176</v>
      </c>
      <c r="J40" s="2">
        <f t="shared" si="0"/>
        <v>0</v>
      </c>
      <c r="K40" s="2">
        <f t="shared" si="1"/>
        <v>11124.85294117647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>Moyenne!D42</f>
        <v>0</v>
      </c>
      <c r="AW40" s="67">
        <f>SUM(AV40/AV5)</f>
        <v>0</v>
      </c>
      <c r="AX40" s="39"/>
    </row>
    <row r="41" spans="1:100" ht="15.75" thickBot="1">
      <c r="A41" s="3">
        <v>437700</v>
      </c>
      <c r="B41" s="3" t="s">
        <v>42</v>
      </c>
      <c r="C41" s="3" t="s">
        <v>343</v>
      </c>
      <c r="D41" s="3">
        <v>41.487647058823526</v>
      </c>
      <c r="E41" s="3">
        <v>0</v>
      </c>
      <c r="H41">
        <v>707</v>
      </c>
      <c r="I41" t="s">
        <v>168</v>
      </c>
      <c r="J41" s="2">
        <f t="shared" si="0"/>
        <v>7004.2641176470588</v>
      </c>
      <c r="K41" s="2">
        <f t="shared" si="1"/>
        <v>58583.62470588235</v>
      </c>
      <c r="AO41" s="62" t="s">
        <v>235</v>
      </c>
      <c r="AP41" s="289">
        <f>J36-K36</f>
        <v>0</v>
      </c>
      <c r="AQ41" s="64">
        <f>SUM(AP41/AP5)</f>
        <v>0</v>
      </c>
      <c r="AR41" s="42"/>
      <c r="AS41" s="290">
        <f>J329-K329</f>
        <v>0</v>
      </c>
      <c r="AT41" s="66">
        <f>SUM(AS41/AS5)</f>
        <v>0</v>
      </c>
      <c r="AU41" s="42"/>
      <c r="AV41" s="69">
        <f>Moyenne!D43</f>
        <v>118.91176470588235</v>
      </c>
      <c r="AW41" s="67">
        <f>SUM(AV41/AV5)</f>
        <v>2.1802361832654877E-3</v>
      </c>
      <c r="AX41" s="39"/>
    </row>
    <row r="42" spans="1:100" ht="16.5" thickBot="1">
      <c r="A42" s="3">
        <v>438200</v>
      </c>
      <c r="B42" s="3" t="s">
        <v>42</v>
      </c>
      <c r="C42" s="3" t="s">
        <v>50</v>
      </c>
      <c r="D42" s="3">
        <v>0</v>
      </c>
      <c r="E42" s="4">
        <v>204.82176470588234</v>
      </c>
      <c r="J42" s="2"/>
      <c r="K42" s="2"/>
      <c r="AO42" s="115" t="s">
        <v>236</v>
      </c>
      <c r="AP42" s="116">
        <f>SUM(AP39+AP40-AP41)</f>
        <v>2189.598823529424</v>
      </c>
      <c r="AQ42" s="117">
        <f>SUM(AP42/AP5)</f>
        <v>3.4919484677092397E-2</v>
      </c>
      <c r="AR42" s="42"/>
      <c r="AS42" s="116">
        <f>SUM(AS39+AS40-AS41)</f>
        <v>3291.6794117646987</v>
      </c>
      <c r="AT42" s="118">
        <f>SUM(AS42/AS5)</f>
        <v>6.0439925709673013E-2</v>
      </c>
      <c r="AU42" s="42"/>
      <c r="AV42" s="119">
        <f>Moyenne!D44</f>
        <v>1693.8326470588215</v>
      </c>
      <c r="AW42" s="120">
        <f>SUM(AV42/AV5)</f>
        <v>3.1056264572712367E-2</v>
      </c>
      <c r="AX42" s="39"/>
    </row>
    <row r="43" spans="1:100" ht="18">
      <c r="A43" s="3">
        <v>442000</v>
      </c>
      <c r="B43" s="3" t="s">
        <v>42</v>
      </c>
      <c r="C43" s="3" t="s">
        <v>390</v>
      </c>
      <c r="D43" s="3">
        <v>0</v>
      </c>
      <c r="E43" s="3">
        <v>39.618823529411763</v>
      </c>
      <c r="J43" s="2">
        <f>SUM(J21:J42)</f>
        <v>74704.469411764716</v>
      </c>
      <c r="K43" s="2">
        <f>SUM(K21:K42)</f>
        <v>76894.068235294108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>
      <c r="A44" s="3">
        <v>444000</v>
      </c>
      <c r="B44" s="3" t="s">
        <v>42</v>
      </c>
      <c r="C44" s="3" t="s">
        <v>53</v>
      </c>
      <c r="D44" s="3">
        <v>1.0588235294117647</v>
      </c>
      <c r="E44" s="3">
        <v>0</v>
      </c>
      <c r="H44" s="5">
        <v>12</v>
      </c>
      <c r="I44" s="5" t="s">
        <v>199</v>
      </c>
      <c r="J44" s="6">
        <f>SUM(K43-J43)</f>
        <v>2189.5988235293917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>
      <c r="A45" s="3">
        <v>445200</v>
      </c>
      <c r="B45" s="3" t="s">
        <v>42</v>
      </c>
      <c r="C45" s="3" t="s">
        <v>391</v>
      </c>
      <c r="D45" s="3">
        <v>1.2941176470588235E-2</v>
      </c>
      <c r="E45" s="3">
        <v>0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>
      <c r="A46" s="3">
        <v>445510</v>
      </c>
      <c r="B46" s="3" t="s">
        <v>42</v>
      </c>
      <c r="C46" s="3" t="s">
        <v>54</v>
      </c>
      <c r="D46" s="3">
        <v>0</v>
      </c>
      <c r="E46" s="4">
        <v>459.94117647058823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1.5">
      <c r="A47" s="3">
        <v>445660</v>
      </c>
      <c r="B47" s="3" t="s">
        <v>42</v>
      </c>
      <c r="C47" s="3" t="s">
        <v>56</v>
      </c>
      <c r="D47" s="4">
        <v>410.03705882352943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>Moyenne!D45</f>
        <v>0.5</v>
      </c>
      <c r="AW47" s="39"/>
      <c r="AX47" s="124"/>
      <c r="BB47" s="200" t="s">
        <v>254</v>
      </c>
      <c r="BC47" s="201">
        <f>($AP$42+$AP$31+$AP$33)/($J$8)</f>
        <v>0.20039042085158604</v>
      </c>
      <c r="BD47" s="201"/>
      <c r="BE47" s="202"/>
      <c r="BF47" s="201">
        <f>($AS$42+$AS$31+$AS$33)/($J$302)</f>
        <v>0.2699332590579534</v>
      </c>
      <c r="BG47" s="201"/>
      <c r="BH47" s="202"/>
      <c r="BI47" s="201">
        <f>Moyenne!D77</f>
        <v>0.14893590165065201</v>
      </c>
      <c r="BJ47" s="201"/>
      <c r="BK47" s="199"/>
    </row>
    <row r="48" spans="1:100" ht="16.5">
      <c r="A48" s="3">
        <v>445661</v>
      </c>
      <c r="B48" s="3" t="s">
        <v>42</v>
      </c>
      <c r="C48" s="3" t="s">
        <v>392</v>
      </c>
      <c r="D48" s="3">
        <v>0</v>
      </c>
      <c r="E48" s="3">
        <v>1.2941176470588235E-2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30">
      <c r="A49" s="3">
        <v>445670</v>
      </c>
      <c r="B49" s="3" t="s">
        <v>42</v>
      </c>
      <c r="C49" s="3" t="s">
        <v>57</v>
      </c>
      <c r="D49" s="3">
        <v>0</v>
      </c>
      <c r="E49" s="3">
        <v>0</v>
      </c>
      <c r="AO49" s="125" t="s">
        <v>239</v>
      </c>
      <c r="AP49" s="131">
        <f>SUM(AP26/AP13)</f>
        <v>0.50843901789268442</v>
      </c>
      <c r="AQ49" s="131"/>
      <c r="AR49" s="132"/>
      <c r="AS49" s="131">
        <f>SUM(AS26/AS13)</f>
        <v>0.45731328977787356</v>
      </c>
      <c r="AT49" s="131"/>
      <c r="AU49" s="132"/>
      <c r="AV49" s="131">
        <f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6.5">
      <c r="A50" s="3">
        <v>445711</v>
      </c>
      <c r="B50" s="3" t="s">
        <v>42</v>
      </c>
      <c r="C50" s="3" t="s">
        <v>347</v>
      </c>
      <c r="D50" s="3">
        <v>0</v>
      </c>
      <c r="E50" s="3">
        <v>0</v>
      </c>
      <c r="AO50" s="125" t="s">
        <v>240</v>
      </c>
      <c r="AP50" s="133">
        <f>SUM(AP13/(AP47+AP48))</f>
        <v>36066.958235294122</v>
      </c>
      <c r="AQ50" s="133"/>
      <c r="AR50" s="134"/>
      <c r="AS50" s="133">
        <f>SUM(AS13/(AS47+AS48))</f>
        <v>32966.128823529405</v>
      </c>
      <c r="AT50" s="133"/>
      <c r="AU50" s="127"/>
      <c r="AV50" s="133">
        <f>SUM(AV13/(AV48+AV47))</f>
        <v>32471.764705882353</v>
      </c>
      <c r="AW50" s="39"/>
      <c r="AX50" s="124"/>
      <c r="BB50" s="200" t="s">
        <v>256</v>
      </c>
      <c r="BC50" s="205">
        <f>$BC$9/($AP$9/365)</f>
        <v>63.161525496333816</v>
      </c>
      <c r="BD50" s="205"/>
      <c r="BE50" s="206"/>
      <c r="BF50" s="205">
        <f>$BF$9/($AS$9/365)</f>
        <v>77.634070461565457</v>
      </c>
      <c r="BG50" s="205"/>
      <c r="BH50" s="206"/>
      <c r="BI50" s="205">
        <f>$BI$9/($AV$9/365)</f>
        <v>79.135216841558162</v>
      </c>
      <c r="BJ50" s="205"/>
      <c r="BK50" s="199"/>
    </row>
    <row r="51" spans="1:63" ht="16.5">
      <c r="A51" s="3">
        <v>445720</v>
      </c>
      <c r="B51" s="3" t="s">
        <v>42</v>
      </c>
      <c r="C51" s="3" t="s">
        <v>59</v>
      </c>
      <c r="D51" s="3">
        <v>0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22.046429798824324</v>
      </c>
      <c r="BD51" s="205"/>
      <c r="BE51" s="206"/>
      <c r="BF51" s="205">
        <f>$BF$10/($AS$5*1.2/365)</f>
        <v>31.54005140803061</v>
      </c>
      <c r="BG51" s="205"/>
      <c r="BH51" s="206"/>
      <c r="BI51" s="205">
        <f>$BI$10/($AV$5*1.2/365)</f>
        <v>24.872006259034048</v>
      </c>
      <c r="BJ51" s="205"/>
      <c r="BK51" s="199"/>
    </row>
    <row r="52" spans="1:63" ht="16.5">
      <c r="A52" s="3">
        <v>445860</v>
      </c>
      <c r="B52" s="3" t="s">
        <v>42</v>
      </c>
      <c r="C52" s="3" t="s">
        <v>61</v>
      </c>
      <c r="D52" s="3">
        <v>10.124705882352941</v>
      </c>
      <c r="E52" s="3">
        <v>0</v>
      </c>
      <c r="AO52" s="125" t="s">
        <v>241</v>
      </c>
      <c r="AP52" s="128">
        <f>SUM(AP42+AP31)</f>
        <v>3969.6729411764827</v>
      </c>
      <c r="AQ52" s="128"/>
      <c r="AR52" s="137"/>
      <c r="AS52" s="128">
        <f>SUM(AS42+AS31)</f>
        <v>5347.29529411764</v>
      </c>
      <c r="AT52" s="128"/>
      <c r="AU52" s="135"/>
      <c r="AV52" s="128">
        <f>SUM(AV42+AV31)</f>
        <v>3213.6588235294098</v>
      </c>
      <c r="AW52" s="121"/>
      <c r="AX52" s="124"/>
      <c r="BB52" s="200" t="s">
        <v>257</v>
      </c>
      <c r="BC52" s="205">
        <f>$BC$22/(($AP$9+$AP$17+$AP$18+$AP$20+$AP$24)*1.2/365)</f>
        <v>87.184822544030908</v>
      </c>
      <c r="BD52" s="205"/>
      <c r="BE52" s="206"/>
      <c r="BF52" s="205">
        <f>$BF$22/(($AS$9+$AS$17+$AS$18+$AS$20+$AS$24)*1.2/365)</f>
        <v>115.02234714326953</v>
      </c>
      <c r="BG52" s="205"/>
      <c r="BH52" s="206"/>
      <c r="BI52" s="205">
        <f>$BI$21/(($AV$9+$AV$17+$AV$18+$AV$20+$AV$24)*1.2/365)</f>
        <v>122.5493708467914</v>
      </c>
      <c r="BJ52" s="205"/>
      <c r="BK52" s="199"/>
    </row>
    <row r="53" spans="1:63">
      <c r="A53" s="3">
        <v>445869</v>
      </c>
      <c r="B53" s="3" t="s">
        <v>42</v>
      </c>
      <c r="C53" s="3" t="s">
        <v>393</v>
      </c>
      <c r="D53" s="3">
        <v>0</v>
      </c>
      <c r="E53" s="4">
        <v>220.52470588235295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>
      <c r="A54" s="3">
        <v>445880</v>
      </c>
      <c r="B54" s="3" t="s">
        <v>42</v>
      </c>
      <c r="C54" s="3" t="s">
        <v>62</v>
      </c>
      <c r="D54" s="4">
        <v>132.86705882352939</v>
      </c>
      <c r="E54" s="3">
        <v>0</v>
      </c>
    </row>
    <row r="55" spans="1:63">
      <c r="A55" s="3">
        <v>448600</v>
      </c>
      <c r="B55" s="3" t="s">
        <v>42</v>
      </c>
      <c r="C55" s="3" t="s">
        <v>64</v>
      </c>
      <c r="D55" s="3">
        <v>0</v>
      </c>
      <c r="E55" s="3">
        <v>15.117647058823529</v>
      </c>
    </row>
    <row r="56" spans="1:63">
      <c r="A56" s="3">
        <v>455101</v>
      </c>
      <c r="B56" s="3" t="s">
        <v>70</v>
      </c>
      <c r="C56" s="3" t="s">
        <v>394</v>
      </c>
      <c r="D56" s="4">
        <v>878.09117647058815</v>
      </c>
      <c r="E56" s="3">
        <v>0</v>
      </c>
    </row>
    <row r="57" spans="1:63">
      <c r="A57" s="3">
        <v>455103</v>
      </c>
      <c r="B57" s="3" t="s">
        <v>70</v>
      </c>
      <c r="C57" s="3" t="s">
        <v>395</v>
      </c>
      <c r="D57" s="3">
        <v>0</v>
      </c>
      <c r="E57" s="3">
        <v>0</v>
      </c>
    </row>
    <row r="58" spans="1:63">
      <c r="A58" s="3">
        <v>455104</v>
      </c>
      <c r="B58" s="3" t="s">
        <v>70</v>
      </c>
      <c r="C58" s="3" t="s">
        <v>396</v>
      </c>
      <c r="D58" s="4">
        <v>2176.3123529411764</v>
      </c>
      <c r="E58" s="3">
        <v>0</v>
      </c>
    </row>
    <row r="59" spans="1:63">
      <c r="A59" s="3">
        <v>467200</v>
      </c>
      <c r="B59" s="3" t="s">
        <v>70</v>
      </c>
      <c r="C59" s="3" t="s">
        <v>349</v>
      </c>
      <c r="D59" s="4">
        <v>60.218823529411765</v>
      </c>
      <c r="E59" s="3">
        <v>0</v>
      </c>
    </row>
    <row r="60" spans="1:63">
      <c r="A60" s="3">
        <v>467500</v>
      </c>
      <c r="B60" s="3" t="s">
        <v>70</v>
      </c>
      <c r="C60" s="3" t="s">
        <v>69</v>
      </c>
      <c r="D60" s="3">
        <v>0</v>
      </c>
      <c r="E60" s="3">
        <v>0</v>
      </c>
    </row>
    <row r="61" spans="1:63">
      <c r="A61" s="3">
        <v>486000</v>
      </c>
      <c r="B61" s="3" t="s">
        <v>70</v>
      </c>
      <c r="C61" s="3" t="s">
        <v>72</v>
      </c>
      <c r="D61" s="4">
        <v>2303.3282352941178</v>
      </c>
      <c r="E61" s="3">
        <v>0</v>
      </c>
    </row>
    <row r="62" spans="1:63">
      <c r="A62" s="3">
        <v>512100</v>
      </c>
      <c r="B62" s="3" t="s">
        <v>75</v>
      </c>
      <c r="C62" s="3" t="s">
        <v>397</v>
      </c>
      <c r="D62" s="4">
        <v>208.48176470588237</v>
      </c>
      <c r="E62" s="3">
        <v>0</v>
      </c>
    </row>
    <row r="63" spans="1:63">
      <c r="A63" s="3">
        <v>512101</v>
      </c>
      <c r="B63" s="3" t="s">
        <v>75</v>
      </c>
      <c r="C63" s="3" t="s">
        <v>398</v>
      </c>
      <c r="D63" s="4">
        <v>123.03000000000002</v>
      </c>
      <c r="E63" s="3">
        <v>0</v>
      </c>
    </row>
    <row r="64" spans="1:63">
      <c r="A64" s="3">
        <v>512110</v>
      </c>
      <c r="B64" s="3" t="s">
        <v>75</v>
      </c>
      <c r="C64" s="3" t="s">
        <v>351</v>
      </c>
      <c r="D64" s="3">
        <v>0</v>
      </c>
      <c r="E64" s="3">
        <v>0</v>
      </c>
    </row>
    <row r="65" spans="1:65">
      <c r="A65" s="3">
        <v>512200</v>
      </c>
      <c r="B65" s="3" t="s">
        <v>75</v>
      </c>
      <c r="C65" s="3" t="s">
        <v>74</v>
      </c>
      <c r="D65" s="4">
        <v>241.41647058823528</v>
      </c>
      <c r="E65" s="3">
        <v>0</v>
      </c>
    </row>
    <row r="66" spans="1:65">
      <c r="A66" s="3">
        <v>512400</v>
      </c>
      <c r="B66" s="3" t="s">
        <v>75</v>
      </c>
      <c r="C66" s="3" t="s">
        <v>352</v>
      </c>
      <c r="D66" s="4">
        <v>69.783529411764704</v>
      </c>
      <c r="E66" s="3">
        <v>0</v>
      </c>
    </row>
    <row r="67" spans="1:65" ht="24" customHeight="1">
      <c r="A67" s="3">
        <v>531000</v>
      </c>
      <c r="B67" s="3" t="s">
        <v>75</v>
      </c>
      <c r="C67" s="3" t="s">
        <v>77</v>
      </c>
      <c r="D67" s="3">
        <v>32.108823529411765</v>
      </c>
      <c r="E67" s="3">
        <v>0</v>
      </c>
    </row>
    <row r="68" spans="1:65">
      <c r="A68" s="3">
        <v>580000</v>
      </c>
      <c r="B68" s="3" t="s">
        <v>75</v>
      </c>
      <c r="C68" s="3" t="s">
        <v>78</v>
      </c>
      <c r="D68" s="3">
        <v>0</v>
      </c>
      <c r="E68" s="3">
        <v>0</v>
      </c>
    </row>
    <row r="69" spans="1:65">
      <c r="A69" s="3">
        <v>581000</v>
      </c>
      <c r="B69" s="3" t="s">
        <v>75</v>
      </c>
      <c r="C69" s="3" t="s">
        <v>353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>
      <c r="A70" s="3">
        <v>603710</v>
      </c>
      <c r="B70" s="3" t="s">
        <v>80</v>
      </c>
      <c r="C70" s="3" t="s">
        <v>81</v>
      </c>
      <c r="D70" s="3">
        <v>0</v>
      </c>
      <c r="E70" s="4">
        <v>210.74117647058824</v>
      </c>
    </row>
    <row r="71" spans="1:65" ht="30" customHeight="1">
      <c r="A71" s="3">
        <v>603720</v>
      </c>
      <c r="B71" s="3" t="s">
        <v>82</v>
      </c>
      <c r="C71" s="3" t="s">
        <v>354</v>
      </c>
      <c r="D71" s="4">
        <v>173.37823529411764</v>
      </c>
      <c r="E71" s="3">
        <v>0</v>
      </c>
    </row>
    <row r="72" spans="1:65" ht="23.25" customHeight="1">
      <c r="A72" s="3">
        <v>606110</v>
      </c>
      <c r="B72" s="3" t="s">
        <v>83</v>
      </c>
      <c r="C72" s="3" t="s">
        <v>84</v>
      </c>
      <c r="D72" s="4">
        <v>267.60823529411766</v>
      </c>
      <c r="E72" s="3">
        <v>0</v>
      </c>
    </row>
    <row r="73" spans="1:65">
      <c r="A73" s="3">
        <v>606140</v>
      </c>
      <c r="B73" s="3" t="s">
        <v>83</v>
      </c>
      <c r="C73" s="3" t="s">
        <v>85</v>
      </c>
      <c r="D73" s="4">
        <v>79.646470588235289</v>
      </c>
      <c r="E73" s="3">
        <v>0</v>
      </c>
    </row>
    <row r="74" spans="1:65" ht="26.25" customHeight="1">
      <c r="A74" s="3">
        <v>606300</v>
      </c>
      <c r="B74" s="3" t="s">
        <v>83</v>
      </c>
      <c r="C74" s="3" t="s">
        <v>86</v>
      </c>
      <c r="D74" s="3">
        <v>21.804117647058824</v>
      </c>
      <c r="E74" s="3">
        <v>0</v>
      </c>
    </row>
    <row r="75" spans="1:65" ht="23.25" customHeight="1">
      <c r="A75" s="3">
        <v>606400</v>
      </c>
      <c r="B75" s="3" t="s">
        <v>83</v>
      </c>
      <c r="C75" s="3" t="s">
        <v>87</v>
      </c>
      <c r="D75" s="4">
        <v>102.8664705882353</v>
      </c>
      <c r="E75" s="3">
        <v>0</v>
      </c>
    </row>
    <row r="76" spans="1:65">
      <c r="A76" s="3">
        <v>606500</v>
      </c>
      <c r="B76" s="3" t="s">
        <v>83</v>
      </c>
      <c r="C76" s="3" t="s">
        <v>88</v>
      </c>
      <c r="D76" s="4">
        <v>109.74705882352941</v>
      </c>
      <c r="E76" s="3">
        <v>0</v>
      </c>
    </row>
    <row r="77" spans="1:65">
      <c r="A77" s="3">
        <v>607100</v>
      </c>
      <c r="B77" s="3" t="s">
        <v>80</v>
      </c>
      <c r="C77" s="3" t="s">
        <v>89</v>
      </c>
      <c r="D77" s="4">
        <v>1731.5335294117647</v>
      </c>
      <c r="E77" s="3">
        <v>0</v>
      </c>
    </row>
    <row r="78" spans="1:65">
      <c r="A78" s="3">
        <v>607200</v>
      </c>
      <c r="B78" s="3" t="s">
        <v>80</v>
      </c>
      <c r="C78" s="3" t="s">
        <v>90</v>
      </c>
      <c r="D78" s="4">
        <v>13054.063529411764</v>
      </c>
      <c r="E78" s="3">
        <v>0</v>
      </c>
    </row>
    <row r="79" spans="1:65">
      <c r="A79" s="3">
        <v>607300</v>
      </c>
      <c r="B79" s="3" t="s">
        <v>80</v>
      </c>
      <c r="C79" s="3" t="s">
        <v>91</v>
      </c>
      <c r="D79" s="4">
        <v>1379.2141176470589</v>
      </c>
      <c r="E79" s="3">
        <v>0</v>
      </c>
    </row>
    <row r="80" spans="1:65">
      <c r="A80" s="3">
        <v>607310</v>
      </c>
      <c r="B80" s="3" t="s">
        <v>80</v>
      </c>
      <c r="C80" s="3" t="s">
        <v>355</v>
      </c>
      <c r="D80" s="4">
        <v>176.79235294117646</v>
      </c>
      <c r="E80" s="3">
        <v>0</v>
      </c>
    </row>
    <row r="81" spans="1:5">
      <c r="A81" s="3">
        <v>607600</v>
      </c>
      <c r="B81" s="3" t="s">
        <v>80</v>
      </c>
      <c r="C81" s="3" t="s">
        <v>356</v>
      </c>
      <c r="D81" s="4">
        <v>4087.5941176470592</v>
      </c>
      <c r="E81" s="3">
        <v>0</v>
      </c>
    </row>
    <row r="82" spans="1:5" ht="23.25" customHeight="1">
      <c r="A82" s="3">
        <v>607700</v>
      </c>
      <c r="B82" s="3" t="s">
        <v>82</v>
      </c>
      <c r="C82" s="3" t="s">
        <v>94</v>
      </c>
      <c r="D82" s="4">
        <v>2328.2070588235292</v>
      </c>
      <c r="E82" s="3">
        <v>0</v>
      </c>
    </row>
    <row r="83" spans="1:5">
      <c r="A83" s="3">
        <v>607710</v>
      </c>
      <c r="B83" s="3" t="s">
        <v>82</v>
      </c>
      <c r="C83" s="3" t="s">
        <v>357</v>
      </c>
      <c r="D83" s="4">
        <v>918.74588235294118</v>
      </c>
      <c r="E83" s="3">
        <v>0</v>
      </c>
    </row>
    <row r="84" spans="1:5">
      <c r="A84" s="3">
        <v>607800</v>
      </c>
      <c r="B84" s="3" t="s">
        <v>82</v>
      </c>
      <c r="C84" s="3" t="s">
        <v>96</v>
      </c>
      <c r="D84" s="4">
        <v>1500.7470588235294</v>
      </c>
      <c r="E84" s="3">
        <v>0</v>
      </c>
    </row>
    <row r="85" spans="1:5">
      <c r="A85" s="3">
        <v>609700</v>
      </c>
      <c r="B85" s="3" t="s">
        <v>80</v>
      </c>
      <c r="C85" s="3" t="s">
        <v>399</v>
      </c>
      <c r="D85" s="3">
        <v>0</v>
      </c>
      <c r="E85" s="4">
        <v>1138.9964705882353</v>
      </c>
    </row>
    <row r="86" spans="1:5">
      <c r="A86" s="3">
        <v>612511</v>
      </c>
      <c r="B86" s="3" t="s">
        <v>98</v>
      </c>
      <c r="C86" s="3" t="s">
        <v>359</v>
      </c>
      <c r="D86" s="4">
        <v>353.01176470588234</v>
      </c>
      <c r="E86" s="3">
        <v>0</v>
      </c>
    </row>
    <row r="87" spans="1:5">
      <c r="A87" s="3">
        <v>612512</v>
      </c>
      <c r="B87" s="3" t="s">
        <v>98</v>
      </c>
      <c r="C87" s="3" t="s">
        <v>400</v>
      </c>
      <c r="D87" s="4">
        <v>85.088235294117652</v>
      </c>
      <c r="E87" s="3">
        <v>0</v>
      </c>
    </row>
    <row r="88" spans="1:5">
      <c r="A88" s="3">
        <v>613200</v>
      </c>
      <c r="B88" s="3" t="s">
        <v>101</v>
      </c>
      <c r="C88" s="3" t="s">
        <v>102</v>
      </c>
      <c r="D88" s="4">
        <v>7609.6588235294112</v>
      </c>
      <c r="E88" s="3">
        <v>0</v>
      </c>
    </row>
    <row r="89" spans="1:5">
      <c r="A89" s="3">
        <v>614000</v>
      </c>
      <c r="B89" s="3" t="s">
        <v>101</v>
      </c>
      <c r="C89" s="3" t="s">
        <v>105</v>
      </c>
      <c r="D89" s="4">
        <v>832.13</v>
      </c>
      <c r="E89" s="3">
        <v>0</v>
      </c>
    </row>
    <row r="90" spans="1:5">
      <c r="A90" s="3">
        <v>615200</v>
      </c>
      <c r="B90" s="3" t="s">
        <v>83</v>
      </c>
      <c r="C90" s="3" t="s">
        <v>106</v>
      </c>
      <c r="D90" s="4">
        <v>247.83117647058825</v>
      </c>
      <c r="E90" s="3">
        <v>0</v>
      </c>
    </row>
    <row r="91" spans="1:5">
      <c r="A91" s="3">
        <v>615520</v>
      </c>
      <c r="B91" s="3" t="s">
        <v>83</v>
      </c>
      <c r="C91" s="3" t="s">
        <v>108</v>
      </c>
      <c r="D91" s="4">
        <v>68.211764705882345</v>
      </c>
      <c r="E91" s="3">
        <v>0</v>
      </c>
    </row>
    <row r="92" spans="1:5">
      <c r="A92" s="3">
        <v>615600</v>
      </c>
      <c r="B92" s="3" t="s">
        <v>83</v>
      </c>
      <c r="C92" s="3" t="s">
        <v>109</v>
      </c>
      <c r="D92" s="4">
        <v>439.37941176470588</v>
      </c>
      <c r="E92" s="3">
        <v>0</v>
      </c>
    </row>
    <row r="93" spans="1:5">
      <c r="A93" s="3">
        <v>616000</v>
      </c>
      <c r="B93" s="3" t="s">
        <v>110</v>
      </c>
      <c r="C93" s="3" t="s">
        <v>326</v>
      </c>
      <c r="D93" s="4">
        <v>266.17411764705884</v>
      </c>
      <c r="E93" s="3">
        <v>0</v>
      </c>
    </row>
    <row r="94" spans="1:5">
      <c r="A94" s="3">
        <v>616200</v>
      </c>
      <c r="B94" s="3" t="s">
        <v>83</v>
      </c>
      <c r="C94" s="3" t="s">
        <v>401</v>
      </c>
      <c r="D94" s="3">
        <v>30.972352941176467</v>
      </c>
      <c r="E94" s="3">
        <v>0</v>
      </c>
    </row>
    <row r="95" spans="1:5">
      <c r="A95" s="3">
        <v>621000</v>
      </c>
      <c r="B95" s="3" t="s">
        <v>116</v>
      </c>
      <c r="C95" s="3" t="s">
        <v>117</v>
      </c>
      <c r="D95" s="4">
        <v>2300.6141176470592</v>
      </c>
      <c r="E95" s="3">
        <v>0</v>
      </c>
    </row>
    <row r="96" spans="1:5">
      <c r="A96" s="3">
        <v>622400</v>
      </c>
      <c r="B96" s="3" t="s">
        <v>83</v>
      </c>
      <c r="C96" s="3" t="s">
        <v>402</v>
      </c>
      <c r="D96" s="4">
        <v>579.70588235294122</v>
      </c>
      <c r="E96" s="3">
        <v>0</v>
      </c>
    </row>
    <row r="97" spans="1:5">
      <c r="A97" s="3">
        <v>622401</v>
      </c>
      <c r="B97" s="3" t="s">
        <v>196</v>
      </c>
      <c r="C97" s="3" t="s">
        <v>403</v>
      </c>
      <c r="D97" s="4">
        <v>823.52941176470586</v>
      </c>
      <c r="E97" s="3">
        <v>0</v>
      </c>
    </row>
    <row r="98" spans="1:5">
      <c r="A98" s="3">
        <v>622402</v>
      </c>
      <c r="B98" s="3" t="s">
        <v>196</v>
      </c>
      <c r="C98" s="3" t="s">
        <v>404</v>
      </c>
      <c r="D98" s="4">
        <v>117.64705882352941</v>
      </c>
      <c r="E98" s="3">
        <v>0</v>
      </c>
    </row>
    <row r="99" spans="1:5">
      <c r="A99" s="3">
        <v>622600</v>
      </c>
      <c r="B99" s="3" t="s">
        <v>83</v>
      </c>
      <c r="C99" s="3" t="s">
        <v>361</v>
      </c>
      <c r="D99" s="4">
        <v>434.11764705882354</v>
      </c>
      <c r="E99" s="3">
        <v>0</v>
      </c>
    </row>
    <row r="100" spans="1:5">
      <c r="A100" s="3">
        <v>622610</v>
      </c>
      <c r="B100" s="3" t="s">
        <v>83</v>
      </c>
      <c r="C100" s="3" t="s">
        <v>405</v>
      </c>
      <c r="D100" s="4">
        <v>239</v>
      </c>
      <c r="E100" s="3">
        <v>0</v>
      </c>
    </row>
    <row r="101" spans="1:5">
      <c r="A101" s="3">
        <v>622620</v>
      </c>
      <c r="B101" s="3" t="s">
        <v>83</v>
      </c>
      <c r="C101" s="3" t="s">
        <v>406</v>
      </c>
      <c r="D101" s="4">
        <v>207.05882352941177</v>
      </c>
      <c r="E101" s="3">
        <v>0</v>
      </c>
    </row>
    <row r="102" spans="1:5">
      <c r="A102" s="3">
        <v>622630</v>
      </c>
      <c r="B102" s="3" t="s">
        <v>83</v>
      </c>
      <c r="C102" s="3" t="s">
        <v>407</v>
      </c>
      <c r="D102" s="4">
        <v>66.17647058823529</v>
      </c>
      <c r="E102" s="3">
        <v>0</v>
      </c>
    </row>
    <row r="103" spans="1:5">
      <c r="A103" s="3">
        <v>622700</v>
      </c>
      <c r="B103" s="3" t="s">
        <v>83</v>
      </c>
      <c r="C103" s="3" t="s">
        <v>123</v>
      </c>
      <c r="D103" s="3">
        <v>29.354117647058821</v>
      </c>
      <c r="E103" s="3">
        <v>0</v>
      </c>
    </row>
    <row r="104" spans="1:5">
      <c r="A104" s="3">
        <v>622800</v>
      </c>
      <c r="B104" s="3" t="s">
        <v>83</v>
      </c>
      <c r="C104" s="3" t="s">
        <v>408</v>
      </c>
      <c r="D104" s="4">
        <v>122.05882352941177</v>
      </c>
      <c r="E104" s="3">
        <v>0</v>
      </c>
    </row>
    <row r="105" spans="1:5">
      <c r="A105" s="3">
        <v>623101</v>
      </c>
      <c r="B105" s="3" t="s">
        <v>124</v>
      </c>
      <c r="C105" s="3" t="s">
        <v>125</v>
      </c>
      <c r="D105" s="4">
        <v>88.235294117647058</v>
      </c>
      <c r="E105" s="3">
        <v>0</v>
      </c>
    </row>
    <row r="106" spans="1:5">
      <c r="A106" s="3">
        <v>623102</v>
      </c>
      <c r="B106" s="3" t="s">
        <v>124</v>
      </c>
      <c r="C106" s="3" t="s">
        <v>364</v>
      </c>
      <c r="D106" s="4">
        <v>1809.6411764705883</v>
      </c>
      <c r="E106" s="3">
        <v>0</v>
      </c>
    </row>
    <row r="107" spans="1:5">
      <c r="A107" s="3">
        <v>623200</v>
      </c>
      <c r="B107" s="3" t="s">
        <v>124</v>
      </c>
      <c r="C107" s="3" t="s">
        <v>127</v>
      </c>
      <c r="D107" s="4">
        <v>727.01882352941175</v>
      </c>
      <c r="E107" s="3">
        <v>0</v>
      </c>
    </row>
    <row r="108" spans="1:5">
      <c r="A108" s="3">
        <v>623400</v>
      </c>
      <c r="B108" s="3" t="s">
        <v>124</v>
      </c>
      <c r="C108" s="3" t="s">
        <v>128</v>
      </c>
      <c r="D108" s="3">
        <v>32.038235294117648</v>
      </c>
      <c r="E108" s="3">
        <v>0</v>
      </c>
    </row>
    <row r="109" spans="1:5">
      <c r="A109" s="3">
        <v>623600</v>
      </c>
      <c r="B109" s="3" t="s">
        <v>124</v>
      </c>
      <c r="C109" s="3" t="s">
        <v>409</v>
      </c>
      <c r="D109" s="3">
        <v>5.4158823529411757</v>
      </c>
      <c r="E109" s="3">
        <v>0</v>
      </c>
    </row>
    <row r="110" spans="1:5">
      <c r="A110" s="3">
        <v>623800</v>
      </c>
      <c r="B110" s="3" t="s">
        <v>83</v>
      </c>
      <c r="C110" s="3" t="s">
        <v>328</v>
      </c>
      <c r="D110" s="3">
        <v>13.235294117647058</v>
      </c>
      <c r="E110" s="3">
        <v>0</v>
      </c>
    </row>
    <row r="111" spans="1:5">
      <c r="A111" s="3">
        <v>624100</v>
      </c>
      <c r="B111" s="3" t="s">
        <v>80</v>
      </c>
      <c r="C111" s="3" t="s">
        <v>129</v>
      </c>
      <c r="D111" s="4">
        <v>253.70470588235293</v>
      </c>
      <c r="E111" s="3">
        <v>0</v>
      </c>
    </row>
    <row r="112" spans="1:5">
      <c r="A112" s="3">
        <v>625100</v>
      </c>
      <c r="B112" s="3" t="s">
        <v>83</v>
      </c>
      <c r="C112" s="3" t="s">
        <v>130</v>
      </c>
      <c r="D112" s="4">
        <v>107.64058823529412</v>
      </c>
      <c r="E112" s="3">
        <v>0</v>
      </c>
    </row>
    <row r="113" spans="1:5">
      <c r="A113" s="3">
        <v>625700</v>
      </c>
      <c r="B113" s="3" t="s">
        <v>83</v>
      </c>
      <c r="C113" s="3" t="s">
        <v>132</v>
      </c>
      <c r="D113" s="4">
        <v>304.76058823529411</v>
      </c>
      <c r="E113" s="3">
        <v>0</v>
      </c>
    </row>
    <row r="114" spans="1:5">
      <c r="A114" s="3">
        <v>626100</v>
      </c>
      <c r="B114" s="3" t="s">
        <v>83</v>
      </c>
      <c r="C114" s="3" t="s">
        <v>133</v>
      </c>
      <c r="D114" s="4">
        <v>70.328823529411764</v>
      </c>
      <c r="E114" s="3">
        <v>0</v>
      </c>
    </row>
    <row r="115" spans="1:5">
      <c r="A115" s="3">
        <v>626200</v>
      </c>
      <c r="B115" s="3" t="s">
        <v>83</v>
      </c>
      <c r="C115" s="3" t="s">
        <v>134</v>
      </c>
      <c r="D115" s="4">
        <v>168.49882352941177</v>
      </c>
      <c r="E115" s="3">
        <v>0</v>
      </c>
    </row>
    <row r="116" spans="1:5">
      <c r="A116" s="3">
        <v>627500</v>
      </c>
      <c r="B116" s="3" t="s">
        <v>83</v>
      </c>
      <c r="C116" s="3" t="s">
        <v>135</v>
      </c>
      <c r="D116" s="4">
        <v>224.07764705882354</v>
      </c>
      <c r="E116" s="3">
        <v>0</v>
      </c>
    </row>
    <row r="117" spans="1:5">
      <c r="A117" s="3">
        <v>627600</v>
      </c>
      <c r="B117" s="3" t="s">
        <v>83</v>
      </c>
      <c r="C117" s="3" t="s">
        <v>410</v>
      </c>
      <c r="D117" s="4">
        <v>109.02352941176471</v>
      </c>
      <c r="E117" s="3">
        <v>0</v>
      </c>
    </row>
    <row r="118" spans="1:5">
      <c r="A118" s="3">
        <v>627800</v>
      </c>
      <c r="B118" s="3" t="s">
        <v>83</v>
      </c>
      <c r="C118" s="3" t="s">
        <v>411</v>
      </c>
      <c r="D118" s="4">
        <v>102.41294117647058</v>
      </c>
      <c r="E118" s="3">
        <v>0</v>
      </c>
    </row>
    <row r="119" spans="1:5">
      <c r="A119" s="3">
        <v>628100</v>
      </c>
      <c r="B119" s="3" t="s">
        <v>83</v>
      </c>
      <c r="C119" s="3" t="s">
        <v>137</v>
      </c>
      <c r="D119" s="4">
        <v>424.29176470588237</v>
      </c>
      <c r="E119" s="3">
        <v>0</v>
      </c>
    </row>
    <row r="120" spans="1:5">
      <c r="A120" s="3">
        <v>633300</v>
      </c>
      <c r="B120" s="3" t="s">
        <v>138</v>
      </c>
      <c r="C120" s="3" t="s">
        <v>365</v>
      </c>
      <c r="D120" s="4">
        <v>95.248235294117649</v>
      </c>
      <c r="E120" s="3">
        <v>0</v>
      </c>
    </row>
    <row r="121" spans="1:5">
      <c r="A121" s="3">
        <v>635111</v>
      </c>
      <c r="B121" s="3" t="s">
        <v>138</v>
      </c>
      <c r="C121" s="3" t="s">
        <v>141</v>
      </c>
      <c r="D121" s="4">
        <v>187.35294117647058</v>
      </c>
      <c r="E121" s="3">
        <v>0</v>
      </c>
    </row>
    <row r="122" spans="1:5">
      <c r="A122" s="3">
        <v>635140</v>
      </c>
      <c r="B122" s="3" t="s">
        <v>138</v>
      </c>
      <c r="C122" s="3" t="s">
        <v>142</v>
      </c>
      <c r="D122" s="3">
        <v>47.470588235294116</v>
      </c>
      <c r="E122" s="3">
        <v>0</v>
      </c>
    </row>
    <row r="123" spans="1:5">
      <c r="A123" s="3">
        <v>641100</v>
      </c>
      <c r="B123" s="3" t="s">
        <v>143</v>
      </c>
      <c r="C123" s="3" t="s">
        <v>144</v>
      </c>
      <c r="D123" s="4">
        <v>11823.129411764707</v>
      </c>
      <c r="E123" s="3">
        <v>0</v>
      </c>
    </row>
    <row r="124" spans="1:5">
      <c r="A124" s="3">
        <v>641200</v>
      </c>
      <c r="B124" s="3" t="s">
        <v>143</v>
      </c>
      <c r="C124" s="3" t="s">
        <v>145</v>
      </c>
      <c r="D124" s="4">
        <v>83.174705882352939</v>
      </c>
      <c r="E124" s="3">
        <v>0</v>
      </c>
    </row>
    <row r="125" spans="1:5">
      <c r="A125" s="3">
        <v>641300</v>
      </c>
      <c r="B125" s="3" t="s">
        <v>143</v>
      </c>
      <c r="C125" s="3" t="s">
        <v>366</v>
      </c>
      <c r="D125" s="4">
        <v>876.68294117647065</v>
      </c>
      <c r="E125" s="3">
        <v>0</v>
      </c>
    </row>
    <row r="126" spans="1:5">
      <c r="A126" s="3">
        <v>641400</v>
      </c>
      <c r="B126" s="3" t="s">
        <v>143</v>
      </c>
      <c r="C126" s="3" t="s">
        <v>147</v>
      </c>
      <c r="D126" s="3">
        <v>14.705882352941176</v>
      </c>
      <c r="E126" s="3">
        <v>0</v>
      </c>
    </row>
    <row r="127" spans="1:5">
      <c r="A127" s="3">
        <v>641410</v>
      </c>
      <c r="B127" s="3" t="s">
        <v>143</v>
      </c>
      <c r="C127" s="3" t="s">
        <v>367</v>
      </c>
      <c r="D127" s="3">
        <v>26.011764705882353</v>
      </c>
      <c r="E127" s="3">
        <v>0</v>
      </c>
    </row>
    <row r="128" spans="1:5">
      <c r="A128" s="3">
        <v>645100</v>
      </c>
      <c r="B128" s="3" t="s">
        <v>149</v>
      </c>
      <c r="C128" s="3" t="s">
        <v>150</v>
      </c>
      <c r="D128" s="4">
        <v>3185.9511764705881</v>
      </c>
      <c r="E128" s="3">
        <v>0</v>
      </c>
    </row>
    <row r="129" spans="1:5">
      <c r="A129" s="3">
        <v>645310</v>
      </c>
      <c r="B129" s="3" t="s">
        <v>149</v>
      </c>
      <c r="C129" s="3" t="s">
        <v>151</v>
      </c>
      <c r="D129" s="4">
        <v>779.00823529411764</v>
      </c>
      <c r="E129" s="3">
        <v>0</v>
      </c>
    </row>
    <row r="130" spans="1:5">
      <c r="A130" s="3">
        <v>645500</v>
      </c>
      <c r="B130" s="3" t="s">
        <v>149</v>
      </c>
      <c r="C130" s="3" t="s">
        <v>368</v>
      </c>
      <c r="D130" s="4">
        <v>229.29470588235296</v>
      </c>
      <c r="E130" s="3">
        <v>0</v>
      </c>
    </row>
    <row r="131" spans="1:5">
      <c r="A131" s="3">
        <v>645600</v>
      </c>
      <c r="B131" s="3" t="s">
        <v>149</v>
      </c>
      <c r="C131" s="3" t="s">
        <v>153</v>
      </c>
      <c r="D131" s="3">
        <v>53.087058823529411</v>
      </c>
      <c r="E131" s="3">
        <v>0</v>
      </c>
    </row>
    <row r="132" spans="1:5">
      <c r="A132" s="3">
        <v>647000</v>
      </c>
      <c r="B132" s="3" t="s">
        <v>149</v>
      </c>
      <c r="C132" s="3" t="s">
        <v>155</v>
      </c>
      <c r="D132" s="3">
        <v>32.677058823529414</v>
      </c>
      <c r="E132" s="3">
        <v>0</v>
      </c>
    </row>
    <row r="133" spans="1:5">
      <c r="A133" s="3">
        <v>647500</v>
      </c>
      <c r="B133" s="3" t="s">
        <v>149</v>
      </c>
      <c r="C133" s="3" t="s">
        <v>370</v>
      </c>
      <c r="D133" s="3">
        <v>27.352941176470587</v>
      </c>
      <c r="E133" s="3">
        <v>0</v>
      </c>
    </row>
    <row r="134" spans="1:5">
      <c r="A134" s="3">
        <v>651000</v>
      </c>
      <c r="B134" s="3" t="s">
        <v>83</v>
      </c>
      <c r="C134" s="3" t="s">
        <v>371</v>
      </c>
      <c r="D134" s="4">
        <v>612.80176470588231</v>
      </c>
      <c r="E134" s="3">
        <v>0</v>
      </c>
    </row>
    <row r="135" spans="1:5">
      <c r="A135" s="3">
        <v>651600</v>
      </c>
      <c r="B135" s="3" t="s">
        <v>83</v>
      </c>
      <c r="C135" s="3" t="s">
        <v>372</v>
      </c>
      <c r="D135" s="3">
        <v>5.5417647058823523</v>
      </c>
      <c r="E135" s="3">
        <v>0</v>
      </c>
    </row>
    <row r="136" spans="1:5">
      <c r="A136" s="3">
        <v>658000</v>
      </c>
      <c r="B136" s="3" t="s">
        <v>83</v>
      </c>
      <c r="C136" s="3" t="s">
        <v>159</v>
      </c>
      <c r="D136" s="3">
        <v>0.83117647058823529</v>
      </c>
      <c r="E136" s="3">
        <v>0</v>
      </c>
    </row>
    <row r="137" spans="1:5">
      <c r="A137" s="3">
        <v>661160</v>
      </c>
      <c r="B137" s="3" t="s">
        <v>113</v>
      </c>
      <c r="C137" s="3" t="s">
        <v>160</v>
      </c>
      <c r="D137" s="4">
        <v>232.80411764705883</v>
      </c>
      <c r="E137" s="3">
        <v>0</v>
      </c>
    </row>
    <row r="138" spans="1:5">
      <c r="A138" s="3">
        <v>681120</v>
      </c>
      <c r="B138" s="3" t="s">
        <v>164</v>
      </c>
      <c r="C138" s="3" t="s">
        <v>165</v>
      </c>
      <c r="D138" s="4">
        <v>1780.0741176470588</v>
      </c>
      <c r="E138" s="3">
        <v>0</v>
      </c>
    </row>
    <row r="139" spans="1:5">
      <c r="A139" s="3">
        <v>707100</v>
      </c>
      <c r="B139" s="3" t="s">
        <v>168</v>
      </c>
      <c r="C139" s="3" t="s">
        <v>169</v>
      </c>
      <c r="D139" s="3">
        <v>0</v>
      </c>
      <c r="E139" s="4">
        <v>13807.231764705883</v>
      </c>
    </row>
    <row r="140" spans="1:5">
      <c r="A140" s="3">
        <v>707200</v>
      </c>
      <c r="B140" s="3" t="s">
        <v>168</v>
      </c>
      <c r="C140" s="3" t="s">
        <v>170</v>
      </c>
      <c r="D140" s="3">
        <v>0</v>
      </c>
      <c r="E140" s="4">
        <v>37091.454117647059</v>
      </c>
    </row>
    <row r="141" spans="1:5">
      <c r="A141" s="3">
        <v>707300</v>
      </c>
      <c r="B141" s="3" t="s">
        <v>168</v>
      </c>
      <c r="C141" s="3" t="s">
        <v>171</v>
      </c>
      <c r="D141" s="3">
        <v>0</v>
      </c>
      <c r="E141" s="4">
        <v>2103.6611764705881</v>
      </c>
    </row>
    <row r="142" spans="1:5">
      <c r="A142" s="3">
        <v>707310</v>
      </c>
      <c r="B142" s="3" t="s">
        <v>168</v>
      </c>
      <c r="C142" s="3" t="s">
        <v>172</v>
      </c>
      <c r="D142" s="3">
        <v>0</v>
      </c>
      <c r="E142" s="4">
        <v>204.2670588235294</v>
      </c>
    </row>
    <row r="143" spans="1:5">
      <c r="A143" s="3">
        <v>707410</v>
      </c>
      <c r="B143" s="3" t="s">
        <v>168</v>
      </c>
      <c r="C143" s="3" t="s">
        <v>374</v>
      </c>
      <c r="D143" s="3">
        <v>0</v>
      </c>
      <c r="E143" s="4">
        <v>594.03823529411761</v>
      </c>
    </row>
    <row r="144" spans="1:5">
      <c r="A144" s="3">
        <v>707500</v>
      </c>
      <c r="B144" s="3" t="s">
        <v>168</v>
      </c>
      <c r="C144" s="3" t="s">
        <v>412</v>
      </c>
      <c r="D144" s="3">
        <v>0</v>
      </c>
      <c r="E144" s="3">
        <v>0.24529411764705883</v>
      </c>
    </row>
    <row r="145" spans="1:5">
      <c r="A145" s="3">
        <v>707610</v>
      </c>
      <c r="B145" s="3" t="s">
        <v>168</v>
      </c>
      <c r="C145" s="3" t="s">
        <v>375</v>
      </c>
      <c r="D145" s="3">
        <v>0</v>
      </c>
      <c r="E145" s="3">
        <v>0.73529411764705888</v>
      </c>
    </row>
    <row r="146" spans="1:5">
      <c r="A146" s="3">
        <v>707700</v>
      </c>
      <c r="B146" s="3" t="s">
        <v>168</v>
      </c>
      <c r="C146" s="3" t="s">
        <v>175</v>
      </c>
      <c r="D146" s="3">
        <v>0</v>
      </c>
      <c r="E146" s="4">
        <v>4781.9917647058828</v>
      </c>
    </row>
    <row r="147" spans="1:5">
      <c r="A147" s="3">
        <v>707910</v>
      </c>
      <c r="B147" s="3" t="s">
        <v>176</v>
      </c>
      <c r="C147" s="3" t="s">
        <v>177</v>
      </c>
      <c r="D147" s="3">
        <v>0</v>
      </c>
      <c r="E147" s="4">
        <v>8130.4041176470582</v>
      </c>
    </row>
    <row r="148" spans="1:5">
      <c r="A148" s="3">
        <v>707920</v>
      </c>
      <c r="B148" s="3" t="s">
        <v>176</v>
      </c>
      <c r="C148" s="3" t="s">
        <v>376</v>
      </c>
      <c r="D148" s="3">
        <v>0</v>
      </c>
      <c r="E148" s="4">
        <v>1457.129411764706</v>
      </c>
    </row>
    <row r="149" spans="1:5">
      <c r="A149" s="3">
        <v>707921</v>
      </c>
      <c r="B149" s="3" t="s">
        <v>176</v>
      </c>
      <c r="C149" s="3" t="s">
        <v>179</v>
      </c>
      <c r="D149" s="3">
        <v>0</v>
      </c>
      <c r="E149" s="4">
        <v>1537.3194117647058</v>
      </c>
    </row>
    <row r="150" spans="1:5">
      <c r="A150" s="3">
        <v>709700</v>
      </c>
      <c r="B150" s="3" t="s">
        <v>168</v>
      </c>
      <c r="C150" s="3" t="s">
        <v>180</v>
      </c>
      <c r="D150" s="4">
        <v>940.15588235294115</v>
      </c>
      <c r="E150" s="3">
        <v>0</v>
      </c>
    </row>
    <row r="151" spans="1:5">
      <c r="A151" s="3">
        <v>709710</v>
      </c>
      <c r="B151" s="3" t="s">
        <v>168</v>
      </c>
      <c r="C151" s="3" t="s">
        <v>413</v>
      </c>
      <c r="D151" s="4">
        <v>1926.7482352941176</v>
      </c>
      <c r="E151" s="3">
        <v>0</v>
      </c>
    </row>
    <row r="152" spans="1:5">
      <c r="A152" s="3">
        <v>709720</v>
      </c>
      <c r="B152" s="3" t="s">
        <v>168</v>
      </c>
      <c r="C152" s="3" t="s">
        <v>378</v>
      </c>
      <c r="D152" s="4">
        <v>4049.6294117647058</v>
      </c>
      <c r="E152" s="3">
        <v>0</v>
      </c>
    </row>
    <row r="153" spans="1:5">
      <c r="A153" s="3">
        <v>709730</v>
      </c>
      <c r="B153" s="3" t="s">
        <v>168</v>
      </c>
      <c r="C153" s="3" t="s">
        <v>379</v>
      </c>
      <c r="D153" s="3">
        <v>9.6858823529411762</v>
      </c>
      <c r="E153" s="3">
        <v>0</v>
      </c>
    </row>
    <row r="154" spans="1:5">
      <c r="A154" s="3">
        <v>709731</v>
      </c>
      <c r="B154" s="3" t="s">
        <v>168</v>
      </c>
      <c r="C154" s="3" t="s">
        <v>380</v>
      </c>
      <c r="D154" s="3">
        <v>41.865882352941178</v>
      </c>
      <c r="E154" s="3">
        <v>0</v>
      </c>
    </row>
    <row r="155" spans="1:5">
      <c r="A155" s="3">
        <v>709741</v>
      </c>
      <c r="B155" s="3" t="s">
        <v>168</v>
      </c>
      <c r="C155" s="3" t="s">
        <v>381</v>
      </c>
      <c r="D155" s="3">
        <v>36.178823529411765</v>
      </c>
      <c r="E155" s="3">
        <v>0</v>
      </c>
    </row>
    <row r="156" spans="1:5">
      <c r="A156" s="3">
        <v>709792</v>
      </c>
      <c r="B156" s="3" t="s">
        <v>82</v>
      </c>
      <c r="C156" s="3" t="s">
        <v>414</v>
      </c>
      <c r="D156" s="4">
        <v>2383.0123529411762</v>
      </c>
      <c r="E156" s="3">
        <v>0</v>
      </c>
    </row>
    <row r="157" spans="1:5">
      <c r="A157" s="3">
        <v>740000</v>
      </c>
      <c r="B157" s="3" t="s">
        <v>188</v>
      </c>
      <c r="C157" s="3" t="s">
        <v>189</v>
      </c>
      <c r="D157" s="3">
        <v>0</v>
      </c>
      <c r="E157" s="4">
        <v>176.79764705882351</v>
      </c>
    </row>
    <row r="158" spans="1:5">
      <c r="A158" s="3">
        <v>758000</v>
      </c>
      <c r="B158" s="3" t="s">
        <v>188</v>
      </c>
      <c r="C158" s="3" t="s">
        <v>190</v>
      </c>
      <c r="D158" s="3">
        <v>0</v>
      </c>
      <c r="E158" s="3">
        <v>0.64470588235294124</v>
      </c>
    </row>
    <row r="159" spans="1:5">
      <c r="A159" s="3">
        <v>791009</v>
      </c>
      <c r="B159" s="3" t="s">
        <v>143</v>
      </c>
      <c r="C159" s="3" t="s">
        <v>415</v>
      </c>
      <c r="D159" s="3">
        <v>0</v>
      </c>
      <c r="E159" s="4">
        <v>2035.0176470588237</v>
      </c>
    </row>
    <row r="160" spans="1:5">
      <c r="A160" s="3">
        <v>791010</v>
      </c>
      <c r="B160" s="3" t="s">
        <v>83</v>
      </c>
      <c r="C160" s="3" t="s">
        <v>416</v>
      </c>
      <c r="D160" s="3">
        <v>0</v>
      </c>
      <c r="E160" s="4">
        <v>3623.3929411764707</v>
      </c>
    </row>
    <row r="161" spans="4:5">
      <c r="D161">
        <v>0</v>
      </c>
      <c r="E161">
        <v>0</v>
      </c>
    </row>
    <row r="162" spans="4:5">
      <c r="D162">
        <v>0</v>
      </c>
      <c r="E162">
        <v>0</v>
      </c>
    </row>
    <row r="163" spans="4:5">
      <c r="D163">
        <v>0</v>
      </c>
      <c r="E163">
        <v>0</v>
      </c>
    </row>
    <row r="164" spans="4:5">
      <c r="D164">
        <v>0</v>
      </c>
      <c r="E164">
        <v>0</v>
      </c>
    </row>
    <row r="165" spans="4:5">
      <c r="D165">
        <v>0</v>
      </c>
      <c r="E165">
        <v>0</v>
      </c>
    </row>
    <row r="166" spans="4:5">
      <c r="D166">
        <v>0</v>
      </c>
      <c r="E166">
        <v>0</v>
      </c>
    </row>
    <row r="167" spans="4:5">
      <c r="D167">
        <v>0</v>
      </c>
      <c r="E167">
        <v>0</v>
      </c>
    </row>
    <row r="290" spans="1:20">
      <c r="A290" s="288">
        <v>43830</v>
      </c>
      <c r="C290">
        <v>0.5</v>
      </c>
      <c r="D290">
        <v>0.5</v>
      </c>
      <c r="E290">
        <v>4</v>
      </c>
    </row>
    <row r="294" spans="1:20">
      <c r="A294" s="2"/>
    </row>
    <row r="298" spans="1:20">
      <c r="A298" s="488" t="s">
        <v>221</v>
      </c>
      <c r="B298" s="488"/>
      <c r="C298" s="488"/>
      <c r="D298" s="488"/>
      <c r="E298" s="488"/>
      <c r="H298" s="488" t="s">
        <v>222</v>
      </c>
      <c r="I298" s="488"/>
      <c r="J298" s="488"/>
      <c r="K298" s="488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f>SUM(D301:D579)</f>
        <v>122357.50941176471</v>
      </c>
      <c r="E300" s="2">
        <f>SUM(E301:E579)</f>
        <v>122357.50941176471</v>
      </c>
      <c r="H300">
        <v>10</v>
      </c>
      <c r="I300" t="s">
        <v>3</v>
      </c>
      <c r="J300" s="2">
        <f t="shared" ref="J300:J334" si="7">SUMIF($B$301:$B$579,$I300,$D$301:$D$579)</f>
        <v>5425.5023529411765</v>
      </c>
      <c r="K300" s="2">
        <f t="shared" ref="K300:K334" si="8">SUMIF($B$301:$B$579,$I300,$E$301:$E$579)</f>
        <v>17647.058823529413</v>
      </c>
      <c r="M300" s="7"/>
      <c r="N300" s="8"/>
      <c r="O300" s="8"/>
      <c r="P300" s="8"/>
      <c r="Q300" s="505" t="s">
        <v>200</v>
      </c>
      <c r="R300" s="506"/>
      <c r="S300" s="9" t="s">
        <v>201</v>
      </c>
      <c r="T300" s="10" t="s">
        <v>202</v>
      </c>
    </row>
    <row r="301" spans="1:20" ht="15.75" thickTop="1">
      <c r="A301" s="3">
        <v>101300</v>
      </c>
      <c r="B301" s="3" t="s">
        <v>3</v>
      </c>
      <c r="C301" s="3" t="s">
        <v>4</v>
      </c>
      <c r="D301" s="3">
        <v>0</v>
      </c>
      <c r="E301" s="4">
        <v>17647.058823529413</v>
      </c>
      <c r="H301">
        <v>16</v>
      </c>
      <c r="I301" t="s">
        <v>9</v>
      </c>
      <c r="J301" s="2">
        <f t="shared" si="7"/>
        <v>0</v>
      </c>
      <c r="K301" s="2">
        <f t="shared" si="8"/>
        <v>7325.3552941176467</v>
      </c>
      <c r="M301" s="11" t="s">
        <v>203</v>
      </c>
      <c r="N301" s="12">
        <f>AS29</f>
        <v>6049.4682352941109</v>
      </c>
      <c r="O301" s="13" t="s">
        <v>204</v>
      </c>
      <c r="P301" s="12">
        <f>BF26</f>
        <v>21091.299411764707</v>
      </c>
      <c r="Q301" s="14" t="s">
        <v>205</v>
      </c>
      <c r="R301" s="15">
        <f>N301/P301</f>
        <v>0.28682292717914398</v>
      </c>
      <c r="S301" s="16">
        <v>24</v>
      </c>
      <c r="T301" s="17">
        <f>R301*S301</f>
        <v>6.8837502522994551</v>
      </c>
    </row>
    <row r="302" spans="1:20">
      <c r="A302" s="3">
        <v>119000</v>
      </c>
      <c r="B302" s="3" t="s">
        <v>3</v>
      </c>
      <c r="C302" s="3" t="s">
        <v>333</v>
      </c>
      <c r="D302" s="4">
        <v>5425.5023529411765</v>
      </c>
      <c r="E302" s="3">
        <v>0</v>
      </c>
      <c r="H302">
        <v>20</v>
      </c>
      <c r="I302" t="s">
        <v>16</v>
      </c>
      <c r="J302" s="2">
        <f t="shared" si="7"/>
        <v>19809.694117647061</v>
      </c>
      <c r="K302" s="2">
        <f t="shared" si="8"/>
        <v>11926.676470588234</v>
      </c>
      <c r="L302" s="2"/>
      <c r="M302" s="18" t="s">
        <v>206</v>
      </c>
      <c r="N302" s="19">
        <f>BF21</f>
        <v>22840.91</v>
      </c>
      <c r="O302" s="493" t="s">
        <v>207</v>
      </c>
      <c r="P302" s="494">
        <f>BF14</f>
        <v>36606.854117647061</v>
      </c>
      <c r="Q302" s="20" t="s">
        <v>208</v>
      </c>
      <c r="R302" s="15">
        <f>N302/P302</f>
        <v>0.62395173118656722</v>
      </c>
      <c r="S302" s="21">
        <v>22</v>
      </c>
      <c r="T302" s="22">
        <f t="shared" ref="T302:T305" si="9">R302*S302</f>
        <v>13.726938086104479</v>
      </c>
    </row>
    <row r="303" spans="1:20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1872.4558823529412</v>
      </c>
      <c r="K303" s="2">
        <f t="shared" si="8"/>
        <v>0</v>
      </c>
      <c r="M303" s="18" t="s">
        <v>209</v>
      </c>
      <c r="N303" s="19">
        <f>BF13</f>
        <v>13948.665882352941</v>
      </c>
      <c r="O303" s="493"/>
      <c r="P303" s="495"/>
      <c r="Q303" s="20" t="s">
        <v>210</v>
      </c>
      <c r="R303" s="15">
        <f>N303/P302</f>
        <v>0.38103973200004393</v>
      </c>
      <c r="S303" s="21">
        <v>16</v>
      </c>
      <c r="T303" s="22">
        <f t="shared" si="9"/>
        <v>6.0966357120007029</v>
      </c>
    </row>
    <row r="304" spans="1:20">
      <c r="A304" s="3">
        <v>164000</v>
      </c>
      <c r="B304" s="3" t="s">
        <v>9</v>
      </c>
      <c r="C304" s="3" t="s">
        <v>334</v>
      </c>
      <c r="D304" s="3">
        <v>0</v>
      </c>
      <c r="E304" s="4">
        <v>7285.0652941176468</v>
      </c>
      <c r="H304">
        <v>20</v>
      </c>
      <c r="I304" t="s">
        <v>13</v>
      </c>
      <c r="J304" s="2">
        <f t="shared" si="7"/>
        <v>12902.714705882352</v>
      </c>
      <c r="K304" s="2">
        <f t="shared" si="8"/>
        <v>0</v>
      </c>
      <c r="M304" s="18" t="s">
        <v>211</v>
      </c>
      <c r="N304" s="19">
        <f>AS38</f>
        <v>334.88117647058823</v>
      </c>
      <c r="O304" s="23" t="s">
        <v>212</v>
      </c>
      <c r="P304" s="19">
        <f>AS5</f>
        <v>54462.002941176463</v>
      </c>
      <c r="Q304" s="20" t="s">
        <v>213</v>
      </c>
      <c r="R304" s="15">
        <f>N304/P304</f>
        <v>6.1488957141787098E-3</v>
      </c>
      <c r="S304" s="21">
        <v>-87</v>
      </c>
      <c r="T304" s="22">
        <f t="shared" si="9"/>
        <v>-0.53495392713354772</v>
      </c>
    </row>
    <row r="305" spans="1:20" ht="15.75" thickBot="1">
      <c r="A305" s="3">
        <v>168810</v>
      </c>
      <c r="B305" s="3" t="s">
        <v>9</v>
      </c>
      <c r="C305" s="3" t="s">
        <v>335</v>
      </c>
      <c r="D305" s="3">
        <v>0</v>
      </c>
      <c r="E305" s="3">
        <v>40.29</v>
      </c>
      <c r="H305">
        <v>30</v>
      </c>
      <c r="I305" t="s">
        <v>32</v>
      </c>
      <c r="J305" s="2">
        <f t="shared" si="7"/>
        <v>4572.0882352941171</v>
      </c>
      <c r="K305" s="2">
        <f t="shared" si="8"/>
        <v>0</v>
      </c>
      <c r="M305" s="24" t="s">
        <v>214</v>
      </c>
      <c r="N305" s="25">
        <f>AS26</f>
        <v>15075.848823529413</v>
      </c>
      <c r="O305" s="26" t="s">
        <v>215</v>
      </c>
      <c r="P305" s="25">
        <f>AS29+AS26+AS27</f>
        <v>21521.504705882347</v>
      </c>
      <c r="Q305" s="27" t="s">
        <v>216</v>
      </c>
      <c r="R305" s="28">
        <f>N305/P305</f>
        <v>0.70050161592134497</v>
      </c>
      <c r="S305" s="29">
        <v>-10</v>
      </c>
      <c r="T305" s="30">
        <f t="shared" si="9"/>
        <v>-7.0050161592134499</v>
      </c>
    </row>
    <row r="306" spans="1:20" ht="16.5" thickTop="1" thickBot="1">
      <c r="A306" s="3">
        <v>201000</v>
      </c>
      <c r="B306" s="3" t="s">
        <v>13</v>
      </c>
      <c r="C306" s="3" t="s">
        <v>336</v>
      </c>
      <c r="D306" s="4">
        <v>672.77352941176468</v>
      </c>
      <c r="E306" s="3">
        <v>0</v>
      </c>
      <c r="H306">
        <v>40</v>
      </c>
      <c r="I306" t="s">
        <v>35</v>
      </c>
      <c r="J306" s="2">
        <f t="shared" si="7"/>
        <v>807.79529411764702</v>
      </c>
      <c r="K306" s="2">
        <f t="shared" si="8"/>
        <v>14017.478823529413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19.167353964057639</v>
      </c>
    </row>
    <row r="307" spans="1:20" ht="15.75" thickTop="1">
      <c r="A307" s="3">
        <v>206000</v>
      </c>
      <c r="B307" s="3" t="s">
        <v>13</v>
      </c>
      <c r="C307" s="3" t="s">
        <v>15</v>
      </c>
      <c r="D307" s="4">
        <v>12229.941176470587</v>
      </c>
      <c r="E307" s="3">
        <v>0</v>
      </c>
      <c r="H307">
        <v>41</v>
      </c>
      <c r="I307" t="s">
        <v>39</v>
      </c>
      <c r="J307" s="2">
        <f t="shared" si="7"/>
        <v>5647.3458823529418</v>
      </c>
      <c r="K307" s="2">
        <f t="shared" si="8"/>
        <v>0</v>
      </c>
    </row>
    <row r="308" spans="1:20">
      <c r="A308" s="3">
        <v>213100</v>
      </c>
      <c r="B308" s="3" t="s">
        <v>16</v>
      </c>
      <c r="C308" s="3" t="s">
        <v>17</v>
      </c>
      <c r="D308" s="4">
        <v>1054.3529411764705</v>
      </c>
      <c r="E308" s="3">
        <v>0</v>
      </c>
      <c r="H308">
        <v>42</v>
      </c>
      <c r="I308" t="s">
        <v>42</v>
      </c>
      <c r="J308" s="2">
        <f t="shared" si="7"/>
        <v>1321.2394117647059</v>
      </c>
      <c r="K308" s="2">
        <f t="shared" si="8"/>
        <v>1877.4999999999998</v>
      </c>
    </row>
    <row r="309" spans="1:20">
      <c r="A309" s="3">
        <v>213500</v>
      </c>
      <c r="B309" s="3" t="s">
        <v>16</v>
      </c>
      <c r="C309" s="3" t="s">
        <v>337</v>
      </c>
      <c r="D309" s="4">
        <v>17692.741764705883</v>
      </c>
      <c r="E309" s="3">
        <v>0</v>
      </c>
      <c r="H309">
        <v>45</v>
      </c>
      <c r="I309" t="s">
        <v>65</v>
      </c>
      <c r="J309" s="2">
        <f t="shared" si="7"/>
        <v>0</v>
      </c>
      <c r="K309" s="2">
        <f t="shared" si="8"/>
        <v>2.3188235294117647</v>
      </c>
    </row>
    <row r="310" spans="1:20">
      <c r="A310" s="3">
        <v>215000</v>
      </c>
      <c r="B310" s="3" t="s">
        <v>16</v>
      </c>
      <c r="C310" s="3" t="s">
        <v>19</v>
      </c>
      <c r="D310" s="4">
        <v>1019.3988235294117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>
      <c r="A311" s="3">
        <v>218300</v>
      </c>
      <c r="B311" s="3" t="s">
        <v>16</v>
      </c>
      <c r="C311" s="3" t="s">
        <v>21</v>
      </c>
      <c r="D311" s="3">
        <v>43.200588235294113</v>
      </c>
      <c r="E311" s="3">
        <v>0</v>
      </c>
      <c r="H311">
        <v>46</v>
      </c>
      <c r="I311" t="s">
        <v>70</v>
      </c>
      <c r="J311" s="2">
        <f t="shared" si="7"/>
        <v>2482.4294117647059</v>
      </c>
      <c r="K311" s="2">
        <f t="shared" si="8"/>
        <v>0</v>
      </c>
    </row>
    <row r="312" spans="1:20">
      <c r="A312" s="3">
        <v>275000</v>
      </c>
      <c r="B312" s="3" t="s">
        <v>23</v>
      </c>
      <c r="C312" s="3" t="s">
        <v>24</v>
      </c>
      <c r="D312" s="4">
        <v>1872.4558823529412</v>
      </c>
      <c r="E312" s="3">
        <v>0</v>
      </c>
      <c r="H312">
        <v>50</v>
      </c>
      <c r="I312" t="s">
        <v>75</v>
      </c>
      <c r="J312" s="2">
        <f t="shared" si="7"/>
        <v>1246.8023529411764</v>
      </c>
      <c r="K312" s="2">
        <f t="shared" si="8"/>
        <v>0</v>
      </c>
    </row>
    <row r="313" spans="1:20">
      <c r="A313" s="3">
        <v>281310</v>
      </c>
      <c r="B313" s="3" t="s">
        <v>16</v>
      </c>
      <c r="C313" s="3" t="s">
        <v>26</v>
      </c>
      <c r="D313" s="3">
        <v>0</v>
      </c>
      <c r="E313" s="4">
        <v>1054.3529411764705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>
      <c r="A314" s="3">
        <v>281350</v>
      </c>
      <c r="B314" s="3" t="s">
        <v>16</v>
      </c>
      <c r="C314" s="3" t="s">
        <v>338</v>
      </c>
      <c r="D314" s="3">
        <v>0</v>
      </c>
      <c r="E314" s="4">
        <v>9823.6447058823524</v>
      </c>
      <c r="H314">
        <v>62</v>
      </c>
      <c r="I314" t="s">
        <v>110</v>
      </c>
      <c r="J314" s="2">
        <f t="shared" si="7"/>
        <v>250.25941176470587</v>
      </c>
      <c r="K314" s="2">
        <f t="shared" si="8"/>
        <v>0</v>
      </c>
    </row>
    <row r="315" spans="1:20">
      <c r="A315" s="3">
        <v>281500</v>
      </c>
      <c r="B315" s="3" t="s">
        <v>16</v>
      </c>
      <c r="C315" s="3" t="s">
        <v>28</v>
      </c>
      <c r="D315" s="3">
        <v>0</v>
      </c>
      <c r="E315" s="4">
        <v>1019.3988235294117</v>
      </c>
      <c r="H315">
        <v>62</v>
      </c>
      <c r="I315" t="s">
        <v>83</v>
      </c>
      <c r="J315" s="2">
        <f t="shared" si="7"/>
        <v>5749.7335294117647</v>
      </c>
      <c r="K315" s="2">
        <f t="shared" si="8"/>
        <v>3764.9470588235295</v>
      </c>
    </row>
    <row r="316" spans="1:20">
      <c r="A316" s="3">
        <v>281830</v>
      </c>
      <c r="B316" s="3" t="s">
        <v>16</v>
      </c>
      <c r="C316" s="3" t="s">
        <v>30</v>
      </c>
      <c r="D316" s="3">
        <v>0</v>
      </c>
      <c r="E316" s="3">
        <v>29.28</v>
      </c>
      <c r="H316">
        <v>62</v>
      </c>
      <c r="I316" t="s">
        <v>98</v>
      </c>
      <c r="J316" s="2">
        <f t="shared" si="7"/>
        <v>294.1764705882353</v>
      </c>
      <c r="K316" s="2">
        <f t="shared" si="8"/>
        <v>0</v>
      </c>
    </row>
    <row r="317" spans="1:20">
      <c r="A317" s="3">
        <v>371000</v>
      </c>
      <c r="B317" s="3" t="s">
        <v>32</v>
      </c>
      <c r="C317" s="3" t="s">
        <v>33</v>
      </c>
      <c r="D317" s="4">
        <v>3353.7523529411765</v>
      </c>
      <c r="E317" s="3">
        <v>0</v>
      </c>
      <c r="H317">
        <v>62</v>
      </c>
      <c r="I317" t="s">
        <v>116</v>
      </c>
      <c r="J317" s="2">
        <f t="shared" si="7"/>
        <v>2241.6288235294119</v>
      </c>
      <c r="K317" s="2">
        <f t="shared" si="8"/>
        <v>0</v>
      </c>
    </row>
    <row r="318" spans="1:20">
      <c r="A318" s="3">
        <v>372000</v>
      </c>
      <c r="B318" s="3" t="s">
        <v>32</v>
      </c>
      <c r="C318" s="3" t="s">
        <v>34</v>
      </c>
      <c r="D318" s="4">
        <v>1218.3358823529411</v>
      </c>
      <c r="E318" s="3">
        <v>0</v>
      </c>
      <c r="H318">
        <v>62</v>
      </c>
      <c r="I318" t="s">
        <v>101</v>
      </c>
      <c r="J318" s="2">
        <f t="shared" si="7"/>
        <v>8303.0011764705887</v>
      </c>
      <c r="K318" s="2">
        <f t="shared" si="8"/>
        <v>0</v>
      </c>
    </row>
    <row r="319" spans="1:20">
      <c r="A319" s="3">
        <v>401000</v>
      </c>
      <c r="B319" s="3" t="s">
        <v>35</v>
      </c>
      <c r="C319" s="3" t="s">
        <v>36</v>
      </c>
      <c r="D319" s="3">
        <v>25.341176470588238</v>
      </c>
      <c r="E319" s="4">
        <v>11298.18</v>
      </c>
      <c r="H319">
        <v>63</v>
      </c>
      <c r="I319" t="s">
        <v>124</v>
      </c>
      <c r="J319" s="2">
        <f t="shared" si="7"/>
        <v>906.57705882352934</v>
      </c>
      <c r="K319" s="2">
        <f t="shared" si="8"/>
        <v>0</v>
      </c>
    </row>
    <row r="320" spans="1:20">
      <c r="A320" s="3">
        <v>401100</v>
      </c>
      <c r="B320" s="3" t="s">
        <v>35</v>
      </c>
      <c r="C320" s="3" t="s">
        <v>339</v>
      </c>
      <c r="D320" s="3">
        <v>0</v>
      </c>
      <c r="E320" s="4">
        <v>2620.1182352941178</v>
      </c>
      <c r="H320">
        <v>63</v>
      </c>
      <c r="I320" t="s">
        <v>138</v>
      </c>
      <c r="J320" s="2">
        <f t="shared" si="7"/>
        <v>396.18764705882359</v>
      </c>
      <c r="K320" s="2">
        <f t="shared" si="8"/>
        <v>0</v>
      </c>
    </row>
    <row r="321" spans="1:11">
      <c r="A321" s="3">
        <v>408100</v>
      </c>
      <c r="B321" s="3" t="s">
        <v>35</v>
      </c>
      <c r="C321" s="3" t="s">
        <v>340</v>
      </c>
      <c r="D321" s="3">
        <v>0</v>
      </c>
      <c r="E321" s="4">
        <v>99.18058823529411</v>
      </c>
      <c r="H321">
        <v>64</v>
      </c>
      <c r="I321" t="s">
        <v>149</v>
      </c>
      <c r="J321" s="2">
        <f t="shared" si="7"/>
        <v>3765.4176470588231</v>
      </c>
      <c r="K321" s="2">
        <f t="shared" si="8"/>
        <v>884.23</v>
      </c>
    </row>
    <row r="322" spans="1:11">
      <c r="A322" s="3">
        <v>409800</v>
      </c>
      <c r="B322" s="3" t="s">
        <v>35</v>
      </c>
      <c r="C322" s="3" t="s">
        <v>38</v>
      </c>
      <c r="D322" s="4">
        <v>782.45411764705875</v>
      </c>
      <c r="E322" s="3">
        <v>0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>
      <c r="A323" s="3">
        <v>411002</v>
      </c>
      <c r="B323" s="3" t="s">
        <v>39</v>
      </c>
      <c r="C323" s="3" t="s">
        <v>341</v>
      </c>
      <c r="D323" s="4">
        <v>5647.3458823529418</v>
      </c>
      <c r="E323" s="3">
        <v>0</v>
      </c>
      <c r="H323">
        <v>64</v>
      </c>
      <c r="I323" t="s">
        <v>143</v>
      </c>
      <c r="J323" s="2">
        <f t="shared" si="7"/>
        <v>11081.922352941177</v>
      </c>
      <c r="K323" s="2">
        <f t="shared" si="8"/>
        <v>1128.8900000000001</v>
      </c>
    </row>
    <row r="324" spans="1:11">
      <c r="A324" s="3">
        <v>421000</v>
      </c>
      <c r="B324" s="3" t="s">
        <v>42</v>
      </c>
      <c r="C324" s="3" t="s">
        <v>43</v>
      </c>
      <c r="D324" s="3">
        <v>0</v>
      </c>
      <c r="E324" s="3">
        <v>0</v>
      </c>
      <c r="H324">
        <v>66</v>
      </c>
      <c r="I324" t="s">
        <v>113</v>
      </c>
      <c r="J324" s="2">
        <f t="shared" si="7"/>
        <v>334.88117647058823</v>
      </c>
      <c r="K324" s="2">
        <f t="shared" si="8"/>
        <v>0</v>
      </c>
    </row>
    <row r="325" spans="1:11">
      <c r="A325" s="3">
        <v>428200</v>
      </c>
      <c r="B325" s="3" t="s">
        <v>42</v>
      </c>
      <c r="C325" s="3" t="s">
        <v>45</v>
      </c>
      <c r="D325" s="3">
        <v>0</v>
      </c>
      <c r="E325" s="4">
        <v>494.60882352941178</v>
      </c>
      <c r="H325">
        <v>67</v>
      </c>
      <c r="I325" t="s">
        <v>158</v>
      </c>
      <c r="J325" s="2">
        <f t="shared" si="7"/>
        <v>141.04352941176472</v>
      </c>
      <c r="K325" s="2">
        <f t="shared" si="8"/>
        <v>0</v>
      </c>
    </row>
    <row r="326" spans="1:11">
      <c r="A326" s="3">
        <v>431000</v>
      </c>
      <c r="B326" s="3" t="s">
        <v>42</v>
      </c>
      <c r="C326" s="3" t="s">
        <v>46</v>
      </c>
      <c r="D326" s="3">
        <v>0</v>
      </c>
      <c r="E326" s="4">
        <v>446.29411764705884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>
      <c r="A327" s="3">
        <v>437000</v>
      </c>
      <c r="B327" s="3" t="s">
        <v>42</v>
      </c>
      <c r="C327" s="3" t="s">
        <v>342</v>
      </c>
      <c r="D327" s="3">
        <v>0</v>
      </c>
      <c r="E327" s="4">
        <v>182.06529411764706</v>
      </c>
      <c r="H327">
        <v>68</v>
      </c>
      <c r="I327" t="s">
        <v>164</v>
      </c>
      <c r="J327" s="2">
        <f t="shared" si="7"/>
        <v>2055.6158823529413</v>
      </c>
      <c r="K327" s="2">
        <f t="shared" si="8"/>
        <v>0</v>
      </c>
    </row>
    <row r="328" spans="1:11">
      <c r="A328" s="3">
        <v>437300</v>
      </c>
      <c r="B328" s="3" t="s">
        <v>42</v>
      </c>
      <c r="C328" s="3" t="s">
        <v>47</v>
      </c>
      <c r="D328" s="3">
        <v>0</v>
      </c>
      <c r="E328" s="4">
        <v>356.84647058823532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>
      <c r="A329" s="3">
        <v>437500</v>
      </c>
      <c r="B329" s="3" t="s">
        <v>42</v>
      </c>
      <c r="C329" s="3" t="s">
        <v>49</v>
      </c>
      <c r="D329" s="3">
        <v>0</v>
      </c>
      <c r="E329" s="3">
        <v>20.544117647058822</v>
      </c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1:11">
      <c r="A330" s="3">
        <v>437700</v>
      </c>
      <c r="B330" s="3" t="s">
        <v>42</v>
      </c>
      <c r="C330" s="3" t="s">
        <v>343</v>
      </c>
      <c r="D330" s="3">
        <v>0</v>
      </c>
      <c r="E330" s="3">
        <v>28.055882352941175</v>
      </c>
      <c r="H330">
        <v>77</v>
      </c>
      <c r="I330" t="s">
        <v>188</v>
      </c>
      <c r="J330" s="2">
        <f t="shared" si="7"/>
        <v>0</v>
      </c>
      <c r="K330" s="2">
        <f t="shared" si="8"/>
        <v>67.928235294117655</v>
      </c>
    </row>
    <row r="331" spans="1:11">
      <c r="A331" s="3">
        <v>438200</v>
      </c>
      <c r="B331" s="3" t="s">
        <v>42</v>
      </c>
      <c r="C331" s="3" t="s">
        <v>50</v>
      </c>
      <c r="D331" s="3">
        <v>0</v>
      </c>
      <c r="E331" s="4">
        <v>172.14470588235295</v>
      </c>
      <c r="H331">
        <v>607</v>
      </c>
      <c r="I331" t="s">
        <v>82</v>
      </c>
      <c r="J331" s="2">
        <f t="shared" si="7"/>
        <v>5042.6305882352935</v>
      </c>
      <c r="K331" s="2">
        <f t="shared" si="8"/>
        <v>557.58411764705886</v>
      </c>
    </row>
    <row r="332" spans="1:11">
      <c r="A332" s="3">
        <v>438600</v>
      </c>
      <c r="B332" s="3" t="s">
        <v>42</v>
      </c>
      <c r="C332" s="3" t="s">
        <v>344</v>
      </c>
      <c r="D332" s="3">
        <v>0</v>
      </c>
      <c r="E332" s="3">
        <v>0</v>
      </c>
      <c r="H332">
        <v>607</v>
      </c>
      <c r="I332" t="s">
        <v>80</v>
      </c>
      <c r="J332" s="2">
        <f t="shared" si="7"/>
        <v>17875.419999999998</v>
      </c>
      <c r="K332" s="2">
        <f t="shared" si="8"/>
        <v>864.5923529411765</v>
      </c>
    </row>
    <row r="333" spans="1:11">
      <c r="A333" s="3">
        <v>444000</v>
      </c>
      <c r="B333" s="3" t="s">
        <v>42</v>
      </c>
      <c r="C333" s="3" t="s">
        <v>53</v>
      </c>
      <c r="D333" s="4">
        <v>521.52941176470586</v>
      </c>
      <c r="E333" s="3">
        <v>0</v>
      </c>
      <c r="H333">
        <v>707</v>
      </c>
      <c r="I333" t="s">
        <v>176</v>
      </c>
      <c r="J333" s="2">
        <f t="shared" si="7"/>
        <v>3406.9770588235292</v>
      </c>
      <c r="K333" s="2">
        <f t="shared" si="8"/>
        <v>11588.611764705882</v>
      </c>
    </row>
    <row r="334" spans="1:11">
      <c r="A334" s="3">
        <v>445200</v>
      </c>
      <c r="B334" s="3" t="s">
        <v>42</v>
      </c>
      <c r="C334" s="3" t="s">
        <v>345</v>
      </c>
      <c r="D334" s="3">
        <v>1.2941176470588235E-2</v>
      </c>
      <c r="E334" s="3">
        <v>0</v>
      </c>
      <c r="H334">
        <v>707</v>
      </c>
      <c r="I334" t="s">
        <v>168</v>
      </c>
      <c r="J334" s="2">
        <f t="shared" si="7"/>
        <v>4423.9694117647059</v>
      </c>
      <c r="K334" s="2">
        <f t="shared" si="8"/>
        <v>50704.337647058819</v>
      </c>
    </row>
    <row r="335" spans="1:11">
      <c r="A335" s="3">
        <v>445510</v>
      </c>
      <c r="B335" s="3" t="s">
        <v>42</v>
      </c>
      <c r="C335" s="3" t="s">
        <v>54</v>
      </c>
      <c r="D335" s="3">
        <v>0</v>
      </c>
      <c r="E335" s="3">
        <v>47.470588235294116</v>
      </c>
      <c r="J335" s="2"/>
      <c r="K335" s="2"/>
    </row>
    <row r="336" spans="1:11">
      <c r="A336" s="3">
        <v>445660</v>
      </c>
      <c r="B336" s="3" t="s">
        <v>42</v>
      </c>
      <c r="C336" s="3" t="s">
        <v>56</v>
      </c>
      <c r="D336" s="4">
        <v>437.28588235294114</v>
      </c>
      <c r="E336" s="3">
        <v>0</v>
      </c>
      <c r="J336" s="2">
        <f>SUM(J314:J335)</f>
        <v>66269.441764705873</v>
      </c>
      <c r="K336" s="2">
        <f>SUM(K314:K335)</f>
        <v>69561.12117647058</v>
      </c>
    </row>
    <row r="337" spans="1:11">
      <c r="A337" s="3">
        <v>445661</v>
      </c>
      <c r="B337" s="3" t="s">
        <v>42</v>
      </c>
      <c r="C337" s="3" t="s">
        <v>346</v>
      </c>
      <c r="D337" s="3">
        <v>0</v>
      </c>
      <c r="E337" s="3">
        <v>1.2941176470588235E-2</v>
      </c>
      <c r="J337" s="2"/>
      <c r="K337" s="2"/>
    </row>
    <row r="338" spans="1:11">
      <c r="A338" s="3">
        <v>445670</v>
      </c>
      <c r="B338" s="3" t="s">
        <v>42</v>
      </c>
      <c r="C338" s="3" t="s">
        <v>57</v>
      </c>
      <c r="D338" s="4">
        <v>197.41176470588235</v>
      </c>
      <c r="E338" s="3">
        <v>0</v>
      </c>
      <c r="H338" s="5"/>
      <c r="I338" s="5" t="s">
        <v>199</v>
      </c>
      <c r="J338" s="6">
        <f>SUM(K336-J336)</f>
        <v>3291.6794117647078</v>
      </c>
      <c r="K338" s="2"/>
    </row>
    <row r="339" spans="1:11">
      <c r="A339" s="3">
        <v>445711</v>
      </c>
      <c r="B339" s="3" t="s">
        <v>42</v>
      </c>
      <c r="C339" s="3" t="s">
        <v>347</v>
      </c>
      <c r="D339" s="3">
        <v>0</v>
      </c>
      <c r="E339" s="3">
        <v>0</v>
      </c>
      <c r="J339" s="2"/>
      <c r="K339" s="2"/>
    </row>
    <row r="340" spans="1:11">
      <c r="A340" s="3">
        <v>445720</v>
      </c>
      <c r="B340" s="3" t="s">
        <v>42</v>
      </c>
      <c r="C340" s="3" t="s">
        <v>59</v>
      </c>
      <c r="D340" s="3">
        <v>0</v>
      </c>
      <c r="E340" s="3">
        <v>0</v>
      </c>
      <c r="I340" s="575"/>
      <c r="J340" s="2"/>
      <c r="K340" s="2"/>
    </row>
    <row r="341" spans="1:11">
      <c r="A341" s="3">
        <v>445860</v>
      </c>
      <c r="B341" s="3" t="s">
        <v>42</v>
      </c>
      <c r="C341" s="3" t="s">
        <v>61</v>
      </c>
      <c r="D341" s="3">
        <v>0</v>
      </c>
      <c r="E341" s="4">
        <v>114.10411764705883</v>
      </c>
      <c r="I341" s="575"/>
      <c r="J341" s="2"/>
      <c r="K341" s="2"/>
    </row>
    <row r="342" spans="1:11">
      <c r="A342" s="3">
        <v>445880</v>
      </c>
      <c r="B342" s="3" t="s">
        <v>42</v>
      </c>
      <c r="C342" s="3" t="s">
        <v>62</v>
      </c>
      <c r="D342" s="4">
        <v>164.99941176470588</v>
      </c>
      <c r="E342" s="3">
        <v>0</v>
      </c>
      <c r="I342" s="575"/>
      <c r="J342" s="576"/>
      <c r="K342" s="576"/>
    </row>
    <row r="343" spans="1:11">
      <c r="A343" s="3">
        <v>447000</v>
      </c>
      <c r="B343" s="3" t="s">
        <v>42</v>
      </c>
      <c r="C343" s="3" t="s">
        <v>63</v>
      </c>
      <c r="D343" s="3">
        <v>0</v>
      </c>
      <c r="E343" s="3">
        <v>0</v>
      </c>
    </row>
    <row r="344" spans="1:11">
      <c r="A344" s="3">
        <v>448600</v>
      </c>
      <c r="B344" s="3" t="s">
        <v>42</v>
      </c>
      <c r="C344" s="3" t="s">
        <v>64</v>
      </c>
      <c r="D344" s="3">
        <v>0</v>
      </c>
      <c r="E344" s="3">
        <v>15.352941176470589</v>
      </c>
    </row>
    <row r="345" spans="1:11">
      <c r="A345" s="3">
        <v>448700</v>
      </c>
      <c r="B345" s="3" t="s">
        <v>42</v>
      </c>
      <c r="C345" s="3" t="s">
        <v>318</v>
      </c>
      <c r="D345" s="3">
        <v>0</v>
      </c>
      <c r="E345" s="3">
        <v>0</v>
      </c>
    </row>
    <row r="346" spans="1:11">
      <c r="A346" s="3">
        <v>455103</v>
      </c>
      <c r="B346" s="3" t="s">
        <v>65</v>
      </c>
      <c r="C346" s="3" t="s">
        <v>348</v>
      </c>
      <c r="D346" s="3">
        <v>0</v>
      </c>
      <c r="E346" s="3">
        <v>2.3188235294117647</v>
      </c>
    </row>
    <row r="347" spans="1:11">
      <c r="A347" s="3">
        <v>467200</v>
      </c>
      <c r="B347" s="3" t="s">
        <v>70</v>
      </c>
      <c r="C347" s="3" t="s">
        <v>349</v>
      </c>
      <c r="D347" s="4">
        <v>62.336470588235294</v>
      </c>
      <c r="E347" s="3">
        <v>0</v>
      </c>
    </row>
    <row r="348" spans="1:11">
      <c r="A348" s="3">
        <v>467500</v>
      </c>
      <c r="B348" s="3" t="s">
        <v>70</v>
      </c>
      <c r="C348" s="3" t="s">
        <v>69</v>
      </c>
      <c r="D348" s="4">
        <v>166.32647058823531</v>
      </c>
      <c r="E348" s="3">
        <v>0</v>
      </c>
    </row>
    <row r="349" spans="1:11">
      <c r="A349" s="3">
        <v>467700</v>
      </c>
      <c r="B349" s="3" t="s">
        <v>70</v>
      </c>
      <c r="C349" s="3" t="s">
        <v>350</v>
      </c>
      <c r="D349" s="3">
        <v>0</v>
      </c>
      <c r="E349" s="3">
        <v>0</v>
      </c>
    </row>
    <row r="350" spans="1:11">
      <c r="A350" s="3">
        <v>486000</v>
      </c>
      <c r="B350" s="3" t="s">
        <v>70</v>
      </c>
      <c r="C350" s="3" t="s">
        <v>72</v>
      </c>
      <c r="D350" s="4">
        <v>2253.7664705882353</v>
      </c>
      <c r="E350" s="3">
        <v>0</v>
      </c>
    </row>
    <row r="351" spans="1:11">
      <c r="A351" s="3">
        <v>512110</v>
      </c>
      <c r="B351" s="3" t="s">
        <v>75</v>
      </c>
      <c r="C351" s="3" t="s">
        <v>351</v>
      </c>
      <c r="D351" s="3">
        <v>1.3305882352941176</v>
      </c>
      <c r="E351" s="3">
        <v>0</v>
      </c>
    </row>
    <row r="352" spans="1:11">
      <c r="A352" s="3">
        <v>512200</v>
      </c>
      <c r="B352" s="3" t="s">
        <v>75</v>
      </c>
      <c r="C352" s="3" t="s">
        <v>74</v>
      </c>
      <c r="D352" s="4">
        <v>1098.5417647058823</v>
      </c>
      <c r="E352" s="3">
        <v>0</v>
      </c>
    </row>
    <row r="353" spans="1:5">
      <c r="A353" s="3">
        <v>512400</v>
      </c>
      <c r="B353" s="3" t="s">
        <v>75</v>
      </c>
      <c r="C353" s="3" t="s">
        <v>352</v>
      </c>
      <c r="D353" s="4">
        <v>123.03411764705882</v>
      </c>
      <c r="E353" s="3">
        <v>0</v>
      </c>
    </row>
    <row r="354" spans="1:5">
      <c r="A354" s="3">
        <v>531000</v>
      </c>
      <c r="B354" s="3" t="s">
        <v>75</v>
      </c>
      <c r="C354" s="3" t="s">
        <v>77</v>
      </c>
      <c r="D354" s="3">
        <v>23.895882352941179</v>
      </c>
      <c r="E354" s="3">
        <v>0</v>
      </c>
    </row>
    <row r="355" spans="1:5">
      <c r="A355" s="3">
        <v>580000</v>
      </c>
      <c r="B355" s="3" t="s">
        <v>75</v>
      </c>
      <c r="C355" s="3" t="s">
        <v>78</v>
      </c>
      <c r="D355" s="3">
        <v>0</v>
      </c>
      <c r="E355" s="3">
        <v>0</v>
      </c>
    </row>
    <row r="356" spans="1:5">
      <c r="A356" s="3">
        <v>581000</v>
      </c>
      <c r="B356" s="3" t="s">
        <v>75</v>
      </c>
      <c r="C356" s="3" t="s">
        <v>353</v>
      </c>
      <c r="D356" s="3">
        <v>0</v>
      </c>
      <c r="E356" s="3">
        <v>0</v>
      </c>
    </row>
    <row r="357" spans="1:5">
      <c r="A357" s="3">
        <v>602600</v>
      </c>
      <c r="B357" s="3" t="s">
        <v>83</v>
      </c>
      <c r="C357" s="3" t="s">
        <v>322</v>
      </c>
      <c r="D357" s="3">
        <v>0.75294117647058822</v>
      </c>
      <c r="E357" s="3">
        <v>0</v>
      </c>
    </row>
    <row r="358" spans="1:5">
      <c r="A358" s="3">
        <v>603710</v>
      </c>
      <c r="B358" s="3" t="s">
        <v>80</v>
      </c>
      <c r="C358" s="3" t="s">
        <v>81</v>
      </c>
      <c r="D358" s="3">
        <v>0</v>
      </c>
      <c r="E358" s="4">
        <v>200.78294117647059</v>
      </c>
    </row>
    <row r="359" spans="1:5">
      <c r="A359" s="3">
        <v>603720</v>
      </c>
      <c r="B359" s="3" t="s">
        <v>82</v>
      </c>
      <c r="C359" s="3" t="s">
        <v>354</v>
      </c>
      <c r="D359" s="3">
        <v>0</v>
      </c>
      <c r="E359" s="4">
        <v>557.58411764705886</v>
      </c>
    </row>
    <row r="360" spans="1:5">
      <c r="A360" s="3">
        <v>606110</v>
      </c>
      <c r="B360" s="3" t="s">
        <v>82</v>
      </c>
      <c r="C360" s="3" t="s">
        <v>84</v>
      </c>
      <c r="D360" s="4">
        <v>266.03588235294114</v>
      </c>
      <c r="E360" s="3">
        <v>0</v>
      </c>
    </row>
    <row r="361" spans="1:5">
      <c r="A361" s="3">
        <v>606140</v>
      </c>
      <c r="B361" s="3" t="s">
        <v>83</v>
      </c>
      <c r="C361" s="3" t="s">
        <v>85</v>
      </c>
      <c r="D361" s="3">
        <v>35.196470588235293</v>
      </c>
      <c r="E361" s="3">
        <v>0</v>
      </c>
    </row>
    <row r="362" spans="1:5">
      <c r="A362" s="3">
        <v>606300</v>
      </c>
      <c r="B362" s="3" t="s">
        <v>83</v>
      </c>
      <c r="C362" s="3" t="s">
        <v>86</v>
      </c>
      <c r="D362" s="3">
        <v>12.404705882352941</v>
      </c>
      <c r="E362" s="3">
        <v>0</v>
      </c>
    </row>
    <row r="363" spans="1:5">
      <c r="A363" s="3">
        <v>606400</v>
      </c>
      <c r="B363" s="3" t="s">
        <v>83</v>
      </c>
      <c r="C363" s="3" t="s">
        <v>87</v>
      </c>
      <c r="D363" s="4">
        <v>116.39529411764705</v>
      </c>
      <c r="E363" s="3">
        <v>0</v>
      </c>
    </row>
    <row r="364" spans="1:5">
      <c r="A364" s="3">
        <v>606500</v>
      </c>
      <c r="B364" s="3" t="s">
        <v>83</v>
      </c>
      <c r="C364" s="3" t="s">
        <v>88</v>
      </c>
      <c r="D364" s="4">
        <v>103.87176470588236</v>
      </c>
      <c r="E364" s="3">
        <v>0</v>
      </c>
    </row>
    <row r="365" spans="1:5">
      <c r="A365" s="3">
        <v>607100</v>
      </c>
      <c r="B365" s="3" t="s">
        <v>80</v>
      </c>
      <c r="C365" s="3" t="s">
        <v>89</v>
      </c>
      <c r="D365" s="4">
        <v>1073.2635294117647</v>
      </c>
      <c r="E365" s="3">
        <v>0</v>
      </c>
    </row>
    <row r="366" spans="1:5">
      <c r="A366" s="3">
        <v>607200</v>
      </c>
      <c r="B366" s="3" t="s">
        <v>80</v>
      </c>
      <c r="C366" s="3" t="s">
        <v>90</v>
      </c>
      <c r="D366" s="4">
        <v>11540.395294117647</v>
      </c>
      <c r="E366" s="3">
        <v>0</v>
      </c>
    </row>
    <row r="367" spans="1:5">
      <c r="A367" s="3">
        <v>607300</v>
      </c>
      <c r="B367" s="3" t="s">
        <v>80</v>
      </c>
      <c r="C367" s="3" t="s">
        <v>91</v>
      </c>
      <c r="D367" s="4">
        <v>1081.6417647058825</v>
      </c>
      <c r="E367" s="3">
        <v>0</v>
      </c>
    </row>
    <row r="368" spans="1:5">
      <c r="A368" s="3">
        <v>607310</v>
      </c>
      <c r="B368" s="3" t="s">
        <v>80</v>
      </c>
      <c r="C368" s="3" t="s">
        <v>355</v>
      </c>
      <c r="D368" s="4">
        <v>78.47588235294117</v>
      </c>
      <c r="E368" s="3">
        <v>0</v>
      </c>
    </row>
    <row r="369" spans="1:5">
      <c r="A369" s="3">
        <v>607600</v>
      </c>
      <c r="B369" s="3" t="s">
        <v>80</v>
      </c>
      <c r="C369" s="3" t="s">
        <v>356</v>
      </c>
      <c r="D369" s="4">
        <v>4101.6435294117646</v>
      </c>
      <c r="E369" s="3">
        <v>0</v>
      </c>
    </row>
    <row r="370" spans="1:5">
      <c r="A370" s="3">
        <v>607700</v>
      </c>
      <c r="B370" s="3" t="s">
        <v>82</v>
      </c>
      <c r="C370" s="3" t="s">
        <v>94</v>
      </c>
      <c r="D370" s="4">
        <v>3234.4294117647059</v>
      </c>
      <c r="E370" s="3">
        <v>0</v>
      </c>
    </row>
    <row r="371" spans="1:5">
      <c r="A371" s="3">
        <v>607710</v>
      </c>
      <c r="B371" s="3" t="s">
        <v>82</v>
      </c>
      <c r="C371" s="3" t="s">
        <v>357</v>
      </c>
      <c r="D371" s="4">
        <v>709.67117647058819</v>
      </c>
      <c r="E371" s="3">
        <v>0</v>
      </c>
    </row>
    <row r="372" spans="1:5">
      <c r="A372" s="3">
        <v>607800</v>
      </c>
      <c r="B372" s="3" t="s">
        <v>82</v>
      </c>
      <c r="C372" s="3" t="s">
        <v>96</v>
      </c>
      <c r="D372" s="4">
        <v>832.49411764705883</v>
      </c>
      <c r="E372" s="3">
        <v>0</v>
      </c>
    </row>
    <row r="373" spans="1:5">
      <c r="A373" s="3">
        <v>609700</v>
      </c>
      <c r="B373" s="3" t="s">
        <v>80</v>
      </c>
      <c r="C373" s="3" t="s">
        <v>358</v>
      </c>
      <c r="D373" s="3">
        <v>0</v>
      </c>
      <c r="E373" s="4">
        <v>663.80941176470594</v>
      </c>
    </row>
    <row r="374" spans="1:5">
      <c r="A374" s="3">
        <v>612511</v>
      </c>
      <c r="B374" s="3" t="s">
        <v>98</v>
      </c>
      <c r="C374" s="3" t="s">
        <v>359</v>
      </c>
      <c r="D374" s="4">
        <v>294.1764705882353</v>
      </c>
      <c r="E374" s="3">
        <v>0</v>
      </c>
    </row>
    <row r="375" spans="1:5">
      <c r="A375" s="3">
        <v>613200</v>
      </c>
      <c r="B375" s="3" t="s">
        <v>101</v>
      </c>
      <c r="C375" s="3" t="s">
        <v>102</v>
      </c>
      <c r="D375" s="4">
        <v>7654.7988235294115</v>
      </c>
      <c r="E375" s="3">
        <v>0</v>
      </c>
    </row>
    <row r="376" spans="1:5">
      <c r="A376" s="3">
        <v>614000</v>
      </c>
      <c r="B376" s="3" t="s">
        <v>101</v>
      </c>
      <c r="C376" s="3" t="s">
        <v>105</v>
      </c>
      <c r="D376" s="4">
        <v>648.20235294117651</v>
      </c>
      <c r="E376" s="3">
        <v>0</v>
      </c>
    </row>
    <row r="377" spans="1:5">
      <c r="A377" s="3">
        <v>615200</v>
      </c>
      <c r="B377" s="3" t="s">
        <v>83</v>
      </c>
      <c r="C377" s="3" t="s">
        <v>106</v>
      </c>
      <c r="D377" s="4">
        <v>276.51941176470586</v>
      </c>
      <c r="E377" s="3">
        <v>0</v>
      </c>
    </row>
    <row r="378" spans="1:5">
      <c r="A378" s="3">
        <v>615510</v>
      </c>
      <c r="B378" s="3" t="s">
        <v>83</v>
      </c>
      <c r="C378" s="3" t="s">
        <v>107</v>
      </c>
      <c r="D378" s="3">
        <v>21.469411764705882</v>
      </c>
      <c r="E378" s="3">
        <v>0</v>
      </c>
    </row>
    <row r="379" spans="1:5">
      <c r="A379" s="3">
        <v>615520</v>
      </c>
      <c r="B379" s="3" t="s">
        <v>83</v>
      </c>
      <c r="C379" s="3" t="s">
        <v>108</v>
      </c>
      <c r="D379" s="3">
        <v>6.2170588235294115</v>
      </c>
      <c r="E379" s="3">
        <v>0</v>
      </c>
    </row>
    <row r="380" spans="1:5">
      <c r="A380" s="3">
        <v>615600</v>
      </c>
      <c r="B380" s="3" t="s">
        <v>83</v>
      </c>
      <c r="C380" s="3" t="s">
        <v>109</v>
      </c>
      <c r="D380" s="4">
        <v>436.13647058823528</v>
      </c>
      <c r="E380" s="3">
        <v>0</v>
      </c>
    </row>
    <row r="381" spans="1:5">
      <c r="A381" s="3">
        <v>616000</v>
      </c>
      <c r="B381" s="3" t="s">
        <v>110</v>
      </c>
      <c r="C381" s="3" t="s">
        <v>326</v>
      </c>
      <c r="D381" s="4">
        <v>250.25941176470587</v>
      </c>
      <c r="E381" s="3">
        <v>0</v>
      </c>
    </row>
    <row r="382" spans="1:5">
      <c r="A382" s="3">
        <v>621000</v>
      </c>
      <c r="B382" s="3" t="s">
        <v>116</v>
      </c>
      <c r="C382" s="3" t="s">
        <v>117</v>
      </c>
      <c r="D382" s="4">
        <v>2241.6288235294119</v>
      </c>
      <c r="E382" s="3">
        <v>0</v>
      </c>
    </row>
    <row r="383" spans="1:5">
      <c r="A383" s="3">
        <v>622400</v>
      </c>
      <c r="B383" s="3" t="s">
        <v>83</v>
      </c>
      <c r="C383" s="3" t="s">
        <v>360</v>
      </c>
      <c r="D383" s="4">
        <v>137.64705882352942</v>
      </c>
      <c r="E383" s="3">
        <v>0</v>
      </c>
    </row>
    <row r="384" spans="1:5">
      <c r="A384" s="3">
        <v>622600</v>
      </c>
      <c r="B384" s="3" t="s">
        <v>83</v>
      </c>
      <c r="C384" s="3" t="s">
        <v>361</v>
      </c>
      <c r="D384" s="4">
        <v>419.11764705882354</v>
      </c>
      <c r="E384" s="3">
        <v>0</v>
      </c>
    </row>
    <row r="385" spans="1:5">
      <c r="A385" s="3">
        <v>622610</v>
      </c>
      <c r="B385" s="3" t="s">
        <v>83</v>
      </c>
      <c r="C385" s="3" t="s">
        <v>362</v>
      </c>
      <c r="D385" s="4">
        <v>121.76470588235294</v>
      </c>
      <c r="E385" s="3">
        <v>0</v>
      </c>
    </row>
    <row r="386" spans="1:5">
      <c r="A386" s="3">
        <v>622620</v>
      </c>
      <c r="B386" s="3" t="s">
        <v>83</v>
      </c>
      <c r="C386" s="3" t="s">
        <v>120</v>
      </c>
      <c r="D386" s="4">
        <v>61.176470588235297</v>
      </c>
      <c r="E386" s="3">
        <v>0</v>
      </c>
    </row>
    <row r="387" spans="1:5">
      <c r="A387" s="3">
        <v>622700</v>
      </c>
      <c r="B387" s="3" t="s">
        <v>83</v>
      </c>
      <c r="C387" s="3" t="s">
        <v>123</v>
      </c>
      <c r="D387" s="3">
        <v>0.5711764705882354</v>
      </c>
      <c r="E387" s="3">
        <v>0</v>
      </c>
    </row>
    <row r="388" spans="1:5">
      <c r="A388" s="3">
        <v>622800</v>
      </c>
      <c r="B388" s="3" t="s">
        <v>83</v>
      </c>
      <c r="C388" s="3" t="s">
        <v>363</v>
      </c>
      <c r="D388" s="4">
        <v>76.470588235294116</v>
      </c>
      <c r="E388" s="3">
        <v>0</v>
      </c>
    </row>
    <row r="389" spans="1:5">
      <c r="A389" s="3">
        <v>623102</v>
      </c>
      <c r="B389" s="3" t="s">
        <v>83</v>
      </c>
      <c r="C389" s="3" t="s">
        <v>364</v>
      </c>
      <c r="D389" s="4">
        <v>1633.8935294117646</v>
      </c>
      <c r="E389" s="3">
        <v>0</v>
      </c>
    </row>
    <row r="390" spans="1:5">
      <c r="A390" s="3">
        <v>623200</v>
      </c>
      <c r="B390" s="3" t="s">
        <v>124</v>
      </c>
      <c r="C390" s="3" t="s">
        <v>127</v>
      </c>
      <c r="D390" s="4">
        <v>873.52941176470586</v>
      </c>
      <c r="E390" s="3">
        <v>0</v>
      </c>
    </row>
    <row r="391" spans="1:5">
      <c r="A391" s="3">
        <v>623400</v>
      </c>
      <c r="B391" s="3" t="s">
        <v>124</v>
      </c>
      <c r="C391" s="3" t="s">
        <v>128</v>
      </c>
      <c r="D391" s="3">
        <v>33.047647058823529</v>
      </c>
      <c r="E391" s="3">
        <v>0</v>
      </c>
    </row>
    <row r="392" spans="1:5">
      <c r="A392" s="3">
        <v>623800</v>
      </c>
      <c r="B392" s="3" t="s">
        <v>83</v>
      </c>
      <c r="C392" s="3" t="s">
        <v>328</v>
      </c>
      <c r="D392" s="3">
        <v>31.176470588235293</v>
      </c>
      <c r="E392" s="3">
        <v>0</v>
      </c>
    </row>
    <row r="393" spans="1:5">
      <c r="A393" s="3">
        <v>624100</v>
      </c>
      <c r="B393" s="3" t="s">
        <v>83</v>
      </c>
      <c r="C393" s="3" t="s">
        <v>129</v>
      </c>
      <c r="D393" s="4">
        <v>242.14411764705881</v>
      </c>
      <c r="E393" s="3">
        <v>0</v>
      </c>
    </row>
    <row r="394" spans="1:5">
      <c r="A394" s="3">
        <v>625100</v>
      </c>
      <c r="B394" s="3" t="s">
        <v>83</v>
      </c>
      <c r="C394" s="3" t="s">
        <v>130</v>
      </c>
      <c r="D394" s="4">
        <v>348.08823529411762</v>
      </c>
      <c r="E394" s="3">
        <v>0</v>
      </c>
    </row>
    <row r="395" spans="1:5">
      <c r="A395" s="3">
        <v>625700</v>
      </c>
      <c r="B395" s="3" t="s">
        <v>83</v>
      </c>
      <c r="C395" s="3" t="s">
        <v>132</v>
      </c>
      <c r="D395" s="4">
        <v>323.22352941176473</v>
      </c>
      <c r="E395" s="3">
        <v>0</v>
      </c>
    </row>
    <row r="396" spans="1:5">
      <c r="A396" s="3">
        <v>626100</v>
      </c>
      <c r="B396" s="3" t="s">
        <v>83</v>
      </c>
      <c r="C396" s="3" t="s">
        <v>133</v>
      </c>
      <c r="D396" s="4">
        <v>86.941176470588232</v>
      </c>
      <c r="E396" s="3">
        <v>0</v>
      </c>
    </row>
    <row r="397" spans="1:5">
      <c r="A397" s="3">
        <v>626200</v>
      </c>
      <c r="B397" s="3" t="s">
        <v>83</v>
      </c>
      <c r="C397" s="3" t="s">
        <v>134</v>
      </c>
      <c r="D397" s="4">
        <v>163.57647058823531</v>
      </c>
      <c r="E397" s="3">
        <v>0</v>
      </c>
    </row>
    <row r="398" spans="1:5">
      <c r="A398" s="3">
        <v>627500</v>
      </c>
      <c r="B398" s="3" t="s">
        <v>83</v>
      </c>
      <c r="C398" s="3" t="s">
        <v>135</v>
      </c>
      <c r="D398" s="4">
        <v>93.432941176470578</v>
      </c>
      <c r="E398" s="3">
        <v>0</v>
      </c>
    </row>
    <row r="399" spans="1:5">
      <c r="A399" s="3">
        <v>628100</v>
      </c>
      <c r="B399" s="3" t="s">
        <v>83</v>
      </c>
      <c r="C399" s="3" t="s">
        <v>137</v>
      </c>
      <c r="D399" s="4">
        <v>413.31058823529412</v>
      </c>
      <c r="E399" s="3">
        <v>0</v>
      </c>
    </row>
    <row r="400" spans="1:5">
      <c r="A400" s="3">
        <v>631200</v>
      </c>
      <c r="B400" s="3" t="s">
        <v>138</v>
      </c>
      <c r="C400" s="3" t="s">
        <v>139</v>
      </c>
      <c r="D400" s="4">
        <v>74.588235294117652</v>
      </c>
      <c r="E400" s="3">
        <v>0</v>
      </c>
    </row>
    <row r="401" spans="1:5">
      <c r="A401" s="3">
        <v>633300</v>
      </c>
      <c r="B401" s="3" t="s">
        <v>138</v>
      </c>
      <c r="C401" s="3" t="s">
        <v>365</v>
      </c>
      <c r="D401" s="4">
        <v>91.011176470588239</v>
      </c>
      <c r="E401" s="3">
        <v>0</v>
      </c>
    </row>
    <row r="402" spans="1:5">
      <c r="A402" s="3">
        <v>635111</v>
      </c>
      <c r="B402" s="3" t="s">
        <v>138</v>
      </c>
      <c r="C402" s="3" t="s">
        <v>141</v>
      </c>
      <c r="D402" s="4">
        <v>183.11764705882354</v>
      </c>
      <c r="E402" s="3">
        <v>0</v>
      </c>
    </row>
    <row r="403" spans="1:5">
      <c r="A403" s="3">
        <v>635140</v>
      </c>
      <c r="B403" s="3" t="s">
        <v>138</v>
      </c>
      <c r="C403" s="3" t="s">
        <v>142</v>
      </c>
      <c r="D403" s="3">
        <v>47.470588235294116</v>
      </c>
      <c r="E403" s="3">
        <v>0</v>
      </c>
    </row>
    <row r="404" spans="1:5">
      <c r="A404" s="3">
        <v>641100</v>
      </c>
      <c r="B404" s="3" t="s">
        <v>143</v>
      </c>
      <c r="C404" s="3" t="s">
        <v>144</v>
      </c>
      <c r="D404" s="4">
        <v>9981.7917647058821</v>
      </c>
      <c r="E404" s="3">
        <v>0</v>
      </c>
    </row>
    <row r="405" spans="1:5">
      <c r="A405" s="3">
        <v>641200</v>
      </c>
      <c r="B405" s="3" t="s">
        <v>143</v>
      </c>
      <c r="C405" s="3" t="s">
        <v>145</v>
      </c>
      <c r="D405" s="3">
        <v>0</v>
      </c>
      <c r="E405" s="4">
        <v>92.576470588235296</v>
      </c>
    </row>
    <row r="406" spans="1:5">
      <c r="A406" s="3">
        <v>641300</v>
      </c>
      <c r="B406" s="3" t="s">
        <v>143</v>
      </c>
      <c r="C406" s="3" t="s">
        <v>366</v>
      </c>
      <c r="D406" s="4">
        <v>1078.4541176470589</v>
      </c>
      <c r="E406" s="3">
        <v>0</v>
      </c>
    </row>
    <row r="407" spans="1:5">
      <c r="A407" s="3">
        <v>641410</v>
      </c>
      <c r="B407" s="3" t="s">
        <v>143</v>
      </c>
      <c r="C407" s="3" t="s">
        <v>367</v>
      </c>
      <c r="D407" s="3">
        <v>21.676470588235293</v>
      </c>
      <c r="E407" s="3">
        <v>0</v>
      </c>
    </row>
    <row r="408" spans="1:5">
      <c r="A408" s="3">
        <v>645100</v>
      </c>
      <c r="B408" s="3" t="s">
        <v>149</v>
      </c>
      <c r="C408" s="3" t="s">
        <v>150</v>
      </c>
      <c r="D408" s="4">
        <v>2769.4611764705878</v>
      </c>
      <c r="E408" s="3">
        <v>0</v>
      </c>
    </row>
    <row r="409" spans="1:5">
      <c r="A409" s="3">
        <v>645310</v>
      </c>
      <c r="B409" s="3" t="s">
        <v>149</v>
      </c>
      <c r="C409" s="3" t="s">
        <v>151</v>
      </c>
      <c r="D409" s="4">
        <v>699.85235294117649</v>
      </c>
      <c r="E409" s="3">
        <v>0</v>
      </c>
    </row>
    <row r="410" spans="1:5">
      <c r="A410" s="3">
        <v>645500</v>
      </c>
      <c r="B410" s="3" t="s">
        <v>149</v>
      </c>
      <c r="C410" s="3" t="s">
        <v>368</v>
      </c>
      <c r="D410" s="4">
        <v>217.49058823529413</v>
      </c>
      <c r="E410" s="3">
        <v>0</v>
      </c>
    </row>
    <row r="411" spans="1:5">
      <c r="A411" s="3">
        <v>645600</v>
      </c>
      <c r="B411" s="3" t="s">
        <v>149</v>
      </c>
      <c r="C411" s="3" t="s">
        <v>153</v>
      </c>
      <c r="D411" s="3">
        <v>51.260588235294115</v>
      </c>
      <c r="E411" s="3">
        <v>0</v>
      </c>
    </row>
    <row r="412" spans="1:5">
      <c r="A412" s="3">
        <v>647000</v>
      </c>
      <c r="B412" s="3" t="s">
        <v>149</v>
      </c>
      <c r="C412" s="3" t="s">
        <v>369</v>
      </c>
      <c r="D412" s="3">
        <v>0</v>
      </c>
      <c r="E412" s="3">
        <v>39.724705882352943</v>
      </c>
    </row>
    <row r="413" spans="1:5">
      <c r="A413" s="3">
        <v>647500</v>
      </c>
      <c r="B413" s="3" t="s">
        <v>149</v>
      </c>
      <c r="C413" s="3" t="s">
        <v>370</v>
      </c>
      <c r="D413" s="3">
        <v>27.352941176470587</v>
      </c>
      <c r="E413" s="3">
        <v>0</v>
      </c>
    </row>
    <row r="414" spans="1:5">
      <c r="A414" s="3">
        <v>649100</v>
      </c>
      <c r="B414" s="3" t="s">
        <v>149</v>
      </c>
      <c r="C414" s="3" t="s">
        <v>329</v>
      </c>
      <c r="D414" s="3">
        <v>0</v>
      </c>
      <c r="E414" s="4">
        <v>520.47058823529414</v>
      </c>
    </row>
    <row r="415" spans="1:5">
      <c r="A415" s="3">
        <v>651000</v>
      </c>
      <c r="B415" s="3" t="s">
        <v>83</v>
      </c>
      <c r="C415" s="3" t="s">
        <v>371</v>
      </c>
      <c r="D415" s="4">
        <v>588.23529411764707</v>
      </c>
      <c r="E415" s="3">
        <v>0</v>
      </c>
    </row>
    <row r="416" spans="1:5">
      <c r="A416" s="3">
        <v>651600</v>
      </c>
      <c r="B416" s="3" t="s">
        <v>158</v>
      </c>
      <c r="C416" s="3" t="s">
        <v>372</v>
      </c>
      <c r="D416" s="3">
        <v>13.550588235294118</v>
      </c>
      <c r="E416" s="3">
        <v>0</v>
      </c>
    </row>
    <row r="417" spans="1:5">
      <c r="A417" s="3">
        <v>658000</v>
      </c>
      <c r="B417" s="3" t="s">
        <v>158</v>
      </c>
      <c r="C417" s="3" t="s">
        <v>159</v>
      </c>
      <c r="D417" s="3">
        <v>2.3894117647058821</v>
      </c>
      <c r="E417" s="3">
        <v>0</v>
      </c>
    </row>
    <row r="418" spans="1:5">
      <c r="A418" s="3">
        <v>661160</v>
      </c>
      <c r="B418" s="3" t="s">
        <v>113</v>
      </c>
      <c r="C418" s="3" t="s">
        <v>160</v>
      </c>
      <c r="D418" s="4">
        <v>334.88117647058823</v>
      </c>
      <c r="E418" s="3">
        <v>0</v>
      </c>
    </row>
    <row r="419" spans="1:5">
      <c r="A419" s="3">
        <v>671800</v>
      </c>
      <c r="B419" s="3" t="s">
        <v>158</v>
      </c>
      <c r="C419" s="3" t="s">
        <v>163</v>
      </c>
      <c r="D419" s="4">
        <v>125.10352941176473</v>
      </c>
      <c r="E419" s="3">
        <v>0</v>
      </c>
    </row>
    <row r="420" spans="1:5">
      <c r="A420" s="3">
        <v>681120</v>
      </c>
      <c r="B420" s="3" t="s">
        <v>164</v>
      </c>
      <c r="C420" s="3" t="s">
        <v>165</v>
      </c>
      <c r="D420" s="4">
        <v>2055.6158823529413</v>
      </c>
      <c r="E420" s="3">
        <v>0</v>
      </c>
    </row>
    <row r="421" spans="1:5">
      <c r="A421" s="3">
        <v>699100</v>
      </c>
      <c r="B421" s="3" t="s">
        <v>188</v>
      </c>
      <c r="C421" s="3" t="s">
        <v>373</v>
      </c>
      <c r="D421" s="3">
        <v>0</v>
      </c>
      <c r="E421" s="3">
        <v>1.0588235294117647</v>
      </c>
    </row>
    <row r="422" spans="1:5">
      <c r="A422" s="3">
        <v>707100</v>
      </c>
      <c r="B422" s="3" t="s">
        <v>168</v>
      </c>
      <c r="C422" s="3" t="s">
        <v>169</v>
      </c>
      <c r="D422" s="3">
        <v>0</v>
      </c>
      <c r="E422" s="4">
        <v>12496.001764705883</v>
      </c>
    </row>
    <row r="423" spans="1:5">
      <c r="A423" s="3">
        <v>707200</v>
      </c>
      <c r="B423" s="3" t="s">
        <v>168</v>
      </c>
      <c r="C423" s="3" t="s">
        <v>170</v>
      </c>
      <c r="D423" s="3">
        <v>0</v>
      </c>
      <c r="E423" s="4">
        <v>31835.795882352944</v>
      </c>
    </row>
    <row r="424" spans="1:5">
      <c r="A424" s="3">
        <v>707300</v>
      </c>
      <c r="B424" s="3" t="s">
        <v>168</v>
      </c>
      <c r="C424" s="3" t="s">
        <v>171</v>
      </c>
      <c r="D424" s="3">
        <v>0</v>
      </c>
      <c r="E424" s="4">
        <v>1694.6088235294117</v>
      </c>
    </row>
    <row r="425" spans="1:5">
      <c r="A425" s="3">
        <v>707310</v>
      </c>
      <c r="B425" s="3" t="s">
        <v>168</v>
      </c>
      <c r="C425" s="3" t="s">
        <v>172</v>
      </c>
      <c r="D425" s="3">
        <v>0</v>
      </c>
      <c r="E425" s="4">
        <v>156.73941176470589</v>
      </c>
    </row>
    <row r="426" spans="1:5">
      <c r="A426" s="3">
        <v>707410</v>
      </c>
      <c r="B426" s="3" t="s">
        <v>168</v>
      </c>
      <c r="C426" s="3" t="s">
        <v>374</v>
      </c>
      <c r="D426" s="3">
        <v>0</v>
      </c>
      <c r="E426" s="4">
        <v>356.7017647058824</v>
      </c>
    </row>
    <row r="427" spans="1:5">
      <c r="A427" s="3">
        <v>707610</v>
      </c>
      <c r="B427" s="3" t="s">
        <v>168</v>
      </c>
      <c r="C427" s="3" t="s">
        <v>375</v>
      </c>
      <c r="D427" s="3">
        <v>0</v>
      </c>
      <c r="E427" s="3">
        <v>4.4117647058823533</v>
      </c>
    </row>
    <row r="428" spans="1:5">
      <c r="A428" s="3">
        <v>707700</v>
      </c>
      <c r="B428" s="3" t="s">
        <v>168</v>
      </c>
      <c r="C428" s="3" t="s">
        <v>175</v>
      </c>
      <c r="D428" s="3">
        <v>0</v>
      </c>
      <c r="E428" s="4">
        <v>4160.0782352941178</v>
      </c>
    </row>
    <row r="429" spans="1:5">
      <c r="A429" s="3">
        <v>707910</v>
      </c>
      <c r="B429" s="3" t="s">
        <v>176</v>
      </c>
      <c r="C429" s="3" t="s">
        <v>177</v>
      </c>
      <c r="D429" s="3">
        <v>0</v>
      </c>
      <c r="E429" s="4">
        <v>8992.5858823529416</v>
      </c>
    </row>
    <row r="430" spans="1:5">
      <c r="A430" s="3">
        <v>707920</v>
      </c>
      <c r="B430" s="3" t="s">
        <v>176</v>
      </c>
      <c r="C430" s="3" t="s">
        <v>376</v>
      </c>
      <c r="D430" s="3">
        <v>0</v>
      </c>
      <c r="E430" s="4">
        <v>960.82882352941181</v>
      </c>
    </row>
    <row r="431" spans="1:5">
      <c r="A431" s="3">
        <v>707921</v>
      </c>
      <c r="B431" s="3" t="s">
        <v>176</v>
      </c>
      <c r="C431" s="3" t="s">
        <v>179</v>
      </c>
      <c r="D431" s="3">
        <v>0</v>
      </c>
      <c r="E431" s="4">
        <v>1635.1970588235292</v>
      </c>
    </row>
    <row r="432" spans="1:5">
      <c r="A432" s="3">
        <v>709700</v>
      </c>
      <c r="B432" s="3" t="s">
        <v>176</v>
      </c>
      <c r="C432" s="3" t="s">
        <v>180</v>
      </c>
      <c r="D432" s="4">
        <v>1246.0176470588235</v>
      </c>
      <c r="E432" s="3">
        <v>0</v>
      </c>
    </row>
    <row r="433" spans="1:5">
      <c r="A433" s="3">
        <v>709710</v>
      </c>
      <c r="B433" s="3" t="s">
        <v>168</v>
      </c>
      <c r="C433" s="3" t="s">
        <v>377</v>
      </c>
      <c r="D433" s="4">
        <v>1764.434705882353</v>
      </c>
      <c r="E433" s="3">
        <v>0</v>
      </c>
    </row>
    <row r="434" spans="1:5">
      <c r="A434" s="3">
        <v>709720</v>
      </c>
      <c r="B434" s="3" t="s">
        <v>168</v>
      </c>
      <c r="C434" s="3" t="s">
        <v>378</v>
      </c>
      <c r="D434" s="4">
        <v>2574.4411764705883</v>
      </c>
      <c r="E434" s="3">
        <v>0</v>
      </c>
    </row>
    <row r="435" spans="1:5">
      <c r="A435" s="3">
        <v>709730</v>
      </c>
      <c r="B435" s="3" t="s">
        <v>168</v>
      </c>
      <c r="C435" s="3" t="s">
        <v>379</v>
      </c>
      <c r="D435" s="3">
        <v>41.882352941176471</v>
      </c>
      <c r="E435" s="3">
        <v>0</v>
      </c>
    </row>
    <row r="436" spans="1:5">
      <c r="A436" s="3">
        <v>709731</v>
      </c>
      <c r="B436" s="3" t="s">
        <v>168</v>
      </c>
      <c r="C436" s="3" t="s">
        <v>380</v>
      </c>
      <c r="D436" s="3">
        <v>10.998823529411764</v>
      </c>
      <c r="E436" s="3">
        <v>0</v>
      </c>
    </row>
    <row r="437" spans="1:5">
      <c r="A437" s="3">
        <v>709741</v>
      </c>
      <c r="B437" s="3" t="s">
        <v>168</v>
      </c>
      <c r="C437" s="3" t="s">
        <v>381</v>
      </c>
      <c r="D437" s="3">
        <v>32.212352941176469</v>
      </c>
      <c r="E437" s="3">
        <v>0</v>
      </c>
    </row>
    <row r="438" spans="1:5">
      <c r="A438" s="3">
        <v>709792</v>
      </c>
      <c r="B438" s="3" t="s">
        <v>176</v>
      </c>
      <c r="C438" s="3" t="s">
        <v>382</v>
      </c>
      <c r="D438" s="4">
        <v>2160.9594117647057</v>
      </c>
      <c r="E438" s="3">
        <v>0</v>
      </c>
    </row>
    <row r="439" spans="1:5">
      <c r="A439" s="3">
        <v>740000</v>
      </c>
      <c r="B439" s="3" t="s">
        <v>188</v>
      </c>
      <c r="C439" s="3" t="s">
        <v>189</v>
      </c>
      <c r="D439" s="3">
        <v>0</v>
      </c>
      <c r="E439" s="4">
        <v>58.823529411764703</v>
      </c>
    </row>
    <row r="440" spans="1:5">
      <c r="A440" s="3">
        <v>758000</v>
      </c>
      <c r="B440" s="3" t="s">
        <v>188</v>
      </c>
      <c r="C440" s="3" t="s">
        <v>190</v>
      </c>
      <c r="D440" s="3">
        <v>0</v>
      </c>
      <c r="E440" s="3">
        <v>8.0458823529411774</v>
      </c>
    </row>
    <row r="441" spans="1:5">
      <c r="A441" s="3">
        <v>791009</v>
      </c>
      <c r="B441" s="3" t="s">
        <v>143</v>
      </c>
      <c r="C441" s="3" t="s">
        <v>383</v>
      </c>
      <c r="D441" s="3">
        <v>0</v>
      </c>
      <c r="E441" s="3">
        <v>1036.3135294117649</v>
      </c>
    </row>
    <row r="442" spans="1:5">
      <c r="A442" s="3">
        <v>791009</v>
      </c>
      <c r="B442" s="3" t="s">
        <v>149</v>
      </c>
      <c r="C442" s="3" t="s">
        <v>383</v>
      </c>
      <c r="D442" s="3">
        <v>0</v>
      </c>
      <c r="E442" s="4">
        <v>324.03470588235297</v>
      </c>
    </row>
    <row r="443" spans="1:5">
      <c r="A443" s="3">
        <v>791010</v>
      </c>
      <c r="B443" s="3" t="s">
        <v>83</v>
      </c>
      <c r="C443" s="3" t="s">
        <v>384</v>
      </c>
      <c r="D443" s="3">
        <v>0</v>
      </c>
      <c r="E443" s="4">
        <v>3764.9470588235295</v>
      </c>
    </row>
    <row r="444" spans="1:5">
      <c r="A444" s="3"/>
      <c r="B444" s="3"/>
      <c r="C444" s="3"/>
      <c r="D444" s="3"/>
      <c r="E444" s="3"/>
    </row>
    <row r="445" spans="1:5">
      <c r="A445" s="3"/>
      <c r="B445" s="3"/>
      <c r="C445" s="3"/>
      <c r="D445" s="3"/>
      <c r="E445" s="4"/>
    </row>
    <row r="446" spans="1:5">
      <c r="A446" s="3"/>
      <c r="B446" s="3"/>
      <c r="C446" s="3"/>
      <c r="D446" s="3"/>
      <c r="E446" s="4"/>
    </row>
    <row r="447" spans="1:5">
      <c r="A447" s="3"/>
      <c r="B447" s="3"/>
      <c r="C447" s="3"/>
      <c r="D447" s="3"/>
      <c r="E447" s="4"/>
    </row>
    <row r="448" spans="1:5">
      <c r="A448" s="3"/>
      <c r="B448" s="3"/>
      <c r="C448" s="3"/>
      <c r="D448" s="3"/>
      <c r="E448" s="4"/>
    </row>
    <row r="449" spans="1:5">
      <c r="A449" s="3"/>
      <c r="B449" s="3"/>
      <c r="C449" s="3"/>
      <c r="D449" s="4"/>
      <c r="E449" s="3"/>
    </row>
    <row r="450" spans="1:5">
      <c r="A450" s="3"/>
      <c r="B450" s="3"/>
      <c r="C450" s="3"/>
      <c r="D450" s="4"/>
      <c r="E450" s="3"/>
    </row>
    <row r="451" spans="1:5">
      <c r="A451" s="3"/>
      <c r="B451" s="3"/>
      <c r="C451" s="3"/>
      <c r="D451" s="4"/>
      <c r="E451" s="3"/>
    </row>
    <row r="452" spans="1:5">
      <c r="A452" s="3"/>
      <c r="B452" s="3"/>
      <c r="C452" s="3"/>
      <c r="D452" s="3"/>
      <c r="E452" s="3"/>
    </row>
    <row r="453" spans="1:5">
      <c r="A453" s="3"/>
      <c r="B453" s="3"/>
      <c r="C453" s="3"/>
      <c r="D453" s="3"/>
      <c r="E453" s="3"/>
    </row>
    <row r="454" spans="1:5">
      <c r="A454" s="3"/>
      <c r="B454" s="3"/>
      <c r="C454" s="3"/>
      <c r="D454" s="3"/>
      <c r="E454" s="3"/>
    </row>
    <row r="455" spans="1:5">
      <c r="A455" s="3"/>
      <c r="B455" s="3"/>
      <c r="C455" s="3"/>
      <c r="D455" s="4"/>
      <c r="E455" s="3"/>
    </row>
    <row r="456" spans="1:5">
      <c r="A456" s="3"/>
      <c r="B456" s="3"/>
      <c r="C456" s="3"/>
      <c r="D456" s="4"/>
      <c r="E456" s="3"/>
    </row>
    <row r="457" spans="1:5">
      <c r="A457" s="3"/>
      <c r="B457" s="3"/>
      <c r="C457" s="3"/>
      <c r="D457" s="3"/>
      <c r="E457" s="4"/>
    </row>
    <row r="458" spans="1:5">
      <c r="A458" s="3"/>
      <c r="B458" s="3"/>
      <c r="C458" s="3"/>
      <c r="D458" s="3"/>
      <c r="E458" s="3"/>
    </row>
    <row r="459" spans="1:5">
      <c r="A459" s="3"/>
      <c r="B459" s="3"/>
      <c r="C459" s="3"/>
      <c r="D459" s="3"/>
      <c r="E459" s="4"/>
    </row>
    <row r="460" spans="1:5">
      <c r="A460" s="3"/>
      <c r="B460" s="3"/>
      <c r="C460" s="3"/>
      <c r="D460" s="3"/>
      <c r="E460" s="4"/>
    </row>
    <row r="461" spans="1:5">
      <c r="A461" s="3"/>
      <c r="B461" s="3"/>
      <c r="C461" s="3"/>
      <c r="D461" s="3"/>
      <c r="E461" s="4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584" spans="1:5">
      <c r="A584" s="288">
        <v>43465</v>
      </c>
      <c r="C584">
        <v>0.5</v>
      </c>
      <c r="D584">
        <v>0.5</v>
      </c>
      <c r="E584">
        <v>4</v>
      </c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O302:O303"/>
    <mergeCell ref="P302:P303"/>
    <mergeCell ref="I340:I342"/>
    <mergeCell ref="J342:K342"/>
    <mergeCell ref="BS36:BW36"/>
    <mergeCell ref="BY36:CC36"/>
    <mergeCell ref="CE36:CJ36"/>
    <mergeCell ref="A298:E298"/>
    <mergeCell ref="H298:K298"/>
    <mergeCell ref="Q300:R300"/>
    <mergeCell ref="BP33:BR33"/>
    <mergeCell ref="BS34:BW34"/>
    <mergeCell ref="BY34:CC34"/>
    <mergeCell ref="CE34:CJ34"/>
    <mergeCell ref="BS35:BW35"/>
    <mergeCell ref="BY35:CC35"/>
    <mergeCell ref="CE35:CJ35"/>
    <mergeCell ref="BS30:BW30"/>
    <mergeCell ref="BY30:CC30"/>
    <mergeCell ref="CE30:CJ30"/>
    <mergeCell ref="BS31:BW31"/>
    <mergeCell ref="BY31:CC31"/>
    <mergeCell ref="CE31:CJ31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P25:BR25"/>
    <mergeCell ref="BP26:BR26"/>
    <mergeCell ref="BS26:BW26"/>
    <mergeCell ref="BY26:CC26"/>
    <mergeCell ref="CE26:CJ26"/>
    <mergeCell ref="BS22:BW22"/>
    <mergeCell ref="BY22:CC22"/>
    <mergeCell ref="CE22:CJ22"/>
    <mergeCell ref="BS23:BW23"/>
    <mergeCell ref="BY23:CC23"/>
    <mergeCell ref="CE23:CJ23"/>
    <mergeCell ref="CE18:CJ18"/>
    <mergeCell ref="BS19:BW19"/>
    <mergeCell ref="BY19:CC19"/>
    <mergeCell ref="CE19:CJ19"/>
    <mergeCell ref="CM19:CV19"/>
    <mergeCell ref="BY18:CC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BP12:BQ12"/>
    <mergeCell ref="BP13:BQ13"/>
    <mergeCell ref="BP14:BQ14"/>
    <mergeCell ref="BP17:BR17"/>
    <mergeCell ref="BS18:BW18"/>
    <mergeCell ref="BY9:CC9"/>
    <mergeCell ref="CE9:CI9"/>
    <mergeCell ref="CO9:CS9"/>
    <mergeCell ref="CT9:CV9"/>
    <mergeCell ref="BS10:BW10"/>
    <mergeCell ref="BY10:CC10"/>
    <mergeCell ref="CE10:CI10"/>
    <mergeCell ref="BS5:BW5"/>
    <mergeCell ref="CB5:CI5"/>
    <mergeCell ref="R6:S6"/>
    <mergeCell ref="BS6:BW6"/>
    <mergeCell ref="CB6:CI6"/>
    <mergeCell ref="P8:P9"/>
    <mergeCell ref="Q8:Q9"/>
    <mergeCell ref="BP9:BP10"/>
    <mergeCell ref="BQ9:BQ10"/>
    <mergeCell ref="BS9:BW9"/>
    <mergeCell ref="BF4:BG4"/>
    <mergeCell ref="A4:E4"/>
    <mergeCell ref="H4:K4"/>
    <mergeCell ref="AP4:AQ4"/>
    <mergeCell ref="AS4:AT4"/>
    <mergeCell ref="BC4:BD4"/>
  </mergeCells>
  <conditionalFormatting sqref="CO23:CO24 CO26:CO27 CO29:CO31">
    <cfRule type="containsText" dxfId="26" priority="19" operator="containsText" text="è">
      <formula>NOT(ISERROR(SEARCH("è",CO23)))</formula>
    </cfRule>
    <cfRule type="cellIs" dxfId="25" priority="20" operator="equal">
      <formula>"éé"</formula>
    </cfRule>
    <cfRule type="cellIs" dxfId="24" priority="21" operator="equal">
      <formula>"ìì"</formula>
    </cfRule>
    <cfRule type="cellIs" dxfId="23" priority="22" operator="equal">
      <formula>"ì"</formula>
    </cfRule>
    <cfRule type="cellIs" dxfId="22" priority="23" operator="equal">
      <formula>"èì"</formula>
    </cfRule>
    <cfRule type="cellIs" dxfId="21" priority="24" operator="equal">
      <formula>"îè"</formula>
    </cfRule>
    <cfRule type="cellIs" dxfId="20" priority="25" operator="equal">
      <formula>"î"</formula>
    </cfRule>
    <cfRule type="cellIs" dxfId="19" priority="26" operator="equal">
      <formula>"îî"</formula>
    </cfRule>
    <cfRule type="cellIs" dxfId="18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17" priority="10" operator="containsText" text="è">
      <formula>NOT(ISERROR(SEARCH("è",CO29)))</formula>
    </cfRule>
  </conditionalFormatting>
  <conditionalFormatting sqref="CO29">
    <cfRule type="cellIs" dxfId="16" priority="18" operator="equal">
      <formula>"êê"</formula>
    </cfRule>
  </conditionalFormatting>
  <conditionalFormatting sqref="CO29">
    <cfRule type="cellIs" dxfId="15" priority="11" operator="equal">
      <formula>"éé"</formula>
    </cfRule>
    <cfRule type="cellIs" dxfId="14" priority="12" operator="equal">
      <formula>"ìì"</formula>
    </cfRule>
    <cfRule type="cellIs" dxfId="13" priority="13" operator="equal">
      <formula>"ì"</formula>
    </cfRule>
    <cfRule type="cellIs" dxfId="12" priority="14" operator="equal">
      <formula>"èì"</formula>
    </cfRule>
    <cfRule type="cellIs" dxfId="11" priority="15" operator="equal">
      <formula>"îè"</formula>
    </cfRule>
    <cfRule type="cellIs" dxfId="10" priority="16" operator="equal">
      <formula>"î"</formula>
    </cfRule>
    <cfRule type="cellIs" dxfId="9" priority="17" operator="equal">
      <formula>"îî"</formula>
    </cfRule>
  </conditionalFormatting>
  <conditionalFormatting sqref="CO25">
    <cfRule type="cellIs" dxfId="8" priority="1" operator="equal">
      <formula>"è"</formula>
    </cfRule>
    <cfRule type="cellIs" dxfId="7" priority="2" operator="equal">
      <formula>"éé"</formula>
    </cfRule>
    <cfRule type="cellIs" dxfId="6" priority="3" operator="equal">
      <formula>"ìì"</formula>
    </cfRule>
    <cfRule type="cellIs" dxfId="5" priority="4" operator="equal">
      <formula>"ì"</formula>
    </cfRule>
    <cfRule type="cellIs" dxfId="4" priority="5" operator="equal">
      <formula>"èì"</formula>
    </cfRule>
    <cfRule type="cellIs" dxfId="3" priority="6" operator="equal">
      <formula>"îè"</formula>
    </cfRule>
    <cfRule type="cellIs" dxfId="2" priority="7" operator="equal">
      <formula>"î"</formula>
    </cfRule>
    <cfRule type="cellIs" dxfId="1" priority="8" operator="equal">
      <formula>"îî"</formula>
    </cfRule>
    <cfRule type="cellIs" dxfId="0" priority="9" operator="equal">
      <formula>"êê"</formula>
    </cfRule>
  </conditionalFormatting>
  <dataValidations count="1">
    <dataValidation type="list" allowBlank="1" showInputMessage="1" showErrorMessage="1" sqref="B301:B443 B445:B461 B7:B160" xr:uid="{80AD2731-4FF1-8743-91EE-E8B4E242015A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6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7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8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9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0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1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2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270B-D057-4B1A-9C9E-B06A4BF92D21}">
  <sheetPr codeName="Feuil2"/>
  <dimension ref="B3:I86"/>
  <sheetViews>
    <sheetView workbookViewId="0">
      <pane xSplit="5" ySplit="6" topLeftCell="F28" activePane="bottomRight" state="frozen"/>
      <selection pane="topRight" activeCell="F1" sqref="F1"/>
      <selection pane="bottomLeft" activeCell="A7" sqref="A7"/>
      <selection pane="bottomRight" activeCell="I77" sqref="I77"/>
    </sheetView>
  </sheetViews>
  <sheetFormatPr baseColWidth="10" defaultRowHeight="15"/>
  <cols>
    <col min="2" max="2" width="46" bestFit="1" customWidth="1"/>
    <col min="3" max="3" width="10.140625" bestFit="1" customWidth="1"/>
    <col min="4" max="4" width="16.7109375" customWidth="1"/>
    <col min="5" max="5" width="12.85546875" customWidth="1"/>
    <col min="6" max="6" width="11.42578125" customWidth="1"/>
    <col min="7" max="7" width="10.85546875" customWidth="1"/>
    <col min="8" max="9" width="11.42578125" customWidth="1"/>
    <col min="11" max="11" width="9.7109375" customWidth="1"/>
    <col min="15" max="15" width="10.140625" customWidth="1"/>
  </cols>
  <sheetData>
    <row r="3" spans="2:9">
      <c r="B3" s="428" t="s">
        <v>292</v>
      </c>
      <c r="C3">
        <f t="array" ref="C3">SUM(IF(F6:AL6&lt;&gt;"",1,0))</f>
        <v>2</v>
      </c>
    </row>
    <row r="5" spans="2:9" ht="15.75" thickBot="1"/>
    <row r="6" spans="2:9" ht="18.75" thickBot="1">
      <c r="B6" s="292"/>
      <c r="C6" s="292"/>
      <c r="D6" s="292"/>
      <c r="E6" s="292"/>
      <c r="F6" s="580" t="s">
        <v>423</v>
      </c>
      <c r="G6" s="581"/>
      <c r="H6" s="580" t="s">
        <v>424</v>
      </c>
      <c r="I6" s="581"/>
    </row>
    <row r="7" spans="2:9" ht="18.75" thickBot="1">
      <c r="B7" s="293" t="s">
        <v>268</v>
      </c>
      <c r="C7" s="294"/>
      <c r="D7" s="295">
        <f>SUM(D8+D9)</f>
        <v>54540.772058823524</v>
      </c>
      <c r="E7" s="296">
        <v>1</v>
      </c>
      <c r="F7" s="43">
        <f>Mag_1!$AP5</f>
        <v>46377.330588235294</v>
      </c>
      <c r="G7" s="297">
        <v>1</v>
      </c>
      <c r="H7" s="43">
        <f>Mag_2!$AP5</f>
        <v>62704.213529411762</v>
      </c>
      <c r="I7" s="297">
        <v>1</v>
      </c>
    </row>
    <row r="8" spans="2:9" ht="18">
      <c r="B8" s="298" t="s">
        <v>224</v>
      </c>
      <c r="C8" s="299"/>
      <c r="D8" s="300">
        <f>(F8+H8+J8+L8+N8+P8+R8+T8+V8+X8+Z8+AB8+AD8+AF8+AH8+AJ8+AL8)/$C$3</f>
        <v>42972.614411764705</v>
      </c>
      <c r="E8" s="301">
        <f>SUM(D8/D7)</f>
        <v>0.78789890186038647</v>
      </c>
      <c r="F8" s="48">
        <f>Mag_1!$AP6</f>
        <v>34365.868235294118</v>
      </c>
      <c r="G8" s="302">
        <f>SUM(F8/F7)</f>
        <v>0.74100574136994057</v>
      </c>
      <c r="H8" s="48">
        <f>Mag_2!$AP6</f>
        <v>51579.360588235293</v>
      </c>
      <c r="I8" s="302">
        <f>SUM(H8/H7)</f>
        <v>0.82258205126903805</v>
      </c>
    </row>
    <row r="9" spans="2:9" ht="18.75" thickBot="1">
      <c r="B9" s="304" t="s">
        <v>225</v>
      </c>
      <c r="C9" s="305"/>
      <c r="D9" s="306">
        <f>(F9+H9+J9+L9+N9+P9+R9+T9+V9+X9+Z9+AB9+AD9+AF9+AH9+AJ9+AL9)/$C$3</f>
        <v>11568.157647058822</v>
      </c>
      <c r="E9" s="307">
        <f>SUM(D9/D7)</f>
        <v>0.21210109813961359</v>
      </c>
      <c r="F9" s="53">
        <f>Mag_1!$AP7</f>
        <v>12011.462352941177</v>
      </c>
      <c r="G9" s="308">
        <f>SUM(F9/F7)</f>
        <v>0.25899425863005937</v>
      </c>
      <c r="H9" s="53">
        <f>Mag_2!$AP7</f>
        <v>11124.85294117647</v>
      </c>
      <c r="I9" s="308">
        <f>SUM(H9/H7)</f>
        <v>0.17741794873096201</v>
      </c>
    </row>
    <row r="10" spans="2:9" ht="18.75" thickBot="1">
      <c r="B10" s="309"/>
      <c r="C10" s="309"/>
      <c r="D10" s="303"/>
      <c r="E10" s="310"/>
      <c r="F10" s="53"/>
      <c r="G10" s="312"/>
      <c r="H10" s="53"/>
      <c r="I10" s="312"/>
    </row>
    <row r="11" spans="2:9" ht="18.75" thickBot="1">
      <c r="B11" s="313" t="s">
        <v>226</v>
      </c>
      <c r="C11" s="314"/>
      <c r="D11" s="300">
        <f>SUM(D12:D13)</f>
        <v>22069.007352941175</v>
      </c>
      <c r="E11" s="296">
        <v>1</v>
      </c>
      <c r="F11" s="59">
        <f>Mag_1!$AP9</f>
        <v>17500.759411764702</v>
      </c>
      <c r="G11" s="315">
        <v>1</v>
      </c>
      <c r="H11" s="59">
        <f>Mag_2!$AP9</f>
        <v>26637.255294117644</v>
      </c>
      <c r="I11" s="315">
        <v>1</v>
      </c>
    </row>
    <row r="12" spans="2:9" ht="18">
      <c r="B12" s="298" t="s">
        <v>224</v>
      </c>
      <c r="C12" s="299"/>
      <c r="D12" s="300">
        <f t="shared" ref="D12:D13" si="0">(F12+H12+J12+L12+N12+P12+R12+T12+V12+X12+Z12+AB12+AD12+AF12+AH12+AJ12+AL12)/$C$3</f>
        <v>16163.949411764705</v>
      </c>
      <c r="E12" s="301">
        <f>SUM(D12/D11)</f>
        <v>0.732427569272186</v>
      </c>
      <c r="F12" s="63">
        <f>Mag_1!$AP10</f>
        <v>12994.734117647056</v>
      </c>
      <c r="G12" s="316">
        <f>SUM(F12/F11)</f>
        <v>0.74252401349575048</v>
      </c>
      <c r="H12" s="63">
        <f>Mag_2!$AP10</f>
        <v>19333.164705882351</v>
      </c>
      <c r="I12" s="316">
        <f>SUM(H12/H11)</f>
        <v>0.7257941740773769</v>
      </c>
    </row>
    <row r="13" spans="2:9" ht="18.75" thickBot="1">
      <c r="B13" s="304" t="s">
        <v>225</v>
      </c>
      <c r="C13" s="305"/>
      <c r="D13" s="306">
        <f t="shared" si="0"/>
        <v>5905.0579411764702</v>
      </c>
      <c r="E13" s="307">
        <f>SUM(D13/D11)</f>
        <v>0.267572430727814</v>
      </c>
      <c r="F13" s="69">
        <f>Mag_1!$AP11</f>
        <v>4506.0252941176477</v>
      </c>
      <c r="G13" s="317">
        <f>SUM(F13/F11)</f>
        <v>0.25747598650424963</v>
      </c>
      <c r="H13" s="69">
        <f>Mag_2!$AP11</f>
        <v>7304.0905882352927</v>
      </c>
      <c r="I13" s="317">
        <f>SUM(H13/H11)</f>
        <v>0.2742058259226231</v>
      </c>
    </row>
    <row r="14" spans="2:9" ht="18.75" thickBot="1">
      <c r="B14" s="309"/>
      <c r="C14" s="309"/>
      <c r="D14" s="303"/>
      <c r="E14" s="310"/>
      <c r="F14" s="53"/>
      <c r="G14" s="312"/>
      <c r="H14" s="53"/>
      <c r="I14" s="312"/>
    </row>
    <row r="15" spans="2:9" ht="18">
      <c r="B15" s="318" t="s">
        <v>227</v>
      </c>
      <c r="C15" s="319"/>
      <c r="D15" s="320">
        <f>SUM(D16:D17)</f>
        <v>32471.764705882353</v>
      </c>
      <c r="E15" s="321">
        <f>SUM(D15/D7)</f>
        <v>0.59536679588731856</v>
      </c>
      <c r="F15" s="74">
        <f>Mag_1!$AP13</f>
        <v>28876.571176470588</v>
      </c>
      <c r="G15" s="322">
        <f>SUM(F15/F7)</f>
        <v>0.62264409810158006</v>
      </c>
      <c r="H15" s="74">
        <f>Mag_2!$AP13</f>
        <v>36066.958235294122</v>
      </c>
      <c r="I15" s="322">
        <f>SUM(H15/H7)</f>
        <v>0.57519194014572428</v>
      </c>
    </row>
    <row r="16" spans="2:9" ht="18">
      <c r="B16" s="323" t="s">
        <v>224</v>
      </c>
      <c r="C16" s="324"/>
      <c r="D16" s="303">
        <f>SUM(D8-D12)</f>
        <v>26808.665000000001</v>
      </c>
      <c r="E16" s="325">
        <f>SUM(D16/D8)</f>
        <v>0.62385464247342914</v>
      </c>
      <c r="F16" s="77">
        <f>Mag_1!$AP14</f>
        <v>21371.13411764706</v>
      </c>
      <c r="G16" s="302">
        <f>SUM(F16/F8)</f>
        <v>0.62187092062753924</v>
      </c>
      <c r="H16" s="77">
        <f>Mag_2!$AP14</f>
        <v>32246.195882352942</v>
      </c>
      <c r="I16" s="302">
        <f>SUM(H16/H8)</f>
        <v>0.625176340198912</v>
      </c>
    </row>
    <row r="17" spans="2:9" ht="18.75" thickBot="1">
      <c r="B17" s="304" t="s">
        <v>225</v>
      </c>
      <c r="C17" s="326"/>
      <c r="D17" s="306">
        <f>SUM(D9-D13)</f>
        <v>5663.0997058823523</v>
      </c>
      <c r="E17" s="307">
        <f>SUM(D17/D9)</f>
        <v>0.4895420583520646</v>
      </c>
      <c r="F17" s="83">
        <f>Mag_1!$AP15</f>
        <v>7505.4370588235288</v>
      </c>
      <c r="G17" s="308">
        <f>SUM(F17/F9)</f>
        <v>0.62485622801670904</v>
      </c>
      <c r="H17" s="83">
        <f>Mag_2!$AP15</f>
        <v>3820.7623529411776</v>
      </c>
      <c r="I17" s="308">
        <f>SUM(H17/H9)</f>
        <v>0.34344385252944531</v>
      </c>
    </row>
    <row r="18" spans="2:9" ht="18.75" thickBot="1">
      <c r="B18" s="164"/>
      <c r="C18" s="309"/>
      <c r="D18" s="303"/>
      <c r="E18" s="310"/>
      <c r="F18" s="53"/>
      <c r="G18" s="312"/>
      <c r="H18" s="53"/>
      <c r="I18" s="312"/>
    </row>
    <row r="19" spans="2:9" ht="18">
      <c r="B19" s="327" t="s">
        <v>101</v>
      </c>
      <c r="C19" s="299"/>
      <c r="D19" s="300">
        <f t="shared" ref="D19:D29" si="1">(F19+H19+J19+L19+N19+P19+R19+T19+V19+X19+Z19+AB19+AD19+AF19+AH19+AJ19+AL19)/$C$3</f>
        <v>6967.3464705882343</v>
      </c>
      <c r="E19" s="301">
        <f>SUM(D19/D7)</f>
        <v>0.12774565169473187</v>
      </c>
      <c r="F19" s="89">
        <f>Mag_1!$AP17</f>
        <v>5492.9041176470582</v>
      </c>
      <c r="G19" s="328">
        <f>SUM(F19/F7)</f>
        <v>0.11843941960386274</v>
      </c>
      <c r="H19" s="89">
        <f>Mag_2!$AP17</f>
        <v>8441.7888235294104</v>
      </c>
      <c r="I19" s="328">
        <f>SUM(H19/H7)</f>
        <v>0.13462873303673192</v>
      </c>
    </row>
    <row r="20" spans="2:9" ht="18">
      <c r="B20" s="329" t="s">
        <v>124</v>
      </c>
      <c r="C20" s="330"/>
      <c r="D20" s="303">
        <f t="shared" si="1"/>
        <v>3220.185882352941</v>
      </c>
      <c r="E20" s="325">
        <f>SUM(D20/D7)</f>
        <v>5.9041809655350934E-2</v>
      </c>
      <c r="F20" s="94">
        <f>Mag_1!$AP18</f>
        <v>3778.0223529411765</v>
      </c>
      <c r="G20" s="316">
        <f>SUM(F20/F7)</f>
        <v>8.146269535184418E-2</v>
      </c>
      <c r="H20" s="94">
        <f>Mag_2!$AP18</f>
        <v>2662.349411764706</v>
      </c>
      <c r="I20" s="316">
        <f>SUM(H20/H7)</f>
        <v>4.2458859810368503E-2</v>
      </c>
    </row>
    <row r="21" spans="2:9" ht="18">
      <c r="B21" s="323" t="s">
        <v>110</v>
      </c>
      <c r="C21" s="309"/>
      <c r="D21" s="303">
        <f t="shared" si="1"/>
        <v>316.65499999999997</v>
      </c>
      <c r="E21" s="325">
        <f>SUM(D21/D7)</f>
        <v>5.8058400724228841E-3</v>
      </c>
      <c r="F21" s="65">
        <f>Mag_1!$AP19</f>
        <v>367.13588235294117</v>
      </c>
      <c r="G21" s="316">
        <f>SUM(F21/F7)</f>
        <v>7.9162788736718247E-3</v>
      </c>
      <c r="H21" s="65">
        <f>Mag_2!$AP19</f>
        <v>266.17411764705884</v>
      </c>
      <c r="I21" s="316">
        <f>SUM(H21/H7)</f>
        <v>4.2449159739832857E-3</v>
      </c>
    </row>
    <row r="22" spans="2:9" ht="18.75" thickBot="1">
      <c r="B22" s="323" t="s">
        <v>83</v>
      </c>
      <c r="C22" s="309"/>
      <c r="D22" s="303">
        <f t="shared" si="1"/>
        <v>2396.2767647058822</v>
      </c>
      <c r="E22" s="325">
        <f>SUM(D22/D7)</f>
        <v>4.3935512356177146E-2</v>
      </c>
      <c r="F22" s="69">
        <f>Mag_1!$AP20</f>
        <v>3226.9629411764713</v>
      </c>
      <c r="G22" s="316">
        <f>SUM(F22/F7)</f>
        <v>6.9580609755816064E-2</v>
      </c>
      <c r="H22" s="69">
        <f>Mag_2!$AP20</f>
        <v>1565.5905882352931</v>
      </c>
      <c r="I22" s="316">
        <f>SUM(H22/H7)</f>
        <v>2.4967868985406285E-2</v>
      </c>
    </row>
    <row r="23" spans="2:9" ht="18.75" thickBot="1">
      <c r="B23" s="331" t="s">
        <v>229</v>
      </c>
      <c r="C23" s="332"/>
      <c r="D23" s="333">
        <f t="shared" si="1"/>
        <v>12900.464117647058</v>
      </c>
      <c r="E23" s="334">
        <f>SUM(D23/D7)</f>
        <v>0.23652881377868284</v>
      </c>
      <c r="F23" s="97">
        <f>Mag_1!$AP21</f>
        <v>12865.025294117646</v>
      </c>
      <c r="G23" s="335">
        <f>SUM(F23/F7)</f>
        <v>0.27739900358519476</v>
      </c>
      <c r="H23" s="97">
        <f>Mag_2!$AP21</f>
        <v>12935.902941176468</v>
      </c>
      <c r="I23" s="335">
        <f>SUM(H23/H7)</f>
        <v>0.20630037780648999</v>
      </c>
    </row>
    <row r="24" spans="2:9" ht="18">
      <c r="B24" s="323" t="s">
        <v>143</v>
      </c>
      <c r="C24" s="324"/>
      <c r="D24" s="303">
        <f t="shared" si="1"/>
        <v>9544.3720588235301</v>
      </c>
      <c r="E24" s="325">
        <f>SUM(D24/D7)</f>
        <v>0.17499517697567055</v>
      </c>
      <c r="F24" s="89">
        <f>Mag_1!$AP22</f>
        <v>8300.0570588235296</v>
      </c>
      <c r="G24" s="316">
        <f>SUM(F24/F7)</f>
        <v>0.17896797753446023</v>
      </c>
      <c r="H24" s="89">
        <f>Mag_2!$AP22</f>
        <v>10788.687058823531</v>
      </c>
      <c r="I24" s="316">
        <f>SUM(H24/H7)</f>
        <v>0.17205681168081371</v>
      </c>
    </row>
    <row r="25" spans="2:9" ht="18">
      <c r="B25" s="323" t="s">
        <v>149</v>
      </c>
      <c r="C25" s="324"/>
      <c r="D25" s="303">
        <f t="shared" si="1"/>
        <v>3357.3691176470584</v>
      </c>
      <c r="E25" s="325">
        <f>SUM(D25/D7)</f>
        <v>6.1557051558163781E-2</v>
      </c>
      <c r="F25" s="65">
        <f>Mag_1!$AP23</f>
        <v>2407.3670588235291</v>
      </c>
      <c r="G25" s="316">
        <f>SUM(F25/F7)</f>
        <v>5.1908271310341751E-2</v>
      </c>
      <c r="H25" s="65">
        <f>Mag_2!$AP23</f>
        <v>4307.3711764705877</v>
      </c>
      <c r="I25" s="316">
        <f>SUM(H25/H7)</f>
        <v>6.8693488587496451E-2</v>
      </c>
    </row>
    <row r="26" spans="2:9" ht="18">
      <c r="B26" s="323" t="s">
        <v>116</v>
      </c>
      <c r="C26" s="324"/>
      <c r="D26" s="303">
        <f t="shared" si="1"/>
        <v>1779.4314705882355</v>
      </c>
      <c r="E26" s="325">
        <f>SUM(D26/D7)</f>
        <v>3.2625711067475832E-2</v>
      </c>
      <c r="F26" s="65">
        <f>Mag_1!$AP24</f>
        <v>1258.2488235294118</v>
      </c>
      <c r="G26" s="316">
        <f>SUM(F26/F7)</f>
        <v>2.7130686643025467E-2</v>
      </c>
      <c r="H26" s="65">
        <f>Mag_2!$AP24</f>
        <v>2300.6141176470592</v>
      </c>
      <c r="I26" s="316">
        <f>SUM(H26/H7)</f>
        <v>3.6689944553214802E-2</v>
      </c>
    </row>
    <row r="27" spans="2:9" ht="18.75" thickBot="1">
      <c r="B27" s="323" t="s">
        <v>196</v>
      </c>
      <c r="C27" s="324"/>
      <c r="D27" s="303">
        <f t="shared" si="1"/>
        <v>470.58823529411762</v>
      </c>
      <c r="E27" s="325">
        <f>SUM(D27/D7)</f>
        <v>8.6281916725816973E-3</v>
      </c>
      <c r="F27" s="69">
        <f>Mag_1!$AP25</f>
        <v>0</v>
      </c>
      <c r="G27" s="316">
        <f>SUM(F27/F7)</f>
        <v>0</v>
      </c>
      <c r="H27" s="69">
        <f>Mag_2!$AP25</f>
        <v>941.17647058823525</v>
      </c>
      <c r="I27" s="316">
        <f>SUM(H27/H7)</f>
        <v>1.5009780325954829E-2</v>
      </c>
    </row>
    <row r="28" spans="2:9" ht="18.75" thickBot="1">
      <c r="B28" s="331" t="s">
        <v>214</v>
      </c>
      <c r="C28" s="332"/>
      <c r="D28" s="300">
        <f t="shared" si="1"/>
        <v>15151.760882352941</v>
      </c>
      <c r="E28" s="296">
        <f>SUM(D28/D7)</f>
        <v>0.27780613127389187</v>
      </c>
      <c r="F28" s="97">
        <f>Mag_1!$AP26</f>
        <v>11965.67294117647</v>
      </c>
      <c r="G28" s="335">
        <f>SUM(F28/F7)</f>
        <v>0.25800693548782744</v>
      </c>
      <c r="H28" s="97">
        <f>Mag_2!$AP26</f>
        <v>18337.84882352941</v>
      </c>
      <c r="I28" s="335">
        <f>SUM(H28/H7)</f>
        <v>0.29245002514747975</v>
      </c>
    </row>
    <row r="29" spans="2:9" ht="18.75" thickBot="1">
      <c r="B29" s="336" t="s">
        <v>138</v>
      </c>
      <c r="C29" s="337"/>
      <c r="D29" s="333">
        <f t="shared" si="1"/>
        <v>319.13529411764705</v>
      </c>
      <c r="E29" s="334">
        <f>SUM(D29/D7)</f>
        <v>5.851316035157185E-3</v>
      </c>
      <c r="F29" s="97">
        <f>Mag_1!$AP27</f>
        <v>308.19882352941175</v>
      </c>
      <c r="G29" s="338">
        <f>SUM(F29/F7)</f>
        <v>6.6454627642496024E-3</v>
      </c>
      <c r="H29" s="97">
        <f>Mag_2!$AP27</f>
        <v>330.0717647058824</v>
      </c>
      <c r="I29" s="338">
        <f>SUM(H29/H7)</f>
        <v>5.2639487225377667E-3</v>
      </c>
    </row>
    <row r="30" spans="2:9" ht="18.75" thickBot="1">
      <c r="B30" s="164"/>
      <c r="C30" s="309"/>
      <c r="D30" s="303"/>
      <c r="E30" s="310"/>
      <c r="F30" s="311"/>
      <c r="G30" s="312"/>
      <c r="H30" s="311"/>
      <c r="I30" s="312"/>
    </row>
    <row r="31" spans="2:9" ht="18.75" thickBot="1">
      <c r="B31" s="584" t="s">
        <v>231</v>
      </c>
      <c r="C31" s="585"/>
      <c r="D31" s="339">
        <f>SUM(D15-D23-D29-D28)</f>
        <v>4100.4044117647063</v>
      </c>
      <c r="E31" s="334">
        <f>SUM(D31/D7)</f>
        <v>7.5180534799586668E-2</v>
      </c>
      <c r="F31" s="102">
        <f>Mag_1!$AP29</f>
        <v>3737.6741176470605</v>
      </c>
      <c r="G31" s="340">
        <f>SUM(F31/F7)</f>
        <v>8.0592696264308275E-2</v>
      </c>
      <c r="H31" s="102">
        <f>Mag_2!$AP29</f>
        <v>4463.1347058823631</v>
      </c>
      <c r="I31" s="340">
        <f>SUM(H31/H7)</f>
        <v>7.1177588469216749E-2</v>
      </c>
    </row>
    <row r="32" spans="2:9" ht="18">
      <c r="B32" s="323" t="s">
        <v>158</v>
      </c>
      <c r="C32" s="324"/>
      <c r="D32" s="303">
        <f t="shared" ref="D32:D36" si="2">(F32+H32+J32+L32+N32+P32+R32+T32+V32+X32+Z32+AB32+AD32+AF32+AH32+AJ32+AL32)/$C$3</f>
        <v>591.3011764705883</v>
      </c>
      <c r="E32" s="325">
        <f>SUM(D32/D7)</f>
        <v>1.0841452259473992E-2</v>
      </c>
      <c r="F32" s="89">
        <f>Mag_1!$AP30</f>
        <v>1182.6023529411766</v>
      </c>
      <c r="G32" s="316">
        <f>SUM(F32/F7)</f>
        <v>2.5499577874393047E-2</v>
      </c>
      <c r="H32" s="89">
        <f>Mag_2!$AP30</f>
        <v>0</v>
      </c>
      <c r="I32" s="316">
        <f>SUM(H32/H7)</f>
        <v>0</v>
      </c>
    </row>
    <row r="33" spans="2:9" ht="18">
      <c r="B33" s="341" t="s">
        <v>164</v>
      </c>
      <c r="C33" s="324"/>
      <c r="D33" s="303">
        <f t="shared" si="2"/>
        <v>1519.8261764705883</v>
      </c>
      <c r="E33" s="325">
        <f>SUM(D33/D7)</f>
        <v>2.7865872064139822E-2</v>
      </c>
      <c r="F33" s="65">
        <f>Mag_1!$AP31</f>
        <v>1259.5782352941178</v>
      </c>
      <c r="G33" s="316">
        <f>SUM(F33/F7)</f>
        <v>2.7159351763416061E-2</v>
      </c>
      <c r="H33" s="65">
        <f>Mag_2!$AP31</f>
        <v>1780.0741176470588</v>
      </c>
      <c r="I33" s="316">
        <f>SUM(H33/H7)</f>
        <v>2.8388429061662741E-2</v>
      </c>
    </row>
    <row r="34" spans="2:9" ht="18">
      <c r="B34" s="341" t="s">
        <v>98</v>
      </c>
      <c r="C34" s="324"/>
      <c r="D34" s="303">
        <f t="shared" si="2"/>
        <v>390.6661764705882</v>
      </c>
      <c r="E34" s="325">
        <f>SUM(D34/D7)</f>
        <v>7.1628281324885796E-3</v>
      </c>
      <c r="F34" s="65">
        <f>Mag_1!$AP32</f>
        <v>343.23235294117643</v>
      </c>
      <c r="G34" s="316">
        <f>SUM(F34/F7)</f>
        <v>7.4008647886311387E-3</v>
      </c>
      <c r="H34" s="65">
        <f>Mag_2!$AP32</f>
        <v>438.1</v>
      </c>
      <c r="I34" s="316">
        <f>SUM(H34/H7)</f>
        <v>6.9867713083508615E-3</v>
      </c>
    </row>
    <row r="35" spans="2:9" ht="18.75" thickBot="1">
      <c r="B35" s="341" t="s">
        <v>198</v>
      </c>
      <c r="C35" s="324"/>
      <c r="D35" s="303">
        <f t="shared" si="2"/>
        <v>0</v>
      </c>
      <c r="E35" s="325">
        <f>SUM(D35/D7)</f>
        <v>0</v>
      </c>
      <c r="F35" s="69">
        <f>Mag_1!$AP33</f>
        <v>0</v>
      </c>
      <c r="G35" s="316">
        <f>SUM(F35/F7)</f>
        <v>0</v>
      </c>
      <c r="H35" s="69">
        <f>Mag_2!$AP33</f>
        <v>0</v>
      </c>
      <c r="I35" s="316">
        <f>SUM(H35/H7)</f>
        <v>0</v>
      </c>
    </row>
    <row r="36" spans="2:9" ht="18.75" thickBot="1">
      <c r="B36" s="342" t="s">
        <v>158</v>
      </c>
      <c r="C36" s="343"/>
      <c r="D36" s="300">
        <f t="shared" si="2"/>
        <v>2501.7935294117651</v>
      </c>
      <c r="E36" s="296">
        <f>SUM(D36/D7)</f>
        <v>4.5870152456102403E-2</v>
      </c>
      <c r="F36" s="97">
        <f>Mag_1!$AP34</f>
        <v>2785.4129411764711</v>
      </c>
      <c r="G36" s="335">
        <f>SUM(F36/F7)</f>
        <v>6.0059794426440251E-2</v>
      </c>
      <c r="H36" s="97">
        <f>Mag_2!$AP34</f>
        <v>2218.1741176470587</v>
      </c>
      <c r="I36" s="335">
        <f>SUM(H36/H7)</f>
        <v>3.5375200370013599E-2</v>
      </c>
    </row>
    <row r="37" spans="2:9" ht="18.75" thickBot="1">
      <c r="B37" s="344" t="s">
        <v>232</v>
      </c>
      <c r="C37" s="345"/>
      <c r="D37" s="300">
        <f>SUM(D23+D28+D29+D36)</f>
        <v>30873.153823529414</v>
      </c>
      <c r="E37" s="296">
        <f>SUM(D37/D7)</f>
        <v>0.56605641354383429</v>
      </c>
      <c r="F37" s="107">
        <f>Mag_1!$AP35</f>
        <v>27924.309999999998</v>
      </c>
      <c r="G37" s="346">
        <f>SUM(F37/F7)</f>
        <v>0.60211119626371201</v>
      </c>
      <c r="H37" s="107">
        <f>Mag_2!$AP35</f>
        <v>33821.997647058815</v>
      </c>
      <c r="I37" s="346">
        <f>SUM(H37/H7)</f>
        <v>0.53938955204652106</v>
      </c>
    </row>
    <row r="38" spans="2:9" ht="18.75" thickBot="1">
      <c r="B38" s="584" t="s">
        <v>233</v>
      </c>
      <c r="C38" s="585"/>
      <c r="D38" s="339">
        <f>SUM(D15-D37)</f>
        <v>1598.6108823529394</v>
      </c>
      <c r="E38" s="334">
        <f>SUM(D38/D7)</f>
        <v>2.9310382343484237E-2</v>
      </c>
      <c r="F38" s="97">
        <f>Mag_1!$AP36</f>
        <v>952.26117647059073</v>
      </c>
      <c r="G38" s="338">
        <f>SUM(F38/F7)</f>
        <v>2.0532901837868052E-2</v>
      </c>
      <c r="H38" s="97">
        <f>Mag_2!$AP36</f>
        <v>2244.9605882353062</v>
      </c>
      <c r="I38" s="338">
        <f>SUM(H38/H7)</f>
        <v>3.5802388099203171E-2</v>
      </c>
    </row>
    <row r="39" spans="2:9" ht="18">
      <c r="B39" s="323" t="s">
        <v>188</v>
      </c>
      <c r="C39" s="309"/>
      <c r="D39" s="303">
        <f t="shared" ref="D39:D40" si="3">(F39+H39+J39+L39+N39+P39+R39+T39+V39+X39+Z39+AB39+AD39+AF39+AH39+AJ39+AL39)/$C$3</f>
        <v>354.82647058823522</v>
      </c>
      <c r="E39" s="325">
        <f>SUM(D39/D7)</f>
        <v>6.505710447324552E-3</v>
      </c>
      <c r="F39" s="89">
        <f>Mag_1!$AP37</f>
        <v>532.21058823529404</v>
      </c>
      <c r="G39" s="316">
        <f>SUM(F39/F7)</f>
        <v>1.1475662386879634E-2</v>
      </c>
      <c r="H39" s="89">
        <f>Mag_2!$AP37</f>
        <v>177.44235294117647</v>
      </c>
      <c r="I39" s="316">
        <f>SUM(H39/H7)</f>
        <v>2.8298314093030789E-3</v>
      </c>
    </row>
    <row r="40" spans="2:9" ht="18.75" thickBot="1">
      <c r="B40" s="323" t="s">
        <v>113</v>
      </c>
      <c r="C40" s="309"/>
      <c r="D40" s="306">
        <f t="shared" si="3"/>
        <v>140.69294117647058</v>
      </c>
      <c r="E40" s="307">
        <f>SUM(D40/D7)</f>
        <v>2.5795920348309315E-3</v>
      </c>
      <c r="F40" s="69">
        <f>Mag_1!$AP38</f>
        <v>48.581764705882357</v>
      </c>
      <c r="G40" s="316">
        <f>SUM(F40/F7)</f>
        <v>1.0475325787337633E-3</v>
      </c>
      <c r="H40" s="69">
        <f>Mag_2!$AP38</f>
        <v>232.80411764705883</v>
      </c>
      <c r="I40" s="316">
        <f>SUM(H40/H7)</f>
        <v>3.7127348314138532E-3</v>
      </c>
    </row>
    <row r="41" spans="2:9" ht="18.75" thickBot="1">
      <c r="B41" s="584" t="s">
        <v>234</v>
      </c>
      <c r="C41" s="585"/>
      <c r="D41" s="339">
        <f>SUM(D38+D39-D40)</f>
        <v>1812.744411764704</v>
      </c>
      <c r="E41" s="334">
        <f>SUM(D41/D7)</f>
        <v>3.3236500755977852E-2</v>
      </c>
      <c r="F41" s="97">
        <f>Mag_1!$AP39</f>
        <v>1435.8900000000024</v>
      </c>
      <c r="G41" s="335">
        <f>SUM(F41/F7)</f>
        <v>3.0961031646013923E-2</v>
      </c>
      <c r="H41" s="97">
        <f>Mag_2!$AP39</f>
        <v>2189.598823529424</v>
      </c>
      <c r="I41" s="335">
        <f>SUM(H41/H7)</f>
        <v>3.4919484677092397E-2</v>
      </c>
    </row>
    <row r="42" spans="2:9" ht="18">
      <c r="B42" s="323" t="s">
        <v>197</v>
      </c>
      <c r="C42" s="324"/>
      <c r="D42" s="303">
        <f t="shared" ref="D42:D43" si="4">(F42+H42+J42+L42+N42+P42+R42+T42+V42+X42+Z42+AB42+AD42+AF42+AH42+AJ42+AL42)/$C$3</f>
        <v>0</v>
      </c>
      <c r="E42" s="325">
        <f>SUM(D42/D7)</f>
        <v>0</v>
      </c>
      <c r="F42" s="89">
        <f>Mag_1!$AP40</f>
        <v>0</v>
      </c>
      <c r="G42" s="316">
        <f>SUM(F42/F7)</f>
        <v>0</v>
      </c>
      <c r="H42" s="89">
        <f>Mag_2!$AP40</f>
        <v>0</v>
      </c>
      <c r="I42" s="316">
        <f>SUM(H42/H7)</f>
        <v>0</v>
      </c>
    </row>
    <row r="43" spans="2:9" ht="18.75" thickBot="1">
      <c r="B43" s="323" t="s">
        <v>291</v>
      </c>
      <c r="C43" s="324"/>
      <c r="D43" s="303">
        <f t="shared" si="4"/>
        <v>118.91176470588235</v>
      </c>
      <c r="E43" s="325">
        <f>SUM(D43/D7)</f>
        <v>2.1802361832654877E-3</v>
      </c>
      <c r="F43" s="69">
        <f>Mag_1!$AP41</f>
        <v>237.8235294117647</v>
      </c>
      <c r="G43" s="316">
        <f>SUM(F43/F7)</f>
        <v>5.1280124663340212E-3</v>
      </c>
      <c r="H43" s="69">
        <f>Mag_2!$AP41</f>
        <v>0</v>
      </c>
      <c r="I43" s="316">
        <f>SUM(H43/H7)</f>
        <v>0</v>
      </c>
    </row>
    <row r="44" spans="2:9" ht="18.75" thickBot="1">
      <c r="B44" s="347" t="s">
        <v>236</v>
      </c>
      <c r="C44" s="348"/>
      <c r="D44" s="333">
        <f>SUM(D41+D42-D43)</f>
        <v>1693.8326470588215</v>
      </c>
      <c r="E44" s="334">
        <f>SUM(D44/D7)</f>
        <v>3.1056264572712367E-2</v>
      </c>
      <c r="F44" s="116">
        <f>Mag_1!$AP42</f>
        <v>1198.0664705882377</v>
      </c>
      <c r="G44" s="349">
        <f>SUM(F44/F7)</f>
        <v>2.5833019179679902E-2</v>
      </c>
      <c r="H44" s="116">
        <f>Mag_2!$AP42</f>
        <v>2189.598823529424</v>
      </c>
      <c r="I44" s="349">
        <f>SUM(H44/H7)</f>
        <v>3.4919484677092397E-2</v>
      </c>
    </row>
    <row r="45" spans="2:9" ht="18">
      <c r="B45" s="350" t="s">
        <v>237</v>
      </c>
      <c r="C45" s="299"/>
      <c r="D45" s="300">
        <f t="shared" ref="D45:D46" si="5">(F45+H45+J45+L45+N45+P45+R45+T45+V45+X45+Z45+AB45+AD45+AF45+AH45+AJ45+AL45)/$C$3</f>
        <v>0.5</v>
      </c>
      <c r="E45" s="351"/>
      <c r="F45" s="352">
        <f>Mag_1!$AP47</f>
        <v>0.5</v>
      </c>
      <c r="G45" s="353"/>
      <c r="H45" s="352">
        <f>Mag_2!$AP47</f>
        <v>0.5</v>
      </c>
      <c r="I45" s="353"/>
    </row>
    <row r="46" spans="2:9" ht="18">
      <c r="B46" s="354" t="s">
        <v>238</v>
      </c>
      <c r="C46" s="330"/>
      <c r="D46" s="473">
        <f t="shared" si="5"/>
        <v>0.5</v>
      </c>
      <c r="E46" s="355"/>
      <c r="F46" s="356">
        <f>Mag_1!$AP48</f>
        <v>0.5</v>
      </c>
      <c r="G46" s="357"/>
      <c r="H46" s="356">
        <f>Mag_2!$AP48</f>
        <v>0.5</v>
      </c>
      <c r="I46" s="357"/>
    </row>
    <row r="47" spans="2:9" ht="18">
      <c r="B47" s="358" t="s">
        <v>239</v>
      </c>
      <c r="C47" s="330"/>
      <c r="D47" s="359">
        <f>SUM(D28/(D15))</f>
        <v>0.46661341074598744</v>
      </c>
      <c r="E47" s="360"/>
      <c r="F47" s="361">
        <f>SUM(F28/F15)</f>
        <v>0.41437305239780076</v>
      </c>
      <c r="G47" s="362"/>
      <c r="H47" s="361">
        <f>SUM(H28/H15)</f>
        <v>0.50843901789268442</v>
      </c>
      <c r="I47" s="362"/>
    </row>
    <row r="48" spans="2:9" ht="18">
      <c r="B48" s="358" t="s">
        <v>240</v>
      </c>
      <c r="C48" s="330"/>
      <c r="D48" s="303">
        <f>SUM(D15/(D45+D46))</f>
        <v>32471.764705882353</v>
      </c>
      <c r="E48" s="363"/>
      <c r="F48" s="364">
        <f>SUM(F15/(F45+F46))</f>
        <v>28876.571176470588</v>
      </c>
      <c r="G48" s="365"/>
      <c r="H48" s="364">
        <f>SUM(H15/(H45+H46))</f>
        <v>36066.958235294122</v>
      </c>
      <c r="I48" s="365"/>
    </row>
    <row r="49" spans="2:9" ht="18.75" thickBot="1">
      <c r="B49" s="366" t="s">
        <v>241</v>
      </c>
      <c r="C49" s="367"/>
      <c r="D49" s="306">
        <f>SUM(D44+D33)</f>
        <v>3213.6588235294098</v>
      </c>
      <c r="E49" s="368"/>
      <c r="F49" s="369">
        <f>SUM(F44+F33)</f>
        <v>2457.6447058823555</v>
      </c>
      <c r="G49" s="370"/>
      <c r="H49" s="369">
        <f>SUM(H44+H33)</f>
        <v>3969.6729411764827</v>
      </c>
      <c r="I49" s="370"/>
    </row>
    <row r="50" spans="2:9" ht="18">
      <c r="B50" s="341" t="s">
        <v>13</v>
      </c>
      <c r="C50" s="164"/>
      <c r="D50" s="300">
        <f t="shared" ref="D50:D71" si="6">(F50+H50+J50+L50+N50+P50+R50+T50+V50+X50+Z50+AB50+AD50+AF50+AH50+AJ50+AL50)/$C$3</f>
        <v>7333.7102941176463</v>
      </c>
      <c r="E50" s="371">
        <f t="shared" ref="E50:E58" si="7">D50/$D$59</f>
        <v>0.27604888599574018</v>
      </c>
      <c r="F50" s="372">
        <f>Mag_1!$BC5</f>
        <v>1764.7058823529412</v>
      </c>
      <c r="G50" s="373">
        <f t="shared" ref="G50:G52" si="8">F50/F$59</f>
        <v>0.10559059618597616</v>
      </c>
      <c r="H50" s="372">
        <f>Mag_2!$BC5</f>
        <v>12902.714705882352</v>
      </c>
      <c r="I50" s="373">
        <f t="shared" ref="I50:I52" si="9">H50/H$59</f>
        <v>0.3542687296693664</v>
      </c>
    </row>
    <row r="51" spans="2:9" ht="18">
      <c r="B51" s="341" t="s">
        <v>16</v>
      </c>
      <c r="C51" s="164"/>
      <c r="D51" s="303">
        <f t="shared" si="6"/>
        <v>5057.5023529411774</v>
      </c>
      <c r="E51" s="374">
        <f t="shared" si="7"/>
        <v>0.19036992660728227</v>
      </c>
      <c r="F51" s="372">
        <f>Mag_1!$BC6</f>
        <v>4012.0611764705864</v>
      </c>
      <c r="G51" s="373">
        <f t="shared" si="8"/>
        <v>0.24006036121627827</v>
      </c>
      <c r="H51" s="372">
        <f>Mag_2!$BC6</f>
        <v>6102.9435294117684</v>
      </c>
      <c r="I51" s="373">
        <f t="shared" si="9"/>
        <v>0.16756799640178766</v>
      </c>
    </row>
    <row r="52" spans="2:9" ht="18.75" thickBot="1">
      <c r="B52" s="341" t="s">
        <v>23</v>
      </c>
      <c r="C52" s="164"/>
      <c r="D52" s="306">
        <f t="shared" si="6"/>
        <v>1841.1094117647058</v>
      </c>
      <c r="E52" s="375">
        <f t="shared" si="7"/>
        <v>6.9301374301842106E-2</v>
      </c>
      <c r="F52" s="372">
        <f>Mag_1!$BC7</f>
        <v>1514.2905882352941</v>
      </c>
      <c r="G52" s="373">
        <f t="shared" si="8"/>
        <v>9.0607079405993773E-2</v>
      </c>
      <c r="H52" s="372">
        <f>Mag_2!$BC7</f>
        <v>2167.9282352941177</v>
      </c>
      <c r="I52" s="373">
        <f t="shared" si="9"/>
        <v>5.9524619387411049E-2</v>
      </c>
    </row>
    <row r="53" spans="2:9" ht="18.75" thickBot="1">
      <c r="B53" s="376" t="s">
        <v>243</v>
      </c>
      <c r="C53" s="377"/>
      <c r="D53" s="333">
        <f t="shared" si="6"/>
        <v>14232.322058823531</v>
      </c>
      <c r="E53" s="378">
        <f t="shared" si="7"/>
        <v>0.53572018690486456</v>
      </c>
      <c r="F53" s="379">
        <f>Mag_1!$BC8</f>
        <v>7291.0576470588221</v>
      </c>
      <c r="G53" s="380">
        <f>F53/F59</f>
        <v>0.43625803680824826</v>
      </c>
      <c r="H53" s="379">
        <f>Mag_2!$BC8</f>
        <v>21173.586470588238</v>
      </c>
      <c r="I53" s="380">
        <f>H53/H59</f>
        <v>0.5813613454585651</v>
      </c>
    </row>
    <row r="54" spans="2:9" ht="18">
      <c r="B54" s="327" t="s">
        <v>32</v>
      </c>
      <c r="C54" s="381"/>
      <c r="D54" s="303">
        <f t="shared" si="6"/>
        <v>4784.7552941176473</v>
      </c>
      <c r="E54" s="374">
        <f t="shared" si="7"/>
        <v>0.18010342865095569</v>
      </c>
      <c r="F54" s="372">
        <f>Mag_1!$BC9</f>
        <v>4960.0594117647061</v>
      </c>
      <c r="G54" s="373">
        <f t="shared" ref="G54:G57" si="10">F54/F$59</f>
        <v>0.29678352389678858</v>
      </c>
      <c r="H54" s="372">
        <f>Mag_2!$BC9</f>
        <v>4609.4511764705876</v>
      </c>
      <c r="I54" s="373">
        <f t="shared" ref="I54:I57" si="11">H54/H$59</f>
        <v>0.12656130511951283</v>
      </c>
    </row>
    <row r="55" spans="2:9" ht="18">
      <c r="B55" s="341" t="s">
        <v>39</v>
      </c>
      <c r="C55" s="382"/>
      <c r="D55" s="303">
        <f t="shared" si="6"/>
        <v>4459.8523529411768</v>
      </c>
      <c r="E55" s="374">
        <f t="shared" si="7"/>
        <v>0.167873726171374</v>
      </c>
      <c r="F55" s="372">
        <f>Mag_1!$BC10</f>
        <v>4374.8147058823533</v>
      </c>
      <c r="G55" s="373">
        <f t="shared" si="10"/>
        <v>0.26176559936513305</v>
      </c>
      <c r="H55" s="372">
        <f>Mag_2!$BC10</f>
        <v>4544.8900000000003</v>
      </c>
      <c r="I55" s="373">
        <f t="shared" si="11"/>
        <v>0.124788654441298</v>
      </c>
    </row>
    <row r="56" spans="2:9" ht="18">
      <c r="B56" s="341" t="s">
        <v>70</v>
      </c>
      <c r="C56" s="382"/>
      <c r="D56" s="303">
        <f t="shared" si="6"/>
        <v>2718.2920588235293</v>
      </c>
      <c r="E56" s="374">
        <f t="shared" si="7"/>
        <v>0.10231948966557647</v>
      </c>
      <c r="F56" s="372">
        <f>Mag_1!$BC11</f>
        <v>18.633529411764705</v>
      </c>
      <c r="G56" s="373">
        <f t="shared" si="10"/>
        <v>1.1149311051277223E-3</v>
      </c>
      <c r="H56" s="372">
        <f>Mag_2!$BC11</f>
        <v>5417.9505882352942</v>
      </c>
      <c r="I56" s="373">
        <f t="shared" si="11"/>
        <v>0.14876020403911233</v>
      </c>
    </row>
    <row r="57" spans="2:9" ht="18.75" thickBot="1">
      <c r="B57" s="383" t="s">
        <v>75</v>
      </c>
      <c r="C57" s="384"/>
      <c r="D57" s="303">
        <f t="shared" si="6"/>
        <v>371.48676470588236</v>
      </c>
      <c r="E57" s="374">
        <f t="shared" si="7"/>
        <v>1.3983168607229333E-2</v>
      </c>
      <c r="F57" s="372">
        <f>Mag_1!$BC12</f>
        <v>68.152941176470591</v>
      </c>
      <c r="G57" s="373">
        <f t="shared" si="10"/>
        <v>4.0779088247024E-3</v>
      </c>
      <c r="H57" s="372">
        <f>Mag_2!$BC12</f>
        <v>674.82058823529417</v>
      </c>
      <c r="I57" s="373">
        <f t="shared" si="11"/>
        <v>1.8528490941511801E-2</v>
      </c>
    </row>
    <row r="58" spans="2:9" ht="18.75" thickBot="1">
      <c r="B58" s="376" t="s">
        <v>244</v>
      </c>
      <c r="C58" s="377"/>
      <c r="D58" s="333">
        <f t="shared" si="6"/>
        <v>12334.386470588237</v>
      </c>
      <c r="E58" s="378">
        <f t="shared" si="7"/>
        <v>0.46427981309513555</v>
      </c>
      <c r="F58" s="379">
        <f>Mag_1!$BC13</f>
        <v>9421.660588235296</v>
      </c>
      <c r="G58" s="380">
        <f>F58/F$59</f>
        <v>0.56374196319175185</v>
      </c>
      <c r="H58" s="379">
        <f>Mag_2!$BC13</f>
        <v>15247.112352941176</v>
      </c>
      <c r="I58" s="380">
        <f>H58/H$59</f>
        <v>0.41863865454143495</v>
      </c>
    </row>
    <row r="59" spans="2:9" ht="18.75" thickBot="1">
      <c r="B59" s="385" t="s">
        <v>245</v>
      </c>
      <c r="C59" s="386"/>
      <c r="D59" s="333">
        <f t="shared" si="6"/>
        <v>26566.708529411764</v>
      </c>
      <c r="E59" s="387"/>
      <c r="F59" s="388">
        <f>Mag_1!$BC14</f>
        <v>16712.718235294116</v>
      </c>
      <c r="G59" s="389">
        <v>1</v>
      </c>
      <c r="H59" s="388">
        <f>Mag_2!$BC14</f>
        <v>36420.698823529412</v>
      </c>
      <c r="I59" s="389">
        <v>1</v>
      </c>
    </row>
    <row r="60" spans="2:9" ht="18.75" thickBot="1">
      <c r="B60" s="164"/>
      <c r="C60" s="164"/>
      <c r="D60" s="303"/>
      <c r="E60" s="292"/>
      <c r="F60" s="390"/>
      <c r="G60" s="391"/>
      <c r="H60" s="390"/>
      <c r="I60" s="391"/>
    </row>
    <row r="61" spans="2:9" ht="18">
      <c r="B61" s="327" t="s">
        <v>3</v>
      </c>
      <c r="C61" s="392"/>
      <c r="D61" s="300">
        <f t="shared" si="6"/>
        <v>6120.7132352941171</v>
      </c>
      <c r="E61" s="371">
        <f>D61/$D$59</f>
        <v>0.23039034845125547</v>
      </c>
      <c r="F61" s="393">
        <f>Mag_1!$BC16</f>
        <v>4139.9552941176471</v>
      </c>
      <c r="G61" s="394">
        <f t="shared" ref="G61:G71" si="12">F61/F$59</f>
        <v>0.24771286369053003</v>
      </c>
      <c r="H61" s="393">
        <f>Mag_2!$BC16</f>
        <v>8101.4711764705871</v>
      </c>
      <c r="I61" s="394">
        <f t="shared" ref="I61:I65" si="13">H61/H$59</f>
        <v>0.22244139838515872</v>
      </c>
    </row>
    <row r="62" spans="2:9" ht="18">
      <c r="B62" s="329" t="s">
        <v>246</v>
      </c>
      <c r="C62" s="355"/>
      <c r="D62" s="303">
        <f t="shared" si="6"/>
        <v>1693.8326470588145</v>
      </c>
      <c r="E62" s="395">
        <f t="shared" ref="E62:E71" si="14">D62/$D$59</f>
        <v>6.3757715607998172E-2</v>
      </c>
      <c r="F62" s="396">
        <f>Mag_1!$BC17</f>
        <v>1198.0664705882373</v>
      </c>
      <c r="G62" s="397">
        <f t="shared" si="12"/>
        <v>7.1685913309909477E-2</v>
      </c>
      <c r="H62" s="396">
        <f>Mag_2!$BC17</f>
        <v>2189.5988235293917</v>
      </c>
      <c r="I62" s="397">
        <f t="shared" si="13"/>
        <v>6.0119626867642974E-2</v>
      </c>
    </row>
    <row r="63" spans="2:9" ht="18.75" thickBot="1">
      <c r="B63" s="383" t="s">
        <v>65</v>
      </c>
      <c r="C63" s="398"/>
      <c r="D63" s="303">
        <f t="shared" si="6"/>
        <v>462.49176470588236</v>
      </c>
      <c r="E63" s="375">
        <f t="shared" si="14"/>
        <v>1.7408696459098871E-2</v>
      </c>
      <c r="F63" s="399">
        <f>Mag_1!$BC18</f>
        <v>924.98352941176472</v>
      </c>
      <c r="G63" s="400">
        <f t="shared" si="12"/>
        <v>5.5346085321918106E-2</v>
      </c>
      <c r="H63" s="399">
        <f>Mag_2!$BC18</f>
        <v>0</v>
      </c>
      <c r="I63" s="400">
        <f t="shared" si="13"/>
        <v>0</v>
      </c>
    </row>
    <row r="64" spans="2:9" ht="18.75" thickBot="1">
      <c r="B64" s="401" t="s">
        <v>247</v>
      </c>
      <c r="C64" s="402"/>
      <c r="D64" s="333">
        <f t="shared" si="6"/>
        <v>8277.0376470588126</v>
      </c>
      <c r="E64" s="378">
        <f t="shared" si="14"/>
        <v>0.31155676051835246</v>
      </c>
      <c r="F64" s="403">
        <f>Mag_1!$BC19</f>
        <v>6263.0052941176491</v>
      </c>
      <c r="G64" s="404">
        <f t="shared" si="12"/>
        <v>0.3747448623223576</v>
      </c>
      <c r="H64" s="403">
        <f>Mag_2!$BC19</f>
        <v>10291.069999999978</v>
      </c>
      <c r="I64" s="404">
        <f t="shared" si="13"/>
        <v>0.28256102525280163</v>
      </c>
    </row>
    <row r="65" spans="2:9" ht="18.75" thickBot="1">
      <c r="B65" s="405" t="s">
        <v>9</v>
      </c>
      <c r="C65" s="406"/>
      <c r="D65" s="303">
        <f t="shared" si="6"/>
        <v>6401.5894117647058</v>
      </c>
      <c r="E65" s="374">
        <f t="shared" si="14"/>
        <v>0.24096283529732573</v>
      </c>
      <c r="F65" s="407">
        <f>Mag_1!$BC20</f>
        <v>0</v>
      </c>
      <c r="G65" s="408">
        <f t="shared" si="12"/>
        <v>0</v>
      </c>
      <c r="H65" s="407">
        <f>Mag_2!$BC20</f>
        <v>12803.178823529412</v>
      </c>
      <c r="I65" s="408">
        <f t="shared" si="13"/>
        <v>0.35153578149516401</v>
      </c>
    </row>
    <row r="66" spans="2:9" ht="18.75" thickBot="1">
      <c r="B66" s="409" t="s">
        <v>248</v>
      </c>
      <c r="C66" s="410"/>
      <c r="D66" s="333">
        <f t="shared" si="6"/>
        <v>14678.62705882352</v>
      </c>
      <c r="E66" s="378">
        <f>E64+E65</f>
        <v>0.55251959581567822</v>
      </c>
      <c r="F66" s="411">
        <f>Mag_1!$BC21</f>
        <v>6263.0052941176491</v>
      </c>
      <c r="G66" s="412">
        <f>SUM(G64:G65)</f>
        <v>0.3747448623223576</v>
      </c>
      <c r="H66" s="411">
        <f>Mag_2!$BC21</f>
        <v>23094.248823529389</v>
      </c>
      <c r="I66" s="412">
        <f>SUM(I64:I65)</f>
        <v>0.63409680674796565</v>
      </c>
    </row>
    <row r="67" spans="2:9" ht="18">
      <c r="B67" s="341" t="s">
        <v>35</v>
      </c>
      <c r="C67" s="382"/>
      <c r="D67" s="303">
        <f t="shared" si="6"/>
        <v>10039.547352941176</v>
      </c>
      <c r="E67" s="374">
        <f t="shared" si="14"/>
        <v>0.3778995558229008</v>
      </c>
      <c r="F67" s="372">
        <f>Mag_1!$BC22</f>
        <v>8152.8994117647044</v>
      </c>
      <c r="G67" s="373">
        <f t="shared" si="12"/>
        <v>0.48782605540176671</v>
      </c>
      <c r="H67" s="372">
        <f>Mag_2!$BC22</f>
        <v>11926.195294117648</v>
      </c>
      <c r="I67" s="373">
        <f t="shared" ref="I67:I71" si="15">H67/H$59</f>
        <v>0.32745652003834669</v>
      </c>
    </row>
    <row r="68" spans="2:9" ht="18">
      <c r="B68" s="341" t="s">
        <v>42</v>
      </c>
      <c r="C68" s="382"/>
      <c r="D68" s="303">
        <f t="shared" si="6"/>
        <v>1699.5135294117647</v>
      </c>
      <c r="E68" s="374">
        <f t="shared" si="14"/>
        <v>6.3971550240416439E-2</v>
      </c>
      <c r="F68" s="372">
        <f>Mag_1!$BC23</f>
        <v>1998.7723529411765</v>
      </c>
      <c r="G68" s="373">
        <f t="shared" si="12"/>
        <v>0.11959588648602627</v>
      </c>
      <c r="H68" s="372">
        <f>Mag_2!$BC23</f>
        <v>1400.2547058823529</v>
      </c>
      <c r="I68" s="373">
        <f t="shared" si="15"/>
        <v>3.8446673213687083E-2</v>
      </c>
    </row>
    <row r="69" spans="2:9" ht="18">
      <c r="B69" s="341" t="s">
        <v>195</v>
      </c>
      <c r="C69" s="382"/>
      <c r="D69" s="303">
        <f t="shared" si="6"/>
        <v>0</v>
      </c>
      <c r="E69" s="374">
        <f t="shared" si="14"/>
        <v>0</v>
      </c>
      <c r="F69" s="372">
        <f>Mag_1!$BC24</f>
        <v>0</v>
      </c>
      <c r="G69" s="373">
        <f t="shared" si="12"/>
        <v>0</v>
      </c>
      <c r="H69" s="372">
        <f>Mag_2!$BC24</f>
        <v>0</v>
      </c>
      <c r="I69" s="373">
        <f t="shared" si="15"/>
        <v>0</v>
      </c>
    </row>
    <row r="70" spans="2:9" ht="18.75" thickBot="1">
      <c r="B70" s="341" t="s">
        <v>73</v>
      </c>
      <c r="C70" s="382"/>
      <c r="D70" s="303">
        <f t="shared" si="6"/>
        <v>149.0205882352941</v>
      </c>
      <c r="E70" s="374">
        <f t="shared" si="14"/>
        <v>5.6092981210041411E-3</v>
      </c>
      <c r="F70" s="372">
        <f>Mag_1!$BC25</f>
        <v>298.0411764705882</v>
      </c>
      <c r="G70" s="373">
        <f t="shared" si="12"/>
        <v>1.7833195789849512E-2</v>
      </c>
      <c r="H70" s="372">
        <f>Mag_2!$BC25</f>
        <v>0</v>
      </c>
      <c r="I70" s="373">
        <f t="shared" si="15"/>
        <v>0</v>
      </c>
    </row>
    <row r="71" spans="2:9" ht="18.75" thickBot="1">
      <c r="B71" s="413" t="s">
        <v>249</v>
      </c>
      <c r="C71" s="414"/>
      <c r="D71" s="333">
        <f t="shared" si="6"/>
        <v>18289.670882352941</v>
      </c>
      <c r="E71" s="378">
        <f t="shared" si="14"/>
        <v>0.6884432394816471</v>
      </c>
      <c r="F71" s="415">
        <f>Mag_1!$BC26</f>
        <v>10449.712941176469</v>
      </c>
      <c r="G71" s="416">
        <f t="shared" si="12"/>
        <v>0.62525513767764251</v>
      </c>
      <c r="H71" s="415">
        <f>Mag_2!$BC26</f>
        <v>26129.628823529412</v>
      </c>
      <c r="I71" s="416">
        <f t="shared" si="15"/>
        <v>0.71743897474719776</v>
      </c>
    </row>
    <row r="72" spans="2:9" ht="18.75" thickBot="1">
      <c r="B72" s="164"/>
      <c r="C72" s="164"/>
      <c r="D72" s="309"/>
      <c r="E72" s="292"/>
      <c r="F72" s="390"/>
      <c r="G72" s="391"/>
      <c r="H72" s="390"/>
      <c r="I72" s="391"/>
    </row>
    <row r="73" spans="2:9" ht="18">
      <c r="B73" s="417" t="s">
        <v>250</v>
      </c>
      <c r="C73" s="418"/>
      <c r="D73" s="419">
        <f>SUM(D58+D67+D68+D69)</f>
        <v>24073.447352941177</v>
      </c>
      <c r="E73" s="292"/>
      <c r="F73" s="420">
        <f>Mag_1!$BC28</f>
        <v>19573.332352941179</v>
      </c>
      <c r="G73" s="391"/>
      <c r="H73" s="420">
        <f>Mag_2!$BC28</f>
        <v>28573.562352941175</v>
      </c>
      <c r="I73" s="391"/>
    </row>
    <row r="74" spans="2:9" ht="18">
      <c r="B74" s="421" t="s">
        <v>251</v>
      </c>
      <c r="C74" s="422"/>
      <c r="D74" s="423">
        <f>SUM(D54+D55+D56+D71)-D65</f>
        <v>23850.981176470588</v>
      </c>
      <c r="E74" s="292"/>
      <c r="F74" s="424">
        <f>Mag_1!$BC29</f>
        <v>19803.220588235294</v>
      </c>
      <c r="G74" s="391"/>
      <c r="H74" s="424">
        <f>Mag_2!$BC29</f>
        <v>27898.741764705886</v>
      </c>
      <c r="I74" s="391"/>
    </row>
    <row r="75" spans="2:9" ht="18.75" thickBot="1">
      <c r="B75" s="425" t="s">
        <v>252</v>
      </c>
      <c r="C75" s="426"/>
      <c r="D75" s="427">
        <f>SUM(D73-D74)</f>
        <v>222.46617647058883</v>
      </c>
      <c r="E75" s="292"/>
      <c r="F75" s="399">
        <f>Mag_1!$BC30</f>
        <v>-229.88823529411457</v>
      </c>
      <c r="G75" s="391"/>
      <c r="H75" s="399">
        <f>Mag_2!$BC30</f>
        <v>674.8205882352886</v>
      </c>
      <c r="I75" s="391"/>
    </row>
    <row r="77" spans="2:9" ht="18">
      <c r="B77" s="479" t="s">
        <v>417</v>
      </c>
      <c r="D77" s="481">
        <f t="shared" ref="D77" si="16">(F77+H77+J77+L77+N77+P77+R77+T77+V77+X77+Z77+AB77+AD77+AF77+AH77+AJ77+AL77)/$C$3</f>
        <v>0.14893590165065201</v>
      </c>
      <c r="F77" s="480">
        <f>Mag_1!$BC47</f>
        <v>9.748138244971799E-2</v>
      </c>
      <c r="G77" s="480"/>
      <c r="H77" s="480">
        <f>Mag_2!$BC47</f>
        <v>0.20039042085158604</v>
      </c>
    </row>
    <row r="79" spans="2:9" ht="15.75" thickBot="1"/>
    <row r="80" spans="2:9" ht="15.75" thickTop="1">
      <c r="B80" s="11" t="s">
        <v>203</v>
      </c>
      <c r="C80" s="429">
        <f>D31</f>
        <v>4100.4044117647063</v>
      </c>
      <c r="D80" s="13" t="s">
        <v>204</v>
      </c>
      <c r="E80" s="429">
        <f>D71</f>
        <v>18289.670882352941</v>
      </c>
      <c r="F80" s="430" t="s">
        <v>205</v>
      </c>
      <c r="G80" s="431">
        <f>C80/E80</f>
        <v>0.22419235633819098</v>
      </c>
      <c r="H80" s="16">
        <v>24</v>
      </c>
      <c r="I80" s="432">
        <f>G80*H80</f>
        <v>5.3806165521165834</v>
      </c>
    </row>
    <row r="81" spans="2:9">
      <c r="B81" s="18" t="s">
        <v>206</v>
      </c>
      <c r="C81" s="433">
        <f>D66</f>
        <v>14678.62705882352</v>
      </c>
      <c r="D81" s="493" t="s">
        <v>207</v>
      </c>
      <c r="E81" s="582">
        <f>D59</f>
        <v>26566.708529411764</v>
      </c>
      <c r="F81" s="434" t="s">
        <v>208</v>
      </c>
      <c r="G81" s="15">
        <f>C81/E81</f>
        <v>0.55251959581567822</v>
      </c>
      <c r="H81" s="21">
        <v>22</v>
      </c>
      <c r="I81" s="435">
        <f t="shared" ref="I81:I84" si="17">G81*H81</f>
        <v>12.155431107944921</v>
      </c>
    </row>
    <row r="82" spans="2:9">
      <c r="B82" s="18" t="s">
        <v>209</v>
      </c>
      <c r="C82" s="433">
        <f>D58</f>
        <v>12334.386470588237</v>
      </c>
      <c r="D82" s="493"/>
      <c r="E82" s="583"/>
      <c r="F82" s="434" t="s">
        <v>210</v>
      </c>
      <c r="G82" s="15">
        <f>C82/E81</f>
        <v>0.46427981309513555</v>
      </c>
      <c r="H82" s="21">
        <v>16</v>
      </c>
      <c r="I82" s="435">
        <f t="shared" si="17"/>
        <v>7.4284770095221688</v>
      </c>
    </row>
    <row r="83" spans="2:9">
      <c r="B83" s="18" t="s">
        <v>211</v>
      </c>
      <c r="C83" s="433">
        <f>D40</f>
        <v>140.69294117647058</v>
      </c>
      <c r="D83" s="23" t="s">
        <v>212</v>
      </c>
      <c r="E83" s="433">
        <f>D7</f>
        <v>54540.772058823524</v>
      </c>
      <c r="F83" s="434" t="s">
        <v>213</v>
      </c>
      <c r="G83" s="15">
        <f>C83/E83</f>
        <v>2.5795920348309315E-3</v>
      </c>
      <c r="H83" s="21">
        <v>-87</v>
      </c>
      <c r="I83" s="435">
        <f t="shared" si="17"/>
        <v>-0.22442450703029104</v>
      </c>
    </row>
    <row r="84" spans="2:9" ht="15.75" thickBot="1">
      <c r="B84" s="24" t="s">
        <v>214</v>
      </c>
      <c r="C84" s="436">
        <f>D28</f>
        <v>15151.760882352941</v>
      </c>
      <c r="D84" s="26" t="s">
        <v>215</v>
      </c>
      <c r="E84" s="436">
        <f>D28+D29+D31</f>
        <v>19571.300588235295</v>
      </c>
      <c r="F84" s="437" t="s">
        <v>216</v>
      </c>
      <c r="G84" s="438">
        <f>C84/E84</f>
        <v>0.77418262593447529</v>
      </c>
      <c r="H84" s="439">
        <v>-10</v>
      </c>
      <c r="I84" s="440">
        <f t="shared" si="17"/>
        <v>-7.7418262593447533</v>
      </c>
    </row>
    <row r="85" spans="2:9" ht="16.5" thickTop="1" thickBot="1">
      <c r="B85" s="8"/>
      <c r="C85" s="8"/>
      <c r="D85" s="8"/>
      <c r="E85" s="8"/>
      <c r="F85" s="8"/>
      <c r="G85" s="8"/>
      <c r="H85" s="441" t="s">
        <v>217</v>
      </c>
      <c r="I85" s="442">
        <f>SUM(I80:I84)</f>
        <v>16.998273903208627</v>
      </c>
    </row>
    <row r="86" spans="2:9" ht="15.75" thickTop="1"/>
  </sheetData>
  <mergeCells count="7">
    <mergeCell ref="H6:I6"/>
    <mergeCell ref="D81:D82"/>
    <mergeCell ref="E81:E82"/>
    <mergeCell ref="F6:G6"/>
    <mergeCell ref="B31:C31"/>
    <mergeCell ref="B38:C38"/>
    <mergeCell ref="B41:C4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200025</xdr:colOff>
                    <xdr:row>1</xdr:row>
                    <xdr:rowOff>114300</xdr:rowOff>
                  </from>
                  <to>
                    <xdr:col>1</xdr:col>
                    <xdr:colOff>1724025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97EB-9603-41EC-A51D-27A54FB5C81A}">
  <sheetPr codeName="Feuil3"/>
  <dimension ref="A1:U36"/>
  <sheetViews>
    <sheetView workbookViewId="0">
      <selection activeCell="W16" sqref="W16"/>
    </sheetView>
  </sheetViews>
  <sheetFormatPr baseColWidth="10" defaultRowHeight="15"/>
  <cols>
    <col min="2" max="2" width="27.85546875" customWidth="1"/>
    <col min="6" max="6" width="33.28515625" bestFit="1" customWidth="1"/>
    <col min="8" max="8" width="15" customWidth="1"/>
    <col min="16" max="16" width="12.85546875" bestFit="1" customWidth="1"/>
    <col min="22" max="22" width="7.42578125" bestFit="1" customWidth="1"/>
  </cols>
  <sheetData>
    <row r="1" spans="1:21" ht="21" thickBot="1">
      <c r="A1">
        <v>10</v>
      </c>
      <c r="B1" t="s">
        <v>3</v>
      </c>
      <c r="F1" s="465" t="s">
        <v>314</v>
      </c>
      <c r="G1" s="464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</row>
    <row r="2" spans="1:21" ht="15.75">
      <c r="A2">
        <v>16</v>
      </c>
      <c r="B2" t="s">
        <v>9</v>
      </c>
      <c r="F2" s="462" t="s">
        <v>285</v>
      </c>
      <c r="G2" s="461"/>
      <c r="H2" s="451">
        <v>-0.5</v>
      </c>
      <c r="I2" s="451">
        <v>-0.25</v>
      </c>
      <c r="J2" s="451">
        <v>-0.1</v>
      </c>
      <c r="K2" s="451">
        <v>-0.02</v>
      </c>
      <c r="L2" s="451">
        <v>0.02</v>
      </c>
      <c r="M2" s="451">
        <v>0.1</v>
      </c>
      <c r="N2" s="451">
        <v>0.25</v>
      </c>
      <c r="O2" s="451">
        <v>0.5</v>
      </c>
      <c r="P2" t="s">
        <v>311</v>
      </c>
    </row>
    <row r="3" spans="1:21" ht="15.75">
      <c r="A3">
        <v>20</v>
      </c>
      <c r="B3" t="s">
        <v>13</v>
      </c>
      <c r="F3" s="460" t="s">
        <v>275</v>
      </c>
      <c r="G3" s="459"/>
      <c r="H3" s="451">
        <v>-0.2</v>
      </c>
      <c r="I3" s="451">
        <v>-0.15</v>
      </c>
      <c r="J3" s="451">
        <v>-0.1</v>
      </c>
      <c r="K3" s="451">
        <v>-0.02</v>
      </c>
      <c r="L3" s="451">
        <v>0.02</v>
      </c>
      <c r="M3" s="451">
        <v>0.05</v>
      </c>
      <c r="N3" s="451">
        <v>0.1</v>
      </c>
      <c r="O3" s="451">
        <v>0.15</v>
      </c>
      <c r="P3" t="s">
        <v>311</v>
      </c>
    </row>
    <row r="4" spans="1:21">
      <c r="A4">
        <v>21</v>
      </c>
      <c r="B4" t="s">
        <v>16</v>
      </c>
      <c r="F4" s="458" t="s">
        <v>313</v>
      </c>
      <c r="G4" s="456"/>
      <c r="H4" s="451">
        <v>-0.2</v>
      </c>
      <c r="I4" s="451">
        <v>-0.15</v>
      </c>
      <c r="J4" s="451">
        <v>-0.1</v>
      </c>
      <c r="K4" s="451">
        <v>-0.02</v>
      </c>
      <c r="L4" s="451">
        <v>0.02</v>
      </c>
      <c r="M4" s="451">
        <v>0.05</v>
      </c>
      <c r="N4" s="451">
        <v>0.1</v>
      </c>
      <c r="O4" s="451">
        <v>0.15</v>
      </c>
      <c r="P4" t="s">
        <v>311</v>
      </c>
    </row>
    <row r="5" spans="1:21">
      <c r="A5">
        <v>27</v>
      </c>
      <c r="B5" t="s">
        <v>23</v>
      </c>
      <c r="F5" s="457" t="s">
        <v>75</v>
      </c>
      <c r="G5" s="456"/>
      <c r="H5" s="451">
        <v>-0.5</v>
      </c>
      <c r="I5" s="451">
        <v>-0.25</v>
      </c>
      <c r="J5" s="451">
        <v>-0.1</v>
      </c>
      <c r="K5" s="451">
        <v>-0.02</v>
      </c>
      <c r="L5" s="451">
        <v>0.02</v>
      </c>
      <c r="M5" s="451">
        <v>0.1</v>
      </c>
      <c r="N5" s="451">
        <v>0.25</v>
      </c>
      <c r="O5" s="451">
        <v>0.5</v>
      </c>
      <c r="P5" t="s">
        <v>311</v>
      </c>
    </row>
    <row r="6" spans="1:21" ht="15.75">
      <c r="A6">
        <v>30</v>
      </c>
      <c r="B6" t="s">
        <v>32</v>
      </c>
      <c r="F6" s="455" t="s">
        <v>312</v>
      </c>
      <c r="G6" s="454"/>
      <c r="H6" s="451">
        <v>-0.2</v>
      </c>
      <c r="I6" s="451">
        <v>-0.15</v>
      </c>
      <c r="J6" s="451">
        <v>-0.1</v>
      </c>
      <c r="K6" s="451">
        <v>-0.02</v>
      </c>
      <c r="L6" s="451">
        <v>0.02</v>
      </c>
      <c r="M6" s="451">
        <v>0.05</v>
      </c>
      <c r="N6" s="451">
        <v>0.1</v>
      </c>
      <c r="O6" s="451">
        <v>0.15</v>
      </c>
      <c r="P6" t="s">
        <v>311</v>
      </c>
    </row>
    <row r="7" spans="1:21" ht="15.75" thickBot="1">
      <c r="A7">
        <v>40</v>
      </c>
      <c r="B7" t="s">
        <v>35</v>
      </c>
      <c r="F7" s="453" t="s">
        <v>282</v>
      </c>
      <c r="G7" s="452"/>
      <c r="H7" s="451">
        <v>-0.5</v>
      </c>
      <c r="I7" s="451">
        <v>-0.25</v>
      </c>
      <c r="J7" s="451">
        <v>-0.1</v>
      </c>
      <c r="K7" s="451">
        <v>-0.02</v>
      </c>
      <c r="L7" s="451">
        <v>0.02</v>
      </c>
      <c r="M7" s="451">
        <v>0.1</v>
      </c>
      <c r="N7" s="451">
        <v>0.25</v>
      </c>
      <c r="O7" s="451">
        <v>0.5</v>
      </c>
      <c r="P7" t="s">
        <v>311</v>
      </c>
    </row>
    <row r="8" spans="1:21">
      <c r="A8">
        <v>41</v>
      </c>
      <c r="B8" t="s">
        <v>39</v>
      </c>
    </row>
    <row r="9" spans="1:21" ht="19.5">
      <c r="A9">
        <v>41</v>
      </c>
      <c r="B9" t="s">
        <v>194</v>
      </c>
      <c r="H9" s="449" t="s">
        <v>310</v>
      </c>
      <c r="I9" s="448" t="s">
        <v>309</v>
      </c>
      <c r="J9" s="447" t="s">
        <v>308</v>
      </c>
      <c r="K9" s="447" t="s">
        <v>307</v>
      </c>
      <c r="L9" s="446" t="s">
        <v>306</v>
      </c>
      <c r="M9" s="446" t="s">
        <v>305</v>
      </c>
      <c r="N9" s="446" t="s">
        <v>304</v>
      </c>
      <c r="O9" s="450" t="s">
        <v>303</v>
      </c>
      <c r="P9" s="444" t="s">
        <v>302</v>
      </c>
    </row>
    <row r="10" spans="1:21">
      <c r="A10">
        <v>44</v>
      </c>
      <c r="B10" t="s">
        <v>42</v>
      </c>
    </row>
    <row r="11" spans="1:21">
      <c r="A11">
        <v>45.5</v>
      </c>
      <c r="B11" t="s">
        <v>65</v>
      </c>
      <c r="H11" t="s">
        <v>301</v>
      </c>
      <c r="I11" t="s">
        <v>300</v>
      </c>
      <c r="J11" t="s">
        <v>299</v>
      </c>
      <c r="K11" t="s">
        <v>298</v>
      </c>
      <c r="L11" t="s">
        <v>297</v>
      </c>
      <c r="M11" t="s">
        <v>296</v>
      </c>
      <c r="N11" t="s">
        <v>295</v>
      </c>
      <c r="O11" t="s">
        <v>294</v>
      </c>
      <c r="P11" t="s">
        <v>293</v>
      </c>
    </row>
    <row r="12" spans="1:21" ht="19.5">
      <c r="A12">
        <v>46.6</v>
      </c>
      <c r="B12" t="s">
        <v>70</v>
      </c>
      <c r="H12" s="449"/>
      <c r="I12" s="448"/>
      <c r="J12" s="447"/>
      <c r="K12" s="447"/>
      <c r="L12" s="447"/>
      <c r="M12" s="446"/>
      <c r="N12" s="446"/>
      <c r="O12" s="445"/>
      <c r="P12" s="444"/>
    </row>
    <row r="13" spans="1:21">
      <c r="A13">
        <v>46.7</v>
      </c>
      <c r="B13" t="s">
        <v>195</v>
      </c>
    </row>
    <row r="14" spans="1:21">
      <c r="A14">
        <v>53</v>
      </c>
      <c r="B14" t="s">
        <v>73</v>
      </c>
    </row>
    <row r="15" spans="1:21" ht="19.5">
      <c r="A15">
        <v>53</v>
      </c>
      <c r="B15" t="s">
        <v>75</v>
      </c>
      <c r="H15" s="449"/>
      <c r="I15" s="448"/>
      <c r="J15" s="447"/>
      <c r="K15" s="447"/>
      <c r="L15" s="447"/>
      <c r="M15" s="446"/>
      <c r="N15" s="446"/>
      <c r="O15" s="445"/>
      <c r="P15" s="444"/>
    </row>
    <row r="16" spans="1:21">
      <c r="A16">
        <v>62</v>
      </c>
      <c r="B16" t="s">
        <v>83</v>
      </c>
    </row>
    <row r="17" spans="1:2">
      <c r="A17">
        <v>63</v>
      </c>
      <c r="B17" t="s">
        <v>138</v>
      </c>
    </row>
    <row r="18" spans="1:2">
      <c r="A18">
        <v>607</v>
      </c>
      <c r="B18" t="s">
        <v>82</v>
      </c>
    </row>
    <row r="19" spans="1:2">
      <c r="A19">
        <v>607</v>
      </c>
      <c r="B19" t="s">
        <v>80</v>
      </c>
    </row>
    <row r="20" spans="1:2">
      <c r="A20">
        <v>612</v>
      </c>
      <c r="B20" t="s">
        <v>101</v>
      </c>
    </row>
    <row r="21" spans="1:2">
      <c r="A21">
        <v>613</v>
      </c>
      <c r="B21" t="s">
        <v>98</v>
      </c>
    </row>
    <row r="22" spans="1:2">
      <c r="A22">
        <v>622</v>
      </c>
      <c r="B22" t="s">
        <v>116</v>
      </c>
    </row>
    <row r="23" spans="1:2">
      <c r="A23">
        <v>623</v>
      </c>
      <c r="B23" t="s">
        <v>124</v>
      </c>
    </row>
    <row r="24" spans="1:2">
      <c r="A24">
        <v>626</v>
      </c>
      <c r="B24" t="s">
        <v>110</v>
      </c>
    </row>
    <row r="25" spans="1:2">
      <c r="A25">
        <v>640</v>
      </c>
      <c r="B25" t="s">
        <v>143</v>
      </c>
    </row>
    <row r="26" spans="1:2">
      <c r="A26">
        <v>641</v>
      </c>
      <c r="B26" t="s">
        <v>196</v>
      </c>
    </row>
    <row r="27" spans="1:2">
      <c r="A27">
        <v>645</v>
      </c>
      <c r="B27" t="s">
        <v>149</v>
      </c>
    </row>
    <row r="28" spans="1:2">
      <c r="A28">
        <v>660</v>
      </c>
      <c r="B28" t="s">
        <v>113</v>
      </c>
    </row>
    <row r="29" spans="1:2">
      <c r="A29">
        <v>670</v>
      </c>
      <c r="B29" t="s">
        <v>197</v>
      </c>
    </row>
    <row r="30" spans="1:2">
      <c r="A30">
        <v>675</v>
      </c>
      <c r="B30" t="s">
        <v>158</v>
      </c>
    </row>
    <row r="31" spans="1:2">
      <c r="A31">
        <v>681</v>
      </c>
      <c r="B31" t="s">
        <v>164</v>
      </c>
    </row>
    <row r="32" spans="1:2">
      <c r="A32">
        <v>681.5</v>
      </c>
      <c r="B32" t="s">
        <v>198</v>
      </c>
    </row>
    <row r="33" spans="1:2">
      <c r="A33">
        <v>690</v>
      </c>
      <c r="B33" t="s">
        <v>166</v>
      </c>
    </row>
    <row r="34" spans="1:2">
      <c r="A34">
        <v>707</v>
      </c>
      <c r="B34" t="s">
        <v>176</v>
      </c>
    </row>
    <row r="35" spans="1:2">
      <c r="A35">
        <v>707</v>
      </c>
      <c r="B35" t="s">
        <v>168</v>
      </c>
    </row>
    <row r="36" spans="1:2">
      <c r="A36">
        <v>775</v>
      </c>
      <c r="B36" t="s">
        <v>188</v>
      </c>
    </row>
  </sheetData>
  <conditionalFormatting sqref="G2:G3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G2:G3">
    <cfRule type="iconSet" priority="4">
      <iconSet showValue="0">
        <cfvo type="percent" val="0"/>
        <cfvo type="percent" val="$B$35"/>
        <cfvo type="percent" val="15" gte="0"/>
      </iconSet>
    </cfRule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35:F35">
    <cfRule type="cellIs" priority="2" operator="between">
      <formula>-0.25</formula>
      <formula>$J$2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5202844-5081-4813-9337-C1952925ED5C}">
            <xm:f>NOT(ISERROR(SEARCH($O$9,D35)))</xm:f>
            <xm:f>$O$9</xm:f>
            <x14:dxf/>
          </x14:cfRule>
          <xm:sqref>D35:F35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Mag_vierge</vt:lpstr>
      <vt:lpstr>Mag_1</vt:lpstr>
      <vt:lpstr>Mag_2</vt:lpstr>
      <vt:lpstr>Moyenne</vt:lpstr>
      <vt:lpstr>Liste</vt:lpstr>
      <vt:lpstr>I</vt:lpstr>
      <vt:lpstr>Liste</vt:lpstr>
      <vt:lpstr>M</vt:lpstr>
      <vt:lpstr>S</vt:lpstr>
      <vt:lpstr>TI</vt:lpstr>
      <vt:lpstr>TS</vt:lpstr>
      <vt:lpstr>TTI</vt:lpstr>
      <vt:lpstr>TTS</vt:lpstr>
      <vt:lpstr>TTTI</vt:lpstr>
      <vt:lpstr>TTTS</vt:lpstr>
      <vt:lpstr>Mag_1!Zone_d_impression</vt:lpstr>
      <vt:lpstr>Mag_2!Zone_d_impression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lmare</dc:creator>
  <cp:lastModifiedBy>lmare</cp:lastModifiedBy>
  <cp:lastPrinted>2021-02-12T06:52:50Z</cp:lastPrinted>
  <dcterms:created xsi:type="dcterms:W3CDTF">2021-02-03T09:19:00Z</dcterms:created>
  <dcterms:modified xsi:type="dcterms:W3CDTF">2021-03-18T11:16:36Z</dcterms:modified>
</cp:coreProperties>
</file>