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2.xml" ContentType="application/vnd.openxmlformats-officedocument.spreadsheetml.table+xml"/>
  <Override PartName="/xl/tables/table1.xml" ContentType="application/vnd.openxmlformats-officedocument.spreadsheetml.table+xml"/>
  <Override PartName="/xl/tables/table3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worksheets/_rels/sheet4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4"/>
  </bookViews>
  <sheets>
    <sheet name="Factures" sheetId="1" state="visible" r:id="rId2"/>
    <sheet name="Echeanciers" sheetId="2" state="visible" r:id="rId3"/>
    <sheet name="Coordonnées FRN" sheetId="3" state="visible" r:id="rId4"/>
    <sheet name="Paramètres" sheetId="4" state="visible" r:id="rId5"/>
    <sheet name="Suivi" sheetId="5" state="visible" r:id="rId6"/>
  </sheets>
  <definedNames>
    <definedName function="false" hidden="false" localSheetId="0" name="_xlnm.Print_Titles" vbProcedure="false">Factures!$1:$1</definedName>
    <definedName function="false" hidden="false" name="Banque" vbProcedure="false">Paramètres!$A:$A</definedName>
    <definedName function="false" hidden="false" name="Banques" vbProcedure="false">paramètres!#REF!</definedName>
    <definedName function="false" hidden="false" name="Client" vbProcedure="false">Suivi!$J$1:$J$60</definedName>
    <definedName function="false" hidden="false" name="Date_" vbProcedure="false">Factures!$K:$K</definedName>
    <definedName function="false" hidden="false" name="Etat" vbProcedure="false">Factures!$L:$L</definedName>
    <definedName function="false" hidden="false" name="Factures" vbProcedure="false">Factures!$1:$1048576</definedName>
    <definedName function="false" hidden="false" name="ListeFrn" vbProcedure="false">Paramètres!$B:$B</definedName>
    <definedName function="false" hidden="false" name="Mode" vbProcedure="false">Paramètres!$C:$C</definedName>
    <definedName function="false" hidden="false" name="Montant" vbProcedure="false">Factures!$E:$E</definedName>
    <definedName function="false" hidden="false" name="TVA" vbProcedure="false">#REF!</definedName>
    <definedName function="false" hidden="false" name="TypeRgmt" vbProcedure="false">#REF!</definedName>
    <definedName function="false" hidden="false" localSheetId="0" name="_xlnm.Print_Area" vbProcedure="false">Tableau2[#all]</definedName>
    <definedName function="false" hidden="false" localSheetId="0" name="_xlnm.Print_Titles" vbProcedure="false">Factures!$1:$1</definedName>
    <definedName function="false" hidden="false" localSheetId="0" name="_xlnm.Print_Titles_0" vbProcedure="false">Factures!$1:$1</definedName>
    <definedName function="false" hidden="false" localSheetId="0" name="_xlnm._FilterDatabase" vbProcedure="false">Factures!$A$1:$O$203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<sst xmlns="http://schemas.openxmlformats.org/spreadsheetml/2006/main" count="1036" uniqueCount="396">
  <si>
    <t xml:space="preserve">N° Facture</t>
  </si>
  <si>
    <t xml:space="preserve">Pièce N°</t>
  </si>
  <si>
    <t xml:space="preserve">Date Facture</t>
  </si>
  <si>
    <t xml:space="preserve">Nom</t>
  </si>
  <si>
    <t xml:space="preserve">Montant HT</t>
  </si>
  <si>
    <t xml:space="preserve">TVA 2,1% </t>
  </si>
  <si>
    <t xml:space="preserve">TVA 5,5%</t>
  </si>
  <si>
    <t xml:space="preserve">TVA 10%</t>
  </si>
  <si>
    <t xml:space="preserve">TVA 20%</t>
  </si>
  <si>
    <t xml:space="preserve">Montant TTC</t>
  </si>
  <si>
    <t xml:space="preserve">Date Échéance</t>
  </si>
  <si>
    <t xml:space="preserve">Etat de la facture</t>
  </si>
  <si>
    <t xml:space="preserve">Date de Règlement</t>
  </si>
  <si>
    <t xml:space="preserve">Délai de paiement</t>
  </si>
  <si>
    <t xml:space="preserve">Mode de Règlement</t>
  </si>
  <si>
    <t xml:space="preserve">Sur Banque</t>
  </si>
  <si>
    <t xml:space="preserve">Observation(s)</t>
  </si>
  <si>
    <t xml:space="preserve">Thommen Medical (JMD) - 2942</t>
  </si>
  <si>
    <t xml:space="preserve">Prélèvement</t>
  </si>
  <si>
    <t xml:space="preserve">(BQ1) Banque Populaire Selarl</t>
  </si>
  <si>
    <t xml:space="preserve">Henry Schein France (53178)</t>
  </si>
  <si>
    <t xml:space="preserve">Promodentaire (701 181 41)</t>
  </si>
  <si>
    <t xml:space="preserve">Thommen Medical (SL) - 3613</t>
  </si>
  <si>
    <t xml:space="preserve">Thommen Medical (HDB) - 3616</t>
  </si>
  <si>
    <t xml:space="preserve">Thommen Medical (SP) - 3615</t>
  </si>
  <si>
    <t xml:space="preserve">Thommen Medical (AMS) - 3614</t>
  </si>
  <si>
    <t xml:space="preserve">Thommen Medical (STOCK) - 3611</t>
  </si>
  <si>
    <t xml:space="preserve">Prélevement</t>
  </si>
  <si>
    <t xml:space="preserve">FA1802272</t>
  </si>
  <si>
    <t xml:space="preserve">Cafés Tchanqué</t>
  </si>
  <si>
    <t xml:space="preserve">FAC19455</t>
  </si>
  <si>
    <t xml:space="preserve">Hygisud Médical (DRU330)</t>
  </si>
  <si>
    <t xml:space="preserve">Nobel Biocare (716732)</t>
  </si>
  <si>
    <t xml:space="preserve">Avoir</t>
  </si>
  <si>
    <t xml:space="preserve">Proserve Dasri (G211U12834)</t>
  </si>
  <si>
    <t xml:space="preserve">FAC19463</t>
  </si>
  <si>
    <t xml:space="preserve">FAC19469</t>
  </si>
  <si>
    <t xml:space="preserve">CF0016012</t>
  </si>
  <si>
    <t xml:space="preserve">La Compagnie Fiduciaire</t>
  </si>
  <si>
    <t xml:space="preserve">4 Prélèvements de 787,50€ (Du 25/01 au 25/04/2020 sur CA SGT)</t>
  </si>
  <si>
    <t xml:space="preserve">2019-218</t>
  </si>
  <si>
    <t xml:space="preserve">XLR Parachutisme</t>
  </si>
  <si>
    <t xml:space="preserve">(BQ5) Crédit Agricole La Teste</t>
  </si>
  <si>
    <t xml:space="preserve">JAUREGUI Michel (JMD)</t>
  </si>
  <si>
    <t xml:space="preserve">JAUREGUI Michel (SP)</t>
  </si>
  <si>
    <t xml:space="preserve">JAUREGUI Michel (SL)</t>
  </si>
  <si>
    <t xml:space="preserve">JAUREGUI Michel (AMS)</t>
  </si>
  <si>
    <t xml:space="preserve">JAUREGUI Michel (HDB)</t>
  </si>
  <si>
    <t xml:space="preserve">Thommen Medical (AMS) - 3615</t>
  </si>
  <si>
    <t xml:space="preserve">AlphaBio Tec </t>
  </si>
  <si>
    <t xml:space="preserve">Virement</t>
  </si>
  <si>
    <t xml:space="preserve">Avoir de 742,47€ déuit (2091199° + Virement CA TOP3 de 310,94€)</t>
  </si>
  <si>
    <t xml:space="preserve">Thommen Medical (JMD) - 2943</t>
  </si>
  <si>
    <t xml:space="preserve">FAC19361</t>
  </si>
  <si>
    <t xml:space="preserve">IRSN (82061)</t>
  </si>
  <si>
    <t xml:space="preserve">Tridon Valérie (APPOL)</t>
  </si>
  <si>
    <t xml:space="preserve">Innovortho-France</t>
  </si>
  <si>
    <t xml:space="preserve">SP092019</t>
  </si>
  <si>
    <t xml:space="preserve">Stoma</t>
  </si>
  <si>
    <t xml:space="preserve">(BQ4) Crédit Agricole Sanguinet</t>
  </si>
  <si>
    <t xml:space="preserve">Avoir déduit de la facture 120386 du 03/10/2019 (201910144)</t>
  </si>
  <si>
    <t xml:space="preserve">Surf On Line</t>
  </si>
  <si>
    <t xml:space="preserve">Avoir Partiel</t>
  </si>
  <si>
    <t xml:space="preserve">FAC19381</t>
  </si>
  <si>
    <t xml:space="preserve">A11819-01284</t>
  </si>
  <si>
    <t xml:space="preserve">Corus - LSO</t>
  </si>
  <si>
    <t xml:space="preserve">Prélèvement le 17/12/2019 suite rejet 1er prélèvement du 20/11</t>
  </si>
  <si>
    <t xml:space="preserve">FAC19387</t>
  </si>
  <si>
    <t xml:space="preserve">VK/19069952</t>
  </si>
  <si>
    <t xml:space="preserve">Komet (561354)</t>
  </si>
  <si>
    <t xml:space="preserve">Pred Laboratoires (C2000477)</t>
  </si>
  <si>
    <t xml:space="preserve">F02248</t>
  </si>
  <si>
    <t xml:space="preserve">SDMC</t>
  </si>
  <si>
    <t xml:space="preserve">JMD102019</t>
  </si>
  <si>
    <t xml:space="preserve">SP102019</t>
  </si>
  <si>
    <t xml:space="preserve">SL102019</t>
  </si>
  <si>
    <t xml:space="preserve">AMS102019</t>
  </si>
  <si>
    <t xml:space="preserve">HDB10219</t>
  </si>
  <si>
    <t xml:space="preserve">Reste un Solde d'avoir de 76,01€</t>
  </si>
  <si>
    <t xml:space="preserve">F02261</t>
  </si>
  <si>
    <t xml:space="preserve">FA1802144</t>
  </si>
  <si>
    <t xml:space="preserve">15-3587</t>
  </si>
  <si>
    <t xml:space="preserve">Kikopiki</t>
  </si>
  <si>
    <t xml:space="preserve">FAC6346</t>
  </si>
  <si>
    <t xml:space="preserve">Le Nectar Traiteur (CLT0000375)</t>
  </si>
  <si>
    <t xml:space="preserve">Hyper Buro (A00869)</t>
  </si>
  <si>
    <t xml:space="preserve">Rouzes Océan</t>
  </si>
  <si>
    <t xml:space="preserve">Frankel (1329801)</t>
  </si>
  <si>
    <t xml:space="preserve">SO00088717</t>
  </si>
  <si>
    <t xml:space="preserve">Make It Simple (F022998)</t>
  </si>
  <si>
    <t xml:space="preserve">SO00083442</t>
  </si>
  <si>
    <t xml:space="preserve">AV 1907544</t>
  </si>
  <si>
    <t xml:space="preserve">1-19-11-0003</t>
  </si>
  <si>
    <t xml:space="preserve">Académie d'Art Dentaire</t>
  </si>
  <si>
    <t xml:space="preserve">INV282034</t>
  </si>
  <si>
    <t xml:space="preserve">RMO Europe (C10265)</t>
  </si>
  <si>
    <t xml:space="preserve">FA294676</t>
  </si>
  <si>
    <t xml:space="preserve">Praxis L'Instrumentiste (33046)</t>
  </si>
  <si>
    <t xml:space="preserve">Sas CATAL Michel</t>
  </si>
  <si>
    <t xml:space="preserve">Bisico (CU010409)</t>
  </si>
  <si>
    <t xml:space="preserve">VK/19071547</t>
  </si>
  <si>
    <t xml:space="preserve">FC4296</t>
  </si>
  <si>
    <t xml:space="preserve">EDENT'X (1539 CB)</t>
  </si>
  <si>
    <t xml:space="preserve">Orthoplus (117450)</t>
  </si>
  <si>
    <t xml:space="preserve">Dexter (882670)</t>
  </si>
  <si>
    <t xml:space="preserve">FAC19416</t>
  </si>
  <si>
    <t xml:space="preserve">Choisir Banque</t>
  </si>
  <si>
    <t xml:space="preserve">FAC19417</t>
  </si>
  <si>
    <t xml:space="preserve">AV1910118</t>
  </si>
  <si>
    <t xml:space="preserve">Alféor</t>
  </si>
  <si>
    <t xml:space="preserve">Champagne Valery Robert (SELAR)</t>
  </si>
  <si>
    <t xml:space="preserve">Gaba Laboratoires (GA33056121)</t>
  </si>
  <si>
    <t xml:space="preserve">FAC19423</t>
  </si>
  <si>
    <t xml:space="preserve">AV1910771</t>
  </si>
  <si>
    <t xml:space="preserve">FAC19439</t>
  </si>
  <si>
    <t xml:space="preserve">TOTAL</t>
  </si>
  <si>
    <r>
      <rPr>
        <sz val="11"/>
        <color rgb="FF000000"/>
        <rFont val="Calibri"/>
        <family val="2"/>
        <charset val="1"/>
      </rPr>
      <t xml:space="preserve">SOUS-TOTAL                                   (</t>
    </r>
    <r>
      <rPr>
        <b val="true"/>
        <u val="single"/>
        <sz val="11"/>
        <color rgb="FF000000"/>
        <rFont val="Calibri (Corps)"/>
        <family val="0"/>
        <charset val="1"/>
      </rPr>
      <t xml:space="preserve">Fournisseurs selectionnés</t>
    </r>
    <r>
      <rPr>
        <sz val="11"/>
        <color rgb="FF000000"/>
        <rFont val="Calibri"/>
        <family val="2"/>
        <charset val="1"/>
      </rPr>
      <t xml:space="preserve">)</t>
    </r>
  </si>
  <si>
    <t xml:space="preserve">Total des factures payées</t>
  </si>
  <si>
    <t xml:space="preserve">TOTAL Factures Réglées</t>
  </si>
  <si>
    <t xml:space="preserve">Total des factures à régler</t>
  </si>
  <si>
    <t xml:space="preserve">TOTAL Factures A Régler</t>
  </si>
  <si>
    <t xml:space="preserve">Total des factures en retard de paiement</t>
  </si>
  <si>
    <t xml:space="preserve">TOTAL Factures en Retard</t>
  </si>
  <si>
    <t xml:space="preserve">Total des factures avec échéances à venir</t>
  </si>
  <si>
    <t xml:space="preserve">TOTAL Factures en Attente</t>
  </si>
  <si>
    <r>
      <rPr>
        <sz val="11"/>
        <color rgb="FF000000"/>
        <rFont val="Calibri"/>
        <family val="2"/>
        <charset val="1"/>
      </rPr>
      <t xml:space="preserve">TOTAL                                   (</t>
    </r>
    <r>
      <rPr>
        <b val="true"/>
        <u val="single"/>
        <sz val="11"/>
        <color rgb="FF000000"/>
        <rFont val="Calibri (Corps)"/>
        <family val="0"/>
        <charset val="1"/>
      </rPr>
      <t xml:space="preserve">Tous Fournisseurs</t>
    </r>
    <r>
      <rPr>
        <sz val="11"/>
        <color rgb="FF000000"/>
        <rFont val="Calibri"/>
        <family val="2"/>
        <charset val="1"/>
      </rPr>
      <t xml:space="preserve">)</t>
    </r>
  </si>
  <si>
    <t xml:space="preserve">Total règlement factures du mois</t>
  </si>
  <si>
    <r>
      <rPr>
        <b val="true"/>
        <u val="single"/>
        <sz val="11"/>
        <color rgb="FF000000"/>
        <rFont val="Calibri"/>
        <family val="2"/>
        <charset val="1"/>
      </rPr>
      <t xml:space="preserve">Dont </t>
    </r>
    <r>
      <rPr>
        <sz val="11"/>
        <color rgb="FF000000"/>
        <rFont val="Calibri"/>
        <family val="2"/>
        <charset val="1"/>
      </rPr>
      <t xml:space="preserve">Factures payées                                      </t>
    </r>
    <r>
      <rPr>
        <b val="true"/>
        <sz val="11"/>
        <color rgb="FF33CC33"/>
        <rFont val="Calibri"/>
        <family val="2"/>
        <charset val="1"/>
      </rPr>
      <t xml:space="preserve">à échéance respectée
</t>
    </r>
  </si>
  <si>
    <r>
      <rPr>
        <sz val="11"/>
        <color rgb="FF000000"/>
        <rFont val="Calibri"/>
        <family val="2"/>
        <charset val="1"/>
      </rPr>
      <t xml:space="preserve">Factures non payées et en retard de règlement </t>
    </r>
    <r>
      <rPr>
        <b val="true"/>
        <sz val="11"/>
        <color rgb="FF000000"/>
        <rFont val="Calibri"/>
        <family val="2"/>
        <charset val="1"/>
      </rPr>
      <t xml:space="preserve">                                                           (</t>
    </r>
    <r>
      <rPr>
        <b val="true"/>
        <sz val="11"/>
        <color rgb="FFFF0000"/>
        <rFont val="Calibri"/>
        <family val="2"/>
        <charset val="1"/>
      </rPr>
      <t xml:space="preserve">Échéance dépassée</t>
    </r>
    <r>
      <rPr>
        <b val="true"/>
        <sz val="11"/>
        <color rgb="FF000000"/>
        <rFont val="Calibri"/>
        <family val="2"/>
        <charset val="1"/>
      </rPr>
      <t xml:space="preserve">)</t>
    </r>
  </si>
  <si>
    <r>
      <rPr>
        <sz val="11"/>
        <color rgb="FF000000"/>
        <rFont val="Calibri"/>
        <family val="2"/>
        <charset val="1"/>
      </rPr>
      <t xml:space="preserve">Factures en attente de règlement </t>
    </r>
    <r>
      <rPr>
        <b val="true"/>
        <sz val="11"/>
        <color rgb="FF000000"/>
        <rFont val="Calibri"/>
        <family val="2"/>
        <charset val="1"/>
      </rPr>
      <t xml:space="preserve">(Echance non atteinte)</t>
    </r>
  </si>
  <si>
    <t xml:space="preserve">Ne pas effacer</t>
  </si>
  <si>
    <t xml:space="preserve">NOM du Fournisseur</t>
  </si>
  <si>
    <t xml:space="preserve">Code Client</t>
  </si>
  <si>
    <t xml:space="preserve">Mode de Paiement</t>
  </si>
  <si>
    <t xml:space="preserve">Conditions Rglt</t>
  </si>
  <si>
    <t xml:space="preserve">Adresse </t>
  </si>
  <si>
    <t xml:space="preserve">Code Postal</t>
  </si>
  <si>
    <t xml:space="preserve">Ville</t>
  </si>
  <si>
    <t xml:space="preserve">Téléphone</t>
  </si>
  <si>
    <t xml:space="preserve">Site internet</t>
  </si>
  <si>
    <t xml:space="preserve">Email</t>
  </si>
  <si>
    <t xml:space="preserve">Email Comptabilité</t>
  </si>
  <si>
    <t xml:space="preserve">Banque</t>
  </si>
  <si>
    <t xml:space="preserve">IBAN</t>
  </si>
  <si>
    <t xml:space="preserve">BIC</t>
  </si>
  <si>
    <t xml:space="preserve">ACADEMIE D'ART DENTAIRE</t>
  </si>
  <si>
    <t xml:space="preserve">A003177</t>
  </si>
  <si>
    <t xml:space="preserve">Virement bancaire</t>
  </si>
  <si>
    <t xml:space="preserve">A réception</t>
  </si>
  <si>
    <t xml:space="preserve">75 Rue Chevalier</t>
  </si>
  <si>
    <t xml:space="preserve">BORDEAUX</t>
  </si>
  <si>
    <t xml:space="preserve">05 56 98 25 09</t>
  </si>
  <si>
    <t xml:space="preserve">FR76 1780 7008 0603 2217 4956 195</t>
  </si>
  <si>
    <t xml:space="preserve">CCBPFRPPTLS</t>
  </si>
  <si>
    <t xml:space="preserve">BISICO</t>
  </si>
  <si>
    <t xml:space="preserve">CU010409</t>
  </si>
  <si>
    <t xml:space="preserve">208 Allée de la Coudoulette</t>
  </si>
  <si>
    <t xml:space="preserve">LANCON DE PROVENCE</t>
  </si>
  <si>
    <t xml:space="preserve">04 90 42 92 92</t>
  </si>
  <si>
    <t xml:space="preserve">svce.commercial@bisico.fr</t>
  </si>
  <si>
    <t xml:space="preserve">Société Générale</t>
  </si>
  <si>
    <t xml:space="preserve">FR76 30003 00024 00020100636 59</t>
  </si>
  <si>
    <t xml:space="preserve">SOGEFRPP</t>
  </si>
  <si>
    <t xml:space="preserve">CAFES TCHANQUES</t>
  </si>
  <si>
    <t xml:space="preserve">J + 30</t>
  </si>
  <si>
    <t xml:space="preserve">26 Rue des Maraîchers</t>
  </si>
  <si>
    <t xml:space="preserve">LA TESTE DE BUCH</t>
  </si>
  <si>
    <t xml:space="preserve">05 56 54 14 52</t>
  </si>
  <si>
    <t xml:space="preserve">contact@cafes-tchanque.fr</t>
  </si>
  <si>
    <t xml:space="preserve">Crédit Agricole</t>
  </si>
  <si>
    <t xml:space="preserve">FR76 1330 6003 4623 0873 8024 685</t>
  </si>
  <si>
    <t xml:space="preserve">AGRIFRPP833</t>
  </si>
  <si>
    <t xml:space="preserve">CORUS LSO</t>
  </si>
  <si>
    <t xml:space="preserve">J + 15</t>
  </si>
  <si>
    <t xml:space="preserve">26 Avenue du Domaine de Vialle</t>
  </si>
  <si>
    <t xml:space="preserve">BOULIAC</t>
  </si>
  <si>
    <t xml:space="preserve">05 56 96 74 80</t>
  </si>
  <si>
    <t xml:space="preserve">www.corusdental.com</t>
  </si>
  <si>
    <t xml:space="preserve">DEXTER</t>
  </si>
  <si>
    <t xml:space="preserve">J + 5</t>
  </si>
  <si>
    <t xml:space="preserve">111, Rue Henri Barbusse - CS 60157</t>
  </si>
  <si>
    <t xml:space="preserve">ARGENTEUIL</t>
  </si>
  <si>
    <t xml:space="preserve">01 34 34 38 10</t>
  </si>
  <si>
    <t xml:space="preserve">www.dexter.fr</t>
  </si>
  <si>
    <t xml:space="preserve">service.clients@dexter.fr</t>
  </si>
  <si>
    <t xml:space="preserve">Le Crédit Lyonnais</t>
  </si>
  <si>
    <t xml:space="preserve">FR04 3000 2056 8800 0007 0148 B47</t>
  </si>
  <si>
    <t xml:space="preserve">CRLYFRPP</t>
  </si>
  <si>
    <t xml:space="preserve">EDENT'X</t>
  </si>
  <si>
    <t xml:space="preserve">1539 CB</t>
  </si>
  <si>
    <t xml:space="preserve">Beaume d'Estellan</t>
  </si>
  <si>
    <t xml:space="preserve">BONNIEUX</t>
  </si>
  <si>
    <t xml:space="preserve">04 90 75 61 84</t>
  </si>
  <si>
    <t xml:space="preserve">FRANKEL</t>
  </si>
  <si>
    <t xml:space="preserve">J + 60</t>
  </si>
  <si>
    <t xml:space="preserve">137, Avenue René Morin               CS 72039 </t>
  </si>
  <si>
    <t xml:space="preserve">MORANGIS Cedex</t>
  </si>
  <si>
    <t xml:space="preserve">0825 35 85 85</t>
  </si>
  <si>
    <t xml:space="preserve">www.frankel.fr</t>
  </si>
  <si>
    <t xml:space="preserve">La Banque Postale</t>
  </si>
  <si>
    <t xml:space="preserve">FR33 2004 1000 0119 3023 8R2 097</t>
  </si>
  <si>
    <t xml:space="preserve">PSSTFRPPPAR</t>
  </si>
  <si>
    <t xml:space="preserve">GABA LABORATOIRES (Colgate PalmoliveSAS)</t>
  </si>
  <si>
    <t xml:space="preserve">GA33056121</t>
  </si>
  <si>
    <t xml:space="preserve">9-11 Rue du Débarcadère</t>
  </si>
  <si>
    <t xml:space="preserve">COLOMBES</t>
  </si>
  <si>
    <t xml:space="preserve">01 47 68 60 00</t>
  </si>
  <si>
    <t xml:space="preserve">Citibank International</t>
  </si>
  <si>
    <t xml:space="preserve">FR76 1168 9007 0000 6554 6202 345</t>
  </si>
  <si>
    <t xml:space="preserve">HENRY SCHEIN France</t>
  </si>
  <si>
    <t xml:space="preserve">4 Rue de Charenton</t>
  </si>
  <si>
    <t xml:space="preserve">ALFORTVILLE Cedex</t>
  </si>
  <si>
    <t xml:space="preserve">02 47 68 68 23</t>
  </si>
  <si>
    <t xml:space="preserve">www.henryschein.fr</t>
  </si>
  <si>
    <t xml:space="preserve">cabinet.dentaire@henryschein.fr</t>
  </si>
  <si>
    <t xml:space="preserve">Hsbc France</t>
  </si>
  <si>
    <t xml:space="preserve">FR76 3005 6002 3502 3520 0041 852</t>
  </si>
  <si>
    <t xml:space="preserve">CCFRFRPP</t>
  </si>
  <si>
    <t xml:space="preserve">HYGISUD MEDICAL</t>
  </si>
  <si>
    <t xml:space="preserve">DRU330</t>
  </si>
  <si>
    <t xml:space="preserve">55 Chemin des Mûriers</t>
  </si>
  <si>
    <t xml:space="preserve">CABRIERES</t>
  </si>
  <si>
    <t xml:space="preserve">04 66 28 09 71</t>
  </si>
  <si>
    <t xml:space="preserve">www.hygisudmedical.com</t>
  </si>
  <si>
    <t xml:space="preserve">hygisud.medical@9online.fr</t>
  </si>
  <si>
    <t xml:space="preserve">FR76 1350 6100 0007 0332 7300 222</t>
  </si>
  <si>
    <t xml:space="preserve">HYPER BURO</t>
  </si>
  <si>
    <t xml:space="preserve">A00869</t>
  </si>
  <si>
    <t xml:space="preserve">38 Chemin De La Hutte</t>
  </si>
  <si>
    <t xml:space="preserve">BRUGES</t>
  </si>
  <si>
    <t xml:space="preserve">05 56 69 39 00</t>
  </si>
  <si>
    <t xml:space="preserve">contact@abibordeaux.fr</t>
  </si>
  <si>
    <t xml:space="preserve">Credit Coopératif</t>
  </si>
  <si>
    <t xml:space="preserve">FR76 4255 9100 0008 0010 2488 960</t>
  </si>
  <si>
    <t xml:space="preserve">CCOPFRPPXXX</t>
  </si>
  <si>
    <t xml:space="preserve">INNOVORTHO France</t>
  </si>
  <si>
    <t xml:space="preserve">6 Rue du Parc de l' Aubépin         BP 40013</t>
  </si>
  <si>
    <t xml:space="preserve">SAINT GERVAIS LA FORET</t>
  </si>
  <si>
    <t xml:space="preserve">02 54 50 07 68</t>
  </si>
  <si>
    <t xml:space="preserve">FR69 3000 2086 4700 0011 7192 U15</t>
  </si>
  <si>
    <t xml:space="preserve">IRSN</t>
  </si>
  <si>
    <t xml:space="preserve">BP 17 </t>
  </si>
  <si>
    <t xml:space="preserve">CROISSY SUR SEINE Cedex</t>
  </si>
  <si>
    <t xml:space="preserve">01 30 15 52 22</t>
  </si>
  <si>
    <t xml:space="preserve">dosimetrie@irsn.fr</t>
  </si>
  <si>
    <t xml:space="preserve">FR76 1007 1750 0000 0010 0054 885</t>
  </si>
  <si>
    <t xml:space="preserve">TRPUFRP1XXX</t>
  </si>
  <si>
    <t xml:space="preserve">JAUREGUI MICHEL</t>
  </si>
  <si>
    <t xml:space="preserve">55 Impasse du Bosquet</t>
  </si>
  <si>
    <t xml:space="preserve">KIKOPIKI</t>
  </si>
  <si>
    <t xml:space="preserve">10 Rue Dr Aristide Ichard</t>
  </si>
  <si>
    <t xml:space="preserve">05 56 54 22 11</t>
  </si>
  <si>
    <t xml:space="preserve">www.kikopiki.com</t>
  </si>
  <si>
    <t xml:space="preserve">jerome@kikopiki.com</t>
  </si>
  <si>
    <t xml:space="preserve">KOMET</t>
  </si>
  <si>
    <t xml:space="preserve">J + 20</t>
  </si>
  <si>
    <t xml:space="preserve">BP 10726</t>
  </si>
  <si>
    <t xml:space="preserve">PARIS Cedex 17</t>
  </si>
  <si>
    <t xml:space="preserve">01 43 48 80 17</t>
  </si>
  <si>
    <t xml:space="preserve">www.komet.fr</t>
  </si>
  <si>
    <t xml:space="preserve">creditclient@komet.fr</t>
  </si>
  <si>
    <t xml:space="preserve">Caisse d'Epargne</t>
  </si>
  <si>
    <t xml:space="preserve">FR76 1751 5900 0008 1724 2874 191</t>
  </si>
  <si>
    <t xml:space="preserve">CEPAFRPP751</t>
  </si>
  <si>
    <t xml:space="preserve">LA COMPAGNIE FIDUCIAIRE</t>
  </si>
  <si>
    <t xml:space="preserve">Prélèvement bancaire</t>
  </si>
  <si>
    <t xml:space="preserve">J + 55</t>
  </si>
  <si>
    <t xml:space="preserve">371, Avenue du Parc des Expositions</t>
  </si>
  <si>
    <t xml:space="preserve">05 56 22 36 36</t>
  </si>
  <si>
    <t xml:space="preserve">www.compagnie-fiduciaire.com</t>
  </si>
  <si>
    <t xml:space="preserve">cf-latesteàcompagnie-fiduciaire.com</t>
  </si>
  <si>
    <t xml:space="preserve">LE NECTAR TRAITEUR</t>
  </si>
  <si>
    <t xml:space="preserve">CLT00000375</t>
  </si>
  <si>
    <t xml:space="preserve">J + 7</t>
  </si>
  <si>
    <t xml:space="preserve">20, Rue Marcelin Berthelot</t>
  </si>
  <si>
    <t xml:space="preserve">FLOIRAC</t>
  </si>
  <si>
    <t xml:space="preserve">05 56 32 15 30</t>
  </si>
  <si>
    <t xml:space="preserve">sebastien.fougere@lenectar.fr</t>
  </si>
  <si>
    <t xml:space="preserve">FR76 3000 3003 7000 0200 0418 415</t>
  </si>
  <si>
    <t xml:space="preserve">MAKE IT SIMPLE</t>
  </si>
  <si>
    <t xml:space="preserve">F022998</t>
  </si>
  <si>
    <t xml:space="preserve">41 Rue Aristide Briand - CS 50045</t>
  </si>
  <si>
    <t xml:space="preserve">LEVALLOIS PERRET Cedex</t>
  </si>
  <si>
    <t xml:space="preserve">01 78 14 13 00</t>
  </si>
  <si>
    <t xml:space="preserve">www.misimplants.fr</t>
  </si>
  <si>
    <t xml:space="preserve">infos@mis-implants.fr</t>
  </si>
  <si>
    <t xml:space="preserve">NOBEL BIOCARE</t>
  </si>
  <si>
    <t xml:space="preserve">Immeuble Cap de Seine - 3ème étage          45-47 Bld Paul Vaillant Couturier</t>
  </si>
  <si>
    <t xml:space="preserve">IVRY-SUR-SEINE</t>
  </si>
  <si>
    <t xml:space="preserve">01 49 60 46 00</t>
  </si>
  <si>
    <t xml:space="preserve">www.nobelbiocare.fr</t>
  </si>
  <si>
    <t xml:space="preserve">order.france@nobelbiocare.com</t>
  </si>
  <si>
    <t xml:space="preserve">Deutsche Bank AG Paris</t>
  </si>
  <si>
    <t xml:space="preserve">FR76 1778 9000 0110 5117 8900 067</t>
  </si>
  <si>
    <t xml:space="preserve">DEUTFRPP</t>
  </si>
  <si>
    <t xml:space="preserve">ORTHOPLUS</t>
  </si>
  <si>
    <t xml:space="preserve">28, Rue Ampère - BP 28</t>
  </si>
  <si>
    <t xml:space="preserve">IGNY</t>
  </si>
  <si>
    <t xml:space="preserve">01 69 41 90 28</t>
  </si>
  <si>
    <t xml:space="preserve">www.orthoplus.fr</t>
  </si>
  <si>
    <t xml:space="preserve">orthoplus@orthoplus.fr</t>
  </si>
  <si>
    <t xml:space="preserve">Bnp Paribas IDF</t>
  </si>
  <si>
    <t xml:space="preserve">FR76 3000 4006 8400 0100 6858 330</t>
  </si>
  <si>
    <t xml:space="preserve">BNPAFRPPICP</t>
  </si>
  <si>
    <t xml:space="preserve">PHARMACIE ST-EXUPERY</t>
  </si>
  <si>
    <t xml:space="preserve">virement bancaire</t>
  </si>
  <si>
    <t xml:space="preserve">2 Rue Louis Gaume</t>
  </si>
  <si>
    <t xml:space="preserve">05 56 66 41 64</t>
  </si>
  <si>
    <t xml:space="preserve">pharmaciesaintexupery33@orange.fr</t>
  </si>
  <si>
    <t xml:space="preserve">PRAXIS L'INSTRUMENTISTE</t>
  </si>
  <si>
    <t xml:space="preserve">61, Rue du Maréchal Foch</t>
  </si>
  <si>
    <t xml:space="preserve">TOURNAN EN BRIE</t>
  </si>
  <si>
    <t xml:space="preserve">01 64 07 64 07</t>
  </si>
  <si>
    <t xml:space="preserve">www.praxisinstruments.fr</t>
  </si>
  <si>
    <t xml:space="preserve">contact@praxisinstruments.fr</t>
  </si>
  <si>
    <t xml:space="preserve">FR76 1870 6000 0022 6362 5000 056</t>
  </si>
  <si>
    <t xml:space="preserve">AGRIFRPP887</t>
  </si>
  <si>
    <t xml:space="preserve">PRED LABORATOIRES</t>
  </si>
  <si>
    <t xml:space="preserve">C2000477</t>
  </si>
  <si>
    <t xml:space="preserve">J + 10</t>
  </si>
  <si>
    <t xml:space="preserve">79 Avenue Aristide Briand - Bat 6 sur Parvis</t>
  </si>
  <si>
    <t xml:space="preserve">ARCUEIL CEDEX</t>
  </si>
  <si>
    <t xml:space="preserve">01 41 98 34 00</t>
  </si>
  <si>
    <t xml:space="preserve">www.pred.fr</t>
  </si>
  <si>
    <t xml:space="preserve">info.pred.fr</t>
  </si>
  <si>
    <t xml:space="preserve">FR76 3000 3038 7700 0207 0411 838</t>
  </si>
  <si>
    <t xml:space="preserve">PROMODENTAIRE</t>
  </si>
  <si>
    <t xml:space="preserve">2 bis Chemin du Loup</t>
  </si>
  <si>
    <t xml:space="preserve">TREMBLAY-EN-France-Cedex</t>
  </si>
  <si>
    <t xml:space="preserve">01 49 63 65 15</t>
  </si>
  <si>
    <t xml:space="preserve">www.promodentaire.com</t>
  </si>
  <si>
    <t xml:space="preserve">FR29 2004 1000 0123 0810 0K02 040</t>
  </si>
  <si>
    <t xml:space="preserve">PROSERVE DASRI</t>
  </si>
  <si>
    <t xml:space="preserve">G211U12834</t>
  </si>
  <si>
    <t xml:space="preserve">14 Route de Saligney</t>
  </si>
  <si>
    <t xml:space="preserve">SERMANGE</t>
  </si>
  <si>
    <t xml:space="preserve">05 57 64 15 40</t>
  </si>
  <si>
    <t xml:space="preserve">advso@proserve-dasri.com</t>
  </si>
  <si>
    <t xml:space="preserve">FR76 3000 3033 9100 0200 2547 937</t>
  </si>
  <si>
    <t xml:space="preserve">RMO Europe</t>
  </si>
  <si>
    <t xml:space="preserve">C10265</t>
  </si>
  <si>
    <t xml:space="preserve">j + 8</t>
  </si>
  <si>
    <t xml:space="preserve">B.P. 20334 - 300, Rue Geller de Kaysersberg</t>
  </si>
  <si>
    <t xml:space="preserve">ILLKIRCH Cedex</t>
  </si>
  <si>
    <t xml:space="preserve">03 88 40 67 40</t>
  </si>
  <si>
    <t xml:space="preserve">info@rmoeurope.com</t>
  </si>
  <si>
    <t xml:space="preserve">Bnp Paribas</t>
  </si>
  <si>
    <t xml:space="preserve">FR76 3000 4004 8500 0102 8151 554</t>
  </si>
  <si>
    <t xml:space="preserve">ROUZES Océan</t>
  </si>
  <si>
    <t xml:space="preserve">178, Avenue Jean Mer</t>
  </si>
  <si>
    <t xml:space="preserve">EYSINES</t>
  </si>
  <si>
    <t xml:space="preserve">05 56 34 02 43</t>
  </si>
  <si>
    <t xml:space="preserve">rouzes.oocean@cloison.fr</t>
  </si>
  <si>
    <t xml:space="preserve">Banque Populaire</t>
  </si>
  <si>
    <t xml:space="preserve">FR76 1780 7000 7735 3210 4456 651</t>
  </si>
  <si>
    <t xml:space="preserve">104, Rue de La Pallue</t>
  </si>
  <si>
    <t xml:space="preserve">COGNAC</t>
  </si>
  <si>
    <t xml:space="preserve">09 80 38 59 76</t>
  </si>
  <si>
    <t xml:space="preserve">www.sdmc.fr</t>
  </si>
  <si>
    <t xml:space="preserve">info@sdmc.fr</t>
  </si>
  <si>
    <t xml:space="preserve">FR76 3000 3006 6000 0270 0222 311</t>
  </si>
  <si>
    <t xml:space="preserve">STOMA</t>
  </si>
  <si>
    <t xml:space="preserve">204, Avenue de Colmar</t>
  </si>
  <si>
    <t xml:space="preserve">STRASBOURG</t>
  </si>
  <si>
    <t xml:space="preserve">03 88 65 75 08</t>
  </si>
  <si>
    <t xml:space="preserve">www.stoma.de</t>
  </si>
  <si>
    <t xml:space="preserve">export@stoma.de</t>
  </si>
  <si>
    <t xml:space="preserve">FR76 1470 7000 1008 7210 0564 629</t>
  </si>
  <si>
    <t xml:space="preserve">CCBPFRPPMTZ</t>
  </si>
  <si>
    <t xml:space="preserve">SURF ON LINE</t>
  </si>
  <si>
    <t xml:space="preserve">320, Avenue du Parc des Expositions</t>
  </si>
  <si>
    <t xml:space="preserve">06 56 54 55 45</t>
  </si>
  <si>
    <t xml:space="preserve">contact@surfonline.fr</t>
  </si>
  <si>
    <t xml:space="preserve">FR71 3000 2018 3100 0007 3126 M81</t>
  </si>
  <si>
    <t xml:space="preserve">THOMMEN MEDICAL</t>
  </si>
  <si>
    <t xml:space="preserve">10, Avenue Gabriel Pierne</t>
  </si>
  <si>
    <t xml:space="preserve">ROISSY-EN-BRIE</t>
  </si>
  <si>
    <t xml:space="preserve">01 83 64 06 35</t>
  </si>
  <si>
    <t xml:space="preserve">CCM</t>
  </si>
  <si>
    <t xml:space="preserve">FR76 1027 8030 0000 0206 0924 541</t>
  </si>
  <si>
    <t xml:space="preserve">CMCIFR2A</t>
  </si>
  <si>
    <t xml:space="preserve">TRIDON VALERIE</t>
  </si>
  <si>
    <t xml:space="preserve">APPOL</t>
  </si>
  <si>
    <t xml:space="preserve">5 Rue Guynemer</t>
  </si>
  <si>
    <t xml:space="preserve">05 56 57 79 40</t>
  </si>
  <si>
    <t xml:space="preserve">Fournisseurs</t>
  </si>
  <si>
    <t xml:space="preserve">Choisir Mode de Rglt</t>
  </si>
  <si>
    <r>
      <rPr>
        <b val="true"/>
        <sz val="11"/>
        <color rgb="FFFF0000"/>
        <rFont val="Calibri"/>
        <family val="2"/>
        <charset val="1"/>
      </rPr>
      <t xml:space="preserve">(BQ) </t>
    </r>
    <r>
      <rPr>
        <sz val="11"/>
        <color rgb="FF000000"/>
        <rFont val="Calibri"/>
        <family val="2"/>
        <charset val="1"/>
      </rPr>
      <t xml:space="preserve">Banque Populaire Labo</t>
    </r>
  </si>
  <si>
    <t xml:space="preserve">Chèque</t>
  </si>
  <si>
    <r>
      <rPr>
        <b val="true"/>
        <sz val="11"/>
        <color rgb="FFFF0000"/>
        <rFont val="Calibri"/>
        <family val="2"/>
        <charset val="1"/>
      </rPr>
      <t xml:space="preserve">(BQ1)</t>
    </r>
    <r>
      <rPr>
        <sz val="11"/>
        <color rgb="FF000000"/>
        <rFont val="Calibri"/>
        <family val="2"/>
        <charset val="1"/>
      </rPr>
      <t xml:space="preserve"> Banque Populaire Selarl</t>
    </r>
  </si>
  <si>
    <t xml:space="preserve">Autre (Voir obs.)</t>
  </si>
  <si>
    <r>
      <rPr>
        <b val="true"/>
        <sz val="11"/>
        <color rgb="FF000000"/>
        <rFont val="Calibri"/>
        <family val="2"/>
        <charset val="1"/>
      </rPr>
      <t xml:space="preserve">(512)</t>
    </r>
    <r>
      <rPr>
        <sz val="11"/>
        <color rgb="FF000000"/>
        <rFont val="Calibri"/>
        <family val="2"/>
        <charset val="1"/>
      </rPr>
      <t xml:space="preserve"> BNP Paribas</t>
    </r>
  </si>
  <si>
    <t xml:space="preserve">Edent'X (1539 CB)</t>
  </si>
  <si>
    <r>
      <rPr>
        <b val="true"/>
        <sz val="11"/>
        <color rgb="FFFF0000"/>
        <rFont val="Calibri"/>
        <family val="2"/>
        <charset val="1"/>
      </rPr>
      <t xml:space="preserve">(BQ5)</t>
    </r>
    <r>
      <rPr>
        <b val="true"/>
        <sz val="11"/>
        <color rgb="FF000000"/>
        <rFont val="Calibri"/>
        <family val="2"/>
        <charset val="1"/>
      </rPr>
      <t xml:space="preserve"> </t>
    </r>
    <r>
      <rPr>
        <sz val="11"/>
        <color rgb="FF000000"/>
        <rFont val="Calibri"/>
        <family val="2"/>
        <charset val="1"/>
      </rPr>
      <t xml:space="preserve">Crédit Agricole La Teste</t>
    </r>
  </si>
  <si>
    <r>
      <rPr>
        <b val="true"/>
        <sz val="11"/>
        <color rgb="FFFF0000"/>
        <rFont val="Calibri"/>
        <family val="2"/>
        <charset val="1"/>
      </rPr>
      <t xml:space="preserve">(BQ4) </t>
    </r>
    <r>
      <rPr>
        <sz val="11"/>
        <color rgb="FF000000"/>
        <rFont val="Calibri"/>
        <family val="2"/>
        <charset val="1"/>
      </rPr>
      <t xml:space="preserve">Crédit Agricole Sanguinet</t>
    </r>
  </si>
  <si>
    <t xml:space="preserve">Total Achats</t>
  </si>
</sst>
</file>

<file path=xl/styles.xml><?xml version="1.0" encoding="utf-8"?>
<styleSheet xmlns="http://schemas.openxmlformats.org/spreadsheetml/2006/main">
  <numFmts count="18">
    <numFmt numFmtId="164" formatCode="General"/>
    <numFmt numFmtId="165" formatCode="DD/MM/YY;@"/>
    <numFmt numFmtId="166" formatCode="#,##0.00&quot; €&quot;"/>
    <numFmt numFmtId="167" formatCode="_-* #,##0.00&quot; €&quot;_-;\-* #,##0.00&quot; €&quot;_-;_-* \-??&quot; €&quot;_-;_-@_-"/>
    <numFmt numFmtId="168" formatCode="#,##0.00\ _€"/>
    <numFmt numFmtId="169" formatCode="[$-40C]DD/MM/YYYY"/>
    <numFmt numFmtId="170" formatCode="[=1]&quot;Retard &quot;0&quot; jour&quot;;[&gt;1]&quot;Retard &quot;#,##0&quot; jours&quot;;;"/>
    <numFmt numFmtId="171" formatCode="[$-40C]MMM\-YY"/>
    <numFmt numFmtId="172" formatCode="#,##0"/>
    <numFmt numFmtId="173" formatCode="General"/>
    <numFmt numFmtId="174" formatCode="0\ %"/>
    <numFmt numFmtId="175" formatCode="0.0%"/>
    <numFmt numFmtId="176" formatCode="MMMM"/>
    <numFmt numFmtId="177" formatCode="_-* #,##0.00\ [$€-40C]_-;\-* #,##0.00\ [$€-40C]_-;_-* \-??\ [$€-40C]_-;_-@_-"/>
    <numFmt numFmtId="178" formatCode="[$-40C]D\ MMMM\ YYYY;@"/>
    <numFmt numFmtId="179" formatCode="#,##0.00"/>
    <numFmt numFmtId="180" formatCode="#,##0.00\ [$€-40C];[RED]\-#,##0.00\ [$€-40C]"/>
    <numFmt numFmtId="181" formatCode="0.00\ %"/>
  </numFmts>
  <fonts count="3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sz val="11"/>
      <name val="Calibri"/>
      <family val="2"/>
      <charset val="1"/>
    </font>
    <font>
      <b val="true"/>
      <sz val="11"/>
      <name val="Calibri"/>
      <family val="2"/>
      <charset val="1"/>
    </font>
    <font>
      <sz val="12"/>
      <name val="Calibri"/>
      <family val="2"/>
      <charset val="1"/>
    </font>
    <font>
      <b val="true"/>
      <sz val="12"/>
      <name val="Calibri"/>
      <family val="2"/>
      <charset val="1"/>
    </font>
    <font>
      <sz val="11"/>
      <color rgb="FFFF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2"/>
      <color rgb="FFFF0000"/>
      <name val="Calibri"/>
      <family val="2"/>
      <charset val="1"/>
    </font>
    <font>
      <sz val="11"/>
      <color rgb="FFFFFFFF"/>
      <name val="Calibri"/>
      <family val="2"/>
      <charset val="1"/>
    </font>
    <font>
      <b val="true"/>
      <sz val="12"/>
      <color rgb="FFFFFFFF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b val="true"/>
      <u val="single"/>
      <sz val="11"/>
      <color rgb="FF000000"/>
      <name val="Calibri (Corps)"/>
      <family val="0"/>
      <charset val="1"/>
    </font>
    <font>
      <sz val="12"/>
      <color rgb="FF000000"/>
      <name val="Calibri"/>
      <family val="2"/>
      <charset val="1"/>
    </font>
    <font>
      <sz val="11"/>
      <color rgb="FF33CC33"/>
      <name val="Calibri"/>
      <family val="2"/>
      <charset val="1"/>
    </font>
    <font>
      <sz val="11"/>
      <color rgb="FFF79646"/>
      <name val="Calibri"/>
      <family val="2"/>
      <charset val="1"/>
    </font>
    <font>
      <sz val="12"/>
      <color rgb="FFFFFFFF"/>
      <name val="Calibri"/>
      <family val="2"/>
      <charset val="1"/>
    </font>
    <font>
      <sz val="8"/>
      <color rgb="FFFFFFFF"/>
      <name val="Calibri"/>
      <family val="2"/>
      <charset val="1"/>
    </font>
    <font>
      <b val="true"/>
      <sz val="8"/>
      <color rgb="FFFFFFFF"/>
      <name val="Calibri"/>
      <family val="2"/>
      <charset val="1"/>
    </font>
    <font>
      <sz val="8"/>
      <color rgb="FF000000"/>
      <name val="Calibri"/>
      <family val="2"/>
      <charset val="1"/>
    </font>
    <font>
      <b val="true"/>
      <sz val="16"/>
      <color rgb="FFFFFFFF"/>
      <name val="Calibri"/>
      <family val="2"/>
      <charset val="1"/>
    </font>
    <font>
      <b val="true"/>
      <sz val="14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1"/>
      <color rgb="FF141414"/>
      <name val="Segoe UI"/>
      <family val="2"/>
      <charset val="1"/>
    </font>
    <font>
      <b val="true"/>
      <u val="single"/>
      <sz val="11"/>
      <color rgb="FF000000"/>
      <name val="Calibri"/>
      <family val="2"/>
      <charset val="1"/>
    </font>
    <font>
      <b val="true"/>
      <sz val="11"/>
      <color rgb="FF33CC33"/>
      <name val="Calibri"/>
      <family val="2"/>
      <charset val="1"/>
    </font>
    <font>
      <u val="single"/>
      <sz val="11"/>
      <color rgb="FF0000FF"/>
      <name val="Calibri"/>
      <family val="2"/>
      <charset val="1"/>
    </font>
    <font>
      <b val="true"/>
      <sz val="14"/>
      <color rgb="FF228B22"/>
      <name val="Calibri"/>
      <family val="2"/>
      <charset val="1"/>
    </font>
    <font>
      <sz val="11"/>
      <color rgb="FF228B22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FFC000"/>
        <bgColor rgb="FFF79646"/>
      </patternFill>
    </fill>
    <fill>
      <patternFill patternType="solid">
        <fgColor rgb="FFF79646"/>
        <bgColor rgb="FFFF8080"/>
      </patternFill>
    </fill>
    <fill>
      <patternFill patternType="solid">
        <fgColor rgb="FFDBEEF4"/>
        <bgColor rgb="FFF0FFFF"/>
      </patternFill>
    </fill>
    <fill>
      <patternFill patternType="solid">
        <fgColor rgb="FF000000"/>
        <bgColor rgb="FF141414"/>
      </patternFill>
    </fill>
    <fill>
      <patternFill patternType="solid">
        <fgColor rgb="FFFFFFFF"/>
        <bgColor rgb="FFF0FFFF"/>
      </patternFill>
    </fill>
    <fill>
      <patternFill patternType="solid">
        <fgColor rgb="FF33CC33"/>
        <bgColor rgb="FF00B050"/>
      </patternFill>
    </fill>
    <fill>
      <patternFill patternType="solid">
        <fgColor rgb="FFFF0000"/>
        <bgColor rgb="FF993300"/>
      </patternFill>
    </fill>
    <fill>
      <patternFill patternType="solid">
        <fgColor rgb="FFBFBFBF"/>
        <bgColor rgb="FFA6A6A6"/>
      </patternFill>
    </fill>
    <fill>
      <patternFill patternType="solid">
        <fgColor rgb="FFFDEADA"/>
        <bgColor rgb="FFFFFFFF"/>
      </patternFill>
    </fill>
    <fill>
      <patternFill patternType="solid">
        <fgColor rgb="FFF0FFFF"/>
        <bgColor rgb="FFFFFFFF"/>
      </patternFill>
    </fill>
  </fills>
  <borders count="32">
    <border diagonalUp="false" diagonalDown="false">
      <left/>
      <right/>
      <top/>
      <bottom/>
      <diagonal/>
    </border>
    <border diagonalUp="false" diagonalDown="false">
      <left style="thin"/>
      <right style="thin">
        <color rgb="FFFFFFFF"/>
      </right>
      <top style="medium"/>
      <bottom/>
      <diagonal/>
    </border>
    <border diagonalUp="false" diagonalDown="false">
      <left/>
      <right style="thin">
        <color rgb="FFFFFFFF"/>
      </right>
      <top style="medium"/>
      <bottom/>
      <diagonal/>
    </border>
    <border diagonalUp="false" diagonalDown="false">
      <left style="thin">
        <color rgb="FFFFFFFF"/>
      </left>
      <right style="thin">
        <color rgb="FFFFFFFF"/>
      </right>
      <top style="medium"/>
      <bottom/>
      <diagonal/>
    </border>
    <border diagonalUp="false" diagonalDown="false">
      <left style="thin">
        <color rgb="FFFFFFFF"/>
      </left>
      <right style="thin">
        <color rgb="FFFFFFFF"/>
      </right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/>
      <diagonal/>
    </border>
    <border diagonalUp="false" diagonalDown="false">
      <left style="thin">
        <color rgb="FF808080"/>
      </left>
      <right/>
      <top style="thin">
        <color rgb="FF808080"/>
      </top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>
        <color rgb="FFA6A6A6"/>
      </left>
      <right/>
      <top style="thin">
        <color rgb="FFA6A6A6"/>
      </top>
      <bottom/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A6A6A6"/>
      </top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A6A6A6"/>
      </top>
      <bottom/>
      <diagonal/>
    </border>
    <border diagonalUp="false" diagonalDown="false">
      <left style="thin">
        <color rgb="FFFFFFFF"/>
      </left>
      <right style="thin">
        <color rgb="FFA6A6A6"/>
      </right>
      <top style="thin">
        <color rgb="FFA6A6A6"/>
      </top>
      <bottom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 diagonalUp="false" diagonalDown="false">
      <left/>
      <right/>
      <top/>
      <bottom style="thin">
        <color rgb="FFFFFFFF"/>
      </bottom>
      <diagonal/>
    </border>
    <border diagonalUp="false" diagonalDown="false">
      <left style="thin">
        <color rgb="FFA6A6A6"/>
      </left>
      <right/>
      <top style="thin">
        <color rgb="FFA6A6A6"/>
      </top>
      <bottom style="thin">
        <color rgb="FFA6A6A6"/>
      </bottom>
      <diagonal/>
    </border>
    <border diagonalUp="false" diagonalDown="false">
      <left/>
      <right/>
      <top style="thin">
        <color rgb="FFFFFFFF"/>
      </top>
      <bottom style="thin">
        <color rgb="FFFFFFFF"/>
      </bottom>
      <diagonal/>
    </border>
    <border diagonalUp="false" diagonalDown="false">
      <left/>
      <right/>
      <top style="thin">
        <color rgb="FFFFFFFF"/>
      </top>
      <bottom style="thin">
        <color rgb="FFA6A6A6"/>
      </bottom>
      <diagonal/>
    </border>
    <border diagonalUp="false" diagonalDown="false">
      <left style="thin">
        <color rgb="FFA6A6A6"/>
      </left>
      <right/>
      <top style="thin">
        <color rgb="FFA6A6A6"/>
      </top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A6A6A6"/>
      </right>
      <top style="thin">
        <color rgb="FFA6A6A6"/>
      </top>
      <bottom style="thin">
        <color rgb="FFFFFFFF"/>
      </bottom>
      <diagonal/>
    </border>
    <border diagonalUp="false" diagonalDown="false">
      <left style="thin">
        <color rgb="FFA6A6A6"/>
      </left>
      <right/>
      <top/>
      <bottom style="thin">
        <color rgb="FFA6A6A6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A6A6A6"/>
      </bottom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17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29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6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6" fillId="2" borderId="3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7" fillId="2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6" fillId="3" borderId="3" xfId="17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6" fontId="6" fillId="3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8" fillId="2" borderId="3" xfId="17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5" fontId="6" fillId="2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6" fillId="2" borderId="3" xfId="17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5" fontId="6" fillId="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6" fillId="3" borderId="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9" fontId="6" fillId="3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6" fillId="3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9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5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8" fontId="1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9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5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0" fontId="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6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5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1" fontId="0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0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4" fillId="4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0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5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9" fontId="9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9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3" fontId="12" fillId="5" borderId="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2" fillId="5" borderId="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12" fillId="5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5" borderId="6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6" fontId="13" fillId="5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9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9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0" fillId="6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7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6" borderId="1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16" fillId="7" borderId="1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5" fontId="17" fillId="6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6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6" borderId="1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5" fontId="18" fillId="6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8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2" fillId="6" borderId="1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19" fillId="8" borderId="1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5" fontId="9" fillId="6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6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6" borderId="14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6" fillId="6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5" fontId="0" fillId="6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6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0" fillId="6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4" fillId="6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75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0" fillId="6" borderId="0" xfId="0" applyFont="true" applyBorder="false" applyAlignment="false" applyProtection="true">
      <alignment horizontal="general" vertical="bottom" textRotation="0" wrapText="false" indent="0" shrinkToFit="false"/>
      <protection locked="true" hidden="true"/>
    </xf>
    <xf numFmtId="164" fontId="21" fillId="6" borderId="0" xfId="0" applyFont="true" applyBorder="false" applyAlignment="false" applyProtection="true">
      <alignment horizontal="general" vertical="bottom" textRotation="0" wrapText="false" indent="0" shrinkToFit="false"/>
      <protection locked="true" hidden="true"/>
    </xf>
    <xf numFmtId="164" fontId="20" fillId="6" borderId="0" xfId="0" applyFont="true" applyBorder="false" applyAlignment="true" applyProtection="true">
      <alignment horizontal="center" vertical="bottom" textRotation="0" wrapText="false" indent="0" shrinkToFit="false"/>
      <protection locked="true" hidden="true"/>
    </xf>
    <xf numFmtId="164" fontId="2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3" fillId="3" borderId="16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64" fontId="24" fillId="3" borderId="17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76" fontId="24" fillId="3" borderId="18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76" fontId="24" fillId="3" borderId="19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76" fontId="25" fillId="9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6" borderId="21" xfId="0" applyFont="true" applyBorder="true" applyAlignment="true" applyProtection="true">
      <alignment horizontal="left" vertical="center" textRotation="0" wrapText="false" indent="0" shrinkToFit="false"/>
      <protection locked="true" hidden="true"/>
    </xf>
    <xf numFmtId="167" fontId="13" fillId="3" borderId="22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67" fontId="26" fillId="0" borderId="21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67" fontId="26" fillId="10" borderId="21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76" fontId="25" fillId="9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6" borderId="23" xfId="0" applyFont="true" applyBorder="true" applyAlignment="true" applyProtection="true">
      <alignment horizontal="left" vertical="center" textRotation="0" wrapText="true" indent="0" shrinkToFit="false"/>
      <protection locked="true" hidden="true"/>
    </xf>
    <xf numFmtId="177" fontId="13" fillId="3" borderId="24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77" fontId="16" fillId="6" borderId="21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77" fontId="16" fillId="10" borderId="21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78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6" borderId="23" xfId="0" applyFont="true" applyBorder="true" applyAlignment="true" applyProtection="true">
      <alignment horizontal="left" vertical="center" textRotation="0" wrapText="true" indent="0" shrinkToFit="false"/>
      <protection locked="true" hidden="true"/>
    </xf>
    <xf numFmtId="164" fontId="0" fillId="6" borderId="21" xfId="0" applyFont="true" applyBorder="true" applyAlignment="true" applyProtection="true">
      <alignment horizontal="left" vertical="center" textRotation="0" wrapText="true" indent="0" shrinkToFit="false"/>
      <protection locked="true" hidden="true"/>
    </xf>
    <xf numFmtId="177" fontId="13" fillId="3" borderId="25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true"/>
    </xf>
    <xf numFmtId="164" fontId="1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true"/>
    </xf>
    <xf numFmtId="164" fontId="23" fillId="3" borderId="26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76" fontId="24" fillId="3" borderId="17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76" fontId="24" fillId="3" borderId="27" xfId="0" applyFont="true" applyBorder="true" applyAlignment="true" applyProtection="true">
      <alignment horizontal="center" vertical="center" textRotation="0" wrapText="false" indent="0" shrinkToFit="false"/>
      <protection locked="true" hidden="true"/>
    </xf>
    <xf numFmtId="164" fontId="5" fillId="6" borderId="28" xfId="0" applyFont="true" applyBorder="true" applyAlignment="true" applyProtection="true">
      <alignment horizontal="left" vertical="center" textRotation="0" wrapText="false" indent="0" shrinkToFit="false"/>
      <protection locked="true" hidden="true"/>
    </xf>
    <xf numFmtId="177" fontId="13" fillId="3" borderId="29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77" fontId="16" fillId="6" borderId="30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77" fontId="13" fillId="3" borderId="31" xfId="0" applyFont="true" applyBorder="true" applyAlignment="true" applyProtection="true">
      <alignment horizontal="general" vertical="center" textRotation="0" wrapText="false" indent="0" shrinkToFit="false"/>
      <protection locked="true" hidden="true"/>
    </xf>
    <xf numFmtId="164" fontId="23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29" fillId="0" borderId="0" xfId="2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29" fillId="0" borderId="0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30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9" fontId="9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1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8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8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31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16" fillId="7" borderId="1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80" fontId="0" fillId="2" borderId="1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80" fontId="19" fillId="8" borderId="1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80" fontId="16" fillId="6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dxfs count="14">
    <dxf>
      <fill>
        <patternFill>
          <bgColor rgb="FFFFC000"/>
        </patternFill>
      </fill>
    </dxf>
    <dxf>
      <fill>
        <patternFill>
          <bgColor rgb="FFFFFFFF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33CC33"/>
        </patternFill>
      </fill>
    </dxf>
    <dxf>
      <font>
        <color rgb="FF00B050"/>
      </font>
    </dxf>
    <dxf>
      <fill>
        <patternFill>
          <bgColor rgb="FFFFFFFF"/>
        </patternFill>
      </fill>
    </dxf>
    <dxf>
      <font>
        <b val="1"/>
        <i val="0"/>
        <color rgb="FFFFFFFF"/>
      </font>
      <fill>
        <patternFill>
          <bgColor rgb="FFF79646"/>
        </patternFill>
      </fill>
    </dxf>
    <dxf>
      <font>
        <color rgb="FFFFFFFF"/>
      </font>
      <fill>
        <patternFill>
          <bgColor rgb="FFD9D9D9"/>
        </patternFill>
      </fill>
    </dxf>
    <dxf>
      <fill>
        <patternFill>
          <bgColor rgb="FFFFFFFF"/>
        </patternFill>
      </fill>
    </dxf>
    <dxf>
      <font>
        <b val="1"/>
        <i val="0"/>
        <color rgb="FFFFFFFF"/>
      </font>
      <fill>
        <patternFill>
          <bgColor rgb="FFF79646"/>
        </patternFill>
      </fill>
    </dxf>
    <dxf>
      <font>
        <color rgb="FFFFFFFF"/>
      </font>
      <fill>
        <patternFill>
          <bgColor rgb="FFD9D9D9"/>
        </patternFill>
      </fill>
    </dxf>
    <dxf>
      <fill>
        <patternFill>
          <bgColor rgb="FFFFFFFF"/>
        </patternFill>
      </fill>
    </dxf>
    <dxf>
      <font>
        <b val="1"/>
        <i val="0"/>
        <color rgb="FFFFFFFF"/>
      </font>
      <fill>
        <patternFill>
          <bgColor rgb="FFF79646"/>
        </patternFill>
      </fill>
    </dxf>
    <dxf>
      <font>
        <color rgb="FFFFFFFF"/>
      </font>
      <fill>
        <patternFill>
          <bgColor rgb="FFD9D9D9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228B22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DEADA"/>
      <rgbColor rgb="FFDBEEF4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0FFFF"/>
      <rgbColor rgb="FFCCFFCC"/>
      <rgbColor rgb="FFFFFF99"/>
      <rgbColor rgb="FF99CCFF"/>
      <rgbColor rgb="FFFF99CC"/>
      <rgbColor rgb="FFCC99FF"/>
      <rgbColor rgb="FFFFCC99"/>
      <rgbColor rgb="FF3366FF"/>
      <rgbColor rgb="FF33CC33"/>
      <rgbColor rgb="FF99CC00"/>
      <rgbColor rgb="FFFFC000"/>
      <rgbColor rgb="FFF79646"/>
      <rgbColor rgb="FFFF6600"/>
      <rgbColor rgb="FF666699"/>
      <rgbColor rgb="FFA6A6A6"/>
      <rgbColor rgb="FF003366"/>
      <rgbColor rgb="FF00B050"/>
      <rgbColor rgb="FF141414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1:N35" headerRowCount="1" totalsRowCount="0" totalsRowShown="0">
  <autoFilter ref="A1:N35"/>
  <tableColumns count="14">
    <tableColumn id="1" name="NOM du Fournisseur"/>
    <tableColumn id="2" name="Code Client"/>
    <tableColumn id="3" name="Mode de Paiement"/>
    <tableColumn id="4" name="Conditions Rglt"/>
    <tableColumn id="5" name="Adresse "/>
    <tableColumn id="6" name="Code Postal"/>
    <tableColumn id="7" name="Ville"/>
    <tableColumn id="8" name="Téléphone"/>
    <tableColumn id="9" name="Site internet"/>
    <tableColumn id="10" name="Email"/>
    <tableColumn id="11" name="Email Comptabilité"/>
    <tableColumn id="12" name="Banque"/>
    <tableColumn id="13" name="IBAN"/>
    <tableColumn id="14" name="BIC"/>
  </tableColumns>
</table>
</file>

<file path=xl/tables/table2.xml><?xml version="1.0" encoding="utf-8"?>
<table xmlns="http://schemas.openxmlformats.org/spreadsheetml/2006/main" id="2" name="Tableau2" displayName="Tableau2" ref="A1:Q204" headerRowCount="1" totalsRowCount="1" totalsRowShown="1">
  <autoFilter ref="A1:Q204"/>
  <tableColumns count="17">
    <tableColumn id="1" name="N° Facture"/>
    <tableColumn id="2" name="Pièce N°"/>
    <tableColumn id="3" name="Date Facture"/>
    <tableColumn id="4" name="Nom"/>
    <tableColumn id="5" name="Montant HT"/>
    <tableColumn id="6" name="TVA 2,1% "/>
    <tableColumn id="7" name="TVA 5,5%"/>
    <tableColumn id="8" name="TVA 10%"/>
    <tableColumn id="9" name="TVA 20%"/>
    <tableColumn id="10" name="Montant TTC"/>
    <tableColumn id="11" name="Date Échéance"/>
    <tableColumn id="12" name="Etat de la facture"/>
    <tableColumn id="13" name="Date de Règlement"/>
    <tableColumn id="14" name="Délai de paiement"/>
    <tableColumn id="15" name="Mode de Règlement"/>
    <tableColumn id="16" name="Sur Banque"/>
    <tableColumn id="17" name="Observation(s)"/>
  </tableColumns>
</table>
</file>

<file path=xl/tables/table3.xml><?xml version="1.0" encoding="utf-8"?>
<table xmlns="http://schemas.openxmlformats.org/spreadsheetml/2006/main" id="3" name="Tableau3" displayName="Tableau3" ref="A1:C39" headerRowCount="1" totalsRowCount="0" totalsRowShown="0">
  <autoFilter ref="A1:C39"/>
  <tableColumns count="3">
    <tableColumn id="1" name="Choisir Banque"/>
    <tableColumn id="2" name="Fournisseurs"/>
    <tableColumn id="3" name="Choisir Mode de Rglt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hyperlink" Target="mailto:svce.commercial@bisico.fr" TargetMode="External"/><Relationship Id="rId2" Type="http://schemas.openxmlformats.org/officeDocument/2006/relationships/hyperlink" Target="mailto:contact@cafes-tchanque.fr" TargetMode="External"/><Relationship Id="rId3" Type="http://schemas.openxmlformats.org/officeDocument/2006/relationships/hyperlink" Target="http://www.corusdental.com/" TargetMode="External"/><Relationship Id="rId4" Type="http://schemas.openxmlformats.org/officeDocument/2006/relationships/hyperlink" Target="http://www.dexter.fr/" TargetMode="External"/><Relationship Id="rId5" Type="http://schemas.openxmlformats.org/officeDocument/2006/relationships/hyperlink" Target="mailto:service.clients@dexter.fr" TargetMode="External"/><Relationship Id="rId6" Type="http://schemas.openxmlformats.org/officeDocument/2006/relationships/hyperlink" Target="http://www.frankel.fr/" TargetMode="External"/><Relationship Id="rId7" Type="http://schemas.openxmlformats.org/officeDocument/2006/relationships/hyperlink" Target="http://www.henryschein.fr/" TargetMode="External"/><Relationship Id="rId8" Type="http://schemas.openxmlformats.org/officeDocument/2006/relationships/hyperlink" Target="mailto:cabinet.dentaire@henryschein.fr" TargetMode="External"/><Relationship Id="rId9" Type="http://schemas.openxmlformats.org/officeDocument/2006/relationships/hyperlink" Target="http://www.hygisudmedical.com/" TargetMode="External"/><Relationship Id="rId10" Type="http://schemas.openxmlformats.org/officeDocument/2006/relationships/hyperlink" Target="mailto:hygisud.medical@9online.fr" TargetMode="External"/><Relationship Id="rId11" Type="http://schemas.openxmlformats.org/officeDocument/2006/relationships/hyperlink" Target="mailto:contact@abibordeaux.fr" TargetMode="External"/><Relationship Id="rId12" Type="http://schemas.openxmlformats.org/officeDocument/2006/relationships/hyperlink" Target="mailto:dosimetrie@irsn.fr" TargetMode="External"/><Relationship Id="rId13" Type="http://schemas.openxmlformats.org/officeDocument/2006/relationships/hyperlink" Target="http://www.kikopiki.com/" TargetMode="External"/><Relationship Id="rId14" Type="http://schemas.openxmlformats.org/officeDocument/2006/relationships/hyperlink" Target="mailto:jerome@kikopiki.com" TargetMode="External"/><Relationship Id="rId15" Type="http://schemas.openxmlformats.org/officeDocument/2006/relationships/hyperlink" Target="http://www.komet.fr/" TargetMode="External"/><Relationship Id="rId16" Type="http://schemas.openxmlformats.org/officeDocument/2006/relationships/hyperlink" Target="mailto:creditclient@komet.fr" TargetMode="External"/><Relationship Id="rId17" Type="http://schemas.openxmlformats.org/officeDocument/2006/relationships/hyperlink" Target="http://www.compagnie-fiduciaire.com/" TargetMode="External"/><Relationship Id="rId18" Type="http://schemas.openxmlformats.org/officeDocument/2006/relationships/hyperlink" Target="mailto:sebastien.fougere@lenectar.fr" TargetMode="External"/><Relationship Id="rId19" Type="http://schemas.openxmlformats.org/officeDocument/2006/relationships/hyperlink" Target="http://www.misimplants.fr/" TargetMode="External"/><Relationship Id="rId20" Type="http://schemas.openxmlformats.org/officeDocument/2006/relationships/hyperlink" Target="mailto:infos@mis-implants.fr" TargetMode="External"/><Relationship Id="rId21" Type="http://schemas.openxmlformats.org/officeDocument/2006/relationships/hyperlink" Target="http://www.nobelbiocare.fr/" TargetMode="External"/><Relationship Id="rId22" Type="http://schemas.openxmlformats.org/officeDocument/2006/relationships/hyperlink" Target="mailto:order.france@nobelbiocare.com" TargetMode="External"/><Relationship Id="rId23" Type="http://schemas.openxmlformats.org/officeDocument/2006/relationships/hyperlink" Target="http://www.orthoplus.fr/" TargetMode="External"/><Relationship Id="rId24" Type="http://schemas.openxmlformats.org/officeDocument/2006/relationships/hyperlink" Target="mailto:orthoplus@orthoplus.fr" TargetMode="External"/><Relationship Id="rId25" Type="http://schemas.openxmlformats.org/officeDocument/2006/relationships/hyperlink" Target="mailto:pharmaciesaintexupery33@orange.fr" TargetMode="External"/><Relationship Id="rId26" Type="http://schemas.openxmlformats.org/officeDocument/2006/relationships/hyperlink" Target="http://www.praxisinstruments.fr/" TargetMode="External"/><Relationship Id="rId27" Type="http://schemas.openxmlformats.org/officeDocument/2006/relationships/hyperlink" Target="mailto:contact@praxisinstruments.fr" TargetMode="External"/><Relationship Id="rId28" Type="http://schemas.openxmlformats.org/officeDocument/2006/relationships/hyperlink" Target="http://www.pred.fr/" TargetMode="External"/><Relationship Id="rId29" Type="http://schemas.openxmlformats.org/officeDocument/2006/relationships/hyperlink" Target="http://www.promodentaire.com/" TargetMode="External"/><Relationship Id="rId30" Type="http://schemas.openxmlformats.org/officeDocument/2006/relationships/hyperlink" Target="mailto:advso@proserve-dasri.com" TargetMode="External"/><Relationship Id="rId31" Type="http://schemas.openxmlformats.org/officeDocument/2006/relationships/hyperlink" Target="mailto:info@rmoeurope.com" TargetMode="External"/><Relationship Id="rId32" Type="http://schemas.openxmlformats.org/officeDocument/2006/relationships/hyperlink" Target="mailto:rouzes.oocean@cloison.fr" TargetMode="External"/><Relationship Id="rId33" Type="http://schemas.openxmlformats.org/officeDocument/2006/relationships/hyperlink" Target="http://www.sdmc.fr/" TargetMode="External"/><Relationship Id="rId34" Type="http://schemas.openxmlformats.org/officeDocument/2006/relationships/hyperlink" Target="mailto:info@sdmc.fr" TargetMode="External"/><Relationship Id="rId35" Type="http://schemas.openxmlformats.org/officeDocument/2006/relationships/hyperlink" Target="http://www.stoma.de/" TargetMode="External"/><Relationship Id="rId36" Type="http://schemas.openxmlformats.org/officeDocument/2006/relationships/hyperlink" Target="mailto:export@stoma.de" TargetMode="External"/><Relationship Id="rId37" Type="http://schemas.openxmlformats.org/officeDocument/2006/relationships/hyperlink" Target="mailto:contact@surfonline.fr" TargetMode="External"/><Relationship Id="rId38" Type="http://schemas.openxmlformats.org/officeDocument/2006/relationships/table" Target="../tables/table1.x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table" Target="../tables/table3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FFF"/>
    <pageSetUpPr fitToPage="true"/>
  </sheetPr>
  <dimension ref="A1:Q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D1" activeCellId="0" sqref="D1"/>
    </sheetView>
  </sheetViews>
  <sheetFormatPr defaultRowHeight="16" zeroHeight="false" outlineLevelRow="0" outlineLevelCol="0"/>
  <cols>
    <col collapsed="false" customWidth="true" hidden="false" outlineLevel="0" max="1" min="1" style="1" width="12.16"/>
    <col collapsed="false" customWidth="true" hidden="false" outlineLevel="0" max="2" min="2" style="1" width="10.56"/>
    <col collapsed="false" customWidth="true" hidden="false" outlineLevel="0" max="3" min="3" style="2" width="8.32"/>
    <col collapsed="false" customWidth="true" hidden="false" outlineLevel="0" max="4" min="4" style="3" width="29.76"/>
    <col collapsed="false" customWidth="true" hidden="false" outlineLevel="0" max="5" min="5" style="4" width="13.92"/>
    <col collapsed="false" customWidth="true" hidden="true" outlineLevel="0" max="6" min="6" style="4" width="11.2"/>
    <col collapsed="false" customWidth="true" hidden="true" outlineLevel="0" max="7" min="7" style="4" width="10.88"/>
    <col collapsed="false" customWidth="true" hidden="true" outlineLevel="0" max="9" min="8" style="4" width="10.24"/>
    <col collapsed="false" customWidth="true" hidden="false" outlineLevel="0" max="10" min="10" style="5" width="13.92"/>
    <col collapsed="false" customWidth="true" hidden="false" outlineLevel="0" max="11" min="11" style="0" width="10.25"/>
    <col collapsed="false" customWidth="true" hidden="false" outlineLevel="0" max="13" min="12" style="2" width="11.04"/>
    <col collapsed="false" customWidth="true" hidden="false" outlineLevel="0" max="14" min="14" style="2" width="21.12"/>
    <col collapsed="false" customWidth="true" hidden="false" outlineLevel="0" max="15" min="15" style="2" width="20.65"/>
    <col collapsed="false" customWidth="true" hidden="false" outlineLevel="0" max="16" min="16" style="0" width="28.16"/>
    <col collapsed="false" customWidth="true" hidden="false" outlineLevel="0" max="17" min="17" style="6" width="56.95"/>
    <col collapsed="false" customWidth="true" hidden="false" outlineLevel="0" max="18" min="18" style="0" width="56.95"/>
    <col collapsed="false" customWidth="true" hidden="false" outlineLevel="0" max="1025" min="19" style="0" width="10.25"/>
  </cols>
  <sheetData>
    <row r="1" s="20" customFormat="true" ht="40.5" hidden="false" customHeight="true" outlineLevel="0" collapsed="false">
      <c r="A1" s="7" t="s">
        <v>0</v>
      </c>
      <c r="B1" s="8" t="s">
        <v>1</v>
      </c>
      <c r="C1" s="9" t="s">
        <v>2</v>
      </c>
      <c r="D1" s="10" t="s">
        <v>3</v>
      </c>
      <c r="E1" s="11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3" t="s">
        <v>9</v>
      </c>
      <c r="K1" s="14" t="s">
        <v>10</v>
      </c>
      <c r="L1" s="15" t="s">
        <v>11</v>
      </c>
      <c r="M1" s="14" t="s">
        <v>12</v>
      </c>
      <c r="N1" s="16" t="s">
        <v>13</v>
      </c>
      <c r="O1" s="17" t="s">
        <v>14</v>
      </c>
      <c r="P1" s="18" t="s">
        <v>15</v>
      </c>
      <c r="Q1" s="19" t="s">
        <v>16</v>
      </c>
    </row>
    <row r="2" s="33" customFormat="true" ht="18" hidden="false" customHeight="true" outlineLevel="0" collapsed="false">
      <c r="A2" s="21" t="n">
        <v>1910837</v>
      </c>
      <c r="B2" s="22" t="n">
        <v>201911100</v>
      </c>
      <c r="C2" s="23" t="n">
        <v>43798</v>
      </c>
      <c r="D2" s="24" t="s">
        <v>17</v>
      </c>
      <c r="E2" s="25" t="n">
        <v>319.44</v>
      </c>
      <c r="F2" s="25"/>
      <c r="G2" s="26"/>
      <c r="H2" s="25"/>
      <c r="I2" s="25"/>
      <c r="J2" s="27" t="n">
        <f aca="false">IF(ISNUMBER(E2),E2+F2+G2+H2+I2," ")</f>
        <v>319.44</v>
      </c>
      <c r="K2" s="23" t="n">
        <v>43828</v>
      </c>
      <c r="L2" s="28" t="str">
        <f aca="true">IF(ISBLANK(C2)," ",IF(ISNUMBER(M2),"Réglé",IF(K2&lt;TODAY(),"Retard",IF(K2=TODAY()," A régler","en attente"))))</f>
        <v>Retard</v>
      </c>
      <c r="M2" s="23"/>
      <c r="N2" s="29" t="n">
        <f aca="true">IF(ISBLANK(M2),TODAY()-K2,0)</f>
        <v>1</v>
      </c>
      <c r="O2" s="30" t="s">
        <v>18</v>
      </c>
      <c r="P2" s="31" t="s">
        <v>19</v>
      </c>
      <c r="Q2" s="32"/>
    </row>
    <row r="3" s="33" customFormat="true" ht="18" hidden="false" customHeight="true" outlineLevel="0" collapsed="false">
      <c r="A3" s="34" t="n">
        <v>1664996</v>
      </c>
      <c r="B3" s="35" t="n">
        <v>201911132</v>
      </c>
      <c r="C3" s="36" t="n">
        <v>43798</v>
      </c>
      <c r="D3" s="37" t="s">
        <v>20</v>
      </c>
      <c r="E3" s="38" t="n">
        <v>378.33</v>
      </c>
      <c r="F3" s="38"/>
      <c r="G3" s="39"/>
      <c r="H3" s="38"/>
      <c r="I3" s="38"/>
      <c r="J3" s="40" t="n">
        <f aca="false">IF(ISNUMBER(E3),E3+F3+G3+H3+I3," ")</f>
        <v>378.33</v>
      </c>
      <c r="K3" s="36" t="n">
        <v>43828</v>
      </c>
      <c r="L3" s="28" t="str">
        <f aca="true">IF(ISBLANK(C3)," ",IF(ISNUMBER(M3),"Réglé",IF(K3&lt;TODAY(),"Retard",IF(K3=TODAY()," A régler","en attente"))))</f>
        <v>Retard</v>
      </c>
      <c r="M3" s="36"/>
      <c r="N3" s="41" t="n">
        <f aca="true">IF(ISBLANK(M3),TODAY()-K3,0)</f>
        <v>1</v>
      </c>
      <c r="O3" s="30"/>
      <c r="P3" s="42"/>
      <c r="Q3" s="43"/>
    </row>
    <row r="4" s="33" customFormat="true" ht="18" hidden="false" customHeight="true" outlineLevel="0" collapsed="false">
      <c r="A4" s="44" t="n">
        <v>1665958</v>
      </c>
      <c r="B4" s="35" t="n">
        <v>201911130</v>
      </c>
      <c r="C4" s="36" t="n">
        <v>43798</v>
      </c>
      <c r="D4" s="24" t="s">
        <v>20</v>
      </c>
      <c r="E4" s="38" t="n">
        <v>71.49</v>
      </c>
      <c r="F4" s="38"/>
      <c r="G4" s="39"/>
      <c r="H4" s="38"/>
      <c r="I4" s="38"/>
      <c r="J4" s="27" t="n">
        <f aca="false">IF(ISNUMBER(E4),E4+F4+G4+H4+I4," ")</f>
        <v>71.49</v>
      </c>
      <c r="K4" s="36" t="n">
        <v>43828</v>
      </c>
      <c r="L4" s="28" t="str">
        <f aca="true">IF(ISBLANK(C4)," ",IF(ISNUMBER(M4),"Réglé",IF(K4&lt;TODAY(),"Retard",IF(K4=TODAY()," A régler","en attente"))))</f>
        <v>Retard</v>
      </c>
      <c r="M4" s="36"/>
      <c r="N4" s="41" t="n">
        <f aca="true">IF(ISBLANK(M4),TODAY()-K4,0)</f>
        <v>1</v>
      </c>
      <c r="O4" s="30"/>
      <c r="P4" s="42"/>
      <c r="Q4" s="43"/>
    </row>
    <row r="5" s="33" customFormat="true" ht="18" hidden="false" customHeight="true" outlineLevel="0" collapsed="false">
      <c r="A5" s="44" t="n">
        <v>2200292711</v>
      </c>
      <c r="B5" s="35" t="n">
        <v>20191255</v>
      </c>
      <c r="C5" s="36" t="n">
        <v>43818</v>
      </c>
      <c r="D5" s="45" t="s">
        <v>21</v>
      </c>
      <c r="E5" s="38" t="n">
        <v>125.59</v>
      </c>
      <c r="F5" s="38"/>
      <c r="G5" s="39"/>
      <c r="H5" s="38"/>
      <c r="I5" s="38"/>
      <c r="J5" s="27" t="n">
        <f aca="false">IF(ISNUMBER(E5),E5+F5+G5+H5+I5," ")</f>
        <v>125.59</v>
      </c>
      <c r="K5" s="36" t="n">
        <v>43828</v>
      </c>
      <c r="L5" s="46" t="str">
        <f aca="true">IF(ISBLANK(C5)," ",IF(ISNUMBER(M5),"Réglé",IF(K5&lt;TODAY(),"Retard",IF(K5=TODAY()," A régler","en attente"))))</f>
        <v>Retard</v>
      </c>
      <c r="M5" s="36"/>
      <c r="N5" s="41" t="n">
        <f aca="true">IF(ISBLANK(M5),TODAY()-K5,0)</f>
        <v>1</v>
      </c>
      <c r="O5" s="30"/>
      <c r="P5" s="31"/>
      <c r="Q5" s="32"/>
    </row>
    <row r="6" s="33" customFormat="true" ht="18" hidden="false" customHeight="true" outlineLevel="0" collapsed="false">
      <c r="A6" s="44" t="n">
        <v>1910868</v>
      </c>
      <c r="B6" s="35" t="n">
        <v>20191207</v>
      </c>
      <c r="C6" s="47" t="n">
        <v>43801</v>
      </c>
      <c r="D6" s="24" t="s">
        <v>17</v>
      </c>
      <c r="E6" s="48" t="n">
        <v>597.76</v>
      </c>
      <c r="F6" s="48"/>
      <c r="G6" s="49"/>
      <c r="H6" s="48"/>
      <c r="I6" s="48"/>
      <c r="J6" s="27" t="n">
        <f aca="false">IF(ISNUMBER(E6),E6+F6+G6+H6+I6," ")</f>
        <v>597.76</v>
      </c>
      <c r="K6" s="47" t="n">
        <v>43831</v>
      </c>
      <c r="L6" s="28" t="str">
        <f aca="true">IF(ISBLANK(C6)," ",IF(ISNUMBER(M6),"Réglé",IF(K6&lt;TODAY(),"Retard",IF(K6=TODAY()," A régler","en attente"))))</f>
        <v>en attente</v>
      </c>
      <c r="M6" s="47"/>
      <c r="N6" s="29" t="n">
        <f aca="true">IF(ISBLANK(M6),TODAY()-K6,0)</f>
        <v>-2</v>
      </c>
      <c r="O6" s="30" t="s">
        <v>18</v>
      </c>
      <c r="P6" s="31" t="s">
        <v>19</v>
      </c>
      <c r="Q6" s="32"/>
    </row>
    <row r="7" s="33" customFormat="true" ht="18" hidden="false" customHeight="true" outlineLevel="0" collapsed="false">
      <c r="A7" s="44" t="n">
        <v>1910879</v>
      </c>
      <c r="B7" s="35" t="n">
        <v>20191206</v>
      </c>
      <c r="C7" s="47" t="n">
        <v>43801</v>
      </c>
      <c r="D7" s="24" t="s">
        <v>22</v>
      </c>
      <c r="E7" s="48" t="n">
        <v>132.48</v>
      </c>
      <c r="F7" s="48"/>
      <c r="G7" s="49"/>
      <c r="H7" s="48"/>
      <c r="I7" s="48"/>
      <c r="J7" s="27" t="n">
        <f aca="false">IF(ISNUMBER(E7),E7+F7+G7+H7+I7," ")</f>
        <v>132.48</v>
      </c>
      <c r="K7" s="47" t="n">
        <v>43831</v>
      </c>
      <c r="L7" s="28" t="str">
        <f aca="true">IF(ISBLANK(C7)," ",IF(ISNUMBER(M7),"Réglé",IF(K7&lt;TODAY(),"Retard",IF(K7=TODAY()," A régler","en attente"))))</f>
        <v>en attente</v>
      </c>
      <c r="M7" s="47"/>
      <c r="N7" s="29" t="n">
        <f aca="true">IF(ISBLANK(M7),TODAY()-K7,0)</f>
        <v>-2</v>
      </c>
      <c r="O7" s="30" t="s">
        <v>18</v>
      </c>
      <c r="P7" s="31" t="s">
        <v>19</v>
      </c>
      <c r="Q7" s="32"/>
    </row>
    <row r="8" s="33" customFormat="true" ht="18" hidden="false" customHeight="true" outlineLevel="0" collapsed="false">
      <c r="A8" s="44" t="n">
        <v>1910878</v>
      </c>
      <c r="B8" s="35" t="n">
        <v>20191205</v>
      </c>
      <c r="C8" s="47" t="n">
        <v>43801</v>
      </c>
      <c r="D8" s="24" t="s">
        <v>23</v>
      </c>
      <c r="E8" s="48" t="n">
        <v>132.48</v>
      </c>
      <c r="F8" s="48"/>
      <c r="G8" s="49"/>
      <c r="H8" s="48"/>
      <c r="I8" s="48"/>
      <c r="J8" s="27" t="n">
        <f aca="false">IF(ISNUMBER(E8),E8+F8+G8+H8+I8," ")</f>
        <v>132.48</v>
      </c>
      <c r="K8" s="47" t="n">
        <v>43831</v>
      </c>
      <c r="L8" s="28" t="str">
        <f aca="true">IF(ISBLANK(C8)," ",IF(ISNUMBER(M8),"Réglé",IF(K8&lt;TODAY(),"Retard",IF(K8=TODAY()," A régler","en attente"))))</f>
        <v>en attente</v>
      </c>
      <c r="M8" s="47"/>
      <c r="N8" s="29" t="n">
        <f aca="true">IF(ISBLANK(M8),TODAY()-K8,0)</f>
        <v>-2</v>
      </c>
      <c r="O8" s="30" t="s">
        <v>18</v>
      </c>
      <c r="P8" s="31" t="s">
        <v>19</v>
      </c>
      <c r="Q8" s="32"/>
    </row>
    <row r="9" s="33" customFormat="true" ht="18" hidden="false" customHeight="true" outlineLevel="0" collapsed="false">
      <c r="A9" s="44" t="n">
        <v>1910917</v>
      </c>
      <c r="B9" s="35" t="n">
        <v>20191203</v>
      </c>
      <c r="C9" s="47" t="n">
        <v>43802</v>
      </c>
      <c r="D9" s="24" t="s">
        <v>17</v>
      </c>
      <c r="E9" s="48" t="n">
        <v>3230.79</v>
      </c>
      <c r="F9" s="48"/>
      <c r="G9" s="49"/>
      <c r="H9" s="48"/>
      <c r="I9" s="48"/>
      <c r="J9" s="27" t="n">
        <f aca="false">IF(ISNUMBER(E9),E9+F9+G9+H9+I9," ")</f>
        <v>3230.79</v>
      </c>
      <c r="K9" s="47" t="n">
        <v>43832</v>
      </c>
      <c r="L9" s="28" t="str">
        <f aca="true">IF(ISBLANK(C9)," ",IF(ISNUMBER(M9),"Réglé",IF(K9&lt;TODAY(),"Retard",IF(K9=TODAY()," A régler","en attente"))))</f>
        <v>en attente</v>
      </c>
      <c r="M9" s="47"/>
      <c r="N9" s="29" t="n">
        <f aca="true">IF(ISBLANK(M9),TODAY()-K9,0)</f>
        <v>-3</v>
      </c>
      <c r="O9" s="30" t="s">
        <v>18</v>
      </c>
      <c r="P9" s="31" t="s">
        <v>19</v>
      </c>
      <c r="Q9" s="32"/>
    </row>
    <row r="10" s="33" customFormat="true" ht="18" hidden="false" customHeight="true" outlineLevel="0" collapsed="false">
      <c r="A10" s="44" t="n">
        <v>1671379</v>
      </c>
      <c r="B10" s="35" t="n">
        <v>20191218</v>
      </c>
      <c r="C10" s="47" t="n">
        <v>43802</v>
      </c>
      <c r="D10" s="24" t="s">
        <v>20</v>
      </c>
      <c r="E10" s="48" t="n">
        <v>428.19</v>
      </c>
      <c r="F10" s="48"/>
      <c r="G10" s="49"/>
      <c r="H10" s="48"/>
      <c r="I10" s="48"/>
      <c r="J10" s="27" t="n">
        <f aca="false">IF(ISNUMBER(E10),E10+F10+G10+H10+I10," ")</f>
        <v>428.19</v>
      </c>
      <c r="K10" s="47" t="n">
        <v>43832</v>
      </c>
      <c r="L10" s="28" t="str">
        <f aca="true">IF(ISBLANK(C10)," ",IF(ISNUMBER(M10),"Réglé",IF(K10&lt;TODAY(),"Retard",IF(K10=TODAY()," A régler","en attente"))))</f>
        <v>en attente</v>
      </c>
      <c r="M10" s="47"/>
      <c r="N10" s="29" t="n">
        <f aca="true">IF(ISBLANK(M10),TODAY()-K10,0)</f>
        <v>-3</v>
      </c>
      <c r="O10" s="30"/>
      <c r="P10" s="31"/>
      <c r="Q10" s="32"/>
    </row>
    <row r="11" s="33" customFormat="true" ht="18" hidden="false" customHeight="true" outlineLevel="0" collapsed="false">
      <c r="A11" s="44" t="n">
        <v>1910992</v>
      </c>
      <c r="B11" s="35" t="n">
        <v>20191212</v>
      </c>
      <c r="C11" s="47" t="n">
        <v>43803</v>
      </c>
      <c r="D11" s="24" t="s">
        <v>24</v>
      </c>
      <c r="E11" s="48" t="n">
        <v>132.48</v>
      </c>
      <c r="F11" s="48"/>
      <c r="G11" s="49"/>
      <c r="H11" s="48"/>
      <c r="I11" s="48"/>
      <c r="J11" s="27" t="n">
        <f aca="false">IF(ISNUMBER(E11),E11+F11+G11+H11+I11," ")</f>
        <v>132.48</v>
      </c>
      <c r="K11" s="47" t="n">
        <v>43833</v>
      </c>
      <c r="L11" s="28" t="str">
        <f aca="true">IF(ISBLANK(C11)," ",IF(ISNUMBER(M11),"Réglé",IF(K11&lt;TODAY(),"Retard",IF(K11=TODAY()," A régler","en attente"))))</f>
        <v>en attente</v>
      </c>
      <c r="M11" s="47"/>
      <c r="N11" s="29" t="n">
        <f aca="true">IF(ISBLANK(M11),TODAY()-K11,0)</f>
        <v>-4</v>
      </c>
      <c r="O11" s="30" t="s">
        <v>18</v>
      </c>
      <c r="P11" s="31" t="s">
        <v>19</v>
      </c>
      <c r="Q11" s="32"/>
    </row>
    <row r="12" s="33" customFormat="true" ht="18" hidden="false" customHeight="true" outlineLevel="0" collapsed="false">
      <c r="A12" s="44" t="n">
        <v>1910988</v>
      </c>
      <c r="B12" s="35" t="n">
        <v>20191211</v>
      </c>
      <c r="C12" s="47" t="n">
        <v>43803</v>
      </c>
      <c r="D12" s="24" t="s">
        <v>25</v>
      </c>
      <c r="E12" s="48" t="n">
        <v>230.77</v>
      </c>
      <c r="F12" s="48"/>
      <c r="G12" s="49"/>
      <c r="H12" s="48"/>
      <c r="I12" s="48"/>
      <c r="J12" s="27" t="n">
        <f aca="false">IF(ISNUMBER(E12),E12+F12+G12+H12+I12," ")</f>
        <v>230.77</v>
      </c>
      <c r="K12" s="47" t="n">
        <v>43833</v>
      </c>
      <c r="L12" s="28" t="str">
        <f aca="true">IF(ISBLANK(C12)," ",IF(ISNUMBER(M12),"Réglé",IF(K12&lt;TODAY(),"Retard",IF(K12=TODAY()," A régler","en attente"))))</f>
        <v>en attente</v>
      </c>
      <c r="M12" s="47"/>
      <c r="N12" s="29" t="n">
        <f aca="true">IF(ISBLANK(M12),TODAY()-K12,0)</f>
        <v>-4</v>
      </c>
      <c r="O12" s="30" t="s">
        <v>18</v>
      </c>
      <c r="P12" s="31" t="s">
        <v>19</v>
      </c>
      <c r="Q12" s="32"/>
    </row>
    <row r="13" s="33" customFormat="true" ht="18" hidden="false" customHeight="true" outlineLevel="0" collapsed="false">
      <c r="A13" s="44" t="n">
        <v>1910974</v>
      </c>
      <c r="B13" s="35" t="n">
        <v>20191210</v>
      </c>
      <c r="C13" s="47" t="n">
        <v>43803</v>
      </c>
      <c r="D13" s="24" t="s">
        <v>17</v>
      </c>
      <c r="E13" s="48" t="n">
        <v>66.24</v>
      </c>
      <c r="F13" s="48"/>
      <c r="G13" s="49"/>
      <c r="H13" s="48"/>
      <c r="I13" s="48"/>
      <c r="J13" s="27" t="n">
        <f aca="false">IF(ISNUMBER(E13),E13+F13+G13+H13+I13," ")</f>
        <v>66.24</v>
      </c>
      <c r="K13" s="47" t="n">
        <v>43833</v>
      </c>
      <c r="L13" s="28" t="str">
        <f aca="true">IF(ISBLANK(C13)," ",IF(ISNUMBER(M13),"Réglé",IF(K13&lt;TODAY(),"Retard",IF(K13=TODAY()," A régler","en attente"))))</f>
        <v>en attente</v>
      </c>
      <c r="M13" s="47"/>
      <c r="N13" s="29" t="n">
        <f aca="true">IF(ISBLANK(M13),TODAY()-K13,0)</f>
        <v>-4</v>
      </c>
      <c r="O13" s="30" t="s">
        <v>18</v>
      </c>
      <c r="P13" s="31" t="s">
        <v>19</v>
      </c>
      <c r="Q13" s="32"/>
    </row>
    <row r="14" s="33" customFormat="true" ht="18" hidden="false" customHeight="true" outlineLevel="0" collapsed="false">
      <c r="A14" s="44" t="n">
        <v>1910995</v>
      </c>
      <c r="B14" s="35" t="n">
        <v>20191209</v>
      </c>
      <c r="C14" s="47" t="n">
        <v>43803</v>
      </c>
      <c r="D14" s="24" t="s">
        <v>22</v>
      </c>
      <c r="E14" s="48" t="n">
        <v>66.24</v>
      </c>
      <c r="F14" s="48"/>
      <c r="G14" s="49"/>
      <c r="H14" s="48"/>
      <c r="I14" s="48"/>
      <c r="J14" s="27" t="n">
        <f aca="false">IF(ISNUMBER(E14),E14+F14+G14+H14+I14," ")</f>
        <v>66.24</v>
      </c>
      <c r="K14" s="47" t="n">
        <v>43833</v>
      </c>
      <c r="L14" s="28" t="str">
        <f aca="true">IF(ISBLANK(C14)," ",IF(ISNUMBER(M14),"Réglé",IF(K14&lt;TODAY(),"Retard",IF(K14=TODAY()," A régler","en attente"))))</f>
        <v>en attente</v>
      </c>
      <c r="M14" s="47"/>
      <c r="N14" s="29" t="n">
        <f aca="true">IF(ISBLANK(M14),TODAY()-K14,0)</f>
        <v>-4</v>
      </c>
      <c r="O14" s="30" t="s">
        <v>18</v>
      </c>
      <c r="P14" s="31" t="s">
        <v>19</v>
      </c>
      <c r="Q14" s="32"/>
    </row>
    <row r="15" s="33" customFormat="true" ht="18" hidden="false" customHeight="true" outlineLevel="0" collapsed="false">
      <c r="A15" s="21" t="n">
        <v>1911072</v>
      </c>
      <c r="B15" s="22" t="n">
        <v>20191208</v>
      </c>
      <c r="C15" s="23" t="n">
        <v>43804</v>
      </c>
      <c r="D15" s="24" t="s">
        <v>17</v>
      </c>
      <c r="E15" s="25" t="n">
        <v>66.24</v>
      </c>
      <c r="F15" s="25"/>
      <c r="G15" s="26"/>
      <c r="H15" s="25"/>
      <c r="I15" s="25"/>
      <c r="J15" s="27" t="n">
        <f aca="false">IF(ISNUMBER(E15),E15+F15+G15+H15+I15," ")</f>
        <v>66.24</v>
      </c>
      <c r="K15" s="23" t="n">
        <v>43834</v>
      </c>
      <c r="L15" s="28" t="str">
        <f aca="true">IF(ISBLANK(C15)," ",IF(ISNUMBER(M15),"Réglé",IF(K15&lt;TODAY(),"Retard",IF(K15=TODAY()," A régler","en attente"))))</f>
        <v>en attente</v>
      </c>
      <c r="M15" s="23"/>
      <c r="N15" s="29" t="n">
        <f aca="true">IF(ISBLANK(M15),TODAY()-K15,0)</f>
        <v>-5</v>
      </c>
      <c r="O15" s="30" t="s">
        <v>18</v>
      </c>
      <c r="P15" s="31" t="s">
        <v>19</v>
      </c>
      <c r="Q15" s="32"/>
    </row>
    <row r="16" s="33" customFormat="true" ht="18" hidden="false" customHeight="true" outlineLevel="0" collapsed="false">
      <c r="A16" s="44" t="n">
        <v>1911127</v>
      </c>
      <c r="B16" s="35" t="n">
        <v>20191217</v>
      </c>
      <c r="C16" s="47" t="n">
        <v>43805</v>
      </c>
      <c r="D16" s="24" t="s">
        <v>26</v>
      </c>
      <c r="E16" s="48" t="n">
        <v>211.2</v>
      </c>
      <c r="F16" s="48"/>
      <c r="G16" s="49"/>
      <c r="H16" s="48"/>
      <c r="I16" s="48"/>
      <c r="J16" s="27" t="n">
        <f aca="false">IF(ISNUMBER(E16),E16+F16+G16+H16+I16," ")</f>
        <v>211.2</v>
      </c>
      <c r="K16" s="47" t="n">
        <v>43835</v>
      </c>
      <c r="L16" s="28" t="str">
        <f aca="true">IF(ISBLANK(C16)," ",IF(ISNUMBER(M16),"Réglé",IF(K16&lt;TODAY(),"Retard",IF(K16=TODAY()," A régler","en attente"))))</f>
        <v>en attente</v>
      </c>
      <c r="M16" s="47"/>
      <c r="N16" s="29" t="n">
        <f aca="true">IF(ISBLANK(M16),TODAY()-K16,0)</f>
        <v>-6</v>
      </c>
      <c r="O16" s="30" t="s">
        <v>27</v>
      </c>
      <c r="P16" s="31" t="s">
        <v>19</v>
      </c>
      <c r="Q16" s="32"/>
    </row>
    <row r="17" s="33" customFormat="true" ht="18" hidden="false" customHeight="true" outlineLevel="0" collapsed="false">
      <c r="A17" s="44" t="n">
        <v>1911112</v>
      </c>
      <c r="B17" s="35" t="n">
        <v>20191216</v>
      </c>
      <c r="C17" s="47" t="n">
        <v>43805</v>
      </c>
      <c r="D17" s="24" t="s">
        <v>17</v>
      </c>
      <c r="E17" s="48" t="n">
        <v>760.62</v>
      </c>
      <c r="F17" s="48"/>
      <c r="G17" s="49"/>
      <c r="H17" s="48"/>
      <c r="I17" s="48"/>
      <c r="J17" s="27" t="n">
        <f aca="false">IF(ISNUMBER(E17),E17+F17+G17+H17+I17," ")</f>
        <v>760.62</v>
      </c>
      <c r="K17" s="47" t="n">
        <v>43835</v>
      </c>
      <c r="L17" s="28" t="str">
        <f aca="true">IF(ISBLANK(C17)," ",IF(ISNUMBER(M17),"Réglé",IF(K17&lt;TODAY(),"Retard",IF(K17=TODAY()," A régler","en attente"))))</f>
        <v>en attente</v>
      </c>
      <c r="M17" s="47"/>
      <c r="N17" s="29" t="n">
        <f aca="true">IF(ISBLANK(M17),TODAY()-K17,0)</f>
        <v>-6</v>
      </c>
      <c r="O17" s="30" t="s">
        <v>18</v>
      </c>
      <c r="P17" s="31" t="s">
        <v>19</v>
      </c>
      <c r="Q17" s="32"/>
    </row>
    <row r="18" s="33" customFormat="true" ht="18" hidden="false" customHeight="true" outlineLevel="0" collapsed="false">
      <c r="A18" s="44" t="n">
        <v>1911177</v>
      </c>
      <c r="B18" s="35" t="n">
        <v>20191226</v>
      </c>
      <c r="C18" s="36" t="n">
        <v>43808</v>
      </c>
      <c r="D18" s="24" t="s">
        <v>25</v>
      </c>
      <c r="E18" s="38" t="n">
        <v>264.96</v>
      </c>
      <c r="F18" s="38"/>
      <c r="G18" s="39"/>
      <c r="H18" s="38"/>
      <c r="I18" s="38"/>
      <c r="J18" s="40" t="n">
        <f aca="false">IF(ISNUMBER(E18),E18+F18+G18+H18+I18," ")</f>
        <v>264.96</v>
      </c>
      <c r="K18" s="36" t="n">
        <v>43838</v>
      </c>
      <c r="L18" s="28" t="str">
        <f aca="true">IF(ISBLANK(C18)," ",IF(ISNUMBER(M18),"Réglé",IF(K18&lt;TODAY(),"Retard",IF(K18=TODAY()," A régler","en attente"))))</f>
        <v>en attente</v>
      </c>
      <c r="M18" s="36"/>
      <c r="N18" s="41" t="n">
        <f aca="true">IF(ISBLANK(M18),TODAY()-K18,0)</f>
        <v>-9</v>
      </c>
      <c r="O18" s="30" t="s">
        <v>18</v>
      </c>
      <c r="P18" s="31" t="s">
        <v>19</v>
      </c>
      <c r="Q18" s="43"/>
    </row>
    <row r="19" s="33" customFormat="true" ht="18" hidden="false" customHeight="true" outlineLevel="0" collapsed="false">
      <c r="A19" s="44" t="s">
        <v>28</v>
      </c>
      <c r="B19" s="35" t="n">
        <v>20191223</v>
      </c>
      <c r="C19" s="36" t="n">
        <v>43809</v>
      </c>
      <c r="D19" s="24" t="s">
        <v>29</v>
      </c>
      <c r="E19" s="38" t="n">
        <v>89.49</v>
      </c>
      <c r="F19" s="38"/>
      <c r="G19" s="39"/>
      <c r="H19" s="38"/>
      <c r="I19" s="38"/>
      <c r="J19" s="27" t="n">
        <f aca="false">IF(ISNUMBER(E19),E19+F19+G19+H19+I19," ")</f>
        <v>89.49</v>
      </c>
      <c r="K19" s="36" t="n">
        <v>43839</v>
      </c>
      <c r="L19" s="28" t="str">
        <f aca="true">IF(ISBLANK(C19)," ",IF(ISNUMBER(M19),"Réglé",IF(K19&lt;TODAY(),"Retard",IF(K19=TODAY()," A régler","en attente"))))</f>
        <v>en attente</v>
      </c>
      <c r="M19" s="36"/>
      <c r="N19" s="41" t="n">
        <f aca="true">IF(ISBLANK(M19),TODAY()-K19,0)</f>
        <v>-10</v>
      </c>
      <c r="O19" s="30"/>
      <c r="P19" s="42"/>
      <c r="Q19" s="43"/>
    </row>
    <row r="20" s="33" customFormat="true" ht="18" hidden="false" customHeight="true" outlineLevel="0" collapsed="false">
      <c r="A20" s="44" t="n">
        <v>1911230</v>
      </c>
      <c r="B20" s="35" t="n">
        <v>20191224</v>
      </c>
      <c r="C20" s="36" t="n">
        <v>43809</v>
      </c>
      <c r="D20" s="24" t="s">
        <v>25</v>
      </c>
      <c r="E20" s="38" t="n">
        <v>198.72</v>
      </c>
      <c r="F20" s="38"/>
      <c r="G20" s="39"/>
      <c r="H20" s="38"/>
      <c r="I20" s="38"/>
      <c r="J20" s="27" t="n">
        <f aca="false">IF(ISNUMBER(E20),E20+F20+G20+H20+I20," ")</f>
        <v>198.72</v>
      </c>
      <c r="K20" s="36" t="n">
        <v>43839</v>
      </c>
      <c r="L20" s="28" t="str">
        <f aca="true">IF(ISBLANK(C20)," ",IF(ISNUMBER(M20),"Réglé",IF(K20&lt;TODAY(),"Retard",IF(K20=TODAY()," A régler","en attente"))))</f>
        <v>en attente</v>
      </c>
      <c r="M20" s="36"/>
      <c r="N20" s="41" t="n">
        <f aca="true">IF(ISBLANK(M20),TODAY()-K20,0)</f>
        <v>-10</v>
      </c>
      <c r="O20" s="30" t="s">
        <v>18</v>
      </c>
      <c r="P20" s="31" t="s">
        <v>19</v>
      </c>
      <c r="Q20" s="43"/>
    </row>
    <row r="21" s="33" customFormat="true" ht="18" hidden="false" customHeight="true" outlineLevel="0" collapsed="false">
      <c r="A21" s="44" t="n">
        <v>1911203</v>
      </c>
      <c r="B21" s="35" t="n">
        <v>20191225</v>
      </c>
      <c r="C21" s="36" t="n">
        <v>43809</v>
      </c>
      <c r="D21" s="24" t="s">
        <v>25</v>
      </c>
      <c r="E21" s="38" t="n">
        <v>2076.93</v>
      </c>
      <c r="F21" s="38"/>
      <c r="G21" s="39"/>
      <c r="H21" s="38"/>
      <c r="I21" s="38"/>
      <c r="J21" s="27" t="n">
        <f aca="false">IF(ISNUMBER(E21),E21+F21+G21+H21+I21," ")</f>
        <v>2076.93</v>
      </c>
      <c r="K21" s="36" t="n">
        <v>43839</v>
      </c>
      <c r="L21" s="28" t="str">
        <f aca="true">IF(ISBLANK(C21)," ",IF(ISNUMBER(M21),"Réglé",IF(K21&lt;TODAY(),"Retard",IF(K21=TODAY()," A régler","en attente"))))</f>
        <v>en attente</v>
      </c>
      <c r="M21" s="36"/>
      <c r="N21" s="41" t="n">
        <f aca="true">IF(ISBLANK(M21),TODAY()-K21,0)</f>
        <v>-10</v>
      </c>
      <c r="O21" s="30" t="s">
        <v>18</v>
      </c>
      <c r="P21" s="31" t="s">
        <v>19</v>
      </c>
      <c r="Q21" s="43"/>
    </row>
    <row r="22" customFormat="false" ht="18" hidden="false" customHeight="true" outlineLevel="0" collapsed="false">
      <c r="A22" s="44" t="s">
        <v>30</v>
      </c>
      <c r="B22" s="35" t="n">
        <v>20191232</v>
      </c>
      <c r="C22" s="36" t="n">
        <v>43809</v>
      </c>
      <c r="D22" s="24" t="s">
        <v>31</v>
      </c>
      <c r="E22" s="38" t="n">
        <v>522.9</v>
      </c>
      <c r="F22" s="38"/>
      <c r="G22" s="39"/>
      <c r="H22" s="38"/>
      <c r="I22" s="38"/>
      <c r="J22" s="27" t="n">
        <f aca="false">IF(ISNUMBER(E22),E22+F22+G22+H22+I22," ")</f>
        <v>522.9</v>
      </c>
      <c r="K22" s="36" t="n">
        <v>43839</v>
      </c>
      <c r="L22" s="46" t="str">
        <f aca="true">IF(ISBLANK(C22)," ",IF(ISNUMBER(M22),"Réglé",IF(K22&lt;TODAY(),"Retard",IF(K22=TODAY()," A régler","en attente"))))</f>
        <v>en attente</v>
      </c>
      <c r="M22" s="36"/>
      <c r="N22" s="41" t="n">
        <f aca="true">IF(ISBLANK(M22),TODAY()-K22,0)</f>
        <v>-10</v>
      </c>
      <c r="O22" s="30"/>
      <c r="P22" s="42"/>
      <c r="Q22" s="43"/>
    </row>
    <row r="23" customFormat="false" ht="18" hidden="false" customHeight="true" outlineLevel="0" collapsed="false">
      <c r="A23" s="44" t="n">
        <v>2011135064</v>
      </c>
      <c r="B23" s="35" t="n">
        <v>20191268</v>
      </c>
      <c r="C23" s="36" t="n">
        <v>43809</v>
      </c>
      <c r="D23" s="45" t="s">
        <v>32</v>
      </c>
      <c r="E23" s="38" t="n">
        <v>38.17</v>
      </c>
      <c r="F23" s="38"/>
      <c r="G23" s="39"/>
      <c r="H23" s="38"/>
      <c r="I23" s="38"/>
      <c r="J23" s="27" t="n">
        <f aca="false">IF(ISNUMBER(E23),E23+F23+G23+H23+I23," ")</f>
        <v>38.17</v>
      </c>
      <c r="K23" s="36" t="n">
        <v>43839</v>
      </c>
      <c r="L23" s="46" t="str">
        <f aca="true">IF(ISBLANK(C23)," ",IF(ISNUMBER(M23),"Réglé",IF(K23&lt;TODAY(),"Retard",IF(K23=TODAY()," A régler","en attente"))))</f>
        <v>en attente</v>
      </c>
      <c r="M23" s="36"/>
      <c r="N23" s="41" t="n">
        <f aca="true">IF(ISBLANK(M23),TODAY()-K23,0)</f>
        <v>-10</v>
      </c>
      <c r="O23" s="30"/>
      <c r="P23" s="31"/>
      <c r="Q23" s="32"/>
    </row>
    <row r="24" customFormat="false" ht="18" hidden="false" customHeight="true" outlineLevel="0" collapsed="false">
      <c r="A24" s="44" t="n">
        <v>1911296</v>
      </c>
      <c r="B24" s="35" t="n">
        <v>20191243</v>
      </c>
      <c r="C24" s="36" t="n">
        <v>43810</v>
      </c>
      <c r="D24" s="45" t="s">
        <v>22</v>
      </c>
      <c r="E24" s="38" t="n">
        <v>1615.39</v>
      </c>
      <c r="F24" s="38"/>
      <c r="G24" s="39"/>
      <c r="H24" s="38"/>
      <c r="I24" s="38"/>
      <c r="J24" s="27" t="n">
        <f aca="false">IF(ISNUMBER(E24),E24+F24+G24+H24+I24," ")</f>
        <v>1615.39</v>
      </c>
      <c r="K24" s="36" t="n">
        <v>43840</v>
      </c>
      <c r="L24" s="46" t="str">
        <f aca="true">IF(ISBLANK(C24)," ",IF(ISNUMBER(M24),"Réglé",IF(K24&lt;TODAY(),"Retard",IF(K24=TODAY()," A régler","en attente"))))</f>
        <v>en attente</v>
      </c>
      <c r="M24" s="36"/>
      <c r="N24" s="41" t="n">
        <f aca="true">IF(ISBLANK(M24),TODAY()-K24,0)</f>
        <v>-11</v>
      </c>
      <c r="O24" s="30" t="s">
        <v>18</v>
      </c>
      <c r="P24" s="31" t="s">
        <v>19</v>
      </c>
      <c r="Q24" s="32"/>
    </row>
    <row r="25" customFormat="false" ht="18" hidden="false" customHeight="true" outlineLevel="0" collapsed="false">
      <c r="A25" s="44" t="n">
        <v>1911261</v>
      </c>
      <c r="B25" s="35" t="n">
        <v>20191242</v>
      </c>
      <c r="C25" s="36" t="n">
        <v>43810</v>
      </c>
      <c r="D25" s="45" t="s">
        <v>17</v>
      </c>
      <c r="E25" s="38" t="n">
        <v>230.77</v>
      </c>
      <c r="F25" s="38"/>
      <c r="G25" s="39"/>
      <c r="H25" s="38"/>
      <c r="I25" s="38"/>
      <c r="J25" s="27" t="n">
        <f aca="false">IF(ISNUMBER(E25),E25+F25+G25+H25+I25," ")</f>
        <v>230.77</v>
      </c>
      <c r="K25" s="36" t="n">
        <v>43840</v>
      </c>
      <c r="L25" s="46" t="str">
        <f aca="true">IF(ISBLANK(C25)," ",IF(ISNUMBER(M25),"Réglé",IF(K25&lt;TODAY(),"Retard",IF(K25=TODAY()," A régler","en attente"))))</f>
        <v>en attente</v>
      </c>
      <c r="M25" s="36"/>
      <c r="N25" s="41" t="n">
        <f aca="true">IF(ISBLANK(M25),TODAY()-K25,0)</f>
        <v>-11</v>
      </c>
      <c r="O25" s="30" t="s">
        <v>18</v>
      </c>
      <c r="P25" s="31" t="s">
        <v>19</v>
      </c>
      <c r="Q25" s="32"/>
    </row>
    <row r="26" customFormat="false" ht="18" hidden="false" customHeight="true" outlineLevel="0" collapsed="false">
      <c r="A26" s="44" t="n">
        <v>1911248</v>
      </c>
      <c r="B26" s="35" t="n">
        <v>20191241</v>
      </c>
      <c r="C26" s="36" t="n">
        <v>43810</v>
      </c>
      <c r="D26" s="45" t="s">
        <v>25</v>
      </c>
      <c r="E26" s="50" t="n">
        <v>-1121.73</v>
      </c>
      <c r="F26" s="38"/>
      <c r="G26" s="39"/>
      <c r="H26" s="38"/>
      <c r="I26" s="38"/>
      <c r="J26" s="27" t="n">
        <f aca="false">IF(ISNUMBER(E26),E26+F26+G26+H26+I26," ")</f>
        <v>-1121.73</v>
      </c>
      <c r="K26" s="36" t="n">
        <v>43840</v>
      </c>
      <c r="L26" s="46" t="str">
        <f aca="true">IF(ISBLANK(C26)," ",IF(ISNUMBER(M26),"Réglé",IF(K26&lt;TODAY(),"Retard",IF(K26=TODAY()," A régler","en attente"))))</f>
        <v>en attente</v>
      </c>
      <c r="M26" s="36"/>
      <c r="N26" s="41" t="n">
        <f aca="true">IF(ISBLANK(M26),TODAY()-K26,0)</f>
        <v>-11</v>
      </c>
      <c r="O26" s="30" t="s">
        <v>33</v>
      </c>
      <c r="P26" s="31" t="s">
        <v>33</v>
      </c>
      <c r="Q26" s="32"/>
    </row>
    <row r="27" customFormat="false" ht="18" hidden="false" customHeight="true" outlineLevel="0" collapsed="false">
      <c r="A27" s="44" t="n">
        <v>1682451</v>
      </c>
      <c r="B27" s="35" t="n">
        <v>20191266</v>
      </c>
      <c r="C27" s="36" t="n">
        <v>43810</v>
      </c>
      <c r="D27" s="45" t="s">
        <v>20</v>
      </c>
      <c r="E27" s="38" t="n">
        <v>417.37</v>
      </c>
      <c r="F27" s="38"/>
      <c r="G27" s="39"/>
      <c r="H27" s="38"/>
      <c r="I27" s="38"/>
      <c r="J27" s="27" t="n">
        <f aca="false">IF(ISNUMBER(E27),E27+F27+G27+H27+I27," ")</f>
        <v>417.37</v>
      </c>
      <c r="K27" s="36" t="n">
        <v>43840</v>
      </c>
      <c r="L27" s="46" t="str">
        <f aca="true">IF(ISBLANK(C27)," ",IF(ISNUMBER(M27),"Réglé",IF(K27&lt;TODAY(),"Retard",IF(K27=TODAY()," A régler","en attente"))))</f>
        <v>en attente</v>
      </c>
      <c r="M27" s="36"/>
      <c r="N27" s="41" t="n">
        <f aca="true">IF(ISBLANK(M27),TODAY()-K27,0)</f>
        <v>-11</v>
      </c>
      <c r="O27" s="30"/>
      <c r="P27" s="31"/>
      <c r="Q27" s="32"/>
    </row>
    <row r="28" customFormat="false" ht="18" hidden="false" customHeight="true" outlineLevel="0" collapsed="false">
      <c r="A28" s="44" t="n">
        <v>19114029654</v>
      </c>
      <c r="B28" s="35" t="n">
        <v>201911145</v>
      </c>
      <c r="C28" s="36" t="n">
        <v>43796</v>
      </c>
      <c r="D28" s="24" t="s">
        <v>34</v>
      </c>
      <c r="E28" s="38" t="n">
        <v>102.02</v>
      </c>
      <c r="F28" s="38"/>
      <c r="G28" s="39"/>
      <c r="H28" s="38"/>
      <c r="I28" s="38"/>
      <c r="J28" s="27" t="n">
        <f aca="false">IF(ISNUMBER(E28),E28+F28+G28+H28+I28," ")</f>
        <v>102.02</v>
      </c>
      <c r="K28" s="36" t="n">
        <v>43841</v>
      </c>
      <c r="L28" s="46" t="str">
        <f aca="true">IF(ISBLANK(C28)," ",IF(ISNUMBER(M28),"Réglé",IF(K28&lt;TODAY(),"Retard",IF(K28=TODAY()," A régler","en attente"))))</f>
        <v>en attente</v>
      </c>
      <c r="M28" s="36"/>
      <c r="N28" s="41" t="n">
        <f aca="true">IF(ISBLANK(M28),TODAY()-K28,0)</f>
        <v>-12</v>
      </c>
      <c r="O28" s="30"/>
      <c r="P28" s="42"/>
      <c r="Q28" s="43"/>
    </row>
    <row r="29" customFormat="false" ht="18" hidden="false" customHeight="true" outlineLevel="0" collapsed="false">
      <c r="A29" s="44" t="n">
        <v>1911383</v>
      </c>
      <c r="B29" s="35" t="n">
        <v>20191245</v>
      </c>
      <c r="C29" s="36" t="n">
        <v>43812</v>
      </c>
      <c r="D29" s="45" t="s">
        <v>17</v>
      </c>
      <c r="E29" s="38" t="n">
        <v>2026.08</v>
      </c>
      <c r="F29" s="38"/>
      <c r="G29" s="39"/>
      <c r="H29" s="38"/>
      <c r="I29" s="38"/>
      <c r="J29" s="27" t="n">
        <f aca="false">IF(ISNUMBER(E29),E29+F29+G29+H29+I29," ")</f>
        <v>2026.08</v>
      </c>
      <c r="K29" s="36" t="n">
        <v>43842</v>
      </c>
      <c r="L29" s="46" t="str">
        <f aca="true">IF(ISBLANK(C29)," ",IF(ISNUMBER(M29),"Réglé",IF(K29&lt;TODAY(),"Retard",IF(K29=TODAY()," A régler","en attente"))))</f>
        <v>en attente</v>
      </c>
      <c r="M29" s="36"/>
      <c r="N29" s="41" t="n">
        <f aca="true">IF(ISBLANK(M29),TODAY()-K29,0)</f>
        <v>-13</v>
      </c>
      <c r="O29" s="30" t="s">
        <v>18</v>
      </c>
      <c r="P29" s="31" t="s">
        <v>19</v>
      </c>
      <c r="Q29" s="32"/>
    </row>
    <row r="30" customFormat="false" ht="18" hidden="false" customHeight="true" outlineLevel="0" collapsed="false">
      <c r="A30" s="44" t="n">
        <v>1911378</v>
      </c>
      <c r="B30" s="35" t="n">
        <v>20191246</v>
      </c>
      <c r="C30" s="36" t="n">
        <v>43812</v>
      </c>
      <c r="D30" s="45" t="s">
        <v>25</v>
      </c>
      <c r="E30" s="38" t="n">
        <v>132.48</v>
      </c>
      <c r="F30" s="38"/>
      <c r="G30" s="39"/>
      <c r="H30" s="38"/>
      <c r="I30" s="38"/>
      <c r="J30" s="27" t="n">
        <f aca="false">IF(ISNUMBER(E30),E30+F30+G30+H30+I30," ")</f>
        <v>132.48</v>
      </c>
      <c r="K30" s="36" t="n">
        <v>43842</v>
      </c>
      <c r="L30" s="46" t="str">
        <f aca="true">IF(ISBLANK(C30)," ",IF(ISNUMBER(M30),"Réglé",IF(K30&lt;TODAY(),"Retard",IF(K30=TODAY()," A régler","en attente"))))</f>
        <v>en attente</v>
      </c>
      <c r="M30" s="36"/>
      <c r="N30" s="41" t="n">
        <f aca="true">IF(ISBLANK(M30),TODAY()-K30,0)</f>
        <v>-13</v>
      </c>
      <c r="O30" s="30" t="s">
        <v>18</v>
      </c>
      <c r="P30" s="31" t="s">
        <v>19</v>
      </c>
      <c r="Q30" s="32"/>
    </row>
    <row r="31" customFormat="false" ht="18" hidden="false" customHeight="true" outlineLevel="0" collapsed="false">
      <c r="A31" s="44" t="n">
        <v>1911437</v>
      </c>
      <c r="B31" s="35" t="n">
        <v>20191247</v>
      </c>
      <c r="C31" s="36" t="n">
        <v>43815</v>
      </c>
      <c r="D31" s="45" t="s">
        <v>25</v>
      </c>
      <c r="E31" s="38" t="n">
        <v>527.78</v>
      </c>
      <c r="F31" s="38"/>
      <c r="G31" s="39"/>
      <c r="H31" s="38"/>
      <c r="I31" s="38"/>
      <c r="J31" s="27" t="n">
        <f aca="false">IF(ISNUMBER(E31),E31+F31+G31+H31+I31," ")</f>
        <v>527.78</v>
      </c>
      <c r="K31" s="36" t="n">
        <v>43845</v>
      </c>
      <c r="L31" s="46" t="str">
        <f aca="true">IF(ISBLANK(C31)," ",IF(ISNUMBER(M31),"Réglé",IF(K31&lt;TODAY(),"Retard",IF(K31=TODAY()," A régler","en attente"))))</f>
        <v>en attente</v>
      </c>
      <c r="M31" s="36"/>
      <c r="N31" s="41" t="n">
        <f aca="true">IF(ISBLANK(M31),TODAY()-K31,0)</f>
        <v>-16</v>
      </c>
      <c r="O31" s="30" t="s">
        <v>18</v>
      </c>
      <c r="P31" s="31" t="s">
        <v>19</v>
      </c>
      <c r="Q31" s="32"/>
    </row>
    <row r="32" customFormat="false" ht="18" hidden="false" customHeight="true" outlineLevel="0" collapsed="false">
      <c r="A32" s="44" t="s">
        <v>35</v>
      </c>
      <c r="B32" s="35" t="n">
        <v>20191267</v>
      </c>
      <c r="C32" s="36" t="n">
        <v>43815</v>
      </c>
      <c r="D32" s="45" t="s">
        <v>31</v>
      </c>
      <c r="E32" s="38" t="n">
        <v>522.9</v>
      </c>
      <c r="F32" s="38"/>
      <c r="G32" s="39"/>
      <c r="H32" s="38"/>
      <c r="I32" s="38"/>
      <c r="J32" s="27" t="n">
        <f aca="false">IF(ISNUMBER(E32),E32+F32+G32+H32+I32," ")</f>
        <v>522.9</v>
      </c>
      <c r="K32" s="36" t="n">
        <v>43845</v>
      </c>
      <c r="L32" s="46" t="str">
        <f aca="true">IF(ISBLANK(C32)," ",IF(ISNUMBER(M32),"Réglé",IF(K32&lt;TODAY(),"Retard",IF(K32=TODAY()," A régler","en attente"))))</f>
        <v>en attente</v>
      </c>
      <c r="M32" s="36"/>
      <c r="N32" s="41" t="n">
        <f aca="true">IF(ISBLANK(M32),TODAY()-K32,0)</f>
        <v>-16</v>
      </c>
      <c r="O32" s="30"/>
      <c r="P32" s="31"/>
      <c r="Q32" s="32"/>
    </row>
    <row r="33" customFormat="false" ht="18" hidden="false" customHeight="true" outlineLevel="0" collapsed="false">
      <c r="A33" s="44" t="n">
        <v>1911483</v>
      </c>
      <c r="B33" s="35" t="n">
        <v>20191250</v>
      </c>
      <c r="C33" s="36" t="n">
        <v>43816</v>
      </c>
      <c r="D33" s="45" t="s">
        <v>17</v>
      </c>
      <c r="E33" s="38" t="n">
        <v>923.08</v>
      </c>
      <c r="F33" s="38"/>
      <c r="G33" s="39"/>
      <c r="H33" s="38"/>
      <c r="I33" s="38"/>
      <c r="J33" s="27" t="n">
        <f aca="false">IF(ISNUMBER(E33),E33+F33+G33+H33+I33," ")</f>
        <v>923.08</v>
      </c>
      <c r="K33" s="36" t="n">
        <v>43846</v>
      </c>
      <c r="L33" s="46" t="str">
        <f aca="true">IF(ISBLANK(C33)," ",IF(ISNUMBER(M33),"Réglé",IF(K33&lt;TODAY(),"Retard",IF(K33=TODAY()," A régler","en attente"))))</f>
        <v>en attente</v>
      </c>
      <c r="M33" s="36"/>
      <c r="N33" s="41" t="n">
        <f aca="true">IF(ISBLANK(M33),TODAY()-K33,0)</f>
        <v>-17</v>
      </c>
      <c r="O33" s="30" t="s">
        <v>18</v>
      </c>
      <c r="P33" s="31" t="s">
        <v>19</v>
      </c>
      <c r="Q33" s="32"/>
    </row>
    <row r="34" customFormat="false" ht="18" hidden="false" customHeight="true" outlineLevel="0" collapsed="false">
      <c r="A34" s="44" t="n">
        <v>1911466</v>
      </c>
      <c r="B34" s="35" t="n">
        <v>20191248</v>
      </c>
      <c r="C34" s="36" t="n">
        <v>43816</v>
      </c>
      <c r="D34" s="45" t="s">
        <v>17</v>
      </c>
      <c r="E34" s="38" t="n">
        <v>500.47</v>
      </c>
      <c r="F34" s="38"/>
      <c r="G34" s="39"/>
      <c r="H34" s="38"/>
      <c r="I34" s="38"/>
      <c r="J34" s="27" t="n">
        <f aca="false">IF(ISNUMBER(E34),E34+F34+G34+H34+I34," ")</f>
        <v>500.47</v>
      </c>
      <c r="K34" s="36" t="n">
        <v>43846</v>
      </c>
      <c r="L34" s="46" t="str">
        <f aca="true">IF(ISBLANK(C34)," ",IF(ISNUMBER(M34),"Réglé",IF(K34&lt;TODAY(),"Retard",IF(K34=TODAY()," A régler","en attente"))))</f>
        <v>en attente</v>
      </c>
      <c r="M34" s="36"/>
      <c r="N34" s="41" t="n">
        <f aca="true">IF(ISBLANK(M34),TODAY()-K34,0)</f>
        <v>-17</v>
      </c>
      <c r="O34" s="30" t="s">
        <v>18</v>
      </c>
      <c r="P34" s="31" t="s">
        <v>19</v>
      </c>
      <c r="Q34" s="32"/>
    </row>
    <row r="35" customFormat="false" ht="18" hidden="false" customHeight="true" outlineLevel="0" collapsed="false">
      <c r="A35" s="44" t="n">
        <v>1911482</v>
      </c>
      <c r="B35" s="35" t="n">
        <v>20191249</v>
      </c>
      <c r="C35" s="36" t="n">
        <v>43816</v>
      </c>
      <c r="D35" s="45" t="s">
        <v>22</v>
      </c>
      <c r="E35" s="38" t="n">
        <v>923.08</v>
      </c>
      <c r="F35" s="38"/>
      <c r="G35" s="39"/>
      <c r="H35" s="38"/>
      <c r="I35" s="38"/>
      <c r="J35" s="27" t="n">
        <f aca="false">IF(ISNUMBER(E35),E35+F35+G35+H35+I35," ")</f>
        <v>923.08</v>
      </c>
      <c r="K35" s="36" t="n">
        <v>43846</v>
      </c>
      <c r="L35" s="46" t="str">
        <f aca="true">IF(ISBLANK(C35)," ",IF(ISNUMBER(M35),"Réglé",IF(K35&lt;TODAY(),"Retard",IF(K35=TODAY()," A régler","en attente"))))</f>
        <v>en attente</v>
      </c>
      <c r="M35" s="36"/>
      <c r="N35" s="41" t="n">
        <f aca="true">IF(ISBLANK(M35),TODAY()-K35,0)</f>
        <v>-17</v>
      </c>
      <c r="O35" s="30" t="s">
        <v>18</v>
      </c>
      <c r="P35" s="31" t="s">
        <v>19</v>
      </c>
      <c r="Q35" s="32"/>
    </row>
    <row r="36" customFormat="false" ht="18" hidden="false" customHeight="true" outlineLevel="0" collapsed="false">
      <c r="A36" s="44" t="n">
        <v>1911505</v>
      </c>
      <c r="B36" s="35" t="n">
        <v>20191252</v>
      </c>
      <c r="C36" s="36" t="n">
        <v>43817</v>
      </c>
      <c r="D36" s="45" t="s">
        <v>25</v>
      </c>
      <c r="E36" s="38" t="n">
        <v>331.2</v>
      </c>
      <c r="F36" s="38"/>
      <c r="G36" s="39"/>
      <c r="H36" s="38"/>
      <c r="I36" s="38"/>
      <c r="J36" s="27" t="n">
        <f aca="false">IF(ISNUMBER(E36),E36+F36+G36+H36+I36," ")</f>
        <v>331.2</v>
      </c>
      <c r="K36" s="36" t="n">
        <v>43847</v>
      </c>
      <c r="L36" s="46" t="str">
        <f aca="true">IF(ISBLANK(C36)," ",IF(ISNUMBER(M36),"Réglé",IF(K36&lt;TODAY(),"Retard",IF(K36=TODAY()," A régler","en attente"))))</f>
        <v>en attente</v>
      </c>
      <c r="M36" s="36"/>
      <c r="N36" s="41" t="n">
        <f aca="true">IF(ISBLANK(M36),TODAY()-K36,0)</f>
        <v>-18</v>
      </c>
      <c r="O36" s="30" t="s">
        <v>18</v>
      </c>
      <c r="P36" s="31" t="s">
        <v>19</v>
      </c>
      <c r="Q36" s="32"/>
    </row>
    <row r="37" customFormat="false" ht="18" hidden="false" customHeight="true" outlineLevel="0" collapsed="false">
      <c r="A37" s="44" t="n">
        <v>1911525</v>
      </c>
      <c r="B37" s="35" t="n">
        <v>20191251</v>
      </c>
      <c r="C37" s="36" t="n">
        <v>43817</v>
      </c>
      <c r="D37" s="45" t="s">
        <v>17</v>
      </c>
      <c r="E37" s="38" t="n">
        <v>2436.78</v>
      </c>
      <c r="F37" s="38"/>
      <c r="G37" s="39"/>
      <c r="H37" s="38"/>
      <c r="I37" s="38"/>
      <c r="J37" s="27" t="n">
        <f aca="false">IF(ISNUMBER(E37),E37+F37+G37+H37+I37," ")</f>
        <v>2436.78</v>
      </c>
      <c r="K37" s="36" t="n">
        <v>43847</v>
      </c>
      <c r="L37" s="46" t="str">
        <f aca="true">IF(ISBLANK(C37)," ",IF(ISNUMBER(M37),"Réglé",IF(K37&lt;TODAY(),"Retard",IF(K37=TODAY()," A régler","en attente"))))</f>
        <v>en attente</v>
      </c>
      <c r="M37" s="36"/>
      <c r="N37" s="41" t="n">
        <f aca="true">IF(ISBLANK(M37),TODAY()-K37,0)</f>
        <v>-18</v>
      </c>
      <c r="O37" s="30" t="s">
        <v>18</v>
      </c>
      <c r="P37" s="31" t="s">
        <v>19</v>
      </c>
      <c r="Q37" s="32"/>
    </row>
    <row r="38" customFormat="false" ht="18" hidden="false" customHeight="true" outlineLevel="0" collapsed="false">
      <c r="A38" s="44" t="n">
        <v>1911556</v>
      </c>
      <c r="B38" s="35" t="n">
        <v>20191273</v>
      </c>
      <c r="C38" s="36" t="n">
        <v>43818</v>
      </c>
      <c r="D38" s="45" t="s">
        <v>17</v>
      </c>
      <c r="E38" s="38" t="n">
        <v>230.77</v>
      </c>
      <c r="F38" s="38"/>
      <c r="G38" s="39"/>
      <c r="H38" s="38"/>
      <c r="I38" s="38"/>
      <c r="J38" s="27" t="n">
        <f aca="false">IF(ISNUMBER(E38),E38+F38+G38+H38+I38," ")</f>
        <v>230.77</v>
      </c>
      <c r="K38" s="36" t="n">
        <v>43848</v>
      </c>
      <c r="L38" s="46" t="str">
        <f aca="true">IF(ISBLANK(C38)," ",IF(ISNUMBER(M38),"Réglé",IF(K38&lt;TODAY(),"Retard",IF(K38=TODAY()," A régler","en attente"))))</f>
        <v>en attente</v>
      </c>
      <c r="M38" s="36"/>
      <c r="N38" s="41" t="n">
        <f aca="true">IF(ISBLANK(M38),TODAY()-K38,0)</f>
        <v>-19</v>
      </c>
      <c r="O38" s="30" t="s">
        <v>18</v>
      </c>
      <c r="P38" s="31" t="s">
        <v>19</v>
      </c>
      <c r="Q38" s="32"/>
    </row>
    <row r="39" customFormat="false" ht="18" hidden="false" customHeight="true" outlineLevel="0" collapsed="false">
      <c r="A39" s="44" t="n">
        <v>1911544</v>
      </c>
      <c r="B39" s="35" t="n">
        <v>20191272</v>
      </c>
      <c r="C39" s="36" t="n">
        <v>43818</v>
      </c>
      <c r="D39" s="45" t="s">
        <v>26</v>
      </c>
      <c r="E39" s="38" t="n">
        <v>134.4</v>
      </c>
      <c r="F39" s="38"/>
      <c r="G39" s="39"/>
      <c r="H39" s="38"/>
      <c r="I39" s="38"/>
      <c r="J39" s="27" t="n">
        <f aca="false">IF(ISNUMBER(E39),E39+F39+G39+H39+I39," ")</f>
        <v>134.4</v>
      </c>
      <c r="K39" s="36" t="n">
        <v>43848</v>
      </c>
      <c r="L39" s="46" t="str">
        <f aca="true">IF(ISBLANK(C39)," ",IF(ISNUMBER(M39),"Réglé",IF(K39&lt;TODAY(),"Retard",IF(K39=TODAY()," A régler","en attente"))))</f>
        <v>en attente</v>
      </c>
      <c r="M39" s="36"/>
      <c r="N39" s="41" t="n">
        <f aca="true">IF(ISBLANK(M39),TODAY()-K39,0)</f>
        <v>-19</v>
      </c>
      <c r="O39" s="30" t="s">
        <v>18</v>
      </c>
      <c r="P39" s="31" t="s">
        <v>19</v>
      </c>
      <c r="Q39" s="32"/>
    </row>
    <row r="40" customFormat="false" ht="18" hidden="false" customHeight="true" outlineLevel="0" collapsed="false">
      <c r="A40" s="44" t="n">
        <v>1911539</v>
      </c>
      <c r="B40" s="35" t="n">
        <v>20191271</v>
      </c>
      <c r="C40" s="36" t="n">
        <v>43818</v>
      </c>
      <c r="D40" s="45" t="s">
        <v>25</v>
      </c>
      <c r="E40" s="38" t="n">
        <v>1615.39</v>
      </c>
      <c r="F40" s="38"/>
      <c r="G40" s="39"/>
      <c r="H40" s="38"/>
      <c r="I40" s="38"/>
      <c r="J40" s="27" t="n">
        <f aca="false">IF(ISNUMBER(E40),E40+F40+G40+H40+I40," ")</f>
        <v>1615.39</v>
      </c>
      <c r="K40" s="36" t="n">
        <v>43848</v>
      </c>
      <c r="L40" s="46" t="str">
        <f aca="true">IF(ISBLANK(C40)," ",IF(ISNUMBER(M40),"Réglé",IF(K40&lt;TODAY(),"Retard",IF(K40=TODAY()," A régler","en attente"))))</f>
        <v>en attente</v>
      </c>
      <c r="M40" s="36"/>
      <c r="N40" s="41" t="n">
        <f aca="true">IF(ISBLANK(M40),TODAY()-K40,0)</f>
        <v>-19</v>
      </c>
      <c r="O40" s="30" t="s">
        <v>18</v>
      </c>
      <c r="P40" s="31" t="s">
        <v>19</v>
      </c>
      <c r="Q40" s="32"/>
    </row>
    <row r="41" customFormat="false" ht="18" hidden="false" customHeight="true" outlineLevel="0" collapsed="false">
      <c r="A41" s="44" t="s">
        <v>36</v>
      </c>
      <c r="B41" s="35" t="n">
        <v>20191256</v>
      </c>
      <c r="C41" s="36" t="n">
        <v>43818</v>
      </c>
      <c r="D41" s="45" t="s">
        <v>31</v>
      </c>
      <c r="E41" s="38" t="n">
        <v>522.9</v>
      </c>
      <c r="F41" s="38"/>
      <c r="G41" s="39"/>
      <c r="H41" s="38"/>
      <c r="I41" s="38"/>
      <c r="J41" s="27" t="n">
        <f aca="false">IF(ISNUMBER(E41),E41+F41+G41+H41+I41," ")</f>
        <v>522.9</v>
      </c>
      <c r="K41" s="36" t="n">
        <v>43848</v>
      </c>
      <c r="L41" s="46" t="str">
        <f aca="true">IF(ISBLANK(C41)," ",IF(ISNUMBER(M41),"Réglé",IF(K41&lt;TODAY(),"Retard",IF(K41=TODAY()," A régler","en attente"))))</f>
        <v>en attente</v>
      </c>
      <c r="M41" s="36"/>
      <c r="N41" s="41" t="n">
        <f aca="true">IF(ISBLANK(M41),TODAY()-K41,0)</f>
        <v>-19</v>
      </c>
      <c r="O41" s="30"/>
      <c r="P41" s="31"/>
      <c r="Q41" s="32"/>
    </row>
    <row r="42" customFormat="false" ht="18" hidden="false" customHeight="true" outlineLevel="0" collapsed="false">
      <c r="A42" s="44" t="n">
        <v>1911588</v>
      </c>
      <c r="B42" s="35" t="n">
        <v>20191275</v>
      </c>
      <c r="C42" s="36" t="n">
        <v>43819</v>
      </c>
      <c r="D42" s="45" t="s">
        <v>22</v>
      </c>
      <c r="E42" s="38" t="n">
        <v>198.72</v>
      </c>
      <c r="F42" s="38"/>
      <c r="G42" s="39"/>
      <c r="H42" s="38"/>
      <c r="I42" s="38"/>
      <c r="J42" s="27" t="n">
        <f aca="false">IF(ISNUMBER(E42),E42+F42+G42+H42+I42," ")</f>
        <v>198.72</v>
      </c>
      <c r="K42" s="36" t="n">
        <v>43849</v>
      </c>
      <c r="L42" s="46" t="str">
        <f aca="true">IF(ISBLANK(C42)," ",IF(ISNUMBER(M42),"Réglé",IF(K42&lt;TODAY(),"Retard",IF(K42=TODAY()," A régler","en attente"))))</f>
        <v>en attente</v>
      </c>
      <c r="M42" s="36"/>
      <c r="N42" s="41" t="n">
        <f aca="true">IF(ISBLANK(M42),TODAY()-K42,0)</f>
        <v>-20</v>
      </c>
      <c r="O42" s="30" t="s">
        <v>18</v>
      </c>
      <c r="P42" s="31" t="s">
        <v>19</v>
      </c>
      <c r="Q42" s="32"/>
    </row>
    <row r="43" customFormat="false" ht="18" hidden="false" customHeight="true" outlineLevel="0" collapsed="false">
      <c r="A43" s="44" t="n">
        <v>1911581</v>
      </c>
      <c r="B43" s="35" t="n">
        <v>20191274</v>
      </c>
      <c r="C43" s="36" t="n">
        <v>43819</v>
      </c>
      <c r="D43" s="45" t="s">
        <v>25</v>
      </c>
      <c r="E43" s="38" t="n">
        <v>171.81</v>
      </c>
      <c r="F43" s="38"/>
      <c r="G43" s="39"/>
      <c r="H43" s="38"/>
      <c r="I43" s="38"/>
      <c r="J43" s="27" t="n">
        <f aca="false">IF(ISNUMBER(E43),E43+F43+G43+H43+I43," ")</f>
        <v>171.81</v>
      </c>
      <c r="K43" s="36" t="n">
        <v>43849</v>
      </c>
      <c r="L43" s="46" t="str">
        <f aca="true">IF(ISBLANK(C43)," ",IF(ISNUMBER(M43),"Réglé",IF(K43&lt;TODAY(),"Retard",IF(K43=TODAY()," A régler","en attente"))))</f>
        <v>en attente</v>
      </c>
      <c r="M43" s="36"/>
      <c r="N43" s="41" t="n">
        <f aca="true">IF(ISBLANK(M43),TODAY()-K43,0)</f>
        <v>-20</v>
      </c>
      <c r="O43" s="30" t="s">
        <v>18</v>
      </c>
      <c r="P43" s="31" t="s">
        <v>19</v>
      </c>
      <c r="Q43" s="32"/>
    </row>
    <row r="44" customFormat="false" ht="18" hidden="false" customHeight="true" outlineLevel="0" collapsed="false">
      <c r="A44" s="44" t="s">
        <v>37</v>
      </c>
      <c r="B44" s="35" t="n">
        <v>20191234</v>
      </c>
      <c r="C44" s="36" t="n">
        <v>43804</v>
      </c>
      <c r="D44" s="24" t="s">
        <v>38</v>
      </c>
      <c r="E44" s="38" t="n">
        <v>3150</v>
      </c>
      <c r="F44" s="38"/>
      <c r="G44" s="39"/>
      <c r="H44" s="38"/>
      <c r="I44" s="38"/>
      <c r="J44" s="27" t="n">
        <f aca="false">IF(ISNUMBER(E44),E44+F44+G44+H44+I44," ")</f>
        <v>3150</v>
      </c>
      <c r="K44" s="36" t="n">
        <v>43855</v>
      </c>
      <c r="L44" s="46" t="str">
        <f aca="true">IF(ISBLANK(C44)," ",IF(ISNUMBER(M44),"Réglé",IF(K44&lt;TODAY(),"Retard",IF(K44=TODAY()," A régler","en attente"))))</f>
        <v>en attente</v>
      </c>
      <c r="M44" s="36"/>
      <c r="N44" s="41" t="n">
        <f aca="true">IF(ISBLANK(M44),TODAY()-K44,0)</f>
        <v>-26</v>
      </c>
      <c r="O44" s="30"/>
      <c r="P44" s="42"/>
      <c r="Q44" s="43" t="s">
        <v>39</v>
      </c>
    </row>
    <row r="45" customFormat="false" ht="18" hidden="false" customHeight="true" outlineLevel="0" collapsed="false">
      <c r="A45" s="44" t="s">
        <v>40</v>
      </c>
      <c r="B45" s="35" t="n">
        <v>20191185</v>
      </c>
      <c r="C45" s="47" t="n">
        <v>43770</v>
      </c>
      <c r="D45" s="24" t="s">
        <v>41</v>
      </c>
      <c r="E45" s="48" t="n">
        <v>1000</v>
      </c>
      <c r="F45" s="48"/>
      <c r="G45" s="49"/>
      <c r="H45" s="48"/>
      <c r="I45" s="48"/>
      <c r="J45" s="27" t="n">
        <f aca="false">IF(ISNUMBER(E45),E45+F45+G45+H45+I45," ")</f>
        <v>1000</v>
      </c>
      <c r="K45" s="47" t="n">
        <v>43858</v>
      </c>
      <c r="L45" s="28" t="str">
        <f aca="true">IF(ISBLANK(C45)," ",IF(ISNUMBER(M45),"Réglé",IF(K45&lt;TODAY(),"Retard",IF(K45=TODAY()," A régler","en attente"))))</f>
        <v>en attente</v>
      </c>
      <c r="M45" s="47"/>
      <c r="N45" s="29" t="n">
        <f aca="true">IF(ISBLANK(M45),TODAY()-K45,0)</f>
        <v>-29</v>
      </c>
      <c r="O45" s="30" t="s">
        <v>27</v>
      </c>
      <c r="P45" s="31" t="s">
        <v>42</v>
      </c>
      <c r="Q45" s="32"/>
    </row>
    <row r="46" customFormat="false" ht="18" hidden="false" customHeight="true" outlineLevel="0" collapsed="false">
      <c r="A46" s="44" t="s">
        <v>40</v>
      </c>
      <c r="B46" s="35" t="n">
        <v>20191185</v>
      </c>
      <c r="C46" s="47" t="n">
        <v>43770</v>
      </c>
      <c r="D46" s="24" t="s">
        <v>41</v>
      </c>
      <c r="E46" s="48" t="n">
        <v>1000</v>
      </c>
      <c r="F46" s="48"/>
      <c r="G46" s="49"/>
      <c r="H46" s="48"/>
      <c r="I46" s="48"/>
      <c r="J46" s="27" t="n">
        <f aca="false">IF(ISNUMBER(E46),E46+F46+G46+H46+I46," ")</f>
        <v>1000</v>
      </c>
      <c r="K46" s="47" t="n">
        <v>43889</v>
      </c>
      <c r="L46" s="28" t="str">
        <f aca="true">IF(ISBLANK(C46)," ",IF(ISNUMBER(M46),"Réglé",IF(K46&lt;TODAY(),"Retard",IF(K46=TODAY()," A régler","en attente"))))</f>
        <v>en attente</v>
      </c>
      <c r="M46" s="47"/>
      <c r="N46" s="29" t="n">
        <f aca="true">IF(ISBLANK(M46),TODAY()-K46,0)</f>
        <v>-60</v>
      </c>
      <c r="O46" s="30" t="s">
        <v>27</v>
      </c>
      <c r="P46" s="31" t="s">
        <v>42</v>
      </c>
      <c r="Q46" s="32"/>
    </row>
    <row r="47" customFormat="false" ht="18" hidden="false" customHeight="true" outlineLevel="0" collapsed="false">
      <c r="A47" s="44" t="s">
        <v>40</v>
      </c>
      <c r="B47" s="35" t="n">
        <v>20191185</v>
      </c>
      <c r="C47" s="47" t="n">
        <v>43770</v>
      </c>
      <c r="D47" s="24" t="s">
        <v>41</v>
      </c>
      <c r="E47" s="48" t="n">
        <v>1000</v>
      </c>
      <c r="F47" s="48"/>
      <c r="G47" s="49"/>
      <c r="H47" s="48"/>
      <c r="I47" s="48"/>
      <c r="J47" s="27" t="n">
        <f aca="false">IF(ISNUMBER(E47),E47+F47+G47+H47+I47," ")</f>
        <v>1000</v>
      </c>
      <c r="K47" s="47" t="n">
        <v>43918</v>
      </c>
      <c r="L47" s="28" t="str">
        <f aca="true">IF(ISBLANK(C47)," ",IF(ISNUMBER(M47),"Réglé",IF(K47&lt;TODAY(),"Retard",IF(K47=TODAY()," A régler","en attente"))))</f>
        <v>en attente</v>
      </c>
      <c r="M47" s="47"/>
      <c r="N47" s="29" t="n">
        <f aca="true">IF(ISBLANK(M47),TODAY()-K47,0)</f>
        <v>-89</v>
      </c>
      <c r="O47" s="30" t="s">
        <v>27</v>
      </c>
      <c r="P47" s="31" t="s">
        <v>42</v>
      </c>
      <c r="Q47" s="32"/>
    </row>
    <row r="48" customFormat="false" ht="18" hidden="false" customHeight="true" outlineLevel="0" collapsed="false">
      <c r="A48" s="44" t="n">
        <v>1911599</v>
      </c>
      <c r="B48" s="35" t="n">
        <v>20191278</v>
      </c>
      <c r="C48" s="36" t="n">
        <v>43822</v>
      </c>
      <c r="D48" s="45" t="s">
        <v>22</v>
      </c>
      <c r="E48" s="38" t="n">
        <v>1028.68</v>
      </c>
      <c r="F48" s="38"/>
      <c r="G48" s="39"/>
      <c r="H48" s="38"/>
      <c r="I48" s="38"/>
      <c r="J48" s="27" t="n">
        <f aca="false">IF(ISNUMBER(E48),E48+F48+G48+H48+I48," ")</f>
        <v>1028.68</v>
      </c>
      <c r="K48" s="36" t="n">
        <v>43852</v>
      </c>
      <c r="L48" s="46" t="str">
        <f aca="true">IF(ISBLANK(C48)," ",IF(ISNUMBER(M48),"Réglé",IF(K48&lt;TODAY(),"Retard",IF(K48=TODAY()," A régler","en attente"))))</f>
        <v>en attente</v>
      </c>
      <c r="M48" s="36"/>
      <c r="N48" s="41" t="n">
        <f aca="true">IF(ISBLANK(M48),TODAY()-K48,0)</f>
        <v>-23</v>
      </c>
      <c r="O48" s="30" t="s">
        <v>18</v>
      </c>
      <c r="P48" s="31" t="s">
        <v>19</v>
      </c>
      <c r="Q48" s="32"/>
    </row>
    <row r="49" customFormat="false" ht="18" hidden="false" customHeight="true" outlineLevel="0" collapsed="false">
      <c r="A49" s="51" t="n">
        <v>43800</v>
      </c>
      <c r="B49" s="35" t="n">
        <v>20191288</v>
      </c>
      <c r="C49" s="36" t="n">
        <v>43830</v>
      </c>
      <c r="D49" s="45" t="s">
        <v>43</v>
      </c>
      <c r="E49" s="38" t="n">
        <v>5088.96</v>
      </c>
      <c r="F49" s="38"/>
      <c r="G49" s="39"/>
      <c r="H49" s="38"/>
      <c r="I49" s="38"/>
      <c r="J49" s="27" t="n">
        <f aca="false">IF(ISNUMBER(E49),E49+F49+G49+H49+I49," ")</f>
        <v>5088.96</v>
      </c>
      <c r="K49" s="36" t="n">
        <v>43861</v>
      </c>
      <c r="L49" s="46" t="str">
        <f aca="true">IF(ISBLANK(C49)," ",IF(ISNUMBER(M49),"Réglé",IF(K49&lt;TODAY(),"Retard",IF(K49=TODAY()," A régler","en attente"))))</f>
        <v>en attente</v>
      </c>
      <c r="M49" s="36"/>
      <c r="N49" s="41" t="n">
        <f aca="true">IF(ISBLANK(M49),TODAY()-K49,0)</f>
        <v>-32</v>
      </c>
      <c r="O49" s="30"/>
      <c r="P49" s="31"/>
      <c r="Q49" s="32"/>
    </row>
    <row r="50" customFormat="false" ht="18" hidden="false" customHeight="true" outlineLevel="0" collapsed="false">
      <c r="A50" s="51" t="n">
        <v>43800</v>
      </c>
      <c r="B50" s="35" t="n">
        <v>20191287</v>
      </c>
      <c r="C50" s="36" t="n">
        <v>43830</v>
      </c>
      <c r="D50" s="45" t="s">
        <v>44</v>
      </c>
      <c r="E50" s="38" t="n">
        <v>2466.47</v>
      </c>
      <c r="F50" s="38"/>
      <c r="G50" s="39"/>
      <c r="H50" s="38"/>
      <c r="I50" s="38"/>
      <c r="J50" s="27" t="n">
        <f aca="false">IF(ISNUMBER(E50),E50+F50+G50+H50+I50," ")</f>
        <v>2466.47</v>
      </c>
      <c r="K50" s="36" t="n">
        <v>43861</v>
      </c>
      <c r="L50" s="46" t="str">
        <f aca="true">IF(ISBLANK(C50)," ",IF(ISNUMBER(M50),"Réglé",IF(K50&lt;TODAY(),"Retard",IF(K50=TODAY()," A régler","en attente"))))</f>
        <v>en attente</v>
      </c>
      <c r="M50" s="36"/>
      <c r="N50" s="41" t="n">
        <f aca="true">IF(ISBLANK(M50),TODAY()-K50,0)</f>
        <v>-32</v>
      </c>
      <c r="O50" s="30"/>
      <c r="P50" s="31"/>
      <c r="Q50" s="32"/>
    </row>
    <row r="51" customFormat="false" ht="18" hidden="false" customHeight="true" outlineLevel="0" collapsed="false">
      <c r="A51" s="51" t="n">
        <v>43800</v>
      </c>
      <c r="B51" s="35" t="n">
        <v>20191286</v>
      </c>
      <c r="C51" s="36" t="n">
        <v>43830</v>
      </c>
      <c r="D51" s="45" t="s">
        <v>45</v>
      </c>
      <c r="E51" s="38" t="n">
        <v>3454.9</v>
      </c>
      <c r="F51" s="38"/>
      <c r="G51" s="39"/>
      <c r="H51" s="38"/>
      <c r="I51" s="38"/>
      <c r="J51" s="27" t="n">
        <f aca="false">IF(ISNUMBER(E51),E51+F51+G51+H51+I51," ")</f>
        <v>3454.9</v>
      </c>
      <c r="K51" s="36" t="n">
        <v>43861</v>
      </c>
      <c r="L51" s="46" t="str">
        <f aca="true">IF(ISBLANK(C51)," ",IF(ISNUMBER(M51),"Réglé",IF(K51&lt;TODAY(),"Retard",IF(K51=TODAY()," A régler","en attente"))))</f>
        <v>en attente</v>
      </c>
      <c r="M51" s="36"/>
      <c r="N51" s="41" t="n">
        <f aca="true">IF(ISBLANK(M51),TODAY()-K51,0)</f>
        <v>-32</v>
      </c>
      <c r="O51" s="30"/>
      <c r="P51" s="31"/>
      <c r="Q51" s="32"/>
    </row>
    <row r="52" customFormat="false" ht="18" hidden="false" customHeight="true" outlineLevel="0" collapsed="false">
      <c r="A52" s="51" t="n">
        <v>43800</v>
      </c>
      <c r="B52" s="35" t="n">
        <v>20191285</v>
      </c>
      <c r="C52" s="36" t="n">
        <v>43830</v>
      </c>
      <c r="D52" s="45" t="s">
        <v>46</v>
      </c>
      <c r="E52" s="38" t="n">
        <v>4023.81</v>
      </c>
      <c r="F52" s="38"/>
      <c r="G52" s="39"/>
      <c r="H52" s="38"/>
      <c r="I52" s="38"/>
      <c r="J52" s="27" t="n">
        <f aca="false">IF(ISNUMBER(E52),E52+F52+G52+H52+I52," ")</f>
        <v>4023.81</v>
      </c>
      <c r="K52" s="36" t="n">
        <v>43861</v>
      </c>
      <c r="L52" s="46" t="str">
        <f aca="true">IF(ISBLANK(C52)," ",IF(ISNUMBER(M52),"Réglé",IF(K52&lt;TODAY(),"Retard",IF(K52=TODAY()," A régler","en attente"))))</f>
        <v>en attente</v>
      </c>
      <c r="M52" s="36"/>
      <c r="N52" s="41" t="n">
        <f aca="true">IF(ISBLANK(M52),TODAY()-K52,0)</f>
        <v>-32</v>
      </c>
      <c r="O52" s="30"/>
      <c r="P52" s="31"/>
      <c r="Q52" s="32"/>
    </row>
    <row r="53" customFormat="false" ht="18" hidden="false" customHeight="true" outlineLevel="0" collapsed="false">
      <c r="A53" s="51" t="n">
        <v>43800</v>
      </c>
      <c r="B53" s="35" t="n">
        <v>20191284</v>
      </c>
      <c r="C53" s="36" t="n">
        <v>43830</v>
      </c>
      <c r="D53" s="45" t="s">
        <v>47</v>
      </c>
      <c r="E53" s="38" t="n">
        <v>3044.61</v>
      </c>
      <c r="F53" s="38"/>
      <c r="G53" s="39"/>
      <c r="H53" s="38"/>
      <c r="I53" s="38"/>
      <c r="J53" s="27" t="n">
        <f aca="false">IF(ISNUMBER(E53),E53+F53+G53+H53+I53," ")</f>
        <v>3044.61</v>
      </c>
      <c r="K53" s="36" t="n">
        <v>43861</v>
      </c>
      <c r="L53" s="46" t="str">
        <f aca="true">IF(ISBLANK(C53)," ",IF(ISNUMBER(M53),"Réglé",IF(K53&lt;TODAY(),"Retard",IF(K53=TODAY()," A régler","en attente"))))</f>
        <v>en attente</v>
      </c>
      <c r="M53" s="36"/>
      <c r="N53" s="41" t="n">
        <f aca="true">IF(ISBLANK(M53),TODAY()-K53,0)</f>
        <v>-32</v>
      </c>
      <c r="O53" s="30"/>
      <c r="P53" s="31"/>
      <c r="Q53" s="32"/>
    </row>
    <row r="54" customFormat="false" ht="18" hidden="false" customHeight="true" outlineLevel="0" collapsed="false">
      <c r="A54" s="44" t="n">
        <v>2200293331</v>
      </c>
      <c r="B54" s="35" t="n">
        <v>20191283</v>
      </c>
      <c r="C54" s="36" t="n">
        <v>43822</v>
      </c>
      <c r="D54" s="45" t="s">
        <v>21</v>
      </c>
      <c r="E54" s="38" t="n">
        <v>418.2</v>
      </c>
      <c r="F54" s="38"/>
      <c r="G54" s="39"/>
      <c r="H54" s="38"/>
      <c r="I54" s="38"/>
      <c r="J54" s="27" t="n">
        <f aca="false">IF(ISNUMBER(E54),E54+F54+G54+H54+I54," ")</f>
        <v>418.2</v>
      </c>
      <c r="K54" s="36" t="n">
        <v>43832</v>
      </c>
      <c r="L54" s="46" t="str">
        <f aca="true">IF(ISBLANK(C54)," ",IF(ISNUMBER(M54),"Réglé",IF(K54&lt;TODAY(),"Retard",IF(K54=TODAY()," A régler","en attente"))))</f>
        <v>en attente</v>
      </c>
      <c r="M54" s="36"/>
      <c r="N54" s="41" t="n">
        <f aca="true">IF(ISBLANK(M54),TODAY()-K54,0)</f>
        <v>-3</v>
      </c>
      <c r="O54" s="30"/>
      <c r="P54" s="31"/>
      <c r="Q54" s="32"/>
    </row>
    <row r="55" customFormat="false" ht="18" hidden="false" customHeight="true" outlineLevel="0" collapsed="false">
      <c r="A55" s="52" t="n">
        <v>1908557</v>
      </c>
      <c r="B55" s="22" t="n">
        <v>1908557</v>
      </c>
      <c r="C55" s="53" t="n">
        <v>43733</v>
      </c>
      <c r="D55" s="24" t="s">
        <v>48</v>
      </c>
      <c r="E55" s="48" t="n">
        <v>461.54</v>
      </c>
      <c r="F55" s="48"/>
      <c r="G55" s="49"/>
      <c r="H55" s="48"/>
      <c r="I55" s="48"/>
      <c r="J55" s="27" t="n">
        <f aca="false">IF(ISNUMBER(E55),E55+F55+G55+H55+I55," ")</f>
        <v>461.54</v>
      </c>
      <c r="K55" s="47" t="n">
        <v>43740</v>
      </c>
      <c r="L55" s="28" t="str">
        <f aca="true">IF(ISBLANK(C55)," ",IF(ISNUMBER(M55),"Réglé",IF(K55&lt;TODAY(),"Retard",IF(K55=TODAY()," A régler","en attente"))))</f>
        <v>Réglé</v>
      </c>
      <c r="M55" s="47" t="n">
        <v>43794</v>
      </c>
      <c r="N55" s="29" t="n">
        <f aca="true">IF(ISBLANK(M55),TODAY()-K55,0)</f>
        <v>0</v>
      </c>
      <c r="O55" s="30" t="s">
        <v>18</v>
      </c>
      <c r="P55" s="31" t="s">
        <v>19</v>
      </c>
      <c r="Q55" s="32"/>
    </row>
    <row r="56" customFormat="false" ht="18" hidden="false" customHeight="true" outlineLevel="0" collapsed="false">
      <c r="A56" s="54" t="n">
        <v>120386</v>
      </c>
      <c r="B56" s="35" t="n">
        <v>201910144</v>
      </c>
      <c r="C56" s="47" t="n">
        <v>43741</v>
      </c>
      <c r="D56" s="24" t="s">
        <v>49</v>
      </c>
      <c r="E56" s="48" t="n">
        <v>1053.41</v>
      </c>
      <c r="F56" s="48"/>
      <c r="G56" s="49"/>
      <c r="H56" s="48"/>
      <c r="I56" s="48"/>
      <c r="J56" s="27" t="n">
        <f aca="false">IF(ISNUMBER(E56),E56+F56+G56+H56+I56," ")</f>
        <v>1053.41</v>
      </c>
      <c r="K56" s="47" t="n">
        <v>43741</v>
      </c>
      <c r="L56" s="28" t="str">
        <f aca="true">IF(ISBLANK(C56)," ",IF(ISNUMBER(M56),"Réglé",IF(K56&lt;TODAY(),"Retard",IF(K56=TODAY()," A régler","en attente"))))</f>
        <v>Réglé</v>
      </c>
      <c r="M56" s="47" t="n">
        <v>43805</v>
      </c>
      <c r="N56" s="29" t="n">
        <f aca="true">IF(ISBLANK(M56),TODAY()-K56,0)</f>
        <v>0</v>
      </c>
      <c r="O56" s="30" t="s">
        <v>50</v>
      </c>
      <c r="P56" s="31" t="s">
        <v>42</v>
      </c>
      <c r="Q56" s="32" t="s">
        <v>51</v>
      </c>
    </row>
    <row r="57" customFormat="false" ht="18" hidden="false" customHeight="true" outlineLevel="0" collapsed="false">
      <c r="A57" s="52" t="n">
        <v>1908439</v>
      </c>
      <c r="B57" s="22" t="n">
        <v>1908439</v>
      </c>
      <c r="C57" s="53" t="n">
        <v>43731</v>
      </c>
      <c r="D57" s="24" t="s">
        <v>17</v>
      </c>
      <c r="E57" s="48" t="n">
        <v>230.77</v>
      </c>
      <c r="F57" s="48"/>
      <c r="G57" s="49"/>
      <c r="H57" s="48"/>
      <c r="I57" s="48"/>
      <c r="J57" s="27" t="n">
        <f aca="false">IF(ISNUMBER(E57),E57+F57+G57+H57+I57," ")</f>
        <v>230.77</v>
      </c>
      <c r="K57" s="47" t="n">
        <v>43761</v>
      </c>
      <c r="L57" s="28" t="str">
        <f aca="true">IF(ISBLANK(C57)," ",IF(ISNUMBER(M57),"Réglé",IF(K57&lt;TODAY(),"Retard",IF(K57=TODAY()," A régler","en attente"))))</f>
        <v>Réglé</v>
      </c>
      <c r="M57" s="47" t="n">
        <v>43794</v>
      </c>
      <c r="N57" s="29" t="n">
        <f aca="true">IF(ISBLANK(M57),TODAY()-K57,0)</f>
        <v>0</v>
      </c>
      <c r="O57" s="30" t="s">
        <v>18</v>
      </c>
      <c r="P57" s="31" t="s">
        <v>19</v>
      </c>
      <c r="Q57" s="32"/>
    </row>
    <row r="58" customFormat="false" ht="18" hidden="false" customHeight="true" outlineLevel="0" collapsed="false">
      <c r="A58" s="52" t="n">
        <v>1908399</v>
      </c>
      <c r="B58" s="22" t="n">
        <v>1908399</v>
      </c>
      <c r="C58" s="53" t="n">
        <v>43731</v>
      </c>
      <c r="D58" s="24" t="s">
        <v>52</v>
      </c>
      <c r="E58" s="48" t="n">
        <v>230.77</v>
      </c>
      <c r="F58" s="48"/>
      <c r="G58" s="49"/>
      <c r="H58" s="48"/>
      <c r="I58" s="48"/>
      <c r="J58" s="27" t="n">
        <f aca="false">IF(ISNUMBER(E58),E58+F58+G58+H58+I58," ")</f>
        <v>230.77</v>
      </c>
      <c r="K58" s="47" t="n">
        <v>43761</v>
      </c>
      <c r="L58" s="28" t="str">
        <f aca="true">IF(ISBLANK(C58)," ",IF(ISNUMBER(M58),"Réglé",IF(K58&lt;TODAY(),"Retard",IF(K58=TODAY()," A régler","en attente"))))</f>
        <v>Réglé</v>
      </c>
      <c r="M58" s="47" t="n">
        <v>43794</v>
      </c>
      <c r="N58" s="29" t="n">
        <f aca="true">IF(ISBLANK(M58),TODAY()-K58,0)</f>
        <v>0</v>
      </c>
      <c r="O58" s="30" t="s">
        <v>18</v>
      </c>
      <c r="P58" s="31" t="s">
        <v>19</v>
      </c>
      <c r="Q58" s="32"/>
    </row>
    <row r="59" customFormat="false" ht="18" hidden="false" customHeight="true" outlineLevel="0" collapsed="false">
      <c r="A59" s="52" t="n">
        <v>1908406</v>
      </c>
      <c r="B59" s="22" t="n">
        <v>1908406</v>
      </c>
      <c r="C59" s="53" t="n">
        <v>43731</v>
      </c>
      <c r="D59" s="24" t="s">
        <v>25</v>
      </c>
      <c r="E59" s="48" t="n">
        <v>461.54</v>
      </c>
      <c r="F59" s="48"/>
      <c r="G59" s="49"/>
      <c r="H59" s="48"/>
      <c r="I59" s="48"/>
      <c r="J59" s="27" t="n">
        <f aca="false">IF(ISNUMBER(E59),E59+F59+G59+H59+I59," ")</f>
        <v>461.54</v>
      </c>
      <c r="K59" s="47" t="n">
        <v>43762</v>
      </c>
      <c r="L59" s="28" t="str">
        <f aca="true">IF(ISBLANK(C59)," ",IF(ISNUMBER(M59),"Réglé",IF(K59&lt;TODAY(),"Retard",IF(K59=TODAY()," A régler","en attente"))))</f>
        <v>Réglé</v>
      </c>
      <c r="M59" s="47" t="n">
        <v>43794</v>
      </c>
      <c r="N59" s="29" t="n">
        <f aca="true">IF(ISBLANK(M59),TODAY()-K59,0)</f>
        <v>0</v>
      </c>
      <c r="O59" s="30" t="s">
        <v>18</v>
      </c>
      <c r="P59" s="31" t="s">
        <v>19</v>
      </c>
      <c r="Q59" s="32"/>
    </row>
    <row r="60" customFormat="false" ht="18" hidden="false" customHeight="true" outlineLevel="0" collapsed="false">
      <c r="A60" s="52" t="n">
        <v>1908506</v>
      </c>
      <c r="B60" s="22" t="n">
        <v>1908506</v>
      </c>
      <c r="C60" s="53" t="n">
        <v>43732</v>
      </c>
      <c r="D60" s="24" t="s">
        <v>22</v>
      </c>
      <c r="E60" s="48" t="n">
        <v>132.48</v>
      </c>
      <c r="F60" s="48"/>
      <c r="G60" s="49"/>
      <c r="H60" s="48"/>
      <c r="I60" s="48"/>
      <c r="J60" s="27" t="n">
        <f aca="false">IF(ISNUMBER(E60),E60+F60+G60+H60+I60," ")</f>
        <v>132.48</v>
      </c>
      <c r="K60" s="47" t="n">
        <v>43762</v>
      </c>
      <c r="L60" s="28" t="str">
        <f aca="true">IF(ISBLANK(C60)," ",IF(ISNUMBER(M60),"Réglé",IF(K60&lt;TODAY(),"Retard",IF(K60=TODAY()," A régler","en attente"))))</f>
        <v>Réglé</v>
      </c>
      <c r="M60" s="47" t="n">
        <v>43794</v>
      </c>
      <c r="N60" s="29" t="n">
        <f aca="true">IF(ISBLANK(M60),TODAY()-K60,0)</f>
        <v>0</v>
      </c>
      <c r="O60" s="30" t="s">
        <v>18</v>
      </c>
      <c r="P60" s="31" t="s">
        <v>19</v>
      </c>
      <c r="Q60" s="32"/>
    </row>
    <row r="61" customFormat="false" ht="18" hidden="false" customHeight="true" outlineLevel="0" collapsed="false">
      <c r="A61" s="52" t="n">
        <v>1908507</v>
      </c>
      <c r="B61" s="22" t="n">
        <v>1908507</v>
      </c>
      <c r="C61" s="53" t="n">
        <v>43732</v>
      </c>
      <c r="D61" s="24" t="s">
        <v>17</v>
      </c>
      <c r="E61" s="48" t="n">
        <v>132.48</v>
      </c>
      <c r="F61" s="48"/>
      <c r="G61" s="49"/>
      <c r="H61" s="48"/>
      <c r="I61" s="48"/>
      <c r="J61" s="27" t="n">
        <f aca="false">IF(ISNUMBER(E61),E61+F61+G61+H61+I61," ")</f>
        <v>132.48</v>
      </c>
      <c r="K61" s="47" t="n">
        <v>43762</v>
      </c>
      <c r="L61" s="28" t="str">
        <f aca="true">IF(ISBLANK(C61)," ",IF(ISNUMBER(M61),"Réglé",IF(K61&lt;TODAY(),"Retard",IF(K61=TODAY()," A régler","en attente"))))</f>
        <v>Réglé</v>
      </c>
      <c r="M61" s="47" t="n">
        <v>43794</v>
      </c>
      <c r="N61" s="29" t="n">
        <f aca="true">IF(ISBLANK(M61),TODAY()-K61,0)</f>
        <v>0</v>
      </c>
      <c r="O61" s="30" t="s">
        <v>18</v>
      </c>
      <c r="P61" s="31" t="s">
        <v>19</v>
      </c>
      <c r="Q61" s="32"/>
    </row>
    <row r="62" customFormat="false" ht="18" hidden="false" customHeight="true" outlineLevel="0" collapsed="false">
      <c r="A62" s="52" t="n">
        <v>1908508</v>
      </c>
      <c r="B62" s="22" t="n">
        <v>1908508</v>
      </c>
      <c r="C62" s="53" t="n">
        <v>43732</v>
      </c>
      <c r="D62" s="24" t="s">
        <v>25</v>
      </c>
      <c r="E62" s="48" t="n">
        <v>66.24</v>
      </c>
      <c r="F62" s="48"/>
      <c r="G62" s="49"/>
      <c r="H62" s="48"/>
      <c r="I62" s="48"/>
      <c r="J62" s="27" t="n">
        <f aca="false">IF(ISNUMBER(E62),E62+F62+G62+H62+I62," ")</f>
        <v>66.24</v>
      </c>
      <c r="K62" s="47" t="n">
        <v>43763</v>
      </c>
      <c r="L62" s="28" t="str">
        <f aca="true">IF(ISBLANK(C62)," ",IF(ISNUMBER(M62),"Réglé",IF(K62&lt;TODAY(),"Retard",IF(K62=TODAY()," A régler","en attente"))))</f>
        <v>Réglé</v>
      </c>
      <c r="M62" s="47" t="n">
        <v>43794</v>
      </c>
      <c r="N62" s="29" t="n">
        <f aca="true">IF(ISBLANK(M62),TODAY()-K62,0)</f>
        <v>0</v>
      </c>
      <c r="O62" s="30" t="s">
        <v>18</v>
      </c>
      <c r="P62" s="31" t="s">
        <v>19</v>
      </c>
      <c r="Q62" s="32"/>
    </row>
    <row r="63" customFormat="false" ht="18" hidden="false" customHeight="true" outlineLevel="0" collapsed="false">
      <c r="A63" s="21" t="s">
        <v>53</v>
      </c>
      <c r="B63" s="22" t="n">
        <v>201909124</v>
      </c>
      <c r="C63" s="23" t="n">
        <v>43735</v>
      </c>
      <c r="D63" s="24" t="s">
        <v>31</v>
      </c>
      <c r="E63" s="25" t="n">
        <v>522.9</v>
      </c>
      <c r="F63" s="48"/>
      <c r="G63" s="49"/>
      <c r="H63" s="48"/>
      <c r="I63" s="48"/>
      <c r="J63" s="27" t="n">
        <f aca="false">IF(ISNUMBER(E63),E63+F63+G63+H63+I63," ")</f>
        <v>522.9</v>
      </c>
      <c r="K63" s="23" t="n">
        <v>43765</v>
      </c>
      <c r="L63" s="28" t="str">
        <f aca="true">IF(ISBLANK(C63)," ",IF(ISNUMBER(M63),"Réglé",IF(K63&lt;TODAY(),"Retard",IF(K63=TODAY()," A régler","en attente"))))</f>
        <v>Réglé</v>
      </c>
      <c r="M63" s="23" t="n">
        <v>43806</v>
      </c>
      <c r="N63" s="29" t="n">
        <f aca="true">IF(ISBLANK(M63),TODAY()-K63,0)</f>
        <v>0</v>
      </c>
      <c r="O63" s="31" t="s">
        <v>50</v>
      </c>
      <c r="P63" s="31" t="s">
        <v>42</v>
      </c>
      <c r="Q63" s="32"/>
    </row>
    <row r="64" customFormat="false" ht="18" hidden="false" customHeight="true" outlineLevel="0" collapsed="false">
      <c r="A64" s="52" t="n">
        <v>1908663</v>
      </c>
      <c r="B64" s="22" t="n">
        <v>1908663</v>
      </c>
      <c r="C64" s="53" t="n">
        <v>43735</v>
      </c>
      <c r="D64" s="24" t="s">
        <v>17</v>
      </c>
      <c r="E64" s="48" t="n">
        <v>230.77</v>
      </c>
      <c r="F64" s="48"/>
      <c r="G64" s="49"/>
      <c r="H64" s="48"/>
      <c r="I64" s="48"/>
      <c r="J64" s="27" t="n">
        <f aca="false">IF(ISNUMBER(E64),E64+F64+G64+H64+I64," ")</f>
        <v>230.77</v>
      </c>
      <c r="K64" s="47" t="n">
        <v>43766</v>
      </c>
      <c r="L64" s="28" t="str">
        <f aca="true">IF(ISBLANK(C64)," ",IF(ISNUMBER(M64),"Réglé",IF(K64&lt;TODAY(),"Retard",IF(K64=TODAY()," A régler","en attente"))))</f>
        <v>Réglé</v>
      </c>
      <c r="M64" s="47" t="n">
        <v>43794</v>
      </c>
      <c r="N64" s="29" t="n">
        <f aca="true">IF(ISBLANK(M64),TODAY()-K64,0)</f>
        <v>0</v>
      </c>
      <c r="O64" s="30" t="s">
        <v>18</v>
      </c>
      <c r="P64" s="31" t="s">
        <v>19</v>
      </c>
      <c r="Q64" s="32"/>
    </row>
    <row r="65" customFormat="false" ht="18" hidden="false" customHeight="true" outlineLevel="0" collapsed="false">
      <c r="A65" s="44" t="n">
        <v>5153517</v>
      </c>
      <c r="B65" s="35" t="n">
        <v>201910138</v>
      </c>
      <c r="C65" s="47" t="n">
        <v>43768</v>
      </c>
      <c r="D65" s="24" t="s">
        <v>54</v>
      </c>
      <c r="E65" s="48" t="n">
        <v>908.26</v>
      </c>
      <c r="F65" s="48"/>
      <c r="G65" s="49"/>
      <c r="H65" s="48"/>
      <c r="I65" s="48"/>
      <c r="J65" s="27" t="n">
        <f aca="false">IF(ISNUMBER(E65),E65+F65+G65+H65+I65," ")</f>
        <v>908.26</v>
      </c>
      <c r="K65" s="47" t="n">
        <v>43768</v>
      </c>
      <c r="L65" s="28" t="str">
        <f aca="true">IF(ISBLANK(C65)," ",IF(ISNUMBER(M65),"Réglé",IF(K65&lt;TODAY(),"Retard",IF(K65=TODAY()," A régler","en attente"))))</f>
        <v>Réglé</v>
      </c>
      <c r="M65" s="47" t="n">
        <v>43806</v>
      </c>
      <c r="N65" s="29" t="n">
        <f aca="true">IF(ISBLANK(M65),TODAY()-K65,0)</f>
        <v>0</v>
      </c>
      <c r="O65" s="30" t="s">
        <v>50</v>
      </c>
      <c r="P65" s="31" t="s">
        <v>42</v>
      </c>
      <c r="Q65" s="32"/>
    </row>
    <row r="66" customFormat="false" ht="18" hidden="false" customHeight="true" outlineLevel="0" collapsed="false">
      <c r="A66" s="44" t="n">
        <v>20190450</v>
      </c>
      <c r="B66" s="35" t="n">
        <v>201910114</v>
      </c>
      <c r="C66" s="47" t="n">
        <v>43769</v>
      </c>
      <c r="D66" s="24" t="s">
        <v>55</v>
      </c>
      <c r="E66" s="48" t="n">
        <v>1114.17</v>
      </c>
      <c r="F66" s="48"/>
      <c r="G66" s="49"/>
      <c r="H66" s="48"/>
      <c r="I66" s="48"/>
      <c r="J66" s="27" t="n">
        <f aca="false">IF(ISNUMBER(E66),E66+F66+G66+H66+I66," ")</f>
        <v>1114.17</v>
      </c>
      <c r="K66" s="47" t="n">
        <v>43769</v>
      </c>
      <c r="L66" s="28" t="str">
        <f aca="true">IF(ISBLANK(C66)," ",IF(ISNUMBER(M66),"Réglé",IF(K66&lt;TODAY(),"Retard",IF(K66=TODAY()," A régler","en attente"))))</f>
        <v>Réglé</v>
      </c>
      <c r="M66" s="47" t="n">
        <v>43806</v>
      </c>
      <c r="N66" s="29" t="n">
        <f aca="true">IF(ISBLANK(M66),TODAY()-K66,0)</f>
        <v>0</v>
      </c>
      <c r="O66" s="30" t="s">
        <v>27</v>
      </c>
      <c r="P66" s="31" t="s">
        <v>42</v>
      </c>
      <c r="Q66" s="32"/>
    </row>
    <row r="67" customFormat="false" ht="18" hidden="false" customHeight="true" outlineLevel="0" collapsed="false">
      <c r="A67" s="44" t="n">
        <v>20191674</v>
      </c>
      <c r="B67" s="35" t="n">
        <v>201910115</v>
      </c>
      <c r="C67" s="47" t="n">
        <v>43769</v>
      </c>
      <c r="D67" s="24" t="s">
        <v>56</v>
      </c>
      <c r="E67" s="48" t="n">
        <v>322.3</v>
      </c>
      <c r="F67" s="48"/>
      <c r="G67" s="49"/>
      <c r="H67" s="48"/>
      <c r="I67" s="48"/>
      <c r="J67" s="27" t="n">
        <f aca="false">IF(ISNUMBER(E67),E67+F67+G67+H67+I67," ")</f>
        <v>322.3</v>
      </c>
      <c r="K67" s="47" t="n">
        <v>43769</v>
      </c>
      <c r="L67" s="28" t="str">
        <f aca="true">IF(ISBLANK(C67)," ",IF(ISNUMBER(M67),"Réglé",IF(K67&lt;TODAY(),"Retard",IF(K67=TODAY()," A régler","en attente"))))</f>
        <v>Réglé</v>
      </c>
      <c r="M67" s="47" t="n">
        <v>43806</v>
      </c>
      <c r="N67" s="29" t="n">
        <f aca="true">IF(ISBLANK(M67),TODAY()-K67,0)</f>
        <v>0</v>
      </c>
      <c r="O67" s="30" t="s">
        <v>50</v>
      </c>
      <c r="P67" s="31" t="s">
        <v>42</v>
      </c>
      <c r="Q67" s="32"/>
    </row>
    <row r="68" customFormat="false" ht="18" hidden="false" customHeight="true" outlineLevel="0" collapsed="false">
      <c r="A68" s="44" t="s">
        <v>57</v>
      </c>
      <c r="B68" s="35" t="n">
        <v>201909137</v>
      </c>
      <c r="C68" s="47" t="n">
        <v>43738</v>
      </c>
      <c r="D68" s="24" t="s">
        <v>44</v>
      </c>
      <c r="E68" s="48" t="n">
        <v>4773.43</v>
      </c>
      <c r="F68" s="48"/>
      <c r="G68" s="49"/>
      <c r="H68" s="48"/>
      <c r="I68" s="48"/>
      <c r="J68" s="27" t="n">
        <f aca="false">IF(ISNUMBER(E68),E68+F68+G68+H68+I68," ")</f>
        <v>4773.43</v>
      </c>
      <c r="K68" s="47" t="n">
        <v>43769</v>
      </c>
      <c r="L68" s="28" t="str">
        <f aca="true">IF(ISBLANK(C68)," ",IF(ISNUMBER(M68),"Réglé",IF(K68&lt;TODAY(),"Retard",IF(K68=TODAY()," A régler","en attente"))))</f>
        <v>Réglé</v>
      </c>
      <c r="M68" s="47" t="n">
        <v>43801</v>
      </c>
      <c r="N68" s="29" t="n">
        <f aca="true">IF(ISBLANK(M68),TODAY()-K68,0)</f>
        <v>0</v>
      </c>
      <c r="O68" s="30" t="s">
        <v>50</v>
      </c>
      <c r="P68" s="31" t="s">
        <v>42</v>
      </c>
      <c r="Q68" s="32"/>
    </row>
    <row r="69" customFormat="false" ht="18" hidden="false" customHeight="true" outlineLevel="0" collapsed="false">
      <c r="A69" s="44" t="n">
        <v>5013419</v>
      </c>
      <c r="B69" s="35" t="n">
        <v>20191092</v>
      </c>
      <c r="C69" s="47" t="n">
        <v>43759</v>
      </c>
      <c r="D69" s="24" t="s">
        <v>58</v>
      </c>
      <c r="E69" s="48" t="n">
        <v>711.36</v>
      </c>
      <c r="F69" s="48"/>
      <c r="G69" s="49"/>
      <c r="H69" s="48"/>
      <c r="I69" s="48"/>
      <c r="J69" s="27" t="n">
        <f aca="false">IF(ISNUMBER(E69),E69+F69+G69+H69+I69," ")</f>
        <v>711.36</v>
      </c>
      <c r="K69" s="47" t="n">
        <v>43769</v>
      </c>
      <c r="L69" s="28" t="str">
        <f aca="true">IF(ISBLANK(C69)," ",IF(ISNUMBER(M69),"Réglé",IF(K69&lt;TODAY(),"Retard",IF(K69=TODAY()," A régler","en attente"))))</f>
        <v>Réglé</v>
      </c>
      <c r="M69" s="47" t="n">
        <v>43806</v>
      </c>
      <c r="N69" s="29" t="n">
        <f aca="true">IF(ISBLANK(M69),TODAY()-K69,0)</f>
        <v>0</v>
      </c>
      <c r="O69" s="30" t="s">
        <v>50</v>
      </c>
      <c r="P69" s="31" t="s">
        <v>42</v>
      </c>
      <c r="Q69" s="32"/>
    </row>
    <row r="70" customFormat="false" ht="18" hidden="false" customHeight="true" outlineLevel="0" collapsed="false">
      <c r="A70" s="44" t="n">
        <v>1595360</v>
      </c>
      <c r="B70" s="35" t="n">
        <v>20191021</v>
      </c>
      <c r="C70" s="47" t="n">
        <v>43740</v>
      </c>
      <c r="D70" s="24" t="s">
        <v>20</v>
      </c>
      <c r="E70" s="48" t="n">
        <v>584.55</v>
      </c>
      <c r="F70" s="48"/>
      <c r="G70" s="49"/>
      <c r="H70" s="48"/>
      <c r="I70" s="48"/>
      <c r="J70" s="27" t="n">
        <f aca="false">IF(ISNUMBER(E70),E70+F70+G70+H70+I70," ")</f>
        <v>584.55</v>
      </c>
      <c r="K70" s="47" t="n">
        <v>43770</v>
      </c>
      <c r="L70" s="28" t="str">
        <f aca="true">IF(ISBLANK(C70)," ",IF(ISNUMBER(M70),"Réglé",IF(K70&lt;TODAY(),"Retard",IF(K70=TODAY()," A régler","en attente"))))</f>
        <v>Réglé</v>
      </c>
      <c r="M70" s="47" t="n">
        <v>43806</v>
      </c>
      <c r="N70" s="29" t="n">
        <f aca="true">IF(ISBLANK(M70),TODAY()-K70,0)</f>
        <v>0</v>
      </c>
      <c r="O70" s="30" t="s">
        <v>50</v>
      </c>
      <c r="P70" s="31" t="s">
        <v>42</v>
      </c>
      <c r="Q70" s="32"/>
    </row>
    <row r="71" customFormat="false" ht="18" hidden="false" customHeight="true" outlineLevel="0" collapsed="false">
      <c r="A71" s="44" t="n">
        <v>2200278768</v>
      </c>
      <c r="B71" s="35" t="n">
        <v>201910108</v>
      </c>
      <c r="C71" s="47" t="n">
        <v>43761</v>
      </c>
      <c r="D71" s="24" t="s">
        <v>21</v>
      </c>
      <c r="E71" s="48" t="n">
        <v>615.87</v>
      </c>
      <c r="F71" s="48"/>
      <c r="G71" s="49"/>
      <c r="H71" s="48"/>
      <c r="I71" s="48"/>
      <c r="J71" s="27" t="n">
        <f aca="false">IF(ISNUMBER(E71),E71+F71+G71+H71+I71," ")</f>
        <v>615.87</v>
      </c>
      <c r="K71" s="47" t="n">
        <v>43771</v>
      </c>
      <c r="L71" s="28" t="str">
        <f aca="true">IF(ISBLANK(C71)," ",IF(ISNUMBER(M71),"Réglé",IF(K71&lt;TODAY(),"Retard",IF(K71=TODAY()," A régler","en attente"))))</f>
        <v>Réglé</v>
      </c>
      <c r="M71" s="47" t="n">
        <v>43811</v>
      </c>
      <c r="N71" s="29" t="n">
        <f aca="true">IF(ISBLANK(M71),TODAY()-K71,0)</f>
        <v>0</v>
      </c>
      <c r="O71" s="30" t="s">
        <v>50</v>
      </c>
      <c r="P71" s="31" t="s">
        <v>59</v>
      </c>
      <c r="Q71" s="32"/>
    </row>
    <row r="72" customFormat="false" ht="18" hidden="false" customHeight="true" outlineLevel="0" collapsed="false">
      <c r="A72" s="52" t="n">
        <v>1909702</v>
      </c>
      <c r="B72" s="22" t="n">
        <v>20191097</v>
      </c>
      <c r="C72" s="53" t="n">
        <v>43766</v>
      </c>
      <c r="D72" s="24" t="s">
        <v>25</v>
      </c>
      <c r="E72" s="48" t="n">
        <v>2307.7</v>
      </c>
      <c r="F72" s="48"/>
      <c r="G72" s="49"/>
      <c r="H72" s="48"/>
      <c r="I72" s="48"/>
      <c r="J72" s="27" t="n">
        <f aca="false">IF(ISNUMBER(E72),E72+F72+G72+H72+I72," ")</f>
        <v>2307.7</v>
      </c>
      <c r="K72" s="47" t="n">
        <v>43771</v>
      </c>
      <c r="L72" s="28" t="str">
        <f aca="true">IF(ISBLANK(C72)," ",IF(ISNUMBER(M72),"Réglé",IF(K72&lt;TODAY(),"Retard",IF(K72=TODAY()," A régler","en attente"))))</f>
        <v>Réglé</v>
      </c>
      <c r="M72" s="47" t="n">
        <v>43796</v>
      </c>
      <c r="N72" s="29" t="n">
        <f aca="true">IF(ISBLANK(M72),TODAY()-K72,0)</f>
        <v>0</v>
      </c>
      <c r="O72" s="30" t="s">
        <v>18</v>
      </c>
      <c r="P72" s="31" t="s">
        <v>19</v>
      </c>
      <c r="Q72" s="32"/>
    </row>
    <row r="73" customFormat="false" ht="18" hidden="false" customHeight="true" outlineLevel="0" collapsed="false">
      <c r="A73" s="21" t="n">
        <v>2200278956</v>
      </c>
      <c r="B73" s="22" t="n">
        <v>201910112</v>
      </c>
      <c r="C73" s="23" t="n">
        <v>43762</v>
      </c>
      <c r="D73" s="24" t="s">
        <v>21</v>
      </c>
      <c r="E73" s="25" t="n">
        <v>206.7</v>
      </c>
      <c r="F73" s="48"/>
      <c r="G73" s="49"/>
      <c r="H73" s="48"/>
      <c r="I73" s="48"/>
      <c r="J73" s="27" t="n">
        <f aca="false">IF(ISNUMBER(E73),E73+F73+G73+H73+I73," ")</f>
        <v>206.7</v>
      </c>
      <c r="K73" s="23" t="n">
        <v>43772</v>
      </c>
      <c r="L73" s="28" t="str">
        <f aca="true">IF(ISBLANK(C73)," ",IF(ISNUMBER(M73),"Réglé",IF(K73&lt;TODAY(),"Retard",IF(K73=TODAY()," A régler","en attente"))))</f>
        <v>Réglé</v>
      </c>
      <c r="M73" s="23" t="n">
        <v>43806</v>
      </c>
      <c r="N73" s="29" t="n">
        <f aca="true">IF(ISBLANK(M73),TODAY()-K73,0)</f>
        <v>0</v>
      </c>
      <c r="O73" s="31" t="s">
        <v>50</v>
      </c>
      <c r="P73" s="31" t="s">
        <v>42</v>
      </c>
      <c r="Q73" s="32"/>
    </row>
    <row r="74" customFormat="false" ht="18" hidden="false" customHeight="true" outlineLevel="0" collapsed="false">
      <c r="A74" s="44" t="n">
        <v>2200279069</v>
      </c>
      <c r="B74" s="35" t="n">
        <v>201910107</v>
      </c>
      <c r="C74" s="47" t="n">
        <v>43763</v>
      </c>
      <c r="D74" s="24" t="s">
        <v>21</v>
      </c>
      <c r="E74" s="48" t="n">
        <v>108.8</v>
      </c>
      <c r="F74" s="48"/>
      <c r="G74" s="49"/>
      <c r="H74" s="48"/>
      <c r="I74" s="48"/>
      <c r="J74" s="27" t="n">
        <f aca="false">IF(ISNUMBER(E74),E74+F74+G74+H74+I74," ")</f>
        <v>108.8</v>
      </c>
      <c r="K74" s="47" t="n">
        <v>43773</v>
      </c>
      <c r="L74" s="28" t="str">
        <f aca="true">IF(ISBLANK(C74)," ",IF(ISNUMBER(M74),"Réglé",IF(K74&lt;TODAY(),"Retard",IF(K74=TODAY()," A régler","en attente"))))</f>
        <v>Réglé</v>
      </c>
      <c r="M74" s="47" t="n">
        <v>43806</v>
      </c>
      <c r="N74" s="29" t="n">
        <f aca="true">IF(ISBLANK(M74),TODAY()-K74,0)</f>
        <v>0</v>
      </c>
      <c r="O74" s="30" t="s">
        <v>50</v>
      </c>
      <c r="P74" s="31" t="s">
        <v>42</v>
      </c>
      <c r="Q74" s="32"/>
    </row>
    <row r="75" customFormat="false" ht="18" hidden="false" customHeight="true" outlineLevel="0" collapsed="false">
      <c r="A75" s="54" t="n">
        <v>121996</v>
      </c>
      <c r="B75" s="35" t="n">
        <v>20191199</v>
      </c>
      <c r="C75" s="47" t="n">
        <v>43773</v>
      </c>
      <c r="D75" s="24" t="s">
        <v>49</v>
      </c>
      <c r="E75" s="48" t="n">
        <v>-742.47</v>
      </c>
      <c r="F75" s="48"/>
      <c r="G75" s="49"/>
      <c r="H75" s="48"/>
      <c r="I75" s="48"/>
      <c r="J75" s="27" t="n">
        <f aca="false">IF(ISNUMBER(E75),E75+F75+G75+H75+I75," ")</f>
        <v>-742.47</v>
      </c>
      <c r="K75" s="47" t="n">
        <v>43773</v>
      </c>
      <c r="L75" s="28" t="str">
        <f aca="true">IF(ISBLANK(C75)," ",IF(ISNUMBER(M75),"Réglé",IF(K75&lt;TODAY(),"Retard",IF(K75=TODAY()," A régler","en attente"))))</f>
        <v>Réglé</v>
      </c>
      <c r="M75" s="47" t="n">
        <v>43805</v>
      </c>
      <c r="N75" s="29" t="n">
        <f aca="true">IF(ISBLANK(M75),TODAY()-K75,0)</f>
        <v>0</v>
      </c>
      <c r="O75" s="30" t="s">
        <v>33</v>
      </c>
      <c r="P75" s="31" t="s">
        <v>33</v>
      </c>
      <c r="Q75" s="32" t="s">
        <v>60</v>
      </c>
    </row>
    <row r="76" customFormat="false" ht="18" hidden="false" customHeight="true" outlineLevel="0" collapsed="false">
      <c r="A76" s="44" t="n">
        <v>2200279309</v>
      </c>
      <c r="B76" s="35" t="n">
        <v>201910111</v>
      </c>
      <c r="C76" s="47" t="n">
        <v>43764</v>
      </c>
      <c r="D76" s="24" t="s">
        <v>21</v>
      </c>
      <c r="E76" s="48" t="n">
        <v>54.4</v>
      </c>
      <c r="F76" s="48"/>
      <c r="G76" s="49"/>
      <c r="H76" s="48"/>
      <c r="I76" s="48"/>
      <c r="J76" s="27" t="n">
        <f aca="false">IF(ISNUMBER(E76),E76+F76+G76+H76+I76," ")</f>
        <v>54.4</v>
      </c>
      <c r="K76" s="47" t="n">
        <v>43774</v>
      </c>
      <c r="L76" s="28" t="str">
        <f aca="true">IF(ISBLANK(C76)," ",IF(ISNUMBER(M76),"Réglé",IF(K76&lt;TODAY(),"Retard",IF(K76=TODAY()," A régler","en attente"))))</f>
        <v>Réglé</v>
      </c>
      <c r="M76" s="47" t="n">
        <v>43806</v>
      </c>
      <c r="N76" s="29" t="n">
        <f aca="true">IF(ISBLANK(M76),TODAY()-K76,0)</f>
        <v>0</v>
      </c>
      <c r="O76" s="30" t="s">
        <v>50</v>
      </c>
      <c r="P76" s="31" t="s">
        <v>42</v>
      </c>
      <c r="Q76" s="32"/>
    </row>
    <row r="77" customFormat="false" ht="18" hidden="false" customHeight="true" outlineLevel="0" collapsed="false">
      <c r="A77" s="44" t="n">
        <v>2200279318</v>
      </c>
      <c r="B77" s="35" t="n">
        <v>201910117</v>
      </c>
      <c r="C77" s="47" t="n">
        <v>43766</v>
      </c>
      <c r="D77" s="24" t="s">
        <v>21</v>
      </c>
      <c r="E77" s="48" t="n">
        <v>753.65</v>
      </c>
      <c r="F77" s="48"/>
      <c r="G77" s="49"/>
      <c r="H77" s="48"/>
      <c r="I77" s="48"/>
      <c r="J77" s="27" t="n">
        <f aca="false">IF(ISNUMBER(E77),E77+F77+G77+H77+I77," ")</f>
        <v>753.65</v>
      </c>
      <c r="K77" s="47" t="n">
        <v>43776</v>
      </c>
      <c r="L77" s="28" t="str">
        <f aca="true">IF(ISBLANK(C77)," ",IF(ISNUMBER(M77),"Réglé",IF(K77&lt;TODAY(),"Retard",IF(K77=TODAY()," A régler","en attente"))))</f>
        <v>Réglé</v>
      </c>
      <c r="M77" s="47" t="n">
        <v>43811</v>
      </c>
      <c r="N77" s="29" t="n">
        <f aca="true">IF(ISBLANK(M77),TODAY()-K77,0)</f>
        <v>0</v>
      </c>
      <c r="O77" s="30" t="s">
        <v>50</v>
      </c>
      <c r="P77" s="31" t="s">
        <v>59</v>
      </c>
      <c r="Q77" s="32"/>
    </row>
    <row r="78" customFormat="false" ht="18" hidden="false" customHeight="true" outlineLevel="0" collapsed="false">
      <c r="A78" s="44" t="n">
        <v>20192076</v>
      </c>
      <c r="B78" s="35" t="n">
        <v>20191119</v>
      </c>
      <c r="C78" s="47" t="n">
        <v>43776</v>
      </c>
      <c r="D78" s="24" t="s">
        <v>61</v>
      </c>
      <c r="E78" s="48" t="n">
        <v>306.65</v>
      </c>
      <c r="F78" s="48"/>
      <c r="G78" s="49"/>
      <c r="H78" s="48"/>
      <c r="I78" s="48"/>
      <c r="J78" s="27" t="n">
        <f aca="false">IF(ISNUMBER(E78),E78+F78+G78+H78+I78," ")</f>
        <v>306.65</v>
      </c>
      <c r="K78" s="47" t="n">
        <v>43776</v>
      </c>
      <c r="L78" s="28" t="str">
        <f aca="true">IF(ISBLANK(C78)," ",IF(ISNUMBER(M78),"Réglé",IF(K78&lt;TODAY(),"Retard",IF(K78=TODAY()," A régler","en attente"))))</f>
        <v>Réglé</v>
      </c>
      <c r="M78" s="47" t="n">
        <v>43776</v>
      </c>
      <c r="N78" s="29" t="n">
        <f aca="true">IF(ISBLANK(M78),TODAY()-K78,0)</f>
        <v>0</v>
      </c>
      <c r="O78" s="30" t="s">
        <v>33</v>
      </c>
      <c r="P78" s="31" t="s">
        <v>62</v>
      </c>
      <c r="Q78" s="32"/>
    </row>
    <row r="79" customFormat="false" ht="18" hidden="false" customHeight="true" outlineLevel="0" collapsed="false">
      <c r="A79" s="44" t="n">
        <v>1603462</v>
      </c>
      <c r="B79" s="35" t="n">
        <v>20191036</v>
      </c>
      <c r="C79" s="47" t="n">
        <v>43747</v>
      </c>
      <c r="D79" s="24" t="s">
        <v>20</v>
      </c>
      <c r="E79" s="48" t="n">
        <v>214.47</v>
      </c>
      <c r="F79" s="48"/>
      <c r="G79" s="49"/>
      <c r="H79" s="48"/>
      <c r="I79" s="48"/>
      <c r="J79" s="27" t="n">
        <f aca="false">IF(ISNUMBER(E79),E79+F79+G79+H79+I79," ")</f>
        <v>214.47</v>
      </c>
      <c r="K79" s="47" t="n">
        <v>43777</v>
      </c>
      <c r="L79" s="28" t="str">
        <f aca="true">IF(ISBLANK(C79)," ",IF(ISNUMBER(M79),"Réglé",IF(K79&lt;TODAY(),"Retard",IF(K79=TODAY()," A régler","en attente"))))</f>
        <v>Réglé</v>
      </c>
      <c r="M79" s="47" t="n">
        <v>43806</v>
      </c>
      <c r="N79" s="29" t="n">
        <f aca="true">IF(ISBLANK(M79),TODAY()-K79,0)</f>
        <v>0</v>
      </c>
      <c r="O79" s="30" t="s">
        <v>50</v>
      </c>
      <c r="P79" s="31" t="s">
        <v>42</v>
      </c>
      <c r="Q79" s="32"/>
    </row>
    <row r="80" customFormat="false" ht="18" hidden="false" customHeight="true" outlineLevel="0" collapsed="false">
      <c r="A80" s="44" t="s">
        <v>63</v>
      </c>
      <c r="B80" s="35" t="n">
        <v>20191041</v>
      </c>
      <c r="C80" s="47" t="n">
        <v>43749</v>
      </c>
      <c r="D80" s="24" t="s">
        <v>31</v>
      </c>
      <c r="E80" s="48" t="n">
        <v>547.15</v>
      </c>
      <c r="F80" s="48"/>
      <c r="G80" s="49"/>
      <c r="H80" s="48"/>
      <c r="I80" s="48"/>
      <c r="J80" s="27" t="n">
        <f aca="false">IF(ISNUMBER(E80),E80+F80+G80+H80+I80," ")</f>
        <v>547.15</v>
      </c>
      <c r="K80" s="47" t="n">
        <v>43779</v>
      </c>
      <c r="L80" s="28" t="str">
        <f aca="true">IF(ISBLANK(C80)," ",IF(ISNUMBER(M80),"Réglé",IF(K80&lt;TODAY(),"Retard",IF(K80=TODAY()," A régler","en attente"))))</f>
        <v>Réglé</v>
      </c>
      <c r="M80" s="47" t="n">
        <v>43811</v>
      </c>
      <c r="N80" s="29" t="n">
        <f aca="true">IF(ISBLANK(M80),TODAY()-K80,0)</f>
        <v>0</v>
      </c>
      <c r="O80" s="30" t="s">
        <v>50</v>
      </c>
      <c r="P80" s="31" t="s">
        <v>59</v>
      </c>
      <c r="Q80" s="32"/>
    </row>
    <row r="81" customFormat="false" ht="18" hidden="false" customHeight="true" outlineLevel="0" collapsed="false">
      <c r="A81" s="44" t="s">
        <v>64</v>
      </c>
      <c r="B81" s="35" t="n">
        <v>201910132</v>
      </c>
      <c r="C81" s="47" t="n">
        <v>43769</v>
      </c>
      <c r="D81" s="24" t="s">
        <v>65</v>
      </c>
      <c r="E81" s="48" t="n">
        <v>503.6</v>
      </c>
      <c r="F81" s="48"/>
      <c r="G81" s="49"/>
      <c r="H81" s="48"/>
      <c r="I81" s="48"/>
      <c r="J81" s="27" t="n">
        <f aca="false">IF(ISNUMBER(E81),E81+F81+G81+H81+I81," ")</f>
        <v>503.6</v>
      </c>
      <c r="K81" s="47" t="n">
        <v>43784</v>
      </c>
      <c r="L81" s="28" t="str">
        <f aca="true">IF(ISBLANK(C81)," ",IF(ISNUMBER(M81),"Réglé",IF(K81&lt;TODAY(),"Retard",IF(K81=TODAY()," A régler","en attente"))))</f>
        <v>Réglé</v>
      </c>
      <c r="M81" s="47" t="n">
        <v>43811</v>
      </c>
      <c r="N81" s="29" t="n">
        <f aca="true">IF(ISBLANK(M81),TODAY()-K81,0)</f>
        <v>0</v>
      </c>
      <c r="O81" s="30" t="s">
        <v>50</v>
      </c>
      <c r="P81" s="31" t="s">
        <v>59</v>
      </c>
      <c r="Q81" s="32"/>
    </row>
    <row r="82" customFormat="false" ht="18" hidden="false" customHeight="true" outlineLevel="0" collapsed="false">
      <c r="A82" s="44" t="n">
        <v>1909339</v>
      </c>
      <c r="B82" s="35" t="n">
        <v>20191057</v>
      </c>
      <c r="C82" s="36" t="n">
        <v>43754</v>
      </c>
      <c r="D82" s="45" t="s">
        <v>25</v>
      </c>
      <c r="E82" s="38" t="n">
        <v>1846.16</v>
      </c>
      <c r="F82" s="38"/>
      <c r="G82" s="39"/>
      <c r="H82" s="38"/>
      <c r="I82" s="38"/>
      <c r="J82" s="27" t="n">
        <f aca="false">IF(ISNUMBER(E82),E82+F82+G82+H82+I82," ")</f>
        <v>1846.16</v>
      </c>
      <c r="K82" s="36" t="n">
        <v>43784</v>
      </c>
      <c r="L82" s="46" t="str">
        <f aca="true">IF(ISBLANK(C82)," ",IF(ISNUMBER(M82),"Réglé",IF(K82&lt;TODAY(),"Retard",IF(K82=TODAY()," A régler","en attente"))))</f>
        <v>Réglé</v>
      </c>
      <c r="M82" s="36" t="n">
        <v>43816</v>
      </c>
      <c r="N82" s="41" t="n">
        <f aca="true">IF(ISBLANK(M82),TODAY()-K82,0)</f>
        <v>0</v>
      </c>
      <c r="O82" s="30" t="s">
        <v>18</v>
      </c>
      <c r="P82" s="31" t="s">
        <v>19</v>
      </c>
      <c r="Q82" s="32" t="s">
        <v>66</v>
      </c>
    </row>
    <row r="83" customFormat="false" ht="18" hidden="false" customHeight="true" outlineLevel="0" collapsed="false">
      <c r="A83" s="44" t="s">
        <v>67</v>
      </c>
      <c r="B83" s="35" t="n">
        <v>20191074</v>
      </c>
      <c r="C83" s="47" t="n">
        <v>43756</v>
      </c>
      <c r="D83" s="24" t="s">
        <v>31</v>
      </c>
      <c r="E83" s="48" t="n">
        <v>522.9</v>
      </c>
      <c r="F83" s="48"/>
      <c r="G83" s="49"/>
      <c r="H83" s="48"/>
      <c r="I83" s="48"/>
      <c r="J83" s="27" t="n">
        <f aca="false">IF(ISNUMBER(E83),E83+F83+G83+H83+I83," ")</f>
        <v>522.9</v>
      </c>
      <c r="K83" s="47" t="n">
        <v>43786</v>
      </c>
      <c r="L83" s="28" t="str">
        <f aca="true">IF(ISBLANK(C83)," ",IF(ISNUMBER(M83),"Réglé",IF(K83&lt;TODAY(),"Retard",IF(K83=TODAY()," A régler","en attente"))))</f>
        <v>Réglé</v>
      </c>
      <c r="M83" s="47" t="n">
        <v>43811</v>
      </c>
      <c r="N83" s="29" t="n">
        <f aca="true">IF(ISBLANK(M83),TODAY()-K83,0)</f>
        <v>0</v>
      </c>
      <c r="O83" s="30" t="s">
        <v>50</v>
      </c>
      <c r="P83" s="31" t="s">
        <v>59</v>
      </c>
      <c r="Q83" s="32"/>
    </row>
    <row r="84" customFormat="false" ht="18" hidden="false" customHeight="true" outlineLevel="0" collapsed="false">
      <c r="A84" s="44" t="n">
        <v>2200281865</v>
      </c>
      <c r="B84" s="35" t="n">
        <v>20191144</v>
      </c>
      <c r="C84" s="47" t="n">
        <v>43776</v>
      </c>
      <c r="D84" s="24" t="s">
        <v>21</v>
      </c>
      <c r="E84" s="48" t="n">
        <v>1184.72</v>
      </c>
      <c r="F84" s="48"/>
      <c r="G84" s="49"/>
      <c r="H84" s="48"/>
      <c r="I84" s="48"/>
      <c r="J84" s="27" t="n">
        <f aca="false">IF(ISNUMBER(E84),E84+F84+G84+H84+I84," ")</f>
        <v>1184.72</v>
      </c>
      <c r="K84" s="47" t="n">
        <v>43786</v>
      </c>
      <c r="L84" s="28" t="str">
        <f aca="true">IF(ISBLANK(C84)," ",IF(ISNUMBER(M84),"Réglé",IF(K84&lt;TODAY(),"Retard",IF(K84=TODAY()," A régler","en attente"))))</f>
        <v>Réglé</v>
      </c>
      <c r="M84" s="47" t="n">
        <v>43811</v>
      </c>
      <c r="N84" s="29" t="n">
        <f aca="true">IF(ISBLANK(M84),TODAY()-K84,0)</f>
        <v>0</v>
      </c>
      <c r="O84" s="30" t="s">
        <v>50</v>
      </c>
      <c r="P84" s="31" t="s">
        <v>59</v>
      </c>
      <c r="Q84" s="32"/>
    </row>
    <row r="85" customFormat="false" ht="18" hidden="false" customHeight="true" outlineLevel="0" collapsed="false">
      <c r="A85" s="52" t="n">
        <v>1910010</v>
      </c>
      <c r="B85" s="22" t="n">
        <v>1910010</v>
      </c>
      <c r="C85" s="53" t="n">
        <v>43775</v>
      </c>
      <c r="D85" s="24" t="s">
        <v>25</v>
      </c>
      <c r="E85" s="48" t="n">
        <v>198.72</v>
      </c>
      <c r="F85" s="48"/>
      <c r="G85" s="49"/>
      <c r="H85" s="48"/>
      <c r="I85" s="48"/>
      <c r="J85" s="27" t="n">
        <f aca="false">IF(ISNUMBER(E85),E85+F85+G85+H85+I85," ")</f>
        <v>198.72</v>
      </c>
      <c r="K85" s="47" t="n">
        <v>43786</v>
      </c>
      <c r="L85" s="28" t="str">
        <f aca="true">IF(ISBLANK(C85)," ",IF(ISNUMBER(M85),"Réglé",IF(K85&lt;TODAY(),"Retard",IF(K85=TODAY()," A régler","en attente"))))</f>
        <v>Réglé</v>
      </c>
      <c r="M85" s="47" t="n">
        <v>43805</v>
      </c>
      <c r="N85" s="29" t="n">
        <f aca="true">IF(ISBLANK(M85),TODAY()-K85,0)</f>
        <v>0</v>
      </c>
      <c r="O85" s="30" t="s">
        <v>18</v>
      </c>
      <c r="P85" s="31" t="s">
        <v>19</v>
      </c>
      <c r="Q85" s="32"/>
    </row>
    <row r="86" customFormat="false" ht="18" hidden="false" customHeight="true" outlineLevel="0" collapsed="false">
      <c r="A86" s="44" t="s">
        <v>68</v>
      </c>
      <c r="B86" s="35" t="n">
        <v>201910116</v>
      </c>
      <c r="C86" s="47" t="n">
        <v>43769</v>
      </c>
      <c r="D86" s="24" t="s">
        <v>69</v>
      </c>
      <c r="E86" s="48" t="n">
        <v>285.78</v>
      </c>
      <c r="F86" s="48"/>
      <c r="G86" s="49"/>
      <c r="H86" s="48"/>
      <c r="I86" s="48"/>
      <c r="J86" s="27" t="n">
        <f aca="false">IF(ISNUMBER(E86),E86+F86+G86+H86+I86," ")</f>
        <v>285.78</v>
      </c>
      <c r="K86" s="47" t="n">
        <v>43789</v>
      </c>
      <c r="L86" s="28" t="str">
        <f aca="true">IF(ISBLANK(C86)," ",IF(ISNUMBER(M86),"Réglé",IF(K86&lt;TODAY(),"Retard",IF(K86=TODAY()," A régler","en attente"))))</f>
        <v>Réglé</v>
      </c>
      <c r="M86" s="47" t="n">
        <v>43811</v>
      </c>
      <c r="N86" s="29" t="n">
        <f aca="true">IF(ISBLANK(M86),TODAY()-K86,0)</f>
        <v>0</v>
      </c>
      <c r="O86" s="30" t="s">
        <v>50</v>
      </c>
      <c r="P86" s="31" t="s">
        <v>59</v>
      </c>
      <c r="Q86" s="32"/>
    </row>
    <row r="87" customFormat="false" ht="18" hidden="false" customHeight="true" outlineLevel="0" collapsed="false">
      <c r="A87" s="44" t="n">
        <v>1617929</v>
      </c>
      <c r="B87" s="35" t="n">
        <v>20191088</v>
      </c>
      <c r="C87" s="47" t="n">
        <v>43760</v>
      </c>
      <c r="D87" s="24" t="s">
        <v>20</v>
      </c>
      <c r="E87" s="48" t="n">
        <v>378.95</v>
      </c>
      <c r="F87" s="48"/>
      <c r="G87" s="49"/>
      <c r="H87" s="48"/>
      <c r="I87" s="48"/>
      <c r="J87" s="27" t="n">
        <f aca="false">IF(ISNUMBER(E87),E87+F87+G87+H87+I87," ")</f>
        <v>378.95</v>
      </c>
      <c r="K87" s="47" t="n">
        <v>43790</v>
      </c>
      <c r="L87" s="28" t="str">
        <f aca="true">IF(ISBLANK(C87)," ",IF(ISNUMBER(M87),"Réglé",IF(K87&lt;TODAY(),"Retard",IF(K87=TODAY()," A régler","en attente"))))</f>
        <v>Réglé</v>
      </c>
      <c r="M87" s="47" t="n">
        <v>43811</v>
      </c>
      <c r="N87" s="29" t="n">
        <f aca="true">IF(ISBLANK(M87),TODAY()-K87,0)</f>
        <v>0</v>
      </c>
      <c r="O87" s="30" t="s">
        <v>50</v>
      </c>
      <c r="P87" s="31" t="s">
        <v>59</v>
      </c>
      <c r="Q87" s="32"/>
    </row>
    <row r="88" customFormat="false" ht="18" hidden="false" customHeight="true" outlineLevel="0" collapsed="false">
      <c r="A88" s="21" t="n">
        <v>809745</v>
      </c>
      <c r="B88" s="22" t="n">
        <v>20191151</v>
      </c>
      <c r="C88" s="23" t="n">
        <v>43781</v>
      </c>
      <c r="D88" s="24" t="s">
        <v>70</v>
      </c>
      <c r="E88" s="25" t="n">
        <v>1117</v>
      </c>
      <c r="F88" s="48"/>
      <c r="G88" s="49"/>
      <c r="H88" s="48"/>
      <c r="I88" s="48"/>
      <c r="J88" s="27" t="n">
        <f aca="false">IF(ISNUMBER(E88),E88+F88+G88+H88+I88," ")</f>
        <v>1117</v>
      </c>
      <c r="K88" s="23" t="n">
        <v>43791</v>
      </c>
      <c r="L88" s="28" t="str">
        <f aca="true">IF(ISBLANK(C88)," ",IF(ISNUMBER(M88),"Réglé",IF(K88&lt;TODAY(),"Retard",IF(K88=TODAY()," A régler","en attente"))))</f>
        <v>Réglé</v>
      </c>
      <c r="M88" s="23" t="n">
        <v>43811</v>
      </c>
      <c r="N88" s="29" t="n">
        <f aca="true">IF(ISBLANK(M88),TODAY()-K88,0)</f>
        <v>0</v>
      </c>
      <c r="O88" s="30" t="s">
        <v>50</v>
      </c>
      <c r="P88" s="31" t="s">
        <v>59</v>
      </c>
      <c r="Q88" s="32"/>
    </row>
    <row r="89" customFormat="false" ht="18" hidden="false" customHeight="true" outlineLevel="0" collapsed="false">
      <c r="A89" s="44" t="s">
        <v>71</v>
      </c>
      <c r="B89" s="35" t="n">
        <v>20191178</v>
      </c>
      <c r="C89" s="47" t="n">
        <v>43791</v>
      </c>
      <c r="D89" s="37" t="s">
        <v>72</v>
      </c>
      <c r="E89" s="48" t="n">
        <v>482.71</v>
      </c>
      <c r="F89" s="48"/>
      <c r="G89" s="49"/>
      <c r="H89" s="48"/>
      <c r="I89" s="48"/>
      <c r="J89" s="27" t="n">
        <f aca="false">IF(ISNUMBER(E89),E89+F89+G89+H89+I89," ")</f>
        <v>482.71</v>
      </c>
      <c r="K89" s="47" t="n">
        <v>43791</v>
      </c>
      <c r="L89" s="28" t="str">
        <f aca="true">IF(ISBLANK(C89)," ",IF(ISNUMBER(M89),"Réglé",IF(K89&lt;TODAY(),"Retard",IF(K89=TODAY()," A régler","en attente"))))</f>
        <v>Réglé</v>
      </c>
      <c r="M89" s="47" t="n">
        <v>43781</v>
      </c>
      <c r="N89" s="29" t="n">
        <f aca="true">IF(ISBLANK(M89),TODAY()-K89,0)</f>
        <v>0</v>
      </c>
      <c r="O89" s="30" t="s">
        <v>50</v>
      </c>
      <c r="P89" s="31" t="s">
        <v>59</v>
      </c>
      <c r="Q89" s="32"/>
    </row>
    <row r="90" customFormat="false" ht="18" hidden="false" customHeight="true" outlineLevel="0" collapsed="false">
      <c r="A90" s="52" t="n">
        <v>1909439</v>
      </c>
      <c r="B90" s="22" t="n">
        <v>1909439</v>
      </c>
      <c r="C90" s="53" t="n">
        <v>43756</v>
      </c>
      <c r="D90" s="24" t="s">
        <v>17</v>
      </c>
      <c r="E90" s="48" t="n">
        <v>3676.41</v>
      </c>
      <c r="F90" s="48"/>
      <c r="G90" s="49"/>
      <c r="H90" s="48"/>
      <c r="I90" s="48"/>
      <c r="J90" s="27" t="n">
        <f aca="false">IF(ISNUMBER(E90),E90+F90+G90+H90+I90," ")</f>
        <v>3676.41</v>
      </c>
      <c r="K90" s="47" t="n">
        <v>43791</v>
      </c>
      <c r="L90" s="28" t="str">
        <f aca="true">IF(ISBLANK(C90)," ",IF(ISNUMBER(M90),"Réglé",IF(K90&lt;TODAY(),"Retard",IF(K90=TODAY()," A régler","en attente"))))</f>
        <v>Réglé</v>
      </c>
      <c r="M90" s="47" t="n">
        <v>43816</v>
      </c>
      <c r="N90" s="29" t="n">
        <f aca="true">IF(ISBLANK(M90),TODAY()-K90,0)</f>
        <v>0</v>
      </c>
      <c r="O90" s="30" t="s">
        <v>18</v>
      </c>
      <c r="P90" s="31" t="s">
        <v>19</v>
      </c>
      <c r="Q90" s="32" t="s">
        <v>66</v>
      </c>
    </row>
    <row r="91" customFormat="false" ht="18" hidden="false" customHeight="true" outlineLevel="0" collapsed="false">
      <c r="A91" s="52" t="n">
        <v>1909593</v>
      </c>
      <c r="B91" s="22" t="n">
        <v>1909593</v>
      </c>
      <c r="C91" s="53" t="n">
        <v>43761</v>
      </c>
      <c r="D91" s="24" t="s">
        <v>24</v>
      </c>
      <c r="E91" s="48" t="n">
        <v>66.24</v>
      </c>
      <c r="F91" s="48"/>
      <c r="G91" s="49"/>
      <c r="H91" s="48"/>
      <c r="I91" s="48"/>
      <c r="J91" s="27" t="n">
        <f aca="false">IF(ISNUMBER(E91),E91+F91+G91+H91+I91," ")</f>
        <v>66.24</v>
      </c>
      <c r="K91" s="47" t="n">
        <v>43791</v>
      </c>
      <c r="L91" s="28" t="str">
        <f aca="true">IF(ISBLANK(C91)," ",IF(ISNUMBER(M91),"Réglé",IF(K91&lt;TODAY(),"Retard",IF(K91=TODAY()," A régler","en attente"))))</f>
        <v>Réglé</v>
      </c>
      <c r="M91" s="47" t="n">
        <v>43791</v>
      </c>
      <c r="N91" s="29" t="n">
        <f aca="true">IF(ISBLANK(M91),TODAY()-K91,0)</f>
        <v>0</v>
      </c>
      <c r="O91" s="30" t="s">
        <v>18</v>
      </c>
      <c r="P91" s="31" t="s">
        <v>19</v>
      </c>
      <c r="Q91" s="32"/>
    </row>
    <row r="92" customFormat="false" ht="18" hidden="false" customHeight="true" outlineLevel="0" collapsed="false">
      <c r="A92" s="52" t="n">
        <v>1909592</v>
      </c>
      <c r="B92" s="22" t="n">
        <v>1909592</v>
      </c>
      <c r="C92" s="53" t="n">
        <v>43761</v>
      </c>
      <c r="D92" s="24" t="s">
        <v>22</v>
      </c>
      <c r="E92" s="48" t="n">
        <v>132.48</v>
      </c>
      <c r="F92" s="48"/>
      <c r="G92" s="49"/>
      <c r="H92" s="48"/>
      <c r="I92" s="48"/>
      <c r="J92" s="27" t="n">
        <f aca="false">IF(ISNUMBER(E92),E92+F92+G92+H92+I92," ")</f>
        <v>132.48</v>
      </c>
      <c r="K92" s="47" t="n">
        <v>43791</v>
      </c>
      <c r="L92" s="28" t="str">
        <f aca="true">IF(ISBLANK(C92)," ",IF(ISNUMBER(M92),"Réglé",IF(K92&lt;TODAY(),"Retard",IF(K92=TODAY()," A régler","en attente"))))</f>
        <v>Réglé</v>
      </c>
      <c r="M92" s="47" t="n">
        <v>43791</v>
      </c>
      <c r="N92" s="29" t="n">
        <f aca="true">IF(ISBLANK(M92),TODAY()-K92,0)</f>
        <v>0</v>
      </c>
      <c r="O92" s="30" t="s">
        <v>18</v>
      </c>
      <c r="P92" s="31" t="s">
        <v>19</v>
      </c>
      <c r="Q92" s="32"/>
    </row>
    <row r="93" customFormat="false" ht="18" hidden="false" customHeight="true" outlineLevel="0" collapsed="false">
      <c r="A93" s="21" t="n">
        <v>2011125037</v>
      </c>
      <c r="B93" s="22" t="n">
        <v>201910106</v>
      </c>
      <c r="C93" s="23" t="n">
        <v>43762</v>
      </c>
      <c r="D93" s="24" t="s">
        <v>32</v>
      </c>
      <c r="E93" s="25" t="n">
        <v>180.6</v>
      </c>
      <c r="F93" s="48"/>
      <c r="G93" s="49"/>
      <c r="H93" s="48"/>
      <c r="I93" s="48"/>
      <c r="J93" s="27" t="n">
        <f aca="false">IF(ISNUMBER(E93),E93+F93+G93+H93+I93," ")</f>
        <v>180.6</v>
      </c>
      <c r="K93" s="23" t="n">
        <v>43792</v>
      </c>
      <c r="L93" s="28" t="str">
        <f aca="true">IF(ISBLANK(C93)," ",IF(ISNUMBER(M93),"Réglé",IF(K93&lt;TODAY(),"Retard",IF(K93=TODAY()," A régler","en attente"))))</f>
        <v>Réglé</v>
      </c>
      <c r="M93" s="23" t="n">
        <v>43811</v>
      </c>
      <c r="N93" s="29" t="n">
        <f aca="true">IF(ISBLANK(M93),TODAY()-K93,0)</f>
        <v>0</v>
      </c>
      <c r="O93" s="30" t="s">
        <v>50</v>
      </c>
      <c r="P93" s="31" t="s">
        <v>59</v>
      </c>
      <c r="Q93" s="32"/>
    </row>
    <row r="94" customFormat="false" ht="18" hidden="false" customHeight="true" outlineLevel="0" collapsed="false">
      <c r="A94" s="21" t="n">
        <v>2200283094</v>
      </c>
      <c r="B94" s="22" t="n">
        <v>20191157</v>
      </c>
      <c r="C94" s="23" t="n">
        <v>43782</v>
      </c>
      <c r="D94" s="24" t="s">
        <v>21</v>
      </c>
      <c r="E94" s="25" t="n">
        <v>679.48</v>
      </c>
      <c r="F94" s="48"/>
      <c r="G94" s="49"/>
      <c r="H94" s="48"/>
      <c r="I94" s="48"/>
      <c r="J94" s="27" t="n">
        <f aca="false">IF(ISNUMBER(E94),E94+F94+G94+H94+I94," ")</f>
        <v>679.48</v>
      </c>
      <c r="K94" s="23" t="n">
        <v>43792</v>
      </c>
      <c r="L94" s="28" t="str">
        <f aca="true">IF(ISBLANK(C94)," ",IF(ISNUMBER(M94),"Réglé",IF(K94&lt;TODAY(),"Retard",IF(K94=TODAY()," A régler","en attente"))))</f>
        <v>Réglé</v>
      </c>
      <c r="M94" s="23" t="n">
        <v>43811</v>
      </c>
      <c r="N94" s="29" t="n">
        <f aca="true">IF(ISBLANK(M94),TODAY()-K94,0)</f>
        <v>0</v>
      </c>
      <c r="O94" s="30" t="s">
        <v>50</v>
      </c>
      <c r="P94" s="31" t="s">
        <v>59</v>
      </c>
      <c r="Q94" s="32"/>
    </row>
    <row r="95" customFormat="false" ht="18" hidden="false" customHeight="true" outlineLevel="0" collapsed="false">
      <c r="A95" s="52" t="n">
        <v>1909598</v>
      </c>
      <c r="B95" s="22" t="n">
        <v>1909598</v>
      </c>
      <c r="C95" s="53" t="n">
        <v>43761</v>
      </c>
      <c r="D95" s="24" t="s">
        <v>17</v>
      </c>
      <c r="E95" s="48" t="n">
        <v>2076.93</v>
      </c>
      <c r="F95" s="48"/>
      <c r="G95" s="49"/>
      <c r="H95" s="48"/>
      <c r="I95" s="48"/>
      <c r="J95" s="27" t="n">
        <f aca="false">IF(ISNUMBER(E95),E95+F95+G95+H95+I95," ")</f>
        <v>2076.93</v>
      </c>
      <c r="K95" s="47" t="n">
        <v>43792</v>
      </c>
      <c r="L95" s="28" t="str">
        <f aca="true">IF(ISBLANK(C95)," ",IF(ISNUMBER(M95),"Réglé",IF(K95&lt;TODAY(),"Retard",IF(K95=TODAY()," A régler","en attente"))))</f>
        <v>Réglé</v>
      </c>
      <c r="M95" s="47" t="n">
        <v>43791</v>
      </c>
      <c r="N95" s="29" t="n">
        <f aca="true">IF(ISBLANK(M95),TODAY()-K95,0)</f>
        <v>0</v>
      </c>
      <c r="O95" s="30" t="s">
        <v>18</v>
      </c>
      <c r="P95" s="31" t="s">
        <v>19</v>
      </c>
      <c r="Q95" s="32"/>
    </row>
    <row r="96" customFormat="false" ht="18" hidden="false" customHeight="true" outlineLevel="0" collapsed="false">
      <c r="A96" s="52" t="n">
        <v>1909647</v>
      </c>
      <c r="B96" s="22" t="n">
        <v>1909647</v>
      </c>
      <c r="C96" s="53" t="n">
        <v>43762</v>
      </c>
      <c r="D96" s="24" t="s">
        <v>22</v>
      </c>
      <c r="E96" s="48" t="n">
        <v>66.24</v>
      </c>
      <c r="F96" s="48"/>
      <c r="G96" s="49"/>
      <c r="H96" s="48"/>
      <c r="I96" s="48"/>
      <c r="J96" s="27" t="n">
        <f aca="false">IF(ISNUMBER(E96),E96+F96+G96+H96+I96," ")</f>
        <v>66.24</v>
      </c>
      <c r="K96" s="47" t="n">
        <v>43793</v>
      </c>
      <c r="L96" s="28" t="str">
        <f aca="true">IF(ISBLANK(C96)," ",IF(ISNUMBER(M96),"Réglé",IF(K96&lt;TODAY(),"Retard",IF(K96=TODAY()," A régler","en attente"))))</f>
        <v>Réglé</v>
      </c>
      <c r="M96" s="47" t="n">
        <v>43794</v>
      </c>
      <c r="N96" s="29" t="n">
        <f aca="true">IF(ISBLANK(M96),TODAY()-K96,0)</f>
        <v>0</v>
      </c>
      <c r="O96" s="30" t="s">
        <v>18</v>
      </c>
      <c r="P96" s="31" t="s">
        <v>19</v>
      </c>
      <c r="Q96" s="32"/>
    </row>
    <row r="97" customFormat="false" ht="18" hidden="false" customHeight="true" outlineLevel="0" collapsed="false">
      <c r="A97" s="44" t="s">
        <v>40</v>
      </c>
      <c r="B97" s="35" t="n">
        <v>20191185</v>
      </c>
      <c r="C97" s="47" t="n">
        <v>43770</v>
      </c>
      <c r="D97" s="24" t="s">
        <v>41</v>
      </c>
      <c r="E97" s="48" t="n">
        <v>1000</v>
      </c>
      <c r="F97" s="48"/>
      <c r="G97" s="49"/>
      <c r="H97" s="48"/>
      <c r="I97" s="48"/>
      <c r="J97" s="27" t="n">
        <f aca="false">IF(ISNUMBER(E97),E97+F97+G97+H97+I97," ")</f>
        <v>1000</v>
      </c>
      <c r="K97" s="47" t="n">
        <v>43797</v>
      </c>
      <c r="L97" s="28" t="str">
        <f aca="true">IF(ISBLANK(C97)," ",IF(ISNUMBER(M97),"Réglé",IF(K97&lt;TODAY(),"Retard",IF(K97=TODAY()," A régler","en attente"))))</f>
        <v>Réglé</v>
      </c>
      <c r="M97" s="47" t="n">
        <v>43797</v>
      </c>
      <c r="N97" s="29" t="n">
        <f aca="true">IF(ISBLANK(M97),TODAY()-K97,0)</f>
        <v>0</v>
      </c>
      <c r="O97" s="30" t="s">
        <v>27</v>
      </c>
      <c r="P97" s="31" t="s">
        <v>42</v>
      </c>
      <c r="Q97" s="32"/>
    </row>
    <row r="98" customFormat="false" ht="18" hidden="false" customHeight="true" outlineLevel="0" collapsed="false">
      <c r="A98" s="44" t="n">
        <v>20191776</v>
      </c>
      <c r="B98" s="35" t="n">
        <v>20191168</v>
      </c>
      <c r="C98" s="47" t="n">
        <v>43784</v>
      </c>
      <c r="D98" s="24" t="s">
        <v>56</v>
      </c>
      <c r="E98" s="48" t="n">
        <v>22</v>
      </c>
      <c r="F98" s="48"/>
      <c r="G98" s="49"/>
      <c r="H98" s="48"/>
      <c r="I98" s="48"/>
      <c r="J98" s="27" t="n">
        <f aca="false">IF(ISNUMBER(E98),E98+F98+G98+H98+I98," ")</f>
        <v>22</v>
      </c>
      <c r="K98" s="47" t="n">
        <v>43799</v>
      </c>
      <c r="L98" s="28" t="str">
        <f aca="true">IF(ISBLANK(C98)," ",IF(ISNUMBER(M98),"Réglé",IF(K98&lt;TODAY(),"Retard",IF(K98=TODAY()," A régler","en attente"))))</f>
        <v>Réglé</v>
      </c>
      <c r="M98" s="47" t="n">
        <v>43811</v>
      </c>
      <c r="N98" s="29" t="n">
        <f aca="true">IF(ISBLANK(M98),TODAY()-K98,0)</f>
        <v>0</v>
      </c>
      <c r="O98" s="30" t="s">
        <v>50</v>
      </c>
      <c r="P98" s="31" t="s">
        <v>59</v>
      </c>
      <c r="Q98" s="32"/>
    </row>
    <row r="99" customFormat="false" ht="18" hidden="false" customHeight="true" outlineLevel="0" collapsed="false">
      <c r="A99" s="21" t="s">
        <v>73</v>
      </c>
      <c r="B99" s="22" t="n">
        <v>201910139</v>
      </c>
      <c r="C99" s="23" t="n">
        <v>43769</v>
      </c>
      <c r="D99" s="24" t="s">
        <v>43</v>
      </c>
      <c r="E99" s="25" t="n">
        <v>7625.2</v>
      </c>
      <c r="F99" s="48"/>
      <c r="G99" s="49"/>
      <c r="H99" s="48"/>
      <c r="I99" s="48"/>
      <c r="J99" s="27" t="n">
        <f aca="false">IF(ISNUMBER(E99),E99+F99+G99+H99+I99," ")</f>
        <v>7625.2</v>
      </c>
      <c r="K99" s="23" t="n">
        <v>43799</v>
      </c>
      <c r="L99" s="28" t="str">
        <f aca="true">IF(ISBLANK(C99)," ",IF(ISNUMBER(M99),"Réglé",IF(K99&lt;TODAY(),"Retard",IF(K99=TODAY()," A régler","en attente"))))</f>
        <v>Réglé</v>
      </c>
      <c r="M99" s="23" t="n">
        <v>43811</v>
      </c>
      <c r="N99" s="29" t="n">
        <f aca="true">IF(ISBLANK(M99),TODAY()-K99,0)</f>
        <v>0</v>
      </c>
      <c r="O99" s="30" t="s">
        <v>50</v>
      </c>
      <c r="P99" s="31" t="s">
        <v>59</v>
      </c>
      <c r="Q99" s="32"/>
    </row>
    <row r="100" customFormat="false" ht="18" hidden="false" customHeight="true" outlineLevel="0" collapsed="false">
      <c r="A100" s="21" t="s">
        <v>74</v>
      </c>
      <c r="B100" s="22" t="n">
        <v>201910140</v>
      </c>
      <c r="C100" s="23" t="n">
        <v>43769</v>
      </c>
      <c r="D100" s="24" t="s">
        <v>44</v>
      </c>
      <c r="E100" s="25" t="n">
        <v>3751.15</v>
      </c>
      <c r="F100" s="48"/>
      <c r="G100" s="49"/>
      <c r="H100" s="48"/>
      <c r="I100" s="48"/>
      <c r="J100" s="27" t="n">
        <f aca="false">IF(ISNUMBER(E100),E100+F100+G100+H100+I100," ")</f>
        <v>3751.15</v>
      </c>
      <c r="K100" s="23" t="n">
        <v>43799</v>
      </c>
      <c r="L100" s="28" t="str">
        <f aca="true">IF(ISBLANK(C100)," ",IF(ISNUMBER(M100),"Réglé",IF(K100&lt;TODAY(),"Retard",IF(K100=TODAY()," A régler","en attente"))))</f>
        <v>Réglé</v>
      </c>
      <c r="M100" s="23" t="n">
        <v>43806</v>
      </c>
      <c r="N100" s="29" t="n">
        <f aca="true">IF(ISBLANK(M100),TODAY()-K100,0)</f>
        <v>0</v>
      </c>
      <c r="O100" s="31" t="s">
        <v>50</v>
      </c>
      <c r="P100" s="31" t="s">
        <v>42</v>
      </c>
      <c r="Q100" s="32"/>
    </row>
    <row r="101" customFormat="false" ht="18" hidden="false" customHeight="true" outlineLevel="0" collapsed="false">
      <c r="A101" s="44" t="s">
        <v>75</v>
      </c>
      <c r="B101" s="35" t="n">
        <v>201910141</v>
      </c>
      <c r="C101" s="47" t="n">
        <v>43769</v>
      </c>
      <c r="D101" s="24" t="s">
        <v>45</v>
      </c>
      <c r="E101" s="48" t="n">
        <v>4315.85</v>
      </c>
      <c r="F101" s="48"/>
      <c r="G101" s="49"/>
      <c r="H101" s="48"/>
      <c r="I101" s="48"/>
      <c r="J101" s="27" t="n">
        <f aca="false">IF(ISNUMBER(E101),E101+F101+G101+H101+I101," ")</f>
        <v>4315.85</v>
      </c>
      <c r="K101" s="47" t="n">
        <v>43799</v>
      </c>
      <c r="L101" s="28" t="str">
        <f aca="true">IF(ISBLANK(C101)," ",IF(ISNUMBER(M101),"Réglé",IF(K101&lt;TODAY(),"Retard",IF(K101=TODAY()," A régler","en attente"))))</f>
        <v>Réglé</v>
      </c>
      <c r="M101" s="47" t="n">
        <v>43811</v>
      </c>
      <c r="N101" s="29" t="n">
        <f aca="true">IF(ISBLANK(M101),TODAY()-K101,0)</f>
        <v>0</v>
      </c>
      <c r="O101" s="30" t="s">
        <v>50</v>
      </c>
      <c r="P101" s="31" t="s">
        <v>59</v>
      </c>
      <c r="Q101" s="32"/>
    </row>
    <row r="102" customFormat="false" ht="18" hidden="false" customHeight="true" outlineLevel="0" collapsed="false">
      <c r="A102" s="21" t="s">
        <v>76</v>
      </c>
      <c r="B102" s="22" t="n">
        <v>201910142</v>
      </c>
      <c r="C102" s="23" t="n">
        <v>43769</v>
      </c>
      <c r="D102" s="24" t="s">
        <v>46</v>
      </c>
      <c r="E102" s="25" t="n">
        <v>3876.3</v>
      </c>
      <c r="F102" s="48"/>
      <c r="G102" s="49"/>
      <c r="H102" s="48"/>
      <c r="I102" s="48"/>
      <c r="J102" s="27" t="n">
        <f aca="false">IF(ISNUMBER(E102),E102+F102+G102+H102+I102," ")</f>
        <v>3876.3</v>
      </c>
      <c r="K102" s="23" t="n">
        <v>43799</v>
      </c>
      <c r="L102" s="28" t="str">
        <f aca="true">IF(ISBLANK(C102)," ",IF(ISNUMBER(M102),"Réglé",IF(K102&lt;TODAY(),"Retard",IF(K102=TODAY()," A régler","en attente"))))</f>
        <v>Réglé</v>
      </c>
      <c r="M102" s="23" t="n">
        <v>43811</v>
      </c>
      <c r="N102" s="29" t="n">
        <f aca="true">IF(ISBLANK(M102),TODAY()-K102,0)</f>
        <v>0</v>
      </c>
      <c r="O102" s="30" t="s">
        <v>50</v>
      </c>
      <c r="P102" s="31" t="s">
        <v>59</v>
      </c>
      <c r="Q102" s="32"/>
    </row>
    <row r="103" customFormat="false" ht="18" hidden="false" customHeight="true" outlineLevel="0" collapsed="false">
      <c r="A103" s="21" t="s">
        <v>77</v>
      </c>
      <c r="B103" s="22" t="n">
        <v>201910143</v>
      </c>
      <c r="C103" s="23" t="n">
        <v>43769</v>
      </c>
      <c r="D103" s="24" t="s">
        <v>47</v>
      </c>
      <c r="E103" s="25" t="n">
        <v>3767.2</v>
      </c>
      <c r="F103" s="48"/>
      <c r="G103" s="49"/>
      <c r="H103" s="48"/>
      <c r="I103" s="48"/>
      <c r="J103" s="27" t="n">
        <f aca="false">IF(ISNUMBER(E103),E103+F103+G103+H103+I103," ")</f>
        <v>3767.2</v>
      </c>
      <c r="K103" s="23" t="n">
        <v>43799</v>
      </c>
      <c r="L103" s="28" t="str">
        <f aca="true">IF(ISBLANK(C103)," ",IF(ISNUMBER(M103),"Réglé",IF(K103&lt;TODAY(),"Retard",IF(K103=TODAY()," A régler","en attente"))))</f>
        <v>Réglé</v>
      </c>
      <c r="M103" s="23" t="n">
        <v>43811</v>
      </c>
      <c r="N103" s="29" t="n">
        <f aca="true">IF(ISBLANK(M103),TODAY()-K103,0)</f>
        <v>0</v>
      </c>
      <c r="O103" s="30" t="s">
        <v>50</v>
      </c>
      <c r="P103" s="31" t="s">
        <v>59</v>
      </c>
      <c r="Q103" s="32"/>
    </row>
    <row r="104" customFormat="false" ht="18" hidden="false" customHeight="true" outlineLevel="0" collapsed="false">
      <c r="A104" s="44" t="n">
        <v>2200284969</v>
      </c>
      <c r="B104" s="35" t="n">
        <v>20191183</v>
      </c>
      <c r="C104" s="47" t="n">
        <v>43789</v>
      </c>
      <c r="D104" s="24" t="s">
        <v>21</v>
      </c>
      <c r="E104" s="48" t="n">
        <v>125.28</v>
      </c>
      <c r="F104" s="48"/>
      <c r="G104" s="49"/>
      <c r="H104" s="48"/>
      <c r="I104" s="48"/>
      <c r="J104" s="27" t="n">
        <f aca="false">IF(ISNUMBER(E104),E104+F104+G104+H104+I104," ")</f>
        <v>125.28</v>
      </c>
      <c r="K104" s="47" t="n">
        <v>43799</v>
      </c>
      <c r="L104" s="28" t="str">
        <f aca="true">IF(ISBLANK(C104)," ",IF(ISNUMBER(M104),"Réglé",IF(K104&lt;TODAY(),"Retard",IF(K104=TODAY()," A régler","en attente"))))</f>
        <v>Réglé</v>
      </c>
      <c r="M104" s="47" t="n">
        <v>43811</v>
      </c>
      <c r="N104" s="29" t="n">
        <f aca="true">IF(ISBLANK(M104),TODAY()-K104,0)</f>
        <v>0</v>
      </c>
      <c r="O104" s="30" t="s">
        <v>50</v>
      </c>
      <c r="P104" s="31" t="s">
        <v>59</v>
      </c>
      <c r="Q104" s="32"/>
    </row>
    <row r="105" customFormat="false" ht="18" hidden="false" customHeight="true" outlineLevel="0" collapsed="false">
      <c r="A105" s="44" t="n">
        <v>20192236</v>
      </c>
      <c r="B105" s="35" t="n">
        <v>20191204</v>
      </c>
      <c r="C105" s="47" t="n">
        <v>43802</v>
      </c>
      <c r="D105" s="24" t="s">
        <v>61</v>
      </c>
      <c r="E105" s="48" t="n">
        <v>85.01</v>
      </c>
      <c r="F105" s="48"/>
      <c r="G105" s="49"/>
      <c r="H105" s="48"/>
      <c r="I105" s="48"/>
      <c r="J105" s="27" t="n">
        <f aca="false">IF(ISNUMBER(E105),E105+F105+G105+H105+I105," ")</f>
        <v>85.01</v>
      </c>
      <c r="K105" s="47" t="n">
        <v>43802</v>
      </c>
      <c r="L105" s="28" t="str">
        <f aca="true">IF(ISBLANK(C105)," ",IF(ISNUMBER(M105),"Réglé",IF(K105&lt;TODAY(),"Retard",IF(K105=TODAY()," A régler","en attente"))))</f>
        <v>Réglé</v>
      </c>
      <c r="M105" s="47" t="n">
        <v>43802</v>
      </c>
      <c r="N105" s="29" t="n">
        <f aca="true">IF(ISBLANK(M105),TODAY()-K105,0)</f>
        <v>0</v>
      </c>
      <c r="O105" s="30" t="s">
        <v>33</v>
      </c>
      <c r="P105" s="31" t="s">
        <v>33</v>
      </c>
      <c r="Q105" s="32" t="s">
        <v>78</v>
      </c>
    </row>
    <row r="106" customFormat="false" ht="18" hidden="false" customHeight="true" outlineLevel="0" collapsed="false">
      <c r="A106" s="52" t="n">
        <v>1909681</v>
      </c>
      <c r="B106" s="22" t="n">
        <v>1909681</v>
      </c>
      <c r="C106" s="53" t="n">
        <v>43763</v>
      </c>
      <c r="D106" s="24" t="s">
        <v>25</v>
      </c>
      <c r="E106" s="48" t="n">
        <v>66.24</v>
      </c>
      <c r="F106" s="48"/>
      <c r="G106" s="49"/>
      <c r="H106" s="48"/>
      <c r="I106" s="48"/>
      <c r="J106" s="27" t="n">
        <f aca="false">IF(ISNUMBER(E106),E106+F106+G106+H106+I106," ")</f>
        <v>66.24</v>
      </c>
      <c r="K106" s="47" t="n">
        <v>43803</v>
      </c>
      <c r="L106" s="28" t="str">
        <f aca="true">IF(ISBLANK(C106)," ",IF(ISNUMBER(M106),"Réglé",IF(K106&lt;TODAY(),"Retard",IF(K106=TODAY()," A régler","en attente"))))</f>
        <v>Réglé</v>
      </c>
      <c r="M106" s="47" t="n">
        <v>43794</v>
      </c>
      <c r="N106" s="29" t="n">
        <f aca="true">IF(ISBLANK(M106),TODAY()-K106,0)</f>
        <v>0</v>
      </c>
      <c r="O106" s="30" t="s">
        <v>18</v>
      </c>
      <c r="P106" s="31" t="s">
        <v>19</v>
      </c>
      <c r="Q106" s="32"/>
    </row>
    <row r="107" customFormat="false" ht="18" hidden="false" customHeight="true" outlineLevel="0" collapsed="false">
      <c r="A107" s="52" t="n">
        <v>1909886</v>
      </c>
      <c r="B107" s="22" t="n">
        <v>1909886</v>
      </c>
      <c r="C107" s="53" t="n">
        <v>43773</v>
      </c>
      <c r="D107" s="24" t="s">
        <v>23</v>
      </c>
      <c r="E107" s="48" t="n">
        <v>539.4</v>
      </c>
      <c r="F107" s="48"/>
      <c r="G107" s="49"/>
      <c r="H107" s="48"/>
      <c r="I107" s="48"/>
      <c r="J107" s="27" t="n">
        <f aca="false">IF(ISNUMBER(E107),E107+F107+G107+H107+I107," ")</f>
        <v>539.4</v>
      </c>
      <c r="K107" s="47" t="n">
        <v>43803</v>
      </c>
      <c r="L107" s="28" t="str">
        <f aca="true">IF(ISBLANK(C107)," ",IF(ISNUMBER(M107),"Réglé",IF(K107&lt;TODAY(),"Retard",IF(K107=TODAY()," A régler","en attente"))))</f>
        <v>Réglé</v>
      </c>
      <c r="M107" s="47" t="n">
        <v>43803</v>
      </c>
      <c r="N107" s="29" t="n">
        <f aca="true">IF(ISBLANK(M107),TODAY()-K107,0)</f>
        <v>0</v>
      </c>
      <c r="O107" s="30" t="s">
        <v>18</v>
      </c>
      <c r="P107" s="31" t="s">
        <v>19</v>
      </c>
      <c r="Q107" s="32"/>
    </row>
    <row r="108" customFormat="false" ht="18" hidden="false" customHeight="true" outlineLevel="0" collapsed="false">
      <c r="A108" s="52" t="n">
        <v>1909891</v>
      </c>
      <c r="B108" s="22" t="n">
        <v>1909891</v>
      </c>
      <c r="C108" s="53" t="n">
        <v>43773</v>
      </c>
      <c r="D108" s="24" t="s">
        <v>25</v>
      </c>
      <c r="E108" s="48" t="n">
        <v>858.84</v>
      </c>
      <c r="F108" s="48"/>
      <c r="G108" s="49"/>
      <c r="H108" s="48"/>
      <c r="I108" s="48"/>
      <c r="J108" s="27" t="n">
        <f aca="false">IF(ISNUMBER(E108),E108+F108+G108+H108+I108," ")</f>
        <v>858.84</v>
      </c>
      <c r="K108" s="47" t="n">
        <v>43803</v>
      </c>
      <c r="L108" s="28" t="str">
        <f aca="true">IF(ISBLANK(C108)," ",IF(ISNUMBER(M108),"Réglé",IF(K108&lt;TODAY(),"Retard",IF(K108=TODAY()," A régler","en attente"))))</f>
        <v>Réglé</v>
      </c>
      <c r="M108" s="47" t="n">
        <v>43803</v>
      </c>
      <c r="N108" s="29" t="n">
        <f aca="true">IF(ISBLANK(M108),TODAY()-K108,0)</f>
        <v>0</v>
      </c>
      <c r="O108" s="30" t="s">
        <v>18</v>
      </c>
      <c r="P108" s="31" t="s">
        <v>19</v>
      </c>
      <c r="Q108" s="32"/>
    </row>
    <row r="109" customFormat="false" ht="18" hidden="false" customHeight="true" outlineLevel="0" collapsed="false">
      <c r="A109" s="44" t="n">
        <v>2011126888</v>
      </c>
      <c r="B109" s="35" t="n">
        <v>20191125</v>
      </c>
      <c r="C109" s="47" t="n">
        <v>43774</v>
      </c>
      <c r="D109" s="24" t="s">
        <v>32</v>
      </c>
      <c r="E109" s="48" t="n">
        <v>68.08</v>
      </c>
      <c r="F109" s="48"/>
      <c r="G109" s="49"/>
      <c r="H109" s="48"/>
      <c r="I109" s="48"/>
      <c r="J109" s="27" t="n">
        <f aca="false">IF(ISNUMBER(E109),E109+F109+G109+H109+I109," ")</f>
        <v>68.08</v>
      </c>
      <c r="K109" s="47" t="n">
        <v>43804</v>
      </c>
      <c r="L109" s="28" t="str">
        <f aca="true">IF(ISBLANK(C109)," ",IF(ISNUMBER(M109),"Réglé",IF(K109&lt;TODAY(),"Retard",IF(K109=TODAY()," A régler","en attente"))))</f>
        <v>Réglé</v>
      </c>
      <c r="M109" s="47" t="n">
        <v>43811</v>
      </c>
      <c r="N109" s="29" t="n">
        <f aca="true">IF(ISBLANK(M109),TODAY()-K109,0)</f>
        <v>0</v>
      </c>
      <c r="O109" s="30" t="s">
        <v>50</v>
      </c>
      <c r="P109" s="31" t="s">
        <v>59</v>
      </c>
      <c r="Q109" s="32"/>
    </row>
    <row r="110" customFormat="false" ht="18" hidden="false" customHeight="true" outlineLevel="0" collapsed="false">
      <c r="A110" s="52" t="n">
        <v>1909950</v>
      </c>
      <c r="B110" s="22" t="n">
        <v>1909950</v>
      </c>
      <c r="C110" s="53" t="n">
        <v>43774</v>
      </c>
      <c r="D110" s="24" t="s">
        <v>17</v>
      </c>
      <c r="E110" s="48" t="n">
        <v>66.24</v>
      </c>
      <c r="F110" s="48"/>
      <c r="G110" s="49"/>
      <c r="H110" s="48"/>
      <c r="I110" s="48"/>
      <c r="J110" s="27" t="n">
        <f aca="false">IF(ISNUMBER(E110),E110+F110+G110+H110+I110," ")</f>
        <v>66.24</v>
      </c>
      <c r="K110" s="47" t="n">
        <v>43804</v>
      </c>
      <c r="L110" s="28" t="str">
        <f aca="true">IF(ISBLANK(C110)," ",IF(ISNUMBER(M110),"Réglé",IF(K110&lt;TODAY(),"Retard",IF(K110=TODAY()," A régler","en attente"))))</f>
        <v>Réglé</v>
      </c>
      <c r="M110" s="47" t="n">
        <v>43804</v>
      </c>
      <c r="N110" s="29" t="n">
        <f aca="true">IF(ISBLANK(M110),TODAY()-K110,0)</f>
        <v>0</v>
      </c>
      <c r="O110" s="30" t="s">
        <v>18</v>
      </c>
      <c r="P110" s="31" t="s">
        <v>19</v>
      </c>
      <c r="Q110" s="32"/>
    </row>
    <row r="111" customFormat="false" ht="18" hidden="false" customHeight="true" outlineLevel="0" collapsed="false">
      <c r="A111" s="52" t="n">
        <v>1909913</v>
      </c>
      <c r="B111" s="22" t="n">
        <v>1909913</v>
      </c>
      <c r="C111" s="53" t="n">
        <v>43774</v>
      </c>
      <c r="D111" s="24" t="s">
        <v>17</v>
      </c>
      <c r="E111" s="48" t="n">
        <v>429.49</v>
      </c>
      <c r="F111" s="48"/>
      <c r="G111" s="49"/>
      <c r="H111" s="48"/>
      <c r="I111" s="48"/>
      <c r="J111" s="27" t="n">
        <f aca="false">IF(ISNUMBER(E111),E111+F111+G111+H111+I111," ")</f>
        <v>429.49</v>
      </c>
      <c r="K111" s="47" t="n">
        <v>43804</v>
      </c>
      <c r="L111" s="28" t="str">
        <f aca="true">IF(ISBLANK(C111)," ",IF(ISNUMBER(M111),"Réglé",IF(K111&lt;TODAY(),"Retard",IF(K111=TODAY()," A régler","en attente"))))</f>
        <v>Réglé</v>
      </c>
      <c r="M111" s="47" t="n">
        <v>43804</v>
      </c>
      <c r="N111" s="29" t="n">
        <f aca="true">IF(ISBLANK(M111),TODAY()-K111,0)</f>
        <v>0</v>
      </c>
      <c r="O111" s="30" t="s">
        <v>18</v>
      </c>
      <c r="P111" s="31" t="s">
        <v>19</v>
      </c>
      <c r="Q111" s="32"/>
    </row>
    <row r="112" customFormat="false" ht="18" hidden="false" customHeight="true" outlineLevel="0" collapsed="false">
      <c r="A112" s="34" t="n">
        <v>2200286235</v>
      </c>
      <c r="B112" s="35" t="n">
        <v>201911116</v>
      </c>
      <c r="C112" s="36" t="n">
        <v>43795</v>
      </c>
      <c r="D112" s="24" t="s">
        <v>21</v>
      </c>
      <c r="E112" s="38" t="n">
        <v>127.56</v>
      </c>
      <c r="F112" s="38"/>
      <c r="G112" s="39"/>
      <c r="H112" s="38"/>
      <c r="I112" s="38"/>
      <c r="J112" s="40" t="n">
        <f aca="false">IF(ISNUMBER(E112),E112+F112+G112+H112+I112," ")</f>
        <v>127.56</v>
      </c>
      <c r="K112" s="36" t="n">
        <v>43805</v>
      </c>
      <c r="L112" s="28" t="str">
        <f aca="true">IF(ISBLANK(C112)," ",IF(ISNUMBER(M112),"Réglé",IF(K112&lt;TODAY(),"Retard",IF(K112=TODAY()," A régler","en attente"))))</f>
        <v>Réglé</v>
      </c>
      <c r="M112" s="36" t="n">
        <v>43811</v>
      </c>
      <c r="N112" s="41" t="n">
        <f aca="true">IF(ISBLANK(M112),TODAY()-K112,0)</f>
        <v>0</v>
      </c>
      <c r="O112" s="30" t="s">
        <v>50</v>
      </c>
      <c r="P112" s="42" t="s">
        <v>59</v>
      </c>
      <c r="Q112" s="43"/>
    </row>
    <row r="113" customFormat="false" ht="18" hidden="false" customHeight="true" outlineLevel="0" collapsed="false">
      <c r="A113" s="44" t="s">
        <v>79</v>
      </c>
      <c r="B113" s="35" t="n">
        <v>20191238</v>
      </c>
      <c r="C113" s="36" t="n">
        <v>43805</v>
      </c>
      <c r="D113" s="24" t="s">
        <v>72</v>
      </c>
      <c r="E113" s="38" t="n">
        <v>502.72</v>
      </c>
      <c r="F113" s="38"/>
      <c r="G113" s="39"/>
      <c r="H113" s="38"/>
      <c r="I113" s="38"/>
      <c r="J113" s="27" t="n">
        <f aca="false">IF(ISNUMBER(E113),E113+F113+G113+H113+I113," ")</f>
        <v>502.72</v>
      </c>
      <c r="K113" s="36" t="n">
        <v>43805</v>
      </c>
      <c r="L113" s="46" t="str">
        <f aca="true">IF(ISBLANK(C113)," ",IF(ISNUMBER(M113),"Réglé",IF(K113&lt;TODAY(),"Retard",IF(K113=TODAY()," A régler","en attente"))))</f>
        <v>Réglé</v>
      </c>
      <c r="M113" s="36" t="n">
        <v>43811</v>
      </c>
      <c r="N113" s="41" t="n">
        <f aca="true">IF(ISBLANK(M113),TODAY()-K113,0)</f>
        <v>0</v>
      </c>
      <c r="O113" s="30" t="s">
        <v>50</v>
      </c>
      <c r="P113" s="31" t="s">
        <v>42</v>
      </c>
      <c r="Q113" s="43"/>
    </row>
    <row r="114" customFormat="false" ht="18" hidden="false" customHeight="true" outlineLevel="0" collapsed="false">
      <c r="A114" s="52" t="n">
        <v>1910043</v>
      </c>
      <c r="B114" s="22" t="n">
        <v>1910043</v>
      </c>
      <c r="C114" s="53" t="n">
        <v>43776</v>
      </c>
      <c r="D114" s="24" t="s">
        <v>17</v>
      </c>
      <c r="E114" s="48" t="n">
        <v>923.08</v>
      </c>
      <c r="F114" s="48"/>
      <c r="G114" s="49"/>
      <c r="H114" s="48"/>
      <c r="I114" s="48"/>
      <c r="J114" s="27" t="n">
        <f aca="false">IF(ISNUMBER(E114),E114+F114+G114+H114+I114," ")</f>
        <v>923.08</v>
      </c>
      <c r="K114" s="47" t="n">
        <v>43807</v>
      </c>
      <c r="L114" s="28" t="str">
        <f aca="true">IF(ISBLANK(C114)," ",IF(ISNUMBER(M114),"Réglé",IF(K114&lt;TODAY(),"Retard",IF(K114=TODAY()," A régler","en attente"))))</f>
        <v>Réglé</v>
      </c>
      <c r="M114" s="47" t="n">
        <v>43808</v>
      </c>
      <c r="N114" s="29" t="n">
        <f aca="true">IF(ISBLANK(M114),TODAY()-K114,0)</f>
        <v>0</v>
      </c>
      <c r="O114" s="30" t="s">
        <v>18</v>
      </c>
      <c r="P114" s="31" t="s">
        <v>19</v>
      </c>
      <c r="Q114" s="32"/>
    </row>
    <row r="115" customFormat="false" ht="18" hidden="false" customHeight="true" outlineLevel="0" collapsed="false">
      <c r="A115" s="34" t="n">
        <v>2200287403</v>
      </c>
      <c r="B115" s="35" t="n">
        <v>201911128</v>
      </c>
      <c r="C115" s="36" t="n">
        <v>43798</v>
      </c>
      <c r="D115" s="37" t="s">
        <v>21</v>
      </c>
      <c r="E115" s="38" t="n">
        <v>12</v>
      </c>
      <c r="F115" s="38"/>
      <c r="G115" s="39"/>
      <c r="H115" s="38"/>
      <c r="I115" s="38"/>
      <c r="J115" s="40" t="n">
        <f aca="false">IF(ISNUMBER(E115),E115+F115+G115+H115+I115," ")</f>
        <v>12</v>
      </c>
      <c r="K115" s="36" t="n">
        <v>43808</v>
      </c>
      <c r="L115" s="28" t="str">
        <f aca="true">IF(ISBLANK(C115)," ",IF(ISNUMBER(M115),"Réglé",IF(K115&lt;TODAY(),"Retard",IF(K115=TODAY()," A régler","en attente"))))</f>
        <v>Réglé</v>
      </c>
      <c r="M115" s="36" t="n">
        <v>43811</v>
      </c>
      <c r="N115" s="41" t="n">
        <f aca="true">IF(ISBLANK(M115),TODAY()-K115,0)</f>
        <v>0</v>
      </c>
      <c r="O115" s="30" t="s">
        <v>50</v>
      </c>
      <c r="P115" s="42" t="s">
        <v>59</v>
      </c>
      <c r="Q115" s="43"/>
    </row>
    <row r="116" customFormat="false" ht="18" hidden="false" customHeight="true" outlineLevel="0" collapsed="false">
      <c r="A116" s="52" t="n">
        <v>1910107</v>
      </c>
      <c r="B116" s="22" t="n">
        <v>1910107</v>
      </c>
      <c r="C116" s="53" t="n">
        <v>43777</v>
      </c>
      <c r="D116" s="24" t="s">
        <v>25</v>
      </c>
      <c r="E116" s="48" t="n">
        <v>93.12</v>
      </c>
      <c r="F116" s="48"/>
      <c r="G116" s="49"/>
      <c r="H116" s="48"/>
      <c r="I116" s="48"/>
      <c r="J116" s="27" t="n">
        <f aca="false">IF(ISNUMBER(E116),E116+F116+G116+H116+I116," ")</f>
        <v>93.12</v>
      </c>
      <c r="K116" s="47" t="n">
        <v>43811</v>
      </c>
      <c r="L116" s="28" t="str">
        <f aca="true">IF(ISBLANK(C116)," ",IF(ISNUMBER(M116),"Réglé",IF(K116&lt;TODAY(),"Retard",IF(K116=TODAY()," A régler","en attente"))))</f>
        <v>Réglé</v>
      </c>
      <c r="M116" s="47" t="n">
        <v>43808</v>
      </c>
      <c r="N116" s="29" t="n">
        <f aca="true">IF(ISBLANK(M116),TODAY()-K116,0)</f>
        <v>0</v>
      </c>
      <c r="O116" s="30" t="s">
        <v>18</v>
      </c>
      <c r="P116" s="31" t="s">
        <v>19</v>
      </c>
      <c r="Q116" s="32"/>
    </row>
    <row r="117" customFormat="false" ht="18" hidden="false" customHeight="true" outlineLevel="0" collapsed="false">
      <c r="A117" s="44" t="n">
        <v>2011128553</v>
      </c>
      <c r="B117" s="35" t="n">
        <v>20191161</v>
      </c>
      <c r="C117" s="47" t="n">
        <v>43782</v>
      </c>
      <c r="D117" s="24" t="s">
        <v>32</v>
      </c>
      <c r="E117" s="48" t="n">
        <v>27.1</v>
      </c>
      <c r="F117" s="48"/>
      <c r="G117" s="49"/>
      <c r="H117" s="48"/>
      <c r="I117" s="48"/>
      <c r="J117" s="27" t="n">
        <f aca="false">IF(ISNUMBER(E117),E117+F117+G117+H117+I117," ")</f>
        <v>27.1</v>
      </c>
      <c r="K117" s="47" t="n">
        <v>43812</v>
      </c>
      <c r="L117" s="28" t="str">
        <f aca="true">IF(ISBLANK(C117)," ",IF(ISNUMBER(M117),"Réglé",IF(K117&lt;TODAY(),"Retard",IF(K117=TODAY()," A régler","en attente"))))</f>
        <v>Réglé</v>
      </c>
      <c r="M117" s="47" t="n">
        <v>43811</v>
      </c>
      <c r="N117" s="29" t="n">
        <f aca="true">IF(ISBLANK(M117),TODAY()-K117,0)</f>
        <v>0</v>
      </c>
      <c r="O117" s="30" t="s">
        <v>50</v>
      </c>
      <c r="P117" s="31" t="s">
        <v>59</v>
      </c>
      <c r="Q117" s="32"/>
    </row>
    <row r="118" customFormat="false" ht="16" hidden="false" customHeight="false" outlineLevel="0" collapsed="false">
      <c r="A118" s="44" t="s">
        <v>80</v>
      </c>
      <c r="B118" s="35" t="n">
        <v>20191148</v>
      </c>
      <c r="C118" s="47" t="n">
        <v>43783</v>
      </c>
      <c r="D118" s="24" t="s">
        <v>29</v>
      </c>
      <c r="E118" s="48" t="n">
        <v>99.09</v>
      </c>
      <c r="F118" s="48"/>
      <c r="G118" s="49"/>
      <c r="H118" s="48"/>
      <c r="I118" s="48"/>
      <c r="J118" s="27" t="n">
        <f aca="false">IF(ISNUMBER(E118),E118+F118+G118+H118+I118," ")</f>
        <v>99.09</v>
      </c>
      <c r="K118" s="47" t="n">
        <v>43813</v>
      </c>
      <c r="L118" s="28" t="str">
        <f aca="true">IF(ISBLANK(C118)," ",IF(ISNUMBER(M118),"Réglé",IF(K118&lt;TODAY(),"Retard",IF(K118=TODAY()," A régler","en attente"))))</f>
        <v>Réglé</v>
      </c>
      <c r="M118" s="47" t="n">
        <v>43806</v>
      </c>
      <c r="N118" s="29" t="n">
        <f aca="true">IF(ISBLANK(M118),TODAY()-K118,0)</f>
        <v>0</v>
      </c>
      <c r="O118" s="30" t="s">
        <v>50</v>
      </c>
      <c r="P118" s="31" t="s">
        <v>42</v>
      </c>
      <c r="Q118" s="32"/>
    </row>
    <row r="119" s="55" customFormat="true" ht="16" hidden="false" customHeight="false" outlineLevel="0" collapsed="false">
      <c r="A119" s="52" t="n">
        <v>1910273</v>
      </c>
      <c r="B119" s="22" t="n">
        <v>1910273</v>
      </c>
      <c r="C119" s="53" t="n">
        <v>43783</v>
      </c>
      <c r="D119" s="24" t="s">
        <v>17</v>
      </c>
      <c r="E119" s="48" t="n">
        <v>692.31</v>
      </c>
      <c r="F119" s="48"/>
      <c r="G119" s="49"/>
      <c r="H119" s="48"/>
      <c r="I119" s="48"/>
      <c r="J119" s="27" t="n">
        <f aca="false">IF(ISNUMBER(E119),E119+F119+G119+H119+I119," ")</f>
        <v>692.31</v>
      </c>
      <c r="K119" s="47" t="n">
        <v>43813</v>
      </c>
      <c r="L119" s="28" t="str">
        <f aca="true">IF(ISBLANK(C119)," ",IF(ISNUMBER(M119),"Réglé",IF(K119&lt;TODAY(),"Retard",IF(K119=TODAY()," A régler","en attente"))))</f>
        <v>Réglé</v>
      </c>
      <c r="M119" s="47" t="n">
        <v>43815</v>
      </c>
      <c r="N119" s="29" t="n">
        <f aca="true">IF(ISBLANK(M119),TODAY()-K119,0)</f>
        <v>0</v>
      </c>
      <c r="O119" s="30" t="s">
        <v>18</v>
      </c>
      <c r="P119" s="31" t="s">
        <v>19</v>
      </c>
      <c r="Q119" s="32"/>
    </row>
    <row r="120" customFormat="false" ht="16" hidden="false" customHeight="false" outlineLevel="0" collapsed="false">
      <c r="A120" s="52" t="n">
        <v>1910253</v>
      </c>
      <c r="B120" s="22" t="n">
        <v>1910253</v>
      </c>
      <c r="C120" s="53" t="n">
        <v>43783</v>
      </c>
      <c r="D120" s="24" t="s">
        <v>23</v>
      </c>
      <c r="E120" s="48" t="n">
        <v>93.12</v>
      </c>
      <c r="F120" s="48"/>
      <c r="G120" s="49"/>
      <c r="H120" s="48"/>
      <c r="I120" s="48"/>
      <c r="J120" s="27" t="n">
        <f aca="false">IF(ISNUMBER(E120),E120+F120+G120+H120+I120," ")</f>
        <v>93.12</v>
      </c>
      <c r="K120" s="47" t="n">
        <v>43813</v>
      </c>
      <c r="L120" s="28" t="str">
        <f aca="true">IF(ISBLANK(C120)," ",IF(ISNUMBER(M120),"Réglé",IF(K120&lt;TODAY(),"Retard",IF(K120=TODAY()," A régler","en attente"))))</f>
        <v>Réglé</v>
      </c>
      <c r="M120" s="47" t="n">
        <v>43815</v>
      </c>
      <c r="N120" s="29" t="n">
        <f aca="true">IF(ISBLANK(M120),TODAY()-K120,0)</f>
        <v>0</v>
      </c>
      <c r="O120" s="30" t="s">
        <v>18</v>
      </c>
      <c r="P120" s="31" t="s">
        <v>19</v>
      </c>
      <c r="Q120" s="32"/>
    </row>
    <row r="121" customFormat="false" ht="16" hidden="false" customHeight="false" outlineLevel="0" collapsed="false">
      <c r="A121" s="52" t="n">
        <v>1910245</v>
      </c>
      <c r="B121" s="22" t="n">
        <v>1910245</v>
      </c>
      <c r="C121" s="53" t="n">
        <v>43783</v>
      </c>
      <c r="D121" s="24" t="s">
        <v>23</v>
      </c>
      <c r="E121" s="48" t="n">
        <v>66.24</v>
      </c>
      <c r="F121" s="48"/>
      <c r="G121" s="49"/>
      <c r="H121" s="48"/>
      <c r="I121" s="48"/>
      <c r="J121" s="27" t="n">
        <f aca="false">IF(ISNUMBER(E121),E121+F121+G121+H121+I121," ")</f>
        <v>66.24</v>
      </c>
      <c r="K121" s="47" t="n">
        <v>43813</v>
      </c>
      <c r="L121" s="28" t="str">
        <f aca="true">IF(ISBLANK(C121)," ",IF(ISNUMBER(M121),"Réglé",IF(K121&lt;TODAY(),"Retard",IF(K121=TODAY()," A régler","en attente"))))</f>
        <v>Réglé</v>
      </c>
      <c r="M121" s="47" t="n">
        <v>43815</v>
      </c>
      <c r="N121" s="29" t="n">
        <f aca="true">IF(ISBLANK(M121),TODAY()-K121,0)</f>
        <v>0</v>
      </c>
      <c r="O121" s="30" t="s">
        <v>18</v>
      </c>
      <c r="P121" s="31" t="s">
        <v>19</v>
      </c>
      <c r="Q121" s="32"/>
    </row>
    <row r="122" customFormat="false" ht="16" hidden="false" customHeight="false" outlineLevel="0" collapsed="false">
      <c r="A122" s="52" t="n">
        <v>1910244</v>
      </c>
      <c r="B122" s="22" t="n">
        <v>1910244</v>
      </c>
      <c r="C122" s="53" t="n">
        <v>43783</v>
      </c>
      <c r="D122" s="24" t="s">
        <v>17</v>
      </c>
      <c r="E122" s="48" t="n">
        <v>146.88</v>
      </c>
      <c r="F122" s="48"/>
      <c r="G122" s="49"/>
      <c r="H122" s="48"/>
      <c r="I122" s="48"/>
      <c r="J122" s="27" t="n">
        <f aca="false">IF(ISNUMBER(E122),E122+F122+G122+H122+I122," ")</f>
        <v>146.88</v>
      </c>
      <c r="K122" s="47" t="n">
        <v>43813</v>
      </c>
      <c r="L122" s="28" t="str">
        <f aca="true">IF(ISBLANK(C122)," ",IF(ISNUMBER(M122),"Réglé",IF(K122&lt;TODAY(),"Retard",IF(K122=TODAY()," A régler","en attente"))))</f>
        <v>Réglé</v>
      </c>
      <c r="M122" s="47" t="n">
        <v>43815</v>
      </c>
      <c r="N122" s="29" t="n">
        <f aca="true">IF(ISBLANK(M122),TODAY()-K122,0)</f>
        <v>0</v>
      </c>
      <c r="O122" s="30" t="s">
        <v>18</v>
      </c>
      <c r="P122" s="31" t="s">
        <v>19</v>
      </c>
      <c r="Q122" s="32"/>
    </row>
    <row r="123" customFormat="false" ht="16" hidden="false" customHeight="false" outlineLevel="0" collapsed="false">
      <c r="A123" s="52" t="n">
        <v>1910240</v>
      </c>
      <c r="B123" s="22" t="n">
        <v>1910240</v>
      </c>
      <c r="C123" s="53" t="n">
        <v>43783</v>
      </c>
      <c r="D123" s="24" t="s">
        <v>25</v>
      </c>
      <c r="E123" s="48" t="n">
        <v>230.77</v>
      </c>
      <c r="F123" s="48"/>
      <c r="G123" s="49"/>
      <c r="H123" s="48"/>
      <c r="I123" s="48"/>
      <c r="J123" s="27" t="n">
        <f aca="false">IF(ISNUMBER(E123),E123+F123+G123+H123+I123," ")</f>
        <v>230.77</v>
      </c>
      <c r="K123" s="47" t="n">
        <v>43814</v>
      </c>
      <c r="L123" s="28" t="str">
        <f aca="true">IF(ISBLANK(C123)," ",IF(ISNUMBER(M123),"Réglé",IF(K123&lt;TODAY(),"Retard",IF(K123=TODAY()," A régler","en attente"))))</f>
        <v>Réglé</v>
      </c>
      <c r="M123" s="47" t="n">
        <v>43815</v>
      </c>
      <c r="N123" s="29" t="n">
        <f aca="true">IF(ISBLANK(M123),TODAY()-K123,0)</f>
        <v>0</v>
      </c>
      <c r="O123" s="30" t="s">
        <v>18</v>
      </c>
      <c r="P123" s="31" t="s">
        <v>19</v>
      </c>
      <c r="Q123" s="32"/>
    </row>
    <row r="124" customFormat="false" ht="16" hidden="false" customHeight="false" outlineLevel="0" collapsed="false">
      <c r="A124" s="52" t="n">
        <v>1910319</v>
      </c>
      <c r="B124" s="22" t="n">
        <v>1910319</v>
      </c>
      <c r="C124" s="53" t="n">
        <v>43784</v>
      </c>
      <c r="D124" s="24" t="s">
        <v>23</v>
      </c>
      <c r="E124" s="48" t="n">
        <v>26.88</v>
      </c>
      <c r="F124" s="48"/>
      <c r="G124" s="49"/>
      <c r="H124" s="48"/>
      <c r="I124" s="48"/>
      <c r="J124" s="27" t="n">
        <f aca="false">IF(ISNUMBER(E124),E124+F124+G124+H124+I124," ")</f>
        <v>26.88</v>
      </c>
      <c r="K124" s="47" t="n">
        <v>43814</v>
      </c>
      <c r="L124" s="28" t="str">
        <f aca="true">IF(ISBLANK(C124)," ",IF(ISNUMBER(M124),"Réglé",IF(K124&lt;TODAY(),"Retard",IF(K124=TODAY()," A régler","en attente"))))</f>
        <v>Réglé</v>
      </c>
      <c r="M124" s="47" t="n">
        <v>43815</v>
      </c>
      <c r="N124" s="29" t="n">
        <f aca="true">IF(ISBLANK(M124),TODAY()-K124,0)</f>
        <v>0</v>
      </c>
      <c r="O124" s="30" t="s">
        <v>18</v>
      </c>
      <c r="P124" s="31" t="s">
        <v>19</v>
      </c>
      <c r="Q124" s="32"/>
    </row>
    <row r="125" customFormat="false" ht="16" hidden="false" customHeight="false" outlineLevel="0" collapsed="false">
      <c r="A125" s="52" t="n">
        <v>1910318</v>
      </c>
      <c r="B125" s="22" t="n">
        <v>1910318</v>
      </c>
      <c r="C125" s="53" t="n">
        <v>43784</v>
      </c>
      <c r="D125" s="24" t="s">
        <v>25</v>
      </c>
      <c r="E125" s="48" t="n">
        <v>132.48</v>
      </c>
      <c r="F125" s="48"/>
      <c r="G125" s="49"/>
      <c r="H125" s="48"/>
      <c r="I125" s="48"/>
      <c r="J125" s="27" t="n">
        <f aca="false">IF(ISNUMBER(E125),E125+F125+G125+H125+I125," ")</f>
        <v>132.48</v>
      </c>
      <c r="K125" s="47" t="n">
        <v>43817</v>
      </c>
      <c r="L125" s="28" t="str">
        <f aca="true">IF(ISBLANK(C125)," ",IF(ISNUMBER(M125),"Réglé",IF(K125&lt;TODAY(),"Retard",IF(K125=TODAY()," A régler","en attente"))))</f>
        <v>Réglé</v>
      </c>
      <c r="M125" s="47" t="n">
        <v>43815</v>
      </c>
      <c r="N125" s="29" t="n">
        <f aca="true">IF(ISBLANK(M125),TODAY()-K125,0)</f>
        <v>0</v>
      </c>
      <c r="O125" s="30" t="s">
        <v>18</v>
      </c>
      <c r="P125" s="31" t="s">
        <v>19</v>
      </c>
      <c r="Q125" s="32"/>
    </row>
    <row r="126" customFormat="false" ht="16" hidden="false" customHeight="false" outlineLevel="0" collapsed="false">
      <c r="A126" s="52" t="n">
        <v>1910362</v>
      </c>
      <c r="B126" s="22" t="n">
        <v>1910362</v>
      </c>
      <c r="C126" s="53" t="n">
        <v>43787</v>
      </c>
      <c r="D126" s="24" t="s">
        <v>17</v>
      </c>
      <c r="E126" s="48" t="n">
        <v>66.24</v>
      </c>
      <c r="F126" s="48"/>
      <c r="G126" s="49"/>
      <c r="H126" s="48"/>
      <c r="I126" s="48"/>
      <c r="J126" s="27" t="n">
        <f aca="false">IF(ISNUMBER(E126),E126+F126+G126+H126+I126," ")</f>
        <v>66.24</v>
      </c>
      <c r="K126" s="47" t="n">
        <v>43817</v>
      </c>
      <c r="L126" s="28" t="str">
        <f aca="true">IF(ISBLANK(C126)," ",IF(ISNUMBER(M126),"Réglé",IF(K126&lt;TODAY(),"Retard",IF(K126=TODAY()," A régler","en attente"))))</f>
        <v>Réglé</v>
      </c>
      <c r="M126" s="47" t="n">
        <v>43817</v>
      </c>
      <c r="N126" s="29" t="n">
        <f aca="true">IF(ISBLANK(M126),TODAY()-K126,0)</f>
        <v>0</v>
      </c>
      <c r="O126" s="30" t="s">
        <v>18</v>
      </c>
      <c r="P126" s="31" t="s">
        <v>19</v>
      </c>
      <c r="Q126" s="32"/>
    </row>
    <row r="127" customFormat="false" ht="16" hidden="false" customHeight="false" outlineLevel="0" collapsed="false">
      <c r="A127" s="44" t="s">
        <v>81</v>
      </c>
      <c r="B127" s="35" t="n">
        <v>20191276</v>
      </c>
      <c r="C127" s="36" t="n">
        <v>43817</v>
      </c>
      <c r="D127" s="45" t="s">
        <v>82</v>
      </c>
      <c r="E127" s="38" t="n">
        <v>306</v>
      </c>
      <c r="F127" s="38"/>
      <c r="G127" s="39"/>
      <c r="H127" s="38"/>
      <c r="I127" s="38"/>
      <c r="J127" s="27" t="n">
        <f aca="false">IF(ISNUMBER(E127),E127+F127+G127+H127+I127," ")</f>
        <v>306</v>
      </c>
      <c r="K127" s="36" t="n">
        <v>43817</v>
      </c>
      <c r="L127" s="46" t="str">
        <f aca="true">IF(ISBLANK(C127)," ",IF(ISNUMBER(M127),"Réglé",IF(K127&lt;TODAY(),"Retard",IF(K127=TODAY()," A régler","en attente"))))</f>
        <v>Réglé</v>
      </c>
      <c r="M127" s="36" t="n">
        <v>43820</v>
      </c>
      <c r="N127" s="41" t="n">
        <f aca="true">IF(ISBLANK(M127),TODAY()-K127,0)</f>
        <v>0</v>
      </c>
      <c r="O127" s="30" t="s">
        <v>50</v>
      </c>
      <c r="P127" s="31" t="s">
        <v>59</v>
      </c>
      <c r="Q127" s="32"/>
    </row>
    <row r="128" customFormat="false" ht="16" hidden="false" customHeight="false" outlineLevel="0" collapsed="false">
      <c r="A128" s="52" t="n">
        <v>1910377</v>
      </c>
      <c r="B128" s="22" t="n">
        <v>1910377</v>
      </c>
      <c r="C128" s="53" t="n">
        <v>43788</v>
      </c>
      <c r="D128" s="24" t="s">
        <v>26</v>
      </c>
      <c r="E128" s="48" t="n">
        <v>2820.11</v>
      </c>
      <c r="F128" s="48"/>
      <c r="G128" s="49"/>
      <c r="H128" s="48"/>
      <c r="I128" s="48"/>
      <c r="J128" s="27" t="n">
        <f aca="false">IF(ISNUMBER(E128),E128+F128+G128+H128+I128," ")</f>
        <v>2820.11</v>
      </c>
      <c r="K128" s="47" t="n">
        <v>43818</v>
      </c>
      <c r="L128" s="28" t="str">
        <f aca="true">IF(ISBLANK(C128)," ",IF(ISNUMBER(M128),"Réglé",IF(K128&lt;TODAY(),"Retard",IF(K128=TODAY()," A régler","en attente"))))</f>
        <v>Réglé</v>
      </c>
      <c r="M128" s="47" t="n">
        <v>43817</v>
      </c>
      <c r="N128" s="29" t="n">
        <f aca="true">IF(ISBLANK(M128),TODAY()-K128,0)</f>
        <v>0</v>
      </c>
      <c r="O128" s="30" t="s">
        <v>27</v>
      </c>
      <c r="P128" s="31" t="s">
        <v>19</v>
      </c>
      <c r="Q128" s="32"/>
    </row>
    <row r="129" customFormat="false" ht="16" hidden="false" customHeight="false" outlineLevel="0" collapsed="false">
      <c r="A129" s="52" t="n">
        <v>1910468</v>
      </c>
      <c r="B129" s="22" t="n">
        <v>1910468</v>
      </c>
      <c r="C129" s="53" t="n">
        <v>43788</v>
      </c>
      <c r="D129" s="24" t="s">
        <v>17</v>
      </c>
      <c r="E129" s="48" t="n">
        <v>132.48</v>
      </c>
      <c r="F129" s="48"/>
      <c r="G129" s="49"/>
      <c r="H129" s="48"/>
      <c r="I129" s="48"/>
      <c r="J129" s="27" t="n">
        <f aca="false">IF(ISNUMBER(E129),E129+F129+G129+H129+I129," ")</f>
        <v>132.48</v>
      </c>
      <c r="K129" s="47" t="n">
        <v>43818</v>
      </c>
      <c r="L129" s="28" t="str">
        <f aca="true">IF(ISBLANK(C129)," ",IF(ISNUMBER(M129),"Réglé",IF(K129&lt;TODAY(),"Retard",IF(K129=TODAY()," A régler","en attente"))))</f>
        <v>Réglé</v>
      </c>
      <c r="M129" s="47" t="n">
        <v>43818</v>
      </c>
      <c r="N129" s="29" t="n">
        <f aca="true">IF(ISBLANK(M129),TODAY()-K129,0)</f>
        <v>0</v>
      </c>
      <c r="O129" s="30" t="s">
        <v>18</v>
      </c>
      <c r="P129" s="31" t="s">
        <v>19</v>
      </c>
      <c r="Q129" s="32"/>
    </row>
    <row r="130" customFormat="false" ht="16" hidden="false" customHeight="false" outlineLevel="0" collapsed="false">
      <c r="A130" s="52" t="n">
        <v>1910436</v>
      </c>
      <c r="B130" s="22" t="n">
        <v>1910436</v>
      </c>
      <c r="C130" s="53" t="n">
        <v>43788</v>
      </c>
      <c r="D130" s="24" t="s">
        <v>23</v>
      </c>
      <c r="E130" s="48" t="n">
        <v>159.72</v>
      </c>
      <c r="F130" s="48"/>
      <c r="G130" s="49"/>
      <c r="H130" s="48"/>
      <c r="I130" s="48"/>
      <c r="J130" s="27" t="n">
        <f aca="false">IF(ISNUMBER(E130),E130+F130+G130+H130+I130," ")</f>
        <v>159.72</v>
      </c>
      <c r="K130" s="47" t="n">
        <v>43819</v>
      </c>
      <c r="L130" s="28" t="str">
        <f aca="true">IF(ISBLANK(C130)," ",IF(ISNUMBER(M130),"Réglé",IF(K130&lt;TODAY(),"Retard",IF(K130=TODAY()," A régler","en attente"))))</f>
        <v>Réglé</v>
      </c>
      <c r="M130" s="47" t="n">
        <v>43515</v>
      </c>
      <c r="N130" s="29" t="n">
        <f aca="true">IF(ISBLANK(M130),TODAY()-K130,0)</f>
        <v>0</v>
      </c>
      <c r="O130" s="30" t="s">
        <v>18</v>
      </c>
      <c r="P130" s="31" t="s">
        <v>19</v>
      </c>
      <c r="Q130" s="32"/>
    </row>
    <row r="131" customFormat="false" ht="16" hidden="false" customHeight="false" outlineLevel="0" collapsed="false">
      <c r="A131" s="52" t="n">
        <v>1910517</v>
      </c>
      <c r="B131" s="22" t="n">
        <v>1910517</v>
      </c>
      <c r="C131" s="53" t="n">
        <v>43789</v>
      </c>
      <c r="D131" s="24" t="s">
        <v>17</v>
      </c>
      <c r="E131" s="48" t="n">
        <v>166.89</v>
      </c>
      <c r="F131" s="48"/>
      <c r="G131" s="49"/>
      <c r="H131" s="48"/>
      <c r="I131" s="48"/>
      <c r="J131" s="27" t="n">
        <f aca="false">IF(ISNUMBER(E131),E131+F131+G131+H131+I131," ")</f>
        <v>166.89</v>
      </c>
      <c r="K131" s="47" t="n">
        <v>43819</v>
      </c>
      <c r="L131" s="28" t="str">
        <f aca="true">IF(ISBLANK(C131)," ",IF(ISNUMBER(M131),"Réglé",IF(K131&lt;TODAY(),"Retard",IF(K131=TODAY()," A régler","en attente"))))</f>
        <v>Réglé</v>
      </c>
      <c r="M131" s="47" t="n">
        <v>43819</v>
      </c>
      <c r="N131" s="29" t="n">
        <f aca="true">IF(ISBLANK(M131),TODAY()-K131,0)</f>
        <v>0</v>
      </c>
      <c r="O131" s="30" t="s">
        <v>18</v>
      </c>
      <c r="P131" s="31" t="s">
        <v>19</v>
      </c>
      <c r="Q131" s="32"/>
    </row>
    <row r="132" customFormat="false" ht="16" hidden="false" customHeight="false" outlineLevel="0" collapsed="false">
      <c r="A132" s="44" t="n">
        <v>1910476</v>
      </c>
      <c r="B132" s="35" t="n">
        <v>201911146</v>
      </c>
      <c r="C132" s="36" t="n">
        <v>43789</v>
      </c>
      <c r="D132" s="45" t="s">
        <v>26</v>
      </c>
      <c r="E132" s="38" t="n">
        <v>219.96</v>
      </c>
      <c r="F132" s="38"/>
      <c r="G132" s="39"/>
      <c r="H132" s="38"/>
      <c r="I132" s="38"/>
      <c r="J132" s="27" t="n">
        <f aca="false">IF(ISNUMBER(E132),E132+F132+G132+H132+I132," ")</f>
        <v>219.96</v>
      </c>
      <c r="K132" s="36" t="n">
        <v>43819</v>
      </c>
      <c r="L132" s="46" t="str">
        <f aca="true">IF(ISBLANK(C132)," ",IF(ISNUMBER(M132),"Réglé",IF(K132&lt;TODAY(),"Retard",IF(K132=TODAY()," A régler","en attente"))))</f>
        <v>Réglé</v>
      </c>
      <c r="M132" s="36" t="n">
        <v>43819</v>
      </c>
      <c r="N132" s="41" t="n">
        <f aca="true">IF(ISBLANK(M132),TODAY()-K132,0)</f>
        <v>0</v>
      </c>
      <c r="O132" s="30" t="s">
        <v>18</v>
      </c>
      <c r="P132" s="31" t="s">
        <v>19</v>
      </c>
      <c r="Q132" s="32"/>
    </row>
    <row r="133" customFormat="false" ht="16" hidden="false" customHeight="false" outlineLevel="0" collapsed="false">
      <c r="A133" s="52" t="n">
        <v>1910688</v>
      </c>
      <c r="B133" s="22" t="n">
        <v>1910688</v>
      </c>
      <c r="C133" s="53" t="n">
        <v>43795</v>
      </c>
      <c r="D133" s="24" t="s">
        <v>24</v>
      </c>
      <c r="E133" s="48" t="n">
        <v>975.2</v>
      </c>
      <c r="F133" s="48"/>
      <c r="G133" s="49"/>
      <c r="H133" s="48"/>
      <c r="I133" s="48"/>
      <c r="J133" s="27" t="n">
        <f aca="false">IF(ISNUMBER(E133),E133+F133+G133+H133+I133," ")</f>
        <v>975.2</v>
      </c>
      <c r="K133" s="47" t="n">
        <v>43821</v>
      </c>
      <c r="L133" s="28" t="str">
        <f aca="true">IF(ISBLANK(C133)," ",IF(ISNUMBER(M133),"Réglé",IF(K133&lt;TODAY(),"Retard",IF(K133=TODAY()," A régler","en attente"))))</f>
        <v>Réglé</v>
      </c>
      <c r="M133" s="47" t="n">
        <v>43826</v>
      </c>
      <c r="N133" s="29" t="n">
        <f aca="true">IF(ISBLANK(M133),TODAY()-K133,0)</f>
        <v>0</v>
      </c>
      <c r="O133" s="30" t="s">
        <v>18</v>
      </c>
      <c r="P133" s="31" t="s">
        <v>19</v>
      </c>
      <c r="Q133" s="32"/>
    </row>
    <row r="134" customFormat="false" ht="16" hidden="false" customHeight="false" outlineLevel="0" collapsed="false">
      <c r="A134" s="52" t="n">
        <v>1910614</v>
      </c>
      <c r="B134" s="22" t="n">
        <v>1910614</v>
      </c>
      <c r="C134" s="53" t="n">
        <v>43791</v>
      </c>
      <c r="D134" s="24" t="s">
        <v>17</v>
      </c>
      <c r="E134" s="48" t="n">
        <v>718.52</v>
      </c>
      <c r="F134" s="48"/>
      <c r="G134" s="49"/>
      <c r="H134" s="48"/>
      <c r="I134" s="48"/>
      <c r="J134" s="27" t="n">
        <f aca="false">IF(ISNUMBER(E134),E134+F134+G134+H134+I134," ")</f>
        <v>718.52</v>
      </c>
      <c r="K134" s="47" t="n">
        <v>43821</v>
      </c>
      <c r="L134" s="28" t="str">
        <f aca="true">IF(ISBLANK(C134)," ",IF(ISNUMBER(M134),"Réglé",IF(K134&lt;TODAY(),"Retard",IF(K134=TODAY()," A régler","en attente"))))</f>
        <v>Réglé</v>
      </c>
      <c r="M134" s="47" t="n">
        <v>43822</v>
      </c>
      <c r="N134" s="29" t="n">
        <f aca="true">IF(ISBLANK(M134),TODAY()-K134,0)</f>
        <v>0</v>
      </c>
      <c r="O134" s="30" t="s">
        <v>18</v>
      </c>
      <c r="P134" s="31" t="s">
        <v>19</v>
      </c>
      <c r="Q134" s="32"/>
    </row>
    <row r="135" customFormat="false" ht="16" hidden="false" customHeight="false" outlineLevel="0" collapsed="false">
      <c r="A135" s="52" t="n">
        <v>1910477</v>
      </c>
      <c r="B135" s="22" t="n">
        <v>1910477</v>
      </c>
      <c r="C135" s="53" t="n">
        <v>43789</v>
      </c>
      <c r="D135" s="24" t="s">
        <v>17</v>
      </c>
      <c r="E135" s="48" t="n">
        <v>4153.86</v>
      </c>
      <c r="F135" s="48"/>
      <c r="G135" s="49"/>
      <c r="H135" s="48"/>
      <c r="I135" s="48"/>
      <c r="J135" s="27" t="n">
        <f aca="false">IF(ISNUMBER(E135),E135+F135+G135+H135+I135," ")</f>
        <v>4153.86</v>
      </c>
      <c r="K135" s="47" t="n">
        <v>43824</v>
      </c>
      <c r="L135" s="28" t="str">
        <f aca="true">IF(ISBLANK(C135)," ",IF(ISNUMBER(M135),"Réglé",IF(K135&lt;TODAY(),"Retard",IF(K135=TODAY()," A régler","en attente"))))</f>
        <v>Réglé</v>
      </c>
      <c r="M135" s="47" t="n">
        <v>43819</v>
      </c>
      <c r="N135" s="29" t="n">
        <f aca="true">IF(ISBLANK(M135),TODAY()-K135,0)</f>
        <v>0</v>
      </c>
      <c r="O135" s="30" t="s">
        <v>18</v>
      </c>
      <c r="P135" s="31" t="s">
        <v>19</v>
      </c>
      <c r="Q135" s="32"/>
    </row>
    <row r="136" customFormat="false" ht="16" hidden="false" customHeight="false" outlineLevel="0" collapsed="false">
      <c r="A136" s="52" t="n">
        <v>1910672</v>
      </c>
      <c r="B136" s="22" t="n">
        <v>1910672</v>
      </c>
      <c r="C136" s="53" t="n">
        <v>43794</v>
      </c>
      <c r="D136" s="24" t="s">
        <v>17</v>
      </c>
      <c r="E136" s="48" t="n">
        <v>132.48</v>
      </c>
      <c r="F136" s="48"/>
      <c r="G136" s="49"/>
      <c r="H136" s="48"/>
      <c r="I136" s="48"/>
      <c r="J136" s="56" t="n">
        <f aca="false">IF(ISNUMBER(E136),E136+F136+G136+H136+I136," ")</f>
        <v>132.48</v>
      </c>
      <c r="K136" s="47" t="n">
        <v>43824</v>
      </c>
      <c r="L136" s="28" t="str">
        <f aca="true">IF(ISBLANK(C136)," ",IF(ISNUMBER(M136),"Réglé",IF(K136&lt;TODAY(),"Retard",IF(K136=TODAY()," A régler","en attente"))))</f>
        <v>Réglé</v>
      </c>
      <c r="M136" s="47" t="n">
        <v>43826</v>
      </c>
      <c r="N136" s="29" t="n">
        <f aca="true">IF(ISBLANK(M136),TODAY()-K136,0)</f>
        <v>0</v>
      </c>
      <c r="O136" s="30" t="s">
        <v>18</v>
      </c>
      <c r="P136" s="31" t="s">
        <v>19</v>
      </c>
      <c r="Q136" s="32"/>
    </row>
    <row r="137" customFormat="false" ht="16" hidden="false" customHeight="false" outlineLevel="0" collapsed="false">
      <c r="A137" s="52" t="n">
        <v>1910673</v>
      </c>
      <c r="B137" s="22" t="n">
        <v>1910673</v>
      </c>
      <c r="C137" s="53" t="n">
        <v>43794</v>
      </c>
      <c r="D137" s="24" t="s">
        <v>22</v>
      </c>
      <c r="E137" s="48" t="n">
        <v>662.4</v>
      </c>
      <c r="F137" s="48"/>
      <c r="G137" s="49"/>
      <c r="H137" s="48"/>
      <c r="I137" s="48"/>
      <c r="J137" s="27" t="n">
        <f aca="false">IF(ISNUMBER(E137),E137+F137+G137+H137+I137," ")</f>
        <v>662.4</v>
      </c>
      <c r="K137" s="47" t="n">
        <v>43824</v>
      </c>
      <c r="L137" s="28" t="str">
        <f aca="true">IF(ISBLANK(C137)," ",IF(ISNUMBER(M137),"Réglé",IF(K137&lt;TODAY(),"Retard",IF(K137=TODAY()," A régler","en attente"))))</f>
        <v>Réglé</v>
      </c>
      <c r="M137" s="47" t="n">
        <v>43826</v>
      </c>
      <c r="N137" s="29" t="n">
        <f aca="true">IF(ISBLANK(M137),TODAY()-K137,0)</f>
        <v>0</v>
      </c>
      <c r="O137" s="30" t="s">
        <v>18</v>
      </c>
      <c r="P137" s="31" t="s">
        <v>19</v>
      </c>
      <c r="Q137" s="32"/>
    </row>
    <row r="138" customFormat="false" ht="16" hidden="false" customHeight="false" outlineLevel="0" collapsed="false">
      <c r="A138" s="44" t="s">
        <v>83</v>
      </c>
      <c r="B138" s="35" t="n">
        <v>20191270</v>
      </c>
      <c r="C138" s="36" t="n">
        <v>43818</v>
      </c>
      <c r="D138" s="45" t="s">
        <v>84</v>
      </c>
      <c r="E138" s="38" t="n">
        <v>612.36</v>
      </c>
      <c r="F138" s="38"/>
      <c r="G138" s="39"/>
      <c r="H138" s="38"/>
      <c r="I138" s="38"/>
      <c r="J138" s="27" t="n">
        <f aca="false">IF(ISNUMBER(E138),E138+F138+G138+H138+I138," ")</f>
        <v>612.36</v>
      </c>
      <c r="K138" s="36" t="n">
        <v>43824</v>
      </c>
      <c r="L138" s="46" t="str">
        <f aca="true">IF(ISBLANK(C138)," ",IF(ISNUMBER(M138),"Réglé",IF(K138&lt;TODAY(),"Retard",IF(K138=TODAY()," A régler","en attente"))))</f>
        <v>Réglé</v>
      </c>
      <c r="M138" s="36" t="n">
        <v>43820</v>
      </c>
      <c r="N138" s="41" t="n">
        <f aca="true">IF(ISBLANK(M138),TODAY()-K138,0)</f>
        <v>0</v>
      </c>
      <c r="O138" s="30" t="s">
        <v>50</v>
      </c>
      <c r="P138" s="31" t="s">
        <v>59</v>
      </c>
      <c r="Q138" s="32"/>
    </row>
    <row r="139" customFormat="false" ht="16" hidden="false" customHeight="false" outlineLevel="0" collapsed="false">
      <c r="A139" s="52" t="n">
        <v>1910677</v>
      </c>
      <c r="B139" s="22" t="n">
        <v>1910677</v>
      </c>
      <c r="C139" s="53" t="n">
        <v>43794</v>
      </c>
      <c r="D139" s="24" t="s">
        <v>17</v>
      </c>
      <c r="E139" s="48" t="n">
        <v>58.46</v>
      </c>
      <c r="F139" s="48"/>
      <c r="G139" s="49"/>
      <c r="H139" s="48"/>
      <c r="I139" s="48"/>
      <c r="J139" s="56" t="n">
        <f aca="false">IF(ISNUMBER(E139),E139+F139+G139+H139+I139," ")</f>
        <v>58.46</v>
      </c>
      <c r="K139" s="47" t="n">
        <v>43825</v>
      </c>
      <c r="L139" s="28" t="str">
        <f aca="true">IF(ISBLANK(C139)," ",IF(ISNUMBER(M139),"Réglé",IF(K139&lt;TODAY(),"Retard",IF(K139=TODAY()," A régler","en attente"))))</f>
        <v>Réglé</v>
      </c>
      <c r="M139" s="47" t="n">
        <v>43826</v>
      </c>
      <c r="N139" s="29" t="n">
        <f aca="true">IF(ISBLANK(M139),TODAY()-K139,0)</f>
        <v>0</v>
      </c>
      <c r="O139" s="30" t="s">
        <v>18</v>
      </c>
      <c r="P139" s="31" t="s">
        <v>19</v>
      </c>
      <c r="Q139" s="32"/>
    </row>
    <row r="140" customFormat="false" ht="16" hidden="false" customHeight="false" outlineLevel="0" collapsed="false">
      <c r="A140" s="52" t="n">
        <v>1910714</v>
      </c>
      <c r="B140" s="22" t="n">
        <v>1910714</v>
      </c>
      <c r="C140" s="53" t="n">
        <v>43795</v>
      </c>
      <c r="D140" s="24" t="s">
        <v>17</v>
      </c>
      <c r="E140" s="48" t="n">
        <v>105.6</v>
      </c>
      <c r="F140" s="48"/>
      <c r="G140" s="49"/>
      <c r="H140" s="48"/>
      <c r="I140" s="48"/>
      <c r="J140" s="27" t="n">
        <f aca="false">IF(ISNUMBER(E140),E140+F140+G140+H140+I140," ")</f>
        <v>105.6</v>
      </c>
      <c r="K140" s="47" t="n">
        <v>43825</v>
      </c>
      <c r="L140" s="28" t="str">
        <f aca="true">IF(ISBLANK(C140)," ",IF(ISNUMBER(M140),"Réglé",IF(K140&lt;TODAY(),"Retard",IF(K140=TODAY()," A régler","en attente"))))</f>
        <v>Réglé</v>
      </c>
      <c r="M140" s="47" t="n">
        <v>43826</v>
      </c>
      <c r="N140" s="29" t="n">
        <f aca="true">IF(ISBLANK(M140),TODAY()-K140,0)</f>
        <v>0</v>
      </c>
      <c r="O140" s="30" t="s">
        <v>18</v>
      </c>
      <c r="P140" s="31" t="s">
        <v>19</v>
      </c>
      <c r="Q140" s="32"/>
    </row>
    <row r="141" customFormat="false" ht="16" hidden="false" customHeight="false" outlineLevel="0" collapsed="false">
      <c r="A141" s="52" t="n">
        <v>1910689</v>
      </c>
      <c r="B141" s="22" t="n">
        <v>1910689</v>
      </c>
      <c r="C141" s="53" t="n">
        <v>43795</v>
      </c>
      <c r="D141" s="24" t="s">
        <v>25</v>
      </c>
      <c r="E141" s="48" t="n">
        <v>1615.39</v>
      </c>
      <c r="F141" s="48"/>
      <c r="G141" s="49"/>
      <c r="H141" s="48"/>
      <c r="I141" s="48"/>
      <c r="J141" s="27" t="n">
        <f aca="false">IF(ISNUMBER(E141),E141+F141+G141+H141+I141," ")</f>
        <v>1615.39</v>
      </c>
      <c r="K141" s="47" t="n">
        <v>43825</v>
      </c>
      <c r="L141" s="28" t="str">
        <f aca="true">IF(ISBLANK(C141)," ",IF(ISNUMBER(M141),"Réglé",IF(K141&lt;TODAY(),"Retard",IF(K141=TODAY()," A régler","en attente"))))</f>
        <v>Réglé</v>
      </c>
      <c r="M141" s="47" t="n">
        <v>43826</v>
      </c>
      <c r="N141" s="29" t="n">
        <f aca="true">IF(ISBLANK(M141),TODAY()-K141,0)</f>
        <v>0</v>
      </c>
      <c r="O141" s="30" t="s">
        <v>18</v>
      </c>
      <c r="P141" s="31" t="s">
        <v>19</v>
      </c>
      <c r="Q141" s="32"/>
    </row>
    <row r="142" customFormat="false" ht="16" hidden="false" customHeight="false" outlineLevel="0" collapsed="false">
      <c r="A142" s="34" t="n">
        <v>1910742</v>
      </c>
      <c r="B142" s="35" t="n">
        <v>201911117</v>
      </c>
      <c r="C142" s="36" t="n">
        <v>43796</v>
      </c>
      <c r="D142" s="37" t="s">
        <v>22</v>
      </c>
      <c r="E142" s="38" t="n">
        <v>132.48</v>
      </c>
      <c r="F142" s="38"/>
      <c r="G142" s="39"/>
      <c r="H142" s="38"/>
      <c r="I142" s="38"/>
      <c r="J142" s="40" t="n">
        <f aca="false">IF(ISNUMBER(E142),E142+F142+G142+H142+I142," ")</f>
        <v>132.48</v>
      </c>
      <c r="K142" s="36" t="n">
        <v>43826</v>
      </c>
      <c r="L142" s="28" t="str">
        <f aca="true">IF(ISBLANK(C142)," ",IF(ISNUMBER(M142),"Réglé",IF(K142&lt;TODAY(),"Retard",IF(K142=TODAY()," A régler","en attente"))))</f>
        <v>Réglé</v>
      </c>
      <c r="M142" s="36" t="n">
        <v>43826</v>
      </c>
      <c r="N142" s="41" t="n">
        <f aca="true">IF(ISBLANK(M142),TODAY()-K142,0)</f>
        <v>0</v>
      </c>
      <c r="O142" s="30" t="s">
        <v>18</v>
      </c>
      <c r="P142" s="31" t="s">
        <v>19</v>
      </c>
      <c r="Q142" s="43"/>
    </row>
    <row r="143" customFormat="false" ht="16" hidden="false" customHeight="false" outlineLevel="0" collapsed="false">
      <c r="A143" s="34" t="n">
        <v>1910743</v>
      </c>
      <c r="B143" s="35" t="n">
        <v>201911129</v>
      </c>
      <c r="C143" s="36" t="n">
        <v>43796</v>
      </c>
      <c r="D143" s="37" t="s">
        <v>25</v>
      </c>
      <c r="E143" s="38" t="n">
        <v>66.24</v>
      </c>
      <c r="F143" s="38"/>
      <c r="G143" s="39"/>
      <c r="H143" s="38"/>
      <c r="I143" s="38"/>
      <c r="J143" s="40" t="n">
        <f aca="false">IF(ISNUMBER(E143),E143+F143+G143+H143+I143," ")</f>
        <v>66.24</v>
      </c>
      <c r="K143" s="36" t="n">
        <v>43826</v>
      </c>
      <c r="L143" s="28" t="str">
        <f aca="true">IF(ISBLANK(C143)," ",IF(ISNUMBER(M143),"Réglé",IF(K143&lt;TODAY(),"Retard",IF(K143=TODAY()," A régler","en attente"))))</f>
        <v>Réglé</v>
      </c>
      <c r="M143" s="36" t="n">
        <v>43826</v>
      </c>
      <c r="N143" s="41" t="n">
        <f aca="true">IF(ISBLANK(M143),TODAY()-K143,0)</f>
        <v>0</v>
      </c>
      <c r="O143" s="30" t="s">
        <v>18</v>
      </c>
      <c r="P143" s="31" t="s">
        <v>19</v>
      </c>
      <c r="Q143" s="43"/>
    </row>
    <row r="144" customFormat="false" ht="16" hidden="false" customHeight="false" outlineLevel="0" collapsed="false">
      <c r="A144" s="44" t="n">
        <v>107864</v>
      </c>
      <c r="B144" s="35" t="n">
        <v>201911144</v>
      </c>
      <c r="C144" s="36" t="n">
        <v>43799</v>
      </c>
      <c r="D144" s="24" t="s">
        <v>85</v>
      </c>
      <c r="E144" s="38" t="n">
        <v>180.42</v>
      </c>
      <c r="F144" s="38"/>
      <c r="G144" s="39"/>
      <c r="H144" s="38"/>
      <c r="I144" s="38"/>
      <c r="J144" s="27" t="n">
        <f aca="false">IF(ISNUMBER(E144),E144+F144+G144+H144+I144," ")</f>
        <v>180.42</v>
      </c>
      <c r="K144" s="36" t="n">
        <v>43829</v>
      </c>
      <c r="L144" s="46" t="str">
        <f aca="true">IF(ISBLANK(C144)," ",IF(ISNUMBER(M144),"Réglé",IF(K144&lt;TODAY(),"Retard",IF(K144=TODAY()," A régler","en attente"))))</f>
        <v>Réglé</v>
      </c>
      <c r="M144" s="36" t="n">
        <v>43811</v>
      </c>
      <c r="N144" s="41" t="n">
        <f aca="true">IF(ISBLANK(M144),TODAY()-K144,0)</f>
        <v>0</v>
      </c>
      <c r="O144" s="30" t="s">
        <v>50</v>
      </c>
      <c r="P144" s="31" t="s">
        <v>59</v>
      </c>
      <c r="Q144" s="43"/>
    </row>
    <row r="145" customFormat="false" ht="16" hidden="false" customHeight="false" outlineLevel="0" collapsed="false">
      <c r="A145" s="44" t="n">
        <v>3098</v>
      </c>
      <c r="B145" s="35" t="n">
        <v>20191163</v>
      </c>
      <c r="C145" s="47" t="n">
        <v>43798</v>
      </c>
      <c r="D145" s="24" t="s">
        <v>86</v>
      </c>
      <c r="E145" s="48" t="n">
        <v>529.2</v>
      </c>
      <c r="F145" s="48"/>
      <c r="G145" s="49"/>
      <c r="H145" s="48"/>
      <c r="I145" s="48"/>
      <c r="J145" s="27" t="n">
        <f aca="false">IF(ISNUMBER(E145),E145+F145+G145+H145+I145," ")</f>
        <v>529.2</v>
      </c>
      <c r="K145" s="47" t="n">
        <v>43830</v>
      </c>
      <c r="L145" s="28" t="str">
        <f aca="true">IF(ISBLANK(C145)," ",IF(ISNUMBER(M145),"Réglé",IF(K145&lt;TODAY(),"Retard",IF(K145=TODAY()," A régler","en attente"))))</f>
        <v>Réglé</v>
      </c>
      <c r="M145" s="47" t="n">
        <v>43810</v>
      </c>
      <c r="N145" s="29" t="n">
        <f aca="true">IF(ISBLANK(M145),TODAY()-K145,0)</f>
        <v>0</v>
      </c>
      <c r="O145" s="30" t="s">
        <v>50</v>
      </c>
      <c r="P145" s="31" t="s">
        <v>59</v>
      </c>
      <c r="Q145" s="32"/>
    </row>
    <row r="146" customFormat="false" ht="16" hidden="false" customHeight="false" outlineLevel="0" collapsed="false">
      <c r="A146" s="44" t="n">
        <v>2656952</v>
      </c>
      <c r="B146" s="35" t="n">
        <v>20191124</v>
      </c>
      <c r="C146" s="47" t="n">
        <v>43774</v>
      </c>
      <c r="D146" s="24" t="s">
        <v>87</v>
      </c>
      <c r="E146" s="48" t="n">
        <v>2233.63</v>
      </c>
      <c r="F146" s="48"/>
      <c r="G146" s="49"/>
      <c r="H146" s="48"/>
      <c r="I146" s="48"/>
      <c r="J146" s="27" t="n">
        <f aca="false">IF(ISNUMBER(E146),E146+F146+G146+H146+I146," ")</f>
        <v>2233.63</v>
      </c>
      <c r="K146" s="47" t="n">
        <v>43835</v>
      </c>
      <c r="L146" s="28" t="str">
        <f aca="true">IF(ISBLANK(C146)," ",IF(ISNUMBER(M146),"Réglé",IF(K146&lt;TODAY(),"Retard",IF(K146=TODAY()," A régler","en attente"))))</f>
        <v>Réglé</v>
      </c>
      <c r="M146" s="47" t="n">
        <v>43811</v>
      </c>
      <c r="N146" s="29" t="n">
        <f aca="true">IF(ISBLANK(M146),TODAY()-K146,0)</f>
        <v>0</v>
      </c>
      <c r="O146" s="30" t="s">
        <v>50</v>
      </c>
      <c r="P146" s="31" t="s">
        <v>59</v>
      </c>
      <c r="Q146" s="32"/>
    </row>
    <row r="147" customFormat="false" ht="16" hidden="false" customHeight="false" outlineLevel="0" collapsed="false">
      <c r="A147" s="51" t="n">
        <v>43770</v>
      </c>
      <c r="B147" s="35" t="n">
        <v>201911150</v>
      </c>
      <c r="C147" s="36" t="n">
        <v>43799</v>
      </c>
      <c r="D147" s="45" t="s">
        <v>46</v>
      </c>
      <c r="E147" s="38" t="n">
        <v>5779.02</v>
      </c>
      <c r="F147" s="38"/>
      <c r="G147" s="39"/>
      <c r="H147" s="38"/>
      <c r="I147" s="38"/>
      <c r="J147" s="27" t="n">
        <f aca="false">IF(ISNUMBER(E147),E147+F147+G147+H147+I147," ")</f>
        <v>5779.02</v>
      </c>
      <c r="K147" s="36" t="n">
        <v>43830</v>
      </c>
      <c r="L147" s="46" t="str">
        <f aca="true">IF(ISBLANK(C147)," ",IF(ISNUMBER(M147),"Réglé",IF(K147&lt;TODAY(),"Retard",IF(K147=TODAY()," A régler","en attente"))))</f>
        <v>Réglé</v>
      </c>
      <c r="M147" s="36" t="n">
        <v>43828</v>
      </c>
      <c r="N147" s="41" t="n">
        <f aca="true">IF(ISBLANK(M147),TODAY()-K147,0)</f>
        <v>0</v>
      </c>
      <c r="O147" s="30" t="s">
        <v>50</v>
      </c>
      <c r="P147" s="31" t="s">
        <v>42</v>
      </c>
      <c r="Q147" s="32"/>
    </row>
    <row r="148" customFormat="false" ht="16" hidden="false" customHeight="false" outlineLevel="0" collapsed="false">
      <c r="A148" s="51" t="n">
        <v>43770</v>
      </c>
      <c r="B148" s="35" t="n">
        <v>201911151</v>
      </c>
      <c r="C148" s="36" t="n">
        <v>43799</v>
      </c>
      <c r="D148" s="45" t="s">
        <v>43</v>
      </c>
      <c r="E148" s="38" t="n">
        <v>3343.35</v>
      </c>
      <c r="F148" s="38"/>
      <c r="G148" s="39"/>
      <c r="H148" s="38"/>
      <c r="I148" s="38"/>
      <c r="J148" s="27" t="n">
        <f aca="false">IF(ISNUMBER(E148),E148+F148+G148+H148+I148," ")</f>
        <v>3343.35</v>
      </c>
      <c r="K148" s="36" t="n">
        <v>43830</v>
      </c>
      <c r="L148" s="46" t="str">
        <f aca="true">IF(ISBLANK(C148)," ",IF(ISNUMBER(M148),"Réglé",IF(K148&lt;TODAY(),"Retard",IF(K148=TODAY()," A régler","en attente"))))</f>
        <v>Réglé</v>
      </c>
      <c r="M148" s="36" t="n">
        <v>43828</v>
      </c>
      <c r="N148" s="41" t="n">
        <f aca="true">IF(ISBLANK(M148),TODAY()-K148,0)</f>
        <v>0</v>
      </c>
      <c r="O148" s="30" t="s">
        <v>50</v>
      </c>
      <c r="P148" s="31" t="s">
        <v>42</v>
      </c>
      <c r="Q148" s="32"/>
    </row>
    <row r="149" customFormat="false" ht="16" hidden="false" customHeight="false" outlineLevel="0" collapsed="false">
      <c r="A149" s="51" t="n">
        <v>43770</v>
      </c>
      <c r="B149" s="35" t="n">
        <v>201911152</v>
      </c>
      <c r="C149" s="36" t="n">
        <v>43799</v>
      </c>
      <c r="D149" s="45" t="s">
        <v>45</v>
      </c>
      <c r="E149" s="38" t="n">
        <v>1406.01</v>
      </c>
      <c r="F149" s="38"/>
      <c r="G149" s="39"/>
      <c r="H149" s="38"/>
      <c r="I149" s="38"/>
      <c r="J149" s="27" t="n">
        <f aca="false">IF(ISNUMBER(E149),E149+F149+G149+H149+I149," ")</f>
        <v>1406.01</v>
      </c>
      <c r="K149" s="36" t="n">
        <v>43830</v>
      </c>
      <c r="L149" s="46" t="str">
        <f aca="true">IF(ISBLANK(C149)," ",IF(ISNUMBER(M149),"Réglé",IF(K149&lt;TODAY(),"Retard",IF(K149=TODAY()," A régler","en attente"))))</f>
        <v>Réglé</v>
      </c>
      <c r="M149" s="36" t="n">
        <v>43828</v>
      </c>
      <c r="N149" s="41" t="n">
        <f aca="true">IF(ISBLANK(M149),TODAY()-K149,0)</f>
        <v>0</v>
      </c>
      <c r="O149" s="30" t="s">
        <v>50</v>
      </c>
      <c r="P149" s="31" t="s">
        <v>42</v>
      </c>
      <c r="Q149" s="32"/>
    </row>
    <row r="150" customFormat="false" ht="16" hidden="false" customHeight="false" outlineLevel="0" collapsed="false">
      <c r="A150" s="51" t="n">
        <v>43770</v>
      </c>
      <c r="B150" s="35" t="n">
        <v>201911153</v>
      </c>
      <c r="C150" s="36" t="n">
        <v>43799</v>
      </c>
      <c r="D150" s="45" t="s">
        <v>47</v>
      </c>
      <c r="E150" s="38" t="n">
        <v>2066.8</v>
      </c>
      <c r="F150" s="38"/>
      <c r="G150" s="39"/>
      <c r="H150" s="38"/>
      <c r="I150" s="38"/>
      <c r="J150" s="27" t="n">
        <f aca="false">IF(ISNUMBER(E150),E150+F150+G150+H150+I150," ")</f>
        <v>2066.8</v>
      </c>
      <c r="K150" s="36" t="n">
        <v>43830</v>
      </c>
      <c r="L150" s="46" t="str">
        <f aca="true">IF(ISBLANK(C150)," ",IF(ISNUMBER(M150),"Réglé",IF(K150&lt;TODAY(),"Retard",IF(K150=TODAY()," A régler","en attente"))))</f>
        <v>Réglé</v>
      </c>
      <c r="M150" s="36" t="n">
        <v>43828</v>
      </c>
      <c r="N150" s="41" t="n">
        <f aca="true">IF(ISBLANK(M150),TODAY()-K150,0)</f>
        <v>0</v>
      </c>
      <c r="O150" s="30" t="s">
        <v>50</v>
      </c>
      <c r="P150" s="31" t="s">
        <v>42</v>
      </c>
      <c r="Q150" s="32"/>
    </row>
    <row r="151" customFormat="false" ht="16" hidden="false" customHeight="false" outlineLevel="0" collapsed="false">
      <c r="A151" s="44" t="s">
        <v>88</v>
      </c>
      <c r="B151" s="35" t="n">
        <v>201907137</v>
      </c>
      <c r="C151" s="47" t="n">
        <v>43675</v>
      </c>
      <c r="D151" s="24" t="s">
        <v>89</v>
      </c>
      <c r="E151" s="48" t="n">
        <v>-64.72</v>
      </c>
      <c r="F151" s="48"/>
      <c r="G151" s="49"/>
      <c r="H151" s="48"/>
      <c r="I151" s="48"/>
      <c r="J151" s="57" t="n">
        <f aca="false">IF(ISNUMBER(E151),E151+F151+G151+H151+I151," ")</f>
        <v>-64.72</v>
      </c>
      <c r="K151" s="47" t="n">
        <v>43706</v>
      </c>
      <c r="L151" s="28" t="str">
        <f aca="true">IF(ISBLANK(C151)," ",IF(ISNUMBER(M151),"Réglé",IF(K151&lt;TODAY(),"Retard",IF(K151=TODAY()," A régler","en attente"))))</f>
        <v>Retard</v>
      </c>
      <c r="M151" s="47"/>
      <c r="N151" s="29" t="n">
        <f aca="true">IF(ISBLANK(M151),TODAY()-K151,0)</f>
        <v>123</v>
      </c>
      <c r="O151" s="30" t="s">
        <v>33</v>
      </c>
      <c r="P151" s="31"/>
      <c r="Q151" s="32"/>
    </row>
    <row r="152" customFormat="false" ht="16" hidden="false" customHeight="false" outlineLevel="0" collapsed="false">
      <c r="A152" s="44" t="s">
        <v>90</v>
      </c>
      <c r="B152" s="35" t="n">
        <v>201907136</v>
      </c>
      <c r="C152" s="47" t="n">
        <v>43675</v>
      </c>
      <c r="D152" s="24" t="s">
        <v>89</v>
      </c>
      <c r="E152" s="48" t="n">
        <v>-62.16</v>
      </c>
      <c r="F152" s="48"/>
      <c r="G152" s="49"/>
      <c r="H152" s="48"/>
      <c r="I152" s="48"/>
      <c r="J152" s="57" t="n">
        <f aca="false">IF(ISNUMBER(E152),E152+F152+G152+H152+I152," ")</f>
        <v>-62.16</v>
      </c>
      <c r="K152" s="47" t="n">
        <v>43706</v>
      </c>
      <c r="L152" s="28" t="str">
        <f aca="true">IF(ISBLANK(C152)," ",IF(ISNUMBER(M152),"Réglé",IF(K152&lt;TODAY(),"Retard",IF(K152=TODAY()," A régler","en attente"))))</f>
        <v>Retard</v>
      </c>
      <c r="M152" s="47"/>
      <c r="N152" s="29" t="n">
        <f aca="true">IF(ISBLANK(M152),TODAY()-K152,0)</f>
        <v>123</v>
      </c>
      <c r="O152" s="30" t="s">
        <v>33</v>
      </c>
      <c r="P152" s="31"/>
      <c r="Q152" s="32"/>
    </row>
    <row r="153" customFormat="false" ht="16" hidden="false" customHeight="false" outlineLevel="0" collapsed="false">
      <c r="A153" s="52" t="n">
        <v>1907185</v>
      </c>
      <c r="B153" s="22" t="n">
        <v>1907185</v>
      </c>
      <c r="C153" s="53" t="n">
        <v>43676</v>
      </c>
      <c r="D153" s="24" t="s">
        <v>17</v>
      </c>
      <c r="E153" s="48" t="n">
        <v>1615.4</v>
      </c>
      <c r="F153" s="48"/>
      <c r="G153" s="49"/>
      <c r="H153" s="48"/>
      <c r="I153" s="48"/>
      <c r="J153" s="27" t="n">
        <f aca="false">IF(ISNUMBER(E153),E153+F153+G153+H153+I153," ")</f>
        <v>1615.4</v>
      </c>
      <c r="K153" s="47" t="n">
        <v>43722</v>
      </c>
      <c r="L153" s="28" t="str">
        <f aca="true">IF(ISBLANK(C153)," ",IF(ISNUMBER(M153),"Réglé",IF(K153&lt;TODAY(),"Retard",IF(K153=TODAY()," A régler","en attente"))))</f>
        <v>Retard</v>
      </c>
      <c r="M153" s="47"/>
      <c r="N153" s="29" t="n">
        <f aca="true">IF(ISBLANK(M153),TODAY()-K153,0)</f>
        <v>107</v>
      </c>
      <c r="O153" s="30" t="s">
        <v>18</v>
      </c>
      <c r="P153" s="31" t="s">
        <v>19</v>
      </c>
      <c r="Q153" s="32"/>
    </row>
    <row r="154" customFormat="false" ht="16" hidden="false" customHeight="false" outlineLevel="0" collapsed="false">
      <c r="A154" s="52" t="n">
        <v>1906796</v>
      </c>
      <c r="B154" s="22" t="n">
        <v>1906796</v>
      </c>
      <c r="C154" s="53" t="n">
        <v>43661</v>
      </c>
      <c r="D154" s="24" t="s">
        <v>52</v>
      </c>
      <c r="E154" s="48" t="n">
        <v>66.24</v>
      </c>
      <c r="F154" s="48"/>
      <c r="G154" s="49"/>
      <c r="H154" s="48"/>
      <c r="I154" s="48"/>
      <c r="J154" s="27" t="n">
        <f aca="false">IF(ISNUMBER(E154),E154+F154+G154+H154+I154," ")</f>
        <v>66.24</v>
      </c>
      <c r="K154" s="47" t="n">
        <v>43722</v>
      </c>
      <c r="L154" s="28" t="str">
        <f aca="true">IF(ISBLANK(C154)," ",IF(ISNUMBER(M154),"Réglé",IF(K154&lt;TODAY(),"Retard",IF(K154=TODAY()," A régler","en attente"))))</f>
        <v>Retard</v>
      </c>
      <c r="M154" s="47"/>
      <c r="N154" s="29" t="n">
        <f aca="true">IF(ISBLANK(M154),TODAY()-K154,0)</f>
        <v>107</v>
      </c>
      <c r="O154" s="30" t="s">
        <v>18</v>
      </c>
      <c r="P154" s="31" t="s">
        <v>19</v>
      </c>
      <c r="Q154" s="32"/>
    </row>
    <row r="155" customFormat="false" ht="16" hidden="false" customHeight="false" outlineLevel="0" collapsed="false">
      <c r="A155" s="52" t="n">
        <v>1906798</v>
      </c>
      <c r="B155" s="22" t="n">
        <v>1906798</v>
      </c>
      <c r="C155" s="53" t="n">
        <v>43661</v>
      </c>
      <c r="D155" s="24" t="s">
        <v>22</v>
      </c>
      <c r="E155" s="48" t="n">
        <v>66.24</v>
      </c>
      <c r="F155" s="48"/>
      <c r="G155" s="49"/>
      <c r="H155" s="48"/>
      <c r="I155" s="48"/>
      <c r="J155" s="27" t="n">
        <f aca="false">IF(ISNUMBER(E155),E155+F155+G155+H155+I155," ")</f>
        <v>66.24</v>
      </c>
      <c r="K155" s="47" t="n">
        <v>43733</v>
      </c>
      <c r="L155" s="28" t="str">
        <f aca="true">IF(ISBLANK(C155)," ",IF(ISNUMBER(M155),"Réglé",IF(K155&lt;TODAY(),"Retard",IF(K155=TODAY()," A régler","en attente"))))</f>
        <v>Retard</v>
      </c>
      <c r="M155" s="47"/>
      <c r="N155" s="29" t="n">
        <f aca="true">IF(ISBLANK(M155),TODAY()-K155,0)</f>
        <v>96</v>
      </c>
      <c r="O155" s="30"/>
      <c r="P155" s="31"/>
      <c r="Q155" s="32"/>
    </row>
    <row r="156" customFormat="false" ht="16" hidden="false" customHeight="false" outlineLevel="0" collapsed="false">
      <c r="A156" s="52" t="n">
        <v>1907359</v>
      </c>
      <c r="B156" s="22" t="n">
        <v>1907359</v>
      </c>
      <c r="C156" s="53" t="n">
        <v>43703</v>
      </c>
      <c r="D156" s="24" t="s">
        <v>25</v>
      </c>
      <c r="E156" s="48" t="n">
        <v>66.24</v>
      </c>
      <c r="F156" s="48"/>
      <c r="G156" s="49"/>
      <c r="H156" s="48"/>
      <c r="I156" s="48"/>
      <c r="J156" s="27" t="n">
        <f aca="false">IF(ISNUMBER(E156),E156+F156+G156+H156+I156," ")</f>
        <v>66.24</v>
      </c>
      <c r="K156" s="47" t="n">
        <v>43733</v>
      </c>
      <c r="L156" s="28" t="str">
        <f aca="true">IF(ISBLANK(C156)," ",IF(ISNUMBER(M156),"Réglé",IF(K156&lt;TODAY(),"Retard",IF(K156=TODAY()," A régler","en attente"))))</f>
        <v>Retard</v>
      </c>
      <c r="M156" s="47"/>
      <c r="N156" s="29" t="n">
        <f aca="true">IF(ISBLANK(M156),TODAY()-K156,0)</f>
        <v>96</v>
      </c>
      <c r="O156" s="30" t="s">
        <v>18</v>
      </c>
      <c r="P156" s="31" t="s">
        <v>19</v>
      </c>
      <c r="Q156" s="32"/>
    </row>
    <row r="157" customFormat="false" ht="16" hidden="false" customHeight="false" outlineLevel="0" collapsed="false">
      <c r="A157" s="58" t="s">
        <v>91</v>
      </c>
      <c r="B157" s="59" t="s">
        <v>91</v>
      </c>
      <c r="C157" s="53" t="n">
        <v>43710</v>
      </c>
      <c r="D157" s="24" t="s">
        <v>22</v>
      </c>
      <c r="E157" s="48" t="n">
        <v>-1615.39</v>
      </c>
      <c r="F157" s="48"/>
      <c r="G157" s="49"/>
      <c r="H157" s="48"/>
      <c r="I157" s="48"/>
      <c r="J157" s="57" t="n">
        <f aca="false">IF(ISNUMBER(E157),E157+F157+G157+H157+I157," ")</f>
        <v>-1615.39</v>
      </c>
      <c r="K157" s="47" t="n">
        <v>43761</v>
      </c>
      <c r="L157" s="28" t="str">
        <f aca="true">IF(ISBLANK(C157)," ",IF(ISNUMBER(M157),"Réglé",IF(K157&lt;TODAY(),"Retard",IF(K157=TODAY()," A régler","en attente"))))</f>
        <v>Retard</v>
      </c>
      <c r="M157" s="47"/>
      <c r="N157" s="29" t="n">
        <f aca="true">IF(ISBLANK(M157),TODAY()-K157,0)</f>
        <v>68</v>
      </c>
      <c r="O157" s="30" t="s">
        <v>18</v>
      </c>
      <c r="P157" s="31" t="s">
        <v>19</v>
      </c>
      <c r="Q157" s="32"/>
    </row>
    <row r="158" customFormat="false" ht="16" hidden="false" customHeight="false" outlineLevel="0" collapsed="false">
      <c r="A158" s="52" t="n">
        <v>1908540</v>
      </c>
      <c r="B158" s="22" t="n">
        <v>1908540</v>
      </c>
      <c r="C158" s="53" t="n">
        <v>43733</v>
      </c>
      <c r="D158" s="24" t="s">
        <v>17</v>
      </c>
      <c r="E158" s="48" t="n">
        <v>2737.19</v>
      </c>
      <c r="F158" s="48"/>
      <c r="G158" s="49"/>
      <c r="H158" s="48"/>
      <c r="I158" s="48"/>
      <c r="J158" s="27" t="n">
        <f aca="false">IF(ISNUMBER(E158),E158+F158+G158+H158+I158," ")</f>
        <v>2737.19</v>
      </c>
      <c r="K158" s="47" t="n">
        <v>43765</v>
      </c>
      <c r="L158" s="28" t="str">
        <f aca="true">IF(ISBLANK(C158)," ",IF(ISNUMBER(M158),"Réglé",IF(K158&lt;TODAY(),"Retard",IF(K158=TODAY()," A régler","en attente"))))</f>
        <v>Retard</v>
      </c>
      <c r="M158" s="47"/>
      <c r="N158" s="29" t="n">
        <f aca="true">IF(ISBLANK(M158),TODAY()-K158,0)</f>
        <v>64</v>
      </c>
      <c r="O158" s="30" t="s">
        <v>18</v>
      </c>
      <c r="P158" s="31" t="s">
        <v>19</v>
      </c>
      <c r="Q158" s="32"/>
    </row>
    <row r="159" customFormat="false" ht="16" hidden="false" customHeight="false" outlineLevel="0" collapsed="false">
      <c r="A159" s="21" t="s">
        <v>92</v>
      </c>
      <c r="B159" s="22" t="n">
        <v>20191147</v>
      </c>
      <c r="C159" s="23" t="n">
        <v>43774</v>
      </c>
      <c r="D159" s="24" t="s">
        <v>93</v>
      </c>
      <c r="E159" s="25" t="n">
        <v>600</v>
      </c>
      <c r="F159" s="48"/>
      <c r="G159" s="49"/>
      <c r="H159" s="48"/>
      <c r="I159" s="48"/>
      <c r="J159" s="27" t="n">
        <f aca="false">IF(ISNUMBER(E159),E159+F159+G159+H159+I159," ")</f>
        <v>600</v>
      </c>
      <c r="K159" s="23" t="n">
        <v>43774</v>
      </c>
      <c r="L159" s="28" t="str">
        <f aca="true">IF(ISBLANK(C159)," ",IF(ISNUMBER(M159),"Réglé",IF(K159&lt;TODAY(),"Retard",IF(K159=TODAY()," A régler","en attente"))))</f>
        <v>Retard</v>
      </c>
      <c r="M159" s="23"/>
      <c r="N159" s="29" t="n">
        <f aca="true">IF(ISBLANK(M159),TODAY()-K159,0)</f>
        <v>55</v>
      </c>
      <c r="O159" s="30"/>
      <c r="P159" s="31"/>
      <c r="Q159" s="32"/>
    </row>
    <row r="160" customFormat="false" ht="16" hidden="false" customHeight="false" outlineLevel="0" collapsed="false">
      <c r="A160" s="52" t="n">
        <v>1908853</v>
      </c>
      <c r="B160" s="22" t="n">
        <v>1908853</v>
      </c>
      <c r="C160" s="53" t="n">
        <v>43741</v>
      </c>
      <c r="D160" s="24" t="s">
        <v>25</v>
      </c>
      <c r="E160" s="48" t="n">
        <v>1153.85</v>
      </c>
      <c r="F160" s="48"/>
      <c r="G160" s="49"/>
      <c r="H160" s="48"/>
      <c r="I160" s="48"/>
      <c r="J160" s="27" t="n">
        <f aca="false">IF(ISNUMBER(E160),E160+F160+G160+H160+I160," ")</f>
        <v>1153.85</v>
      </c>
      <c r="K160" s="47" t="n">
        <v>43775</v>
      </c>
      <c r="L160" s="28" t="str">
        <f aca="true">IF(ISBLANK(C160)," ",IF(ISNUMBER(M160),"Réglé",IF(K160&lt;TODAY(),"Retard",IF(K160=TODAY()," A régler","en attente"))))</f>
        <v>Retard</v>
      </c>
      <c r="M160" s="47"/>
      <c r="N160" s="29" t="n">
        <f aca="true">IF(ISBLANK(M160),TODAY()-K160,0)</f>
        <v>54</v>
      </c>
      <c r="O160" s="30" t="s">
        <v>18</v>
      </c>
      <c r="P160" s="31" t="s">
        <v>19</v>
      </c>
      <c r="Q160" s="32"/>
    </row>
    <row r="161" customFormat="false" ht="16" hidden="false" customHeight="false" outlineLevel="0" collapsed="false">
      <c r="A161" s="44" t="s">
        <v>94</v>
      </c>
      <c r="B161" s="35" t="n">
        <v>20191186</v>
      </c>
      <c r="C161" s="47" t="n">
        <v>43775</v>
      </c>
      <c r="D161" s="24" t="s">
        <v>95</v>
      </c>
      <c r="E161" s="48" t="n">
        <v>1653</v>
      </c>
      <c r="F161" s="48"/>
      <c r="G161" s="49"/>
      <c r="H161" s="48"/>
      <c r="I161" s="48"/>
      <c r="J161" s="27" t="n">
        <f aca="false">IF(ISNUMBER(E161),E161+F161+G161+H161+I161," ")</f>
        <v>1653</v>
      </c>
      <c r="K161" s="47" t="n">
        <v>43783</v>
      </c>
      <c r="L161" s="28" t="str">
        <f aca="true">IF(ISBLANK(C161)," ",IF(ISNUMBER(M161),"Réglé",IF(K161&lt;TODAY(),"Retard",IF(K161=TODAY()," A régler","en attente"))))</f>
        <v>Retard</v>
      </c>
      <c r="M161" s="47"/>
      <c r="N161" s="29" t="n">
        <f aca="true">IF(ISBLANK(M161),TODAY()-K161,0)</f>
        <v>46</v>
      </c>
      <c r="O161" s="30"/>
      <c r="P161" s="31"/>
      <c r="Q161" s="32"/>
    </row>
    <row r="162" customFormat="false" ht="16" hidden="false" customHeight="false" outlineLevel="0" collapsed="false">
      <c r="A162" s="44" t="s">
        <v>96</v>
      </c>
      <c r="B162" s="35" t="n">
        <v>201911134</v>
      </c>
      <c r="C162" s="47" t="n">
        <v>43784</v>
      </c>
      <c r="D162" s="24" t="s">
        <v>97</v>
      </c>
      <c r="E162" s="48" t="n">
        <v>328.96</v>
      </c>
      <c r="F162" s="48"/>
      <c r="G162" s="49"/>
      <c r="H162" s="48"/>
      <c r="I162" s="48"/>
      <c r="J162" s="27" t="n">
        <f aca="false">IF(ISNUMBER(E162),E162+F162+G162+H162+I162," ")</f>
        <v>328.96</v>
      </c>
      <c r="K162" s="47" t="n">
        <v>43784</v>
      </c>
      <c r="L162" s="28" t="str">
        <f aca="true">IF(ISBLANK(C162)," ",IF(ISNUMBER(M162),"Réglé",IF(K162&lt;TODAY(),"Retard",IF(K162=TODAY()," A régler","en attente"))))</f>
        <v>Retard</v>
      </c>
      <c r="M162" s="47"/>
      <c r="N162" s="29" t="n">
        <f aca="true">IF(ISBLANK(M162),TODAY()-K162,0)</f>
        <v>45</v>
      </c>
      <c r="O162" s="30"/>
      <c r="P162" s="31"/>
      <c r="Q162" s="32"/>
    </row>
    <row r="163" customFormat="false" ht="16" hidden="false" customHeight="false" outlineLevel="0" collapsed="false">
      <c r="A163" s="44" t="n">
        <v>1959772</v>
      </c>
      <c r="B163" s="35" t="n">
        <v>20191184</v>
      </c>
      <c r="C163" s="47" t="n">
        <v>43789</v>
      </c>
      <c r="D163" s="24" t="s">
        <v>98</v>
      </c>
      <c r="E163" s="48" t="n">
        <v>909</v>
      </c>
      <c r="F163" s="48"/>
      <c r="G163" s="49"/>
      <c r="H163" s="48"/>
      <c r="I163" s="48"/>
      <c r="J163" s="27" t="n">
        <f aca="false">IF(ISNUMBER(E163),E163+F163+G163+H163+I163," ")</f>
        <v>909</v>
      </c>
      <c r="K163" s="47" t="n">
        <v>43789</v>
      </c>
      <c r="L163" s="28" t="str">
        <f aca="true">IF(ISBLANK(C163)," ",IF(ISNUMBER(M163),"Réglé",IF(K163&lt;TODAY(),"Retard",IF(K163=TODAY()," A régler","en attente"))))</f>
        <v>Retard</v>
      </c>
      <c r="M163" s="47"/>
      <c r="N163" s="29" t="n">
        <f aca="true">IF(ISBLANK(M163),TODAY()-K163,0)</f>
        <v>40</v>
      </c>
      <c r="O163" s="30"/>
      <c r="P163" s="31"/>
      <c r="Q163" s="32"/>
    </row>
    <row r="164" customFormat="false" ht="16" hidden="false" customHeight="false" outlineLevel="0" collapsed="false">
      <c r="A164" s="44" t="n">
        <v>21630914</v>
      </c>
      <c r="B164" s="35" t="n">
        <v>20191176</v>
      </c>
      <c r="C164" s="47" t="n">
        <v>43791</v>
      </c>
      <c r="D164" s="24" t="s">
        <v>99</v>
      </c>
      <c r="E164" s="48" t="n">
        <v>358.4</v>
      </c>
      <c r="F164" s="48"/>
      <c r="G164" s="49"/>
      <c r="H164" s="48"/>
      <c r="I164" s="48"/>
      <c r="J164" s="27" t="n">
        <f aca="false">IF(ISNUMBER(E164),E164+F164+G164+H164+I164," ")</f>
        <v>358.4</v>
      </c>
      <c r="K164" s="47" t="n">
        <v>43791</v>
      </c>
      <c r="L164" s="28" t="str">
        <f aca="true">IF(ISBLANK(C164)," ",IF(ISNUMBER(M164),"Réglé",IF(K164&lt;TODAY(),"Retard",IF(K164=TODAY()," A régler","en attente"))))</f>
        <v>Retard</v>
      </c>
      <c r="M164" s="47"/>
      <c r="N164" s="29" t="n">
        <f aca="true">IF(ISBLANK(M164),TODAY()-K164,0)</f>
        <v>38</v>
      </c>
      <c r="O164" s="30"/>
      <c r="P164" s="31"/>
      <c r="Q164" s="32"/>
    </row>
    <row r="165" customFormat="false" ht="16" hidden="false" customHeight="false" outlineLevel="0" collapsed="false">
      <c r="A165" s="44" t="s">
        <v>100</v>
      </c>
      <c r="B165" s="35" t="n">
        <v>20191126</v>
      </c>
      <c r="C165" s="47" t="n">
        <v>43776</v>
      </c>
      <c r="D165" s="24" t="s">
        <v>69</v>
      </c>
      <c r="E165" s="48" t="n">
        <v>494.76</v>
      </c>
      <c r="F165" s="48"/>
      <c r="G165" s="49"/>
      <c r="H165" s="48"/>
      <c r="I165" s="48"/>
      <c r="J165" s="27" t="n">
        <f aca="false">IF(ISNUMBER(E165),E165+F165+G165+H165+I165," ")</f>
        <v>494.76</v>
      </c>
      <c r="K165" s="47" t="n">
        <v>43796</v>
      </c>
      <c r="L165" s="28" t="str">
        <f aca="true">IF(ISBLANK(C165)," ",IF(ISNUMBER(M165),"Réglé",IF(K165&lt;TODAY(),"Retard",IF(K165=TODAY()," A régler","en attente"))))</f>
        <v>Retard</v>
      </c>
      <c r="M165" s="47"/>
      <c r="N165" s="29" t="n">
        <f aca="true">IF(ISBLANK(M165),TODAY()-K165,0)</f>
        <v>33</v>
      </c>
      <c r="O165" s="30"/>
      <c r="P165" s="31"/>
      <c r="Q165" s="32"/>
    </row>
    <row r="166" customFormat="false" ht="16" hidden="false" customHeight="false" outlineLevel="0" collapsed="false">
      <c r="A166" s="44" t="s">
        <v>101</v>
      </c>
      <c r="B166" s="35" t="n">
        <v>201911141</v>
      </c>
      <c r="C166" s="36" t="n">
        <v>43796</v>
      </c>
      <c r="D166" s="24" t="s">
        <v>102</v>
      </c>
      <c r="E166" s="38" t="n">
        <v>349</v>
      </c>
      <c r="F166" s="38"/>
      <c r="G166" s="39"/>
      <c r="H166" s="38"/>
      <c r="I166" s="38"/>
      <c r="J166" s="27" t="n">
        <f aca="false">IF(ISNUMBER(E166),E166+F166+G166+H166+I166," ")</f>
        <v>349</v>
      </c>
      <c r="K166" s="36" t="n">
        <v>43796</v>
      </c>
      <c r="L166" s="46" t="str">
        <f aca="true">IF(ISBLANK(C166)," ",IF(ISNUMBER(M166),"Réglé",IF(K166&lt;TODAY(),"Retard",IF(K166=TODAY()," A régler","en attente"))))</f>
        <v>Retard</v>
      </c>
      <c r="M166" s="36"/>
      <c r="N166" s="41" t="n">
        <f aca="true">IF(ISBLANK(M166),TODAY()-K166,0)</f>
        <v>33</v>
      </c>
      <c r="O166" s="30"/>
      <c r="P166" s="42"/>
      <c r="Q166" s="43"/>
    </row>
    <row r="167" customFormat="false" ht="16" hidden="false" customHeight="false" outlineLevel="0" collapsed="false">
      <c r="A167" s="44" t="n">
        <v>191114843</v>
      </c>
      <c r="B167" s="35" t="n">
        <v>201911127</v>
      </c>
      <c r="C167" s="36" t="n">
        <v>43797</v>
      </c>
      <c r="D167" s="24" t="s">
        <v>103</v>
      </c>
      <c r="E167" s="38" t="n">
        <v>946.22</v>
      </c>
      <c r="F167" s="38"/>
      <c r="G167" s="39"/>
      <c r="H167" s="38"/>
      <c r="I167" s="38"/>
      <c r="J167" s="27" t="n">
        <f aca="false">IF(ISNUMBER(E167),E167+F167+G167+H167+I167," ")</f>
        <v>946.22</v>
      </c>
      <c r="K167" s="36" t="n">
        <v>43797</v>
      </c>
      <c r="L167" s="28" t="str">
        <f aca="true">IF(ISBLANK(C167)," ",IF(ISNUMBER(M167),"Réglé",IF(K167&lt;TODAY(),"Retard",IF(K167=TODAY()," A régler","en attente"))))</f>
        <v>Retard</v>
      </c>
      <c r="M167" s="36"/>
      <c r="N167" s="41" t="n">
        <f aca="true">IF(ISBLANK(M167),TODAY()-K167,0)</f>
        <v>32</v>
      </c>
      <c r="O167" s="30"/>
      <c r="P167" s="42"/>
      <c r="Q167" s="43"/>
    </row>
    <row r="168" customFormat="false" ht="16" hidden="false" customHeight="false" outlineLevel="0" collapsed="false">
      <c r="A168" s="44" t="n">
        <v>191114934</v>
      </c>
      <c r="B168" s="35" t="n">
        <v>201911135</v>
      </c>
      <c r="C168" s="36" t="n">
        <v>43798</v>
      </c>
      <c r="D168" s="24" t="s">
        <v>103</v>
      </c>
      <c r="E168" s="38" t="n">
        <v>214.02</v>
      </c>
      <c r="F168" s="38"/>
      <c r="G168" s="39"/>
      <c r="H168" s="38"/>
      <c r="I168" s="38"/>
      <c r="J168" s="27" t="n">
        <f aca="false">IF(ISNUMBER(E168),E168+F168+G168+H168+I168," ")</f>
        <v>214.02</v>
      </c>
      <c r="K168" s="36" t="n">
        <v>43798</v>
      </c>
      <c r="L168" s="28" t="str">
        <f aca="true">IF(ISBLANK(C168)," ",IF(ISNUMBER(M168),"Réglé",IF(K168&lt;TODAY(),"Retard",IF(K168=TODAY()," A régler","en attente"))))</f>
        <v>Retard</v>
      </c>
      <c r="M168" s="36"/>
      <c r="N168" s="41" t="n">
        <f aca="true">IF(ISBLANK(M168),TODAY()-K168,0)</f>
        <v>31</v>
      </c>
      <c r="O168" s="30"/>
      <c r="P168" s="42"/>
      <c r="Q168" s="43"/>
    </row>
    <row r="169" customFormat="false" ht="16" hidden="false" customHeight="false" outlineLevel="0" collapsed="false">
      <c r="A169" s="44" t="n">
        <v>20190495</v>
      </c>
      <c r="B169" s="35" t="n">
        <v>201911143</v>
      </c>
      <c r="C169" s="36" t="n">
        <v>43799</v>
      </c>
      <c r="D169" s="24" t="s">
        <v>55</v>
      </c>
      <c r="E169" s="38" t="n">
        <v>606.41</v>
      </c>
      <c r="F169" s="38"/>
      <c r="G169" s="39"/>
      <c r="H169" s="38"/>
      <c r="I169" s="38"/>
      <c r="J169" s="27" t="n">
        <f aca="false">IF(ISNUMBER(E169),E169+F169+G169+H169+I169," ")</f>
        <v>606.41</v>
      </c>
      <c r="K169" s="36" t="n">
        <v>43799</v>
      </c>
      <c r="L169" s="46" t="str">
        <f aca="true">IF(ISBLANK(C169)," ",IF(ISNUMBER(M169),"Réglé",IF(K169&lt;TODAY(),"Retard",IF(K169=TODAY()," A régler","en attente"))))</f>
        <v>Retard</v>
      </c>
      <c r="M169" s="36"/>
      <c r="N169" s="41" t="n">
        <f aca="true">IF(ISBLANK(M169),TODAY()-K169,0)</f>
        <v>30</v>
      </c>
      <c r="O169" s="60" t="s">
        <v>50</v>
      </c>
      <c r="P169" s="42" t="s">
        <v>42</v>
      </c>
      <c r="Q169" s="43"/>
    </row>
    <row r="170" customFormat="false" ht="16" hidden="false" customHeight="false" outlineLevel="0" collapsed="false">
      <c r="A170" s="44" t="n">
        <v>2019028396</v>
      </c>
      <c r="B170" s="35" t="n">
        <v>201911131</v>
      </c>
      <c r="C170" s="36" t="n">
        <v>43798</v>
      </c>
      <c r="D170" s="24" t="s">
        <v>104</v>
      </c>
      <c r="E170" s="38" t="n">
        <v>168.48</v>
      </c>
      <c r="F170" s="38"/>
      <c r="G170" s="39"/>
      <c r="H170" s="38"/>
      <c r="I170" s="38"/>
      <c r="J170" s="27" t="n">
        <f aca="false">IF(ISNUMBER(E170),E170+F170+G170+H170+I170," ")</f>
        <v>168.48</v>
      </c>
      <c r="K170" s="36" t="n">
        <v>43803</v>
      </c>
      <c r="L170" s="28" t="str">
        <f aca="true">IF(ISBLANK(C170)," ",IF(ISNUMBER(M170),"Réglé",IF(K170&lt;TODAY(),"Retard",IF(K170=TODAY()," A régler","en attente"))))</f>
        <v>Retard</v>
      </c>
      <c r="M170" s="36"/>
      <c r="N170" s="41" t="n">
        <f aca="true">IF(ISBLANK(M170),TODAY()-K170,0)</f>
        <v>26</v>
      </c>
      <c r="O170" s="30"/>
      <c r="P170" s="42"/>
      <c r="Q170" s="43"/>
    </row>
    <row r="171" customFormat="false" ht="16" hidden="false" customHeight="false" outlineLevel="0" collapsed="false">
      <c r="A171" s="52" t="n">
        <v>1909871</v>
      </c>
      <c r="B171" s="22" t="n">
        <v>1909871</v>
      </c>
      <c r="C171" s="53" t="n">
        <v>43773</v>
      </c>
      <c r="D171" s="24" t="s">
        <v>22</v>
      </c>
      <c r="E171" s="48" t="n">
        <v>1384.63</v>
      </c>
      <c r="F171" s="48"/>
      <c r="G171" s="49"/>
      <c r="H171" s="48"/>
      <c r="I171" s="48"/>
      <c r="J171" s="27" t="n">
        <f aca="false">IF(ISNUMBER(E171),E171+F171+G171+H171+I171," ")</f>
        <v>1384.63</v>
      </c>
      <c r="K171" s="47" t="n">
        <v>43804</v>
      </c>
      <c r="L171" s="28" t="str">
        <f aca="true">IF(ISBLANK(C171)," ",IF(ISNUMBER(M171),"Réglé",IF(K171&lt;TODAY(),"Retard",IF(K171=TODAY()," A régler","en attente"))))</f>
        <v>Retard</v>
      </c>
      <c r="M171" s="47"/>
      <c r="N171" s="29" t="n">
        <f aca="true">IF(ISBLANK(M171),TODAY()-K171,0)</f>
        <v>25</v>
      </c>
      <c r="O171" s="30" t="s">
        <v>18</v>
      </c>
      <c r="P171" s="31" t="s">
        <v>19</v>
      </c>
      <c r="Q171" s="32"/>
    </row>
    <row r="172" customFormat="false" ht="16" hidden="false" customHeight="false" outlineLevel="0" collapsed="false">
      <c r="A172" s="44" t="n">
        <v>191215188</v>
      </c>
      <c r="B172" s="35" t="n">
        <v>20191237</v>
      </c>
      <c r="C172" s="36" t="n">
        <v>43804</v>
      </c>
      <c r="D172" s="24" t="s">
        <v>103</v>
      </c>
      <c r="E172" s="38" t="n">
        <v>380.71</v>
      </c>
      <c r="F172" s="38"/>
      <c r="G172" s="39"/>
      <c r="H172" s="38"/>
      <c r="I172" s="38"/>
      <c r="J172" s="27" t="n">
        <f aca="false">IF(ISNUMBER(E172),E172+F172+G172+H172+I172," ")</f>
        <v>380.71</v>
      </c>
      <c r="K172" s="36" t="n">
        <v>43804</v>
      </c>
      <c r="L172" s="46" t="str">
        <f aca="true">IF(ISBLANK(C172)," ",IF(ISNUMBER(M172),"Réglé",IF(K172&lt;TODAY(),"Retard",IF(K172=TODAY()," A régler","en attente"))))</f>
        <v>Retard</v>
      </c>
      <c r="M172" s="36"/>
      <c r="N172" s="41" t="n">
        <f aca="true">IF(ISBLANK(M172),TODAY()-K172,0)</f>
        <v>25</v>
      </c>
      <c r="O172" s="30"/>
      <c r="P172" s="42"/>
      <c r="Q172" s="43"/>
    </row>
    <row r="173" customFormat="false" ht="16" hidden="false" customHeight="false" outlineLevel="0" collapsed="false">
      <c r="A173" s="44" t="n">
        <v>1637495</v>
      </c>
      <c r="B173" s="35" t="n">
        <v>20191143</v>
      </c>
      <c r="C173" s="47" t="n">
        <v>43775</v>
      </c>
      <c r="D173" s="24" t="s">
        <v>20</v>
      </c>
      <c r="E173" s="48" t="n">
        <v>1080.93</v>
      </c>
      <c r="F173" s="48"/>
      <c r="G173" s="49"/>
      <c r="H173" s="48"/>
      <c r="I173" s="48"/>
      <c r="J173" s="27" t="n">
        <f aca="false">IF(ISNUMBER(E173),E173+F173+G173+H173+I173," ")</f>
        <v>1080.93</v>
      </c>
      <c r="K173" s="47" t="n">
        <v>43805</v>
      </c>
      <c r="L173" s="28" t="str">
        <f aca="true">IF(ISBLANK(C173)," ",IF(ISNUMBER(M173),"Réglé",IF(K173&lt;TODAY(),"Retard",IF(K173=TODAY()," A régler","en attente"))))</f>
        <v>Retard</v>
      </c>
      <c r="M173" s="47"/>
      <c r="N173" s="29" t="n">
        <f aca="true">IF(ISBLANK(M173),TODAY()-K173,0)</f>
        <v>24</v>
      </c>
      <c r="O173" s="30"/>
      <c r="P173" s="31"/>
      <c r="Q173" s="32"/>
    </row>
    <row r="174" customFormat="false" ht="16" hidden="false" customHeight="false" outlineLevel="0" collapsed="false">
      <c r="A174" s="44" t="s">
        <v>105</v>
      </c>
      <c r="B174" s="35" t="n">
        <v>20191152</v>
      </c>
      <c r="C174" s="47" t="n">
        <v>43777</v>
      </c>
      <c r="D174" s="24" t="s">
        <v>31</v>
      </c>
      <c r="E174" s="48" t="n">
        <v>166.59</v>
      </c>
      <c r="F174" s="48"/>
      <c r="G174" s="49"/>
      <c r="H174" s="48"/>
      <c r="I174" s="48"/>
      <c r="J174" s="27" t="n">
        <f aca="false">IF(ISNUMBER(E174),E174+F174+G174+H174+I174," ")</f>
        <v>166.59</v>
      </c>
      <c r="K174" s="47" t="n">
        <v>43807</v>
      </c>
      <c r="L174" s="28" t="str">
        <f aca="true">IF(ISBLANK(C174)," ",IF(ISNUMBER(M174),"Réglé",IF(K174&lt;TODAY(),"Retard",IF(K174=TODAY()," A régler","en attente"))))</f>
        <v>Retard</v>
      </c>
      <c r="M174" s="47"/>
      <c r="N174" s="29" t="n">
        <f aca="true">IF(ISBLANK(M174),TODAY()-K174,0)</f>
        <v>22</v>
      </c>
      <c r="O174" s="30"/>
      <c r="P174" s="31"/>
      <c r="Q174" s="32"/>
    </row>
    <row r="175" customFormat="false" ht="16" hidden="false" customHeight="false" outlineLevel="0" collapsed="false">
      <c r="A175" s="44" t="n">
        <v>2200287112</v>
      </c>
      <c r="B175" s="35" t="n">
        <v>201911133</v>
      </c>
      <c r="C175" s="47" t="n">
        <v>43807</v>
      </c>
      <c r="D175" s="24" t="s">
        <v>21</v>
      </c>
      <c r="E175" s="48" t="n">
        <v>1850.31</v>
      </c>
      <c r="F175" s="48"/>
      <c r="G175" s="49"/>
      <c r="H175" s="48"/>
      <c r="I175" s="48"/>
      <c r="J175" s="27" t="n">
        <f aca="false">IF(ISNUMBER(E175),E175+F175+G175+H175+I175," ")</f>
        <v>1850.31</v>
      </c>
      <c r="K175" s="47" t="n">
        <v>43807</v>
      </c>
      <c r="L175" s="28" t="str">
        <f aca="true">IF(ISBLANK(C175)," ",IF(ISNUMBER(M175),"Réglé",IF(K175&lt;TODAY(),"Retard",IF(K175=TODAY()," A régler","en attente"))))</f>
        <v>Retard</v>
      </c>
      <c r="M175" s="47"/>
      <c r="N175" s="29" t="n">
        <f aca="true">IF(ISBLANK(M175),TODAY()-K175,0)</f>
        <v>22</v>
      </c>
      <c r="O175" s="30"/>
      <c r="P175" s="31"/>
      <c r="Q175" s="32"/>
    </row>
    <row r="176" customFormat="false" ht="16" hidden="false" customHeight="false" outlineLevel="0" collapsed="false">
      <c r="A176" s="44" t="n">
        <v>191215364</v>
      </c>
      <c r="B176" s="35" t="n">
        <v>20191235</v>
      </c>
      <c r="C176" s="36" t="n">
        <v>43808</v>
      </c>
      <c r="D176" s="24" t="s">
        <v>103</v>
      </c>
      <c r="E176" s="38" t="n">
        <v>1944.23</v>
      </c>
      <c r="F176" s="38"/>
      <c r="G176" s="39"/>
      <c r="H176" s="38"/>
      <c r="I176" s="38"/>
      <c r="J176" s="27" t="n">
        <f aca="false">IF(ISNUMBER(E176),E176+F176+G176+H176+I176," ")</f>
        <v>1944.23</v>
      </c>
      <c r="K176" s="36" t="n">
        <v>43808</v>
      </c>
      <c r="L176" s="46" t="str">
        <f aca="true">IF(ISBLANK(C176)," ",IF(ISNUMBER(M176),"Réglé",IF(K176&lt;TODAY(),"Retard",IF(K176=TODAY()," A régler","en attente"))))</f>
        <v>Retard</v>
      </c>
      <c r="M176" s="36"/>
      <c r="N176" s="41" t="n">
        <f aca="true">IF(ISBLANK(M176),TODAY()-K176,0)</f>
        <v>21</v>
      </c>
      <c r="O176" s="30"/>
      <c r="P176" s="42"/>
      <c r="Q176" s="43"/>
    </row>
    <row r="177" customFormat="false" ht="16" hidden="false" customHeight="false" outlineLevel="0" collapsed="false">
      <c r="A177" s="44" t="n">
        <v>191215465</v>
      </c>
      <c r="B177" s="35" t="n">
        <v>20191260</v>
      </c>
      <c r="C177" s="36" t="n">
        <v>43810</v>
      </c>
      <c r="D177" s="45" t="s">
        <v>103</v>
      </c>
      <c r="E177" s="38" t="n">
        <v>633.98</v>
      </c>
      <c r="F177" s="38"/>
      <c r="G177" s="39"/>
      <c r="H177" s="38"/>
      <c r="I177" s="38"/>
      <c r="J177" s="27" t="n">
        <f aca="false">IF(ISNUMBER(E177),E177+F177+G177+H177+I177," ")</f>
        <v>633.98</v>
      </c>
      <c r="K177" s="36" t="n">
        <v>43810</v>
      </c>
      <c r="L177" s="46" t="str">
        <f aca="true">IF(ISBLANK(C177)," ",IF(ISNUMBER(M177),"Réglé",IF(K177&lt;TODAY(),"Retard",IF(K177=TODAY()," A régler","en attente"))))</f>
        <v>Retard</v>
      </c>
      <c r="M177" s="36"/>
      <c r="N177" s="41" t="n">
        <f aca="true">IF(ISBLANK(M177),TODAY()-K177,0)</f>
        <v>19</v>
      </c>
      <c r="O177" s="30"/>
      <c r="P177" s="31" t="s">
        <v>106</v>
      </c>
      <c r="Q177" s="32"/>
    </row>
    <row r="178" customFormat="false" ht="16" hidden="false" customHeight="false" outlineLevel="0" collapsed="false">
      <c r="A178" s="44" t="s">
        <v>107</v>
      </c>
      <c r="B178" s="35" t="n">
        <v>20191153</v>
      </c>
      <c r="C178" s="47" t="n">
        <v>43781</v>
      </c>
      <c r="D178" s="24" t="s">
        <v>31</v>
      </c>
      <c r="E178" s="48" t="n">
        <v>203.31</v>
      </c>
      <c r="F178" s="48"/>
      <c r="G178" s="49"/>
      <c r="H178" s="48"/>
      <c r="I178" s="48"/>
      <c r="J178" s="27" t="n">
        <f aca="false">IF(ISNUMBER(E178),E178+F178+G178+H178+I178," ")</f>
        <v>203.31</v>
      </c>
      <c r="K178" s="47" t="n">
        <v>43811</v>
      </c>
      <c r="L178" s="28" t="str">
        <f aca="true">IF(ISBLANK(C178)," ",IF(ISNUMBER(M178),"Réglé",IF(K178&lt;TODAY(),"Retard",IF(K178=TODAY()," A régler","en attente"))))</f>
        <v>Retard</v>
      </c>
      <c r="M178" s="47"/>
      <c r="N178" s="29" t="n">
        <f aca="true">IF(ISBLANK(M178),TODAY()-K178,0)</f>
        <v>18</v>
      </c>
      <c r="O178" s="30"/>
      <c r="P178" s="31"/>
      <c r="Q178" s="32"/>
    </row>
    <row r="179" customFormat="false" ht="16" hidden="false" customHeight="false" outlineLevel="0" collapsed="false">
      <c r="A179" s="52" t="s">
        <v>108</v>
      </c>
      <c r="B179" s="22" t="s">
        <v>108</v>
      </c>
      <c r="C179" s="53" t="n">
        <v>43781</v>
      </c>
      <c r="D179" s="24" t="s">
        <v>25</v>
      </c>
      <c r="E179" s="48" t="n">
        <v>-1384.62</v>
      </c>
      <c r="F179" s="48"/>
      <c r="G179" s="49"/>
      <c r="H179" s="48"/>
      <c r="I179" s="48"/>
      <c r="J179" s="27" t="n">
        <f aca="false">IF(ISNUMBER(E179),E179+F179+G179+H179+I179," ")</f>
        <v>-1384.62</v>
      </c>
      <c r="K179" s="47" t="n">
        <v>43811</v>
      </c>
      <c r="L179" s="28" t="str">
        <f aca="true">IF(ISBLANK(C179)," ",IF(ISNUMBER(M179),"Réglé",IF(K179&lt;TODAY(),"Retard",IF(K179=TODAY()," A régler","en attente"))))</f>
        <v>Retard</v>
      </c>
      <c r="M179" s="47"/>
      <c r="N179" s="29" t="n">
        <f aca="true">IF(ISBLANK(M179),TODAY()-K179,0)</f>
        <v>18</v>
      </c>
      <c r="O179" s="30" t="s">
        <v>18</v>
      </c>
      <c r="P179" s="31" t="s">
        <v>19</v>
      </c>
      <c r="Q179" s="32"/>
    </row>
    <row r="180" customFormat="false" ht="16" hidden="false" customHeight="false" outlineLevel="0" collapsed="false">
      <c r="A180" s="52" t="n">
        <v>1910156</v>
      </c>
      <c r="B180" s="22" t="n">
        <v>1910156</v>
      </c>
      <c r="C180" s="53" t="n">
        <v>43781</v>
      </c>
      <c r="D180" s="24" t="s">
        <v>22</v>
      </c>
      <c r="E180" s="48" t="n">
        <v>66.24</v>
      </c>
      <c r="F180" s="48"/>
      <c r="G180" s="49"/>
      <c r="H180" s="48"/>
      <c r="I180" s="48"/>
      <c r="J180" s="27" t="n">
        <f aca="false">IF(ISNUMBER(E180),E180+F180+G180+H180+I180," ")</f>
        <v>66.24</v>
      </c>
      <c r="K180" s="47" t="n">
        <v>43811</v>
      </c>
      <c r="L180" s="28" t="str">
        <f aca="true">IF(ISBLANK(C180)," ",IF(ISNUMBER(M180),"Réglé",IF(K180&lt;TODAY(),"Retard",IF(K180=TODAY()," A régler","en attente"))))</f>
        <v>Retard</v>
      </c>
      <c r="M180" s="47"/>
      <c r="N180" s="29" t="n">
        <f aca="true">IF(ISBLANK(M180),TODAY()-K180,0)</f>
        <v>18</v>
      </c>
      <c r="O180" s="30" t="s">
        <v>18</v>
      </c>
      <c r="P180" s="31" t="s">
        <v>19</v>
      </c>
      <c r="Q180" s="32"/>
    </row>
    <row r="181" customFormat="false" ht="16" hidden="false" customHeight="false" outlineLevel="0" collapsed="false">
      <c r="A181" s="44" t="n">
        <v>191215575</v>
      </c>
      <c r="B181" s="35" t="n">
        <v>20191265</v>
      </c>
      <c r="C181" s="36" t="n">
        <v>43811</v>
      </c>
      <c r="D181" s="45" t="s">
        <v>103</v>
      </c>
      <c r="E181" s="38" t="n">
        <v>683.64</v>
      </c>
      <c r="F181" s="38"/>
      <c r="G181" s="39"/>
      <c r="H181" s="38"/>
      <c r="I181" s="38"/>
      <c r="J181" s="27" t="n">
        <f aca="false">IF(ISNUMBER(E181),E181+F181+G181+H181+I181," ")</f>
        <v>683.64</v>
      </c>
      <c r="K181" s="36" t="n">
        <v>43811</v>
      </c>
      <c r="L181" s="46" t="str">
        <f aca="true">IF(ISBLANK(C181)," ",IF(ISNUMBER(M181),"Réglé",IF(K181&lt;TODAY(),"Retard",IF(K181=TODAY()," A régler","en attente"))))</f>
        <v>Retard</v>
      </c>
      <c r="M181" s="36"/>
      <c r="N181" s="41" t="n">
        <f aca="true">IF(ISBLANK(M181),TODAY()-K181,0)</f>
        <v>18</v>
      </c>
      <c r="O181" s="30"/>
      <c r="P181" s="31"/>
      <c r="Q181" s="32"/>
    </row>
    <row r="182" customFormat="false" ht="16" hidden="false" customHeight="false" outlineLevel="0" collapsed="false">
      <c r="A182" s="52" t="n">
        <v>1910155</v>
      </c>
      <c r="B182" s="22" t="n">
        <v>1910155</v>
      </c>
      <c r="C182" s="53" t="n">
        <v>43781</v>
      </c>
      <c r="D182" s="24" t="s">
        <v>17</v>
      </c>
      <c r="E182" s="48" t="n">
        <v>495.66</v>
      </c>
      <c r="F182" s="48"/>
      <c r="G182" s="49"/>
      <c r="H182" s="48"/>
      <c r="I182" s="48"/>
      <c r="J182" s="27" t="n">
        <f aca="false">IF(ISNUMBER(E182),E182+F182+G182+H182+I182," ")</f>
        <v>495.66</v>
      </c>
      <c r="K182" s="47" t="n">
        <v>43813</v>
      </c>
      <c r="L182" s="28" t="str">
        <f aca="true">IF(ISBLANK(C182)," ",IF(ISNUMBER(M182),"Réglé",IF(K182&lt;TODAY(),"Retard",IF(K182=TODAY()," A régler","en attente"))))</f>
        <v>Retard</v>
      </c>
      <c r="M182" s="47"/>
      <c r="N182" s="29" t="n">
        <f aca="true">IF(ISBLANK(M182),TODAY()-K182,0)</f>
        <v>16</v>
      </c>
      <c r="O182" s="30" t="s">
        <v>18</v>
      </c>
      <c r="P182" s="31" t="s">
        <v>19</v>
      </c>
      <c r="Q182" s="32"/>
    </row>
    <row r="183" customFormat="false" ht="16" hidden="false" customHeight="false" outlineLevel="0" collapsed="false">
      <c r="A183" s="44" t="n">
        <v>2200288997</v>
      </c>
      <c r="B183" s="35" t="n">
        <v>20191229</v>
      </c>
      <c r="C183" s="36" t="n">
        <v>43803</v>
      </c>
      <c r="D183" s="24" t="s">
        <v>21</v>
      </c>
      <c r="E183" s="38" t="n">
        <v>1261.48</v>
      </c>
      <c r="F183" s="38"/>
      <c r="G183" s="39"/>
      <c r="H183" s="38"/>
      <c r="I183" s="38"/>
      <c r="J183" s="27" t="n">
        <f aca="false">IF(ISNUMBER(E183),E183+F183+G183+H183+I183," ")</f>
        <v>1261.48</v>
      </c>
      <c r="K183" s="36" t="n">
        <v>43813</v>
      </c>
      <c r="L183" s="46" t="str">
        <f aca="true">IF(ISBLANK(C183)," ",IF(ISNUMBER(M183),"Réglé",IF(K183&lt;TODAY(),"Retard",IF(K183=TODAY()," A régler","en attente"))))</f>
        <v>Retard</v>
      </c>
      <c r="M183" s="36"/>
      <c r="N183" s="41" t="n">
        <f aca="true">IF(ISBLANK(M183),TODAY()-K183,0)</f>
        <v>16</v>
      </c>
      <c r="O183" s="30"/>
      <c r="P183" s="42"/>
      <c r="Q183" s="43"/>
    </row>
    <row r="184" customFormat="false" ht="16" hidden="false" customHeight="false" outlineLevel="0" collapsed="false">
      <c r="A184" s="44" t="n">
        <v>14695</v>
      </c>
      <c r="B184" s="35" t="n">
        <v>20191145</v>
      </c>
      <c r="C184" s="47" t="n">
        <v>43784</v>
      </c>
      <c r="D184" s="24" t="s">
        <v>109</v>
      </c>
      <c r="E184" s="48" t="n">
        <v>448.8</v>
      </c>
      <c r="F184" s="48"/>
      <c r="G184" s="49"/>
      <c r="H184" s="48"/>
      <c r="I184" s="48"/>
      <c r="J184" s="27" t="n">
        <f aca="false">IF(ISNUMBER(E184),E184+F184+G184+H184+I184," ")</f>
        <v>448.8</v>
      </c>
      <c r="K184" s="47" t="n">
        <v>43814</v>
      </c>
      <c r="L184" s="28" t="str">
        <f aca="true">IF(ISBLANK(C184)," ",IF(ISNUMBER(M184),"Réglé",IF(K184&lt;TODAY(),"Retard",IF(K184=TODAY()," A régler","en attente"))))</f>
        <v>Retard</v>
      </c>
      <c r="M184" s="47"/>
      <c r="N184" s="29" t="n">
        <f aca="true">IF(ISBLANK(M184),TODAY()-K184,0)</f>
        <v>15</v>
      </c>
      <c r="O184" s="30"/>
      <c r="P184" s="31"/>
      <c r="Q184" s="32"/>
    </row>
    <row r="185" customFormat="false" ht="16" hidden="false" customHeight="false" outlineLevel="0" collapsed="false">
      <c r="A185" s="44" t="n">
        <v>190595</v>
      </c>
      <c r="B185" s="35" t="n">
        <v>20191257</v>
      </c>
      <c r="C185" s="36" t="n">
        <v>43810</v>
      </c>
      <c r="D185" s="45" t="s">
        <v>110</v>
      </c>
      <c r="E185" s="38" t="n">
        <v>3354.6</v>
      </c>
      <c r="F185" s="38"/>
      <c r="G185" s="39"/>
      <c r="H185" s="38"/>
      <c r="I185" s="38"/>
      <c r="J185" s="27" t="n">
        <f aca="false">IF(ISNUMBER(E185),E185+F185+G185+H185+I185," ")</f>
        <v>3354.6</v>
      </c>
      <c r="K185" s="36" t="n">
        <v>43815</v>
      </c>
      <c r="L185" s="46" t="str">
        <f aca="true">IF(ISBLANK(C185)," ",IF(ISNUMBER(M185),"Réglé",IF(K185&lt;TODAY(),"Retard",IF(K185=TODAY()," A régler","en attente"))))</f>
        <v>Retard</v>
      </c>
      <c r="M185" s="36"/>
      <c r="N185" s="41" t="n">
        <f aca="true">IF(ISBLANK(M185),TODAY()-K185,0)</f>
        <v>14</v>
      </c>
      <c r="O185" s="30"/>
      <c r="P185" s="31" t="s">
        <v>106</v>
      </c>
      <c r="Q185" s="32"/>
    </row>
    <row r="186" customFormat="false" ht="16" hidden="false" customHeight="false" outlineLevel="0" collapsed="false">
      <c r="A186" s="44" t="n">
        <v>2200289838</v>
      </c>
      <c r="B186" s="35" t="n">
        <v>20191233</v>
      </c>
      <c r="C186" s="36" t="n">
        <v>43806</v>
      </c>
      <c r="D186" s="24" t="s">
        <v>21</v>
      </c>
      <c r="E186" s="38" t="n">
        <v>125.59</v>
      </c>
      <c r="F186" s="38"/>
      <c r="G186" s="39"/>
      <c r="H186" s="38"/>
      <c r="I186" s="38"/>
      <c r="J186" s="27" t="n">
        <f aca="false">IF(ISNUMBER(E186),E186+F186+G186+H186+I186," ")</f>
        <v>125.59</v>
      </c>
      <c r="K186" s="36" t="n">
        <v>43816</v>
      </c>
      <c r="L186" s="46" t="str">
        <f aca="true">IF(ISBLANK(C186)," ",IF(ISNUMBER(M186),"Réglé",IF(K186&lt;TODAY(),"Retard",IF(K186=TODAY()," A régler","en attente"))))</f>
        <v>Retard</v>
      </c>
      <c r="M186" s="36"/>
      <c r="N186" s="41" t="n">
        <f aca="true">IF(ISBLANK(M186),TODAY()-K186,0)</f>
        <v>13</v>
      </c>
      <c r="O186" s="30"/>
      <c r="P186" s="42"/>
      <c r="Q186" s="43"/>
    </row>
    <row r="187" customFormat="false" ht="16" hidden="false" customHeight="false" outlineLevel="0" collapsed="false">
      <c r="A187" s="44" t="n">
        <v>940541174</v>
      </c>
      <c r="B187" s="35" t="n">
        <v>20191169</v>
      </c>
      <c r="C187" s="47" t="n">
        <v>43788</v>
      </c>
      <c r="D187" s="24" t="s">
        <v>111</v>
      </c>
      <c r="E187" s="48" t="n">
        <v>204.17</v>
      </c>
      <c r="F187" s="48"/>
      <c r="G187" s="49"/>
      <c r="H187" s="48"/>
      <c r="I187" s="48"/>
      <c r="J187" s="27" t="n">
        <f aca="false">IF(ISNUMBER(E187),E187+F187+G187+H187+I187," ")</f>
        <v>204.17</v>
      </c>
      <c r="K187" s="61" t="n">
        <v>43818</v>
      </c>
      <c r="L187" s="28" t="str">
        <f aca="true">IF(ISBLANK(C187)," ",IF(ISNUMBER(M187),"Réglé",IF(K187&lt;TODAY(),"Retard",IF(K187=TODAY()," A régler","en attente"))))</f>
        <v>Retard</v>
      </c>
      <c r="M187" s="61"/>
      <c r="N187" s="62" t="n">
        <f aca="true">IF(ISBLANK(M187),TODAY()-K187,0)</f>
        <v>11</v>
      </c>
      <c r="O187" s="30"/>
      <c r="P187" s="31"/>
      <c r="Q187" s="63"/>
    </row>
    <row r="188" customFormat="false" ht="16" hidden="false" customHeight="false" outlineLevel="0" collapsed="false">
      <c r="A188" s="44" t="n">
        <v>2200289872</v>
      </c>
      <c r="B188" s="35" t="n">
        <v>20191236</v>
      </c>
      <c r="C188" s="36" t="n">
        <v>43808</v>
      </c>
      <c r="D188" s="24" t="s">
        <v>21</v>
      </c>
      <c r="E188" s="38" t="n">
        <v>658.87</v>
      </c>
      <c r="F188" s="38"/>
      <c r="G188" s="39"/>
      <c r="H188" s="38"/>
      <c r="I188" s="38"/>
      <c r="J188" s="27" t="n">
        <f aca="false">IF(ISNUMBER(E188),E188+F188+G188+H188+I188," ")</f>
        <v>658.87</v>
      </c>
      <c r="K188" s="36" t="n">
        <v>43818</v>
      </c>
      <c r="L188" s="46" t="str">
        <f aca="true">IF(ISBLANK(C188)," ",IF(ISNUMBER(M188),"Réglé",IF(K188&lt;TODAY(),"Retard",IF(K188=TODAY()," A régler","en attente"))))</f>
        <v>Retard</v>
      </c>
      <c r="M188" s="36"/>
      <c r="N188" s="41" t="n">
        <f aca="true">IF(ISBLANK(M188),TODAY()-K188,0)</f>
        <v>11</v>
      </c>
      <c r="O188" s="30"/>
      <c r="P188" s="42"/>
      <c r="Q188" s="43"/>
    </row>
    <row r="189" customFormat="false" ht="16" hidden="false" customHeight="false" outlineLevel="0" collapsed="false">
      <c r="A189" s="44" t="s">
        <v>112</v>
      </c>
      <c r="B189" s="35" t="n">
        <v>20191172</v>
      </c>
      <c r="C189" s="47" t="n">
        <v>43789</v>
      </c>
      <c r="D189" s="24" t="s">
        <v>31</v>
      </c>
      <c r="E189" s="48" t="n">
        <v>522.9</v>
      </c>
      <c r="F189" s="48"/>
      <c r="G189" s="49"/>
      <c r="H189" s="48"/>
      <c r="I189" s="48"/>
      <c r="J189" s="27" t="n">
        <f aca="false">IF(ISNUMBER(E189),E189+F189+G189+H189+I189," ")</f>
        <v>522.9</v>
      </c>
      <c r="K189" s="47" t="n">
        <v>43819</v>
      </c>
      <c r="L189" s="28" t="str">
        <f aca="true">IF(ISBLANK(C189)," ",IF(ISNUMBER(M189),"Réglé",IF(K189&lt;TODAY(),"Retard",IF(K189=TODAY()," A régler","en attente"))))</f>
        <v>Retard</v>
      </c>
      <c r="M189" s="47"/>
      <c r="N189" s="29" t="n">
        <f aca="true">IF(ISBLANK(M189),TODAY()-K189,0)</f>
        <v>10</v>
      </c>
      <c r="O189" s="30"/>
      <c r="P189" s="31"/>
      <c r="Q189" s="32"/>
    </row>
    <row r="190" customFormat="false" ht="16" hidden="false" customHeight="false" outlineLevel="0" collapsed="false">
      <c r="A190" s="44" t="n">
        <v>2200290757</v>
      </c>
      <c r="B190" s="35" t="n">
        <v>20191262</v>
      </c>
      <c r="C190" s="36" t="n">
        <v>43810</v>
      </c>
      <c r="D190" s="45" t="s">
        <v>21</v>
      </c>
      <c r="E190" s="38" t="n">
        <v>369</v>
      </c>
      <c r="F190" s="38"/>
      <c r="G190" s="39"/>
      <c r="H190" s="38"/>
      <c r="I190" s="38"/>
      <c r="J190" s="27" t="n">
        <f aca="false">IF(ISNUMBER(E190),E190+F190+G190+H190+I190," ")</f>
        <v>369</v>
      </c>
      <c r="K190" s="36" t="n">
        <v>43820</v>
      </c>
      <c r="L190" s="46" t="str">
        <f aca="true">IF(ISBLANK(C190)," ",IF(ISNUMBER(M190),"Réglé",IF(K190&lt;TODAY(),"Retard",IF(K190=TODAY()," A régler","en attente"))))</f>
        <v>Retard</v>
      </c>
      <c r="M190" s="36"/>
      <c r="N190" s="41" t="n">
        <f aca="true">IF(ISBLANK(M190),TODAY()-K190,0)</f>
        <v>9</v>
      </c>
      <c r="O190" s="64"/>
      <c r="P190" s="31" t="s">
        <v>106</v>
      </c>
      <c r="Q190" s="32"/>
    </row>
    <row r="191" customFormat="false" ht="16" hidden="false" customHeight="false" outlineLevel="0" collapsed="false">
      <c r="A191" s="44" t="n">
        <v>2200290759</v>
      </c>
      <c r="B191" s="35" t="n">
        <v>20191261</v>
      </c>
      <c r="C191" s="36" t="n">
        <v>43810</v>
      </c>
      <c r="D191" s="45" t="s">
        <v>21</v>
      </c>
      <c r="E191" s="38" t="n">
        <v>359.14</v>
      </c>
      <c r="F191" s="38"/>
      <c r="G191" s="39"/>
      <c r="H191" s="38"/>
      <c r="I191" s="38"/>
      <c r="J191" s="27" t="n">
        <f aca="false">IF(ISNUMBER(E191),E191+F191+G191+H191+I191," ")</f>
        <v>359.14</v>
      </c>
      <c r="K191" s="36" t="n">
        <v>43820</v>
      </c>
      <c r="L191" s="46" t="str">
        <f aca="true">IF(ISBLANK(C191)," ",IF(ISNUMBER(M191),"Réglé",IF(K191&lt;TODAY(),"Retard",IF(K191=TODAY()," A régler","en attente"))))</f>
        <v>Retard</v>
      </c>
      <c r="M191" s="36"/>
      <c r="N191" s="41" t="n">
        <f aca="true">IF(ISBLANK(M191),TODAY()-K191,0)</f>
        <v>9</v>
      </c>
      <c r="O191" s="64"/>
      <c r="P191" s="31" t="s">
        <v>106</v>
      </c>
      <c r="Q191" s="32"/>
    </row>
    <row r="192" customFormat="false" ht="16" hidden="false" customHeight="false" outlineLevel="0" collapsed="false">
      <c r="A192" s="44" t="n">
        <v>1657958</v>
      </c>
      <c r="B192" s="35" t="n">
        <v>20191187</v>
      </c>
      <c r="C192" s="47" t="n">
        <v>43791</v>
      </c>
      <c r="D192" s="24" t="s">
        <v>20</v>
      </c>
      <c r="E192" s="48" t="n">
        <v>79.98</v>
      </c>
      <c r="F192" s="48"/>
      <c r="G192" s="49"/>
      <c r="H192" s="48"/>
      <c r="I192" s="48"/>
      <c r="J192" s="27" t="n">
        <f aca="false">IF(ISNUMBER(E192),E192+F192+G192+H192+I192," ")</f>
        <v>79.98</v>
      </c>
      <c r="K192" s="47" t="n">
        <v>43821</v>
      </c>
      <c r="L192" s="28" t="str">
        <f aca="true">IF(ISBLANK(C192)," ",IF(ISNUMBER(M192),"Réglé",IF(K192&lt;TODAY(),"Retard",IF(K192=TODAY()," A régler","en attente"))))</f>
        <v>Retard</v>
      </c>
      <c r="M192" s="47"/>
      <c r="N192" s="29" t="n">
        <f aca="true">IF(ISBLANK(M192),TODAY()-K192,0)</f>
        <v>8</v>
      </c>
      <c r="O192" s="64"/>
      <c r="P192" s="31"/>
      <c r="Q192" s="32"/>
    </row>
    <row r="193" customFormat="false" ht="16" hidden="false" customHeight="false" outlineLevel="0" collapsed="false">
      <c r="A193" s="44" t="n">
        <v>2200291233</v>
      </c>
      <c r="B193" s="35" t="n">
        <v>20191263</v>
      </c>
      <c r="C193" s="36" t="n">
        <v>43812</v>
      </c>
      <c r="D193" s="45" t="s">
        <v>21</v>
      </c>
      <c r="E193" s="38" t="n">
        <v>86.52</v>
      </c>
      <c r="F193" s="38"/>
      <c r="G193" s="39"/>
      <c r="H193" s="38"/>
      <c r="I193" s="38"/>
      <c r="J193" s="27" t="n">
        <f aca="false">IF(ISNUMBER(E193),E193+F193+G193+H193+I193," ")</f>
        <v>86.52</v>
      </c>
      <c r="K193" s="36" t="n">
        <v>43822</v>
      </c>
      <c r="L193" s="46" t="str">
        <f aca="true">IF(ISBLANK(C193)," ",IF(ISNUMBER(M193),"Réglé",IF(K193&lt;TODAY(),"Retard",IF(K193=TODAY()," A régler","en attente"))))</f>
        <v>Retard</v>
      </c>
      <c r="M193" s="36"/>
      <c r="N193" s="41" t="n">
        <f aca="true">IF(ISBLANK(M193),TODAY()-K193,0)</f>
        <v>7</v>
      </c>
      <c r="O193" s="64"/>
      <c r="P193" s="31" t="s">
        <v>106</v>
      </c>
      <c r="Q193" s="32"/>
    </row>
    <row r="194" customFormat="false" ht="16" hidden="false" customHeight="false" outlineLevel="0" collapsed="false">
      <c r="A194" s="44" t="n">
        <v>815128</v>
      </c>
      <c r="B194" s="35" t="n">
        <v>20191264</v>
      </c>
      <c r="C194" s="36" t="n">
        <v>43815</v>
      </c>
      <c r="D194" s="45" t="s">
        <v>70</v>
      </c>
      <c r="E194" s="38" t="n">
        <v>992</v>
      </c>
      <c r="F194" s="38"/>
      <c r="G194" s="39"/>
      <c r="H194" s="38"/>
      <c r="I194" s="38"/>
      <c r="J194" s="27" t="n">
        <f aca="false">IF(ISNUMBER(E194),E194+F194+G194+H194+I194," ")</f>
        <v>992</v>
      </c>
      <c r="K194" s="36" t="n">
        <v>43825</v>
      </c>
      <c r="L194" s="46" t="str">
        <f aca="true">IF(ISBLANK(C194)," ",IF(ISNUMBER(M194),"Réglé",IF(K194&lt;TODAY(),"Retard",IF(K194=TODAY()," A régler","en attente"))))</f>
        <v>Retard</v>
      </c>
      <c r="M194" s="36"/>
      <c r="N194" s="41" t="n">
        <f aca="true">IF(ISBLANK(M194),TODAY()-K194,0)</f>
        <v>4</v>
      </c>
      <c r="O194" s="64"/>
      <c r="P194" s="31"/>
      <c r="Q194" s="32"/>
    </row>
    <row r="195" customFormat="false" ht="16" hidden="false" customHeight="false" outlineLevel="0" collapsed="false">
      <c r="A195" s="44" t="s">
        <v>40</v>
      </c>
      <c r="B195" s="35" t="n">
        <v>20191185</v>
      </c>
      <c r="C195" s="47" t="n">
        <v>43770</v>
      </c>
      <c r="D195" s="24" t="s">
        <v>41</v>
      </c>
      <c r="E195" s="48" t="n">
        <v>1000</v>
      </c>
      <c r="F195" s="48"/>
      <c r="G195" s="49"/>
      <c r="H195" s="48"/>
      <c r="I195" s="48"/>
      <c r="J195" s="27" t="n">
        <f aca="false">IF(ISNUMBER(E195),E195+F195+G195+H195+I195," ")</f>
        <v>1000</v>
      </c>
      <c r="K195" s="47" t="n">
        <v>43827</v>
      </c>
      <c r="L195" s="28" t="str">
        <f aca="true">IF(ISBLANK(C195)," ",IF(ISNUMBER(M195),"Réglé",IF(K195&lt;TODAY(),"Retard",IF(K195=TODAY()," A régler","en attente"))))</f>
        <v>Retard</v>
      </c>
      <c r="M195" s="47"/>
      <c r="N195" s="29" t="n">
        <f aca="true">IF(ISBLANK(M195),TODAY()-K195,0)</f>
        <v>2</v>
      </c>
      <c r="O195" s="64" t="s">
        <v>27</v>
      </c>
      <c r="P195" s="31" t="s">
        <v>42</v>
      </c>
      <c r="Q195" s="32"/>
    </row>
    <row r="196" customFormat="false" ht="16" hidden="false" customHeight="false" outlineLevel="0" collapsed="false">
      <c r="A196" s="44" t="s">
        <v>113</v>
      </c>
      <c r="B196" s="35" t="n">
        <v>201911101</v>
      </c>
      <c r="C196" s="47" t="n">
        <v>43797</v>
      </c>
      <c r="D196" s="24" t="s">
        <v>17</v>
      </c>
      <c r="E196" s="48" t="n">
        <v>-304.41</v>
      </c>
      <c r="F196" s="48"/>
      <c r="G196" s="49"/>
      <c r="H196" s="48"/>
      <c r="I196" s="48"/>
      <c r="J196" s="27" t="n">
        <f aca="false">IF(ISNUMBER(E196),E196+F196+G196+H196+I196," ")</f>
        <v>-304.41</v>
      </c>
      <c r="K196" s="47" t="n">
        <v>43827</v>
      </c>
      <c r="L196" s="28" t="str">
        <f aca="true">IF(ISBLANK(C196)," ",IF(ISNUMBER(M196),"Réglé",IF(K196&lt;TODAY(),"Retard",IF(K196=TODAY()," A régler","en attente"))))</f>
        <v>Retard</v>
      </c>
      <c r="M196" s="47"/>
      <c r="N196" s="29" t="n">
        <f aca="true">IF(ISBLANK(M196),TODAY()-K196,0)</f>
        <v>2</v>
      </c>
      <c r="O196" s="64" t="s">
        <v>33</v>
      </c>
      <c r="P196" s="31" t="s">
        <v>33</v>
      </c>
      <c r="Q196" s="32"/>
    </row>
    <row r="197" customFormat="false" ht="16" hidden="false" customHeight="false" outlineLevel="0" collapsed="false">
      <c r="A197" s="44" t="n">
        <v>1910772</v>
      </c>
      <c r="B197" s="35" t="n">
        <v>201911102</v>
      </c>
      <c r="C197" s="47" t="n">
        <v>43797</v>
      </c>
      <c r="D197" s="24" t="s">
        <v>17</v>
      </c>
      <c r="E197" s="48" t="n">
        <v>53.76</v>
      </c>
      <c r="F197" s="48"/>
      <c r="G197" s="49"/>
      <c r="H197" s="48"/>
      <c r="I197" s="48"/>
      <c r="J197" s="27" t="n">
        <f aca="false">IF(ISNUMBER(E197),E197+F197+G197+H197+I197," ")</f>
        <v>53.76</v>
      </c>
      <c r="K197" s="47" t="n">
        <v>43827</v>
      </c>
      <c r="L197" s="28" t="str">
        <f aca="true">IF(ISBLANK(C197)," ",IF(ISNUMBER(M197),"Réglé",IF(K197&lt;TODAY(),"Retard",IF(K197=TODAY()," A régler","en attente"))))</f>
        <v>Retard</v>
      </c>
      <c r="M197" s="47"/>
      <c r="N197" s="29" t="n">
        <f aca="true">IF(ISBLANK(M197),TODAY()-K197,0)</f>
        <v>2</v>
      </c>
      <c r="O197" s="64" t="s">
        <v>18</v>
      </c>
      <c r="P197" s="31" t="s">
        <v>19</v>
      </c>
      <c r="Q197" s="32"/>
    </row>
    <row r="198" customFormat="false" ht="16" hidden="false" customHeight="false" outlineLevel="0" collapsed="false">
      <c r="A198" s="44" t="n">
        <v>1910782</v>
      </c>
      <c r="B198" s="35" t="n">
        <v>201911103</v>
      </c>
      <c r="C198" s="47" t="n">
        <v>43797</v>
      </c>
      <c r="D198" s="24" t="s">
        <v>22</v>
      </c>
      <c r="E198" s="48" t="n">
        <v>1011.75</v>
      </c>
      <c r="F198" s="48"/>
      <c r="G198" s="49"/>
      <c r="H198" s="48"/>
      <c r="I198" s="48"/>
      <c r="J198" s="27" t="n">
        <f aca="false">IF(ISNUMBER(E198),E198+F198+G198+H198+I198," ")</f>
        <v>1011.75</v>
      </c>
      <c r="K198" s="47" t="n">
        <v>43827</v>
      </c>
      <c r="L198" s="28" t="str">
        <f aca="true">IF(ISBLANK(C198)," ",IF(ISNUMBER(M198),"Réglé",IF(K198&lt;TODAY(),"Retard",IF(K198=TODAY()," A régler","en attente"))))</f>
        <v>Retard</v>
      </c>
      <c r="M198" s="47"/>
      <c r="N198" s="29" t="n">
        <f aca="true">IF(ISBLANK(M198),TODAY()-K198,0)</f>
        <v>2</v>
      </c>
      <c r="O198" s="64" t="s">
        <v>18</v>
      </c>
      <c r="P198" s="31" t="s">
        <v>19</v>
      </c>
      <c r="Q198" s="32"/>
    </row>
    <row r="199" customFormat="false" ht="16" hidden="false" customHeight="false" outlineLevel="0" collapsed="false">
      <c r="A199" s="44" t="n">
        <v>1910788</v>
      </c>
      <c r="B199" s="35" t="n">
        <v>201911104</v>
      </c>
      <c r="C199" s="36" t="n">
        <v>43797</v>
      </c>
      <c r="D199" s="24" t="s">
        <v>25</v>
      </c>
      <c r="E199" s="38" t="n">
        <v>230.77</v>
      </c>
      <c r="F199" s="50"/>
      <c r="G199" s="65"/>
      <c r="H199" s="50"/>
      <c r="I199" s="50"/>
      <c r="J199" s="27" t="n">
        <f aca="false">IF(ISNUMBER(E199),E199+F199+G199+H199+I199," ")</f>
        <v>230.77</v>
      </c>
      <c r="K199" s="36" t="n">
        <v>43827</v>
      </c>
      <c r="L199" s="28" t="str">
        <f aca="true">IF(ISBLANK(C199)," ",IF(ISNUMBER(M199),"Réglé",IF(K199&lt;TODAY(),"Retard",IF(K199=TODAY()," A régler","en attente"))))</f>
        <v>Retard</v>
      </c>
      <c r="M199" s="66"/>
      <c r="N199" s="29" t="n">
        <f aca="true">IF(ISBLANK(M199),TODAY()-K199,0)</f>
        <v>2</v>
      </c>
      <c r="O199" s="64" t="s">
        <v>18</v>
      </c>
      <c r="P199" s="31" t="s">
        <v>19</v>
      </c>
      <c r="Q199" s="67"/>
    </row>
    <row r="200" customFormat="false" ht="16" hidden="false" customHeight="false" outlineLevel="0" collapsed="false">
      <c r="A200" s="34" t="n">
        <v>1910793</v>
      </c>
      <c r="B200" s="35" t="n">
        <v>201911105</v>
      </c>
      <c r="C200" s="36" t="n">
        <v>43797</v>
      </c>
      <c r="D200" s="37" t="s">
        <v>17</v>
      </c>
      <c r="E200" s="38" t="n">
        <v>1755.54</v>
      </c>
      <c r="F200" s="38"/>
      <c r="G200" s="39"/>
      <c r="H200" s="38"/>
      <c r="I200" s="38"/>
      <c r="J200" s="40" t="n">
        <f aca="false">IF(ISNUMBER(E200),E200+F200+G200+H200+I200," ")</f>
        <v>1755.54</v>
      </c>
      <c r="K200" s="36" t="n">
        <v>43827</v>
      </c>
      <c r="L200" s="28" t="str">
        <f aca="true">IF(ISBLANK(C200)," ",IF(ISNUMBER(M200),"Réglé",IF(K200&lt;TODAY(),"Retard",IF(K200=TODAY()," A régler","en attente"))))</f>
        <v>Retard</v>
      </c>
      <c r="M200" s="36"/>
      <c r="N200" s="41" t="n">
        <f aca="true">IF(ISBLANK(M200),TODAY()-K200,0)</f>
        <v>2</v>
      </c>
      <c r="O200" s="64" t="s">
        <v>18</v>
      </c>
      <c r="P200" s="31" t="s">
        <v>19</v>
      </c>
      <c r="Q200" s="43"/>
    </row>
    <row r="201" customFormat="false" ht="16" hidden="false" customHeight="false" outlineLevel="0" collapsed="false">
      <c r="A201" s="34" t="s">
        <v>114</v>
      </c>
      <c r="B201" s="35" t="n">
        <v>201911111</v>
      </c>
      <c r="C201" s="36" t="n">
        <v>43797</v>
      </c>
      <c r="D201" s="37" t="s">
        <v>31</v>
      </c>
      <c r="E201" s="38" t="n">
        <v>310.68</v>
      </c>
      <c r="F201" s="38"/>
      <c r="G201" s="39"/>
      <c r="H201" s="38"/>
      <c r="I201" s="38"/>
      <c r="J201" s="40" t="n">
        <f aca="false">IF(ISNUMBER(E201),E201+F201+G201+H201+I201," ")</f>
        <v>310.68</v>
      </c>
      <c r="K201" s="36" t="n">
        <v>43827</v>
      </c>
      <c r="L201" s="28" t="str">
        <f aca="true">IF(ISBLANK(C201)," ",IF(ISNUMBER(M201),"Réglé",IF(K201&lt;TODAY(),"Retard",IF(K201=TODAY()," A régler","en attente"))))</f>
        <v>Retard</v>
      </c>
      <c r="M201" s="36"/>
      <c r="N201" s="41" t="n">
        <f aca="true">IF(ISBLANK(M201),TODAY()-K201,0)</f>
        <v>2</v>
      </c>
      <c r="O201" s="64"/>
      <c r="P201" s="42"/>
      <c r="Q201" s="43"/>
    </row>
    <row r="202" customFormat="false" ht="16" hidden="false" customHeight="false" outlineLevel="0" collapsed="false">
      <c r="A202" s="44" t="n">
        <v>2011132417</v>
      </c>
      <c r="B202" s="35" t="n">
        <v>201911125</v>
      </c>
      <c r="C202" s="36" t="n">
        <v>43797</v>
      </c>
      <c r="D202" s="24" t="s">
        <v>32</v>
      </c>
      <c r="E202" s="38" t="n">
        <v>144.4</v>
      </c>
      <c r="F202" s="38"/>
      <c r="G202" s="39"/>
      <c r="H202" s="38"/>
      <c r="I202" s="38"/>
      <c r="J202" s="27" t="n">
        <f aca="false">IF(ISNUMBER(E202),E202+F202+G202+H202+I202," ")</f>
        <v>144.4</v>
      </c>
      <c r="K202" s="36" t="n">
        <v>43827</v>
      </c>
      <c r="L202" s="28" t="str">
        <f aca="true">IF(ISBLANK(C202)," ",IF(ISNUMBER(M202),"Réglé",IF(K202&lt;TODAY(),"Retard",IF(K202=TODAY()," A régler","en attente"))))</f>
        <v>Retard</v>
      </c>
      <c r="M202" s="36"/>
      <c r="N202" s="41" t="n">
        <f aca="true">IF(ISBLANK(M202),TODAY()-K202,0)</f>
        <v>2</v>
      </c>
      <c r="O202" s="64"/>
      <c r="P202" s="42"/>
      <c r="Q202" s="43"/>
    </row>
    <row r="203" customFormat="false" ht="16" hidden="false" customHeight="false" outlineLevel="0" collapsed="false">
      <c r="A203" s="44" t="n">
        <v>2200290769</v>
      </c>
      <c r="B203" s="35" t="n">
        <v>20191279</v>
      </c>
      <c r="C203" s="36" t="n">
        <v>43810</v>
      </c>
      <c r="D203" s="45" t="s">
        <v>21</v>
      </c>
      <c r="E203" s="38" t="n">
        <v>1323.65</v>
      </c>
      <c r="F203" s="38"/>
      <c r="G203" s="39"/>
      <c r="H203" s="38"/>
      <c r="I203" s="38"/>
      <c r="J203" s="27" t="n">
        <f aca="false">IF(ISNUMBER(E203),E203+F203+G203+H203+I203," ")</f>
        <v>1323.65</v>
      </c>
      <c r="K203" s="36" t="n">
        <v>43820</v>
      </c>
      <c r="L203" s="46" t="str">
        <f aca="true">IF(ISBLANK(C203)," ",IF(ISNUMBER(M203),"Réglé",IF(K203&lt;TODAY(),"Retard",IF(K203=TODAY()," A régler","en attente"))))</f>
        <v>Retard</v>
      </c>
      <c r="M203" s="36"/>
      <c r="N203" s="41" t="n">
        <f aca="true">IF(ISBLANK(M203),TODAY()-K203,0)</f>
        <v>9</v>
      </c>
      <c r="O203" s="64"/>
      <c r="P203" s="31"/>
      <c r="Q203" s="32"/>
    </row>
    <row r="204" customFormat="false" ht="17" hidden="false" customHeight="false" outlineLevel="0" collapsed="false">
      <c r="A204" s="68" t="n">
        <f aca="false">SUBTOTAL(103,Tableau2[N° Facture])</f>
        <v>202</v>
      </c>
      <c r="B204" s="69"/>
      <c r="C204" s="70"/>
      <c r="D204" s="71" t="s">
        <v>115</v>
      </c>
      <c r="E204" s="72" t="n">
        <f aca="false">SUBTOTAL(109,Tableau2[Montant HT])</f>
        <v>168466</v>
      </c>
      <c r="F204" s="72" t="e">
        <f aca="false">SUBTOTAL(109,Tableau2[tva 2,1% ])</f>
        <v>#N/A</v>
      </c>
      <c r="G204" s="72" t="e">
        <f aca="false">SUBTOTAL(109,Tableau2[tva 5,5%])</f>
        <v>#N/A</v>
      </c>
      <c r="H204" s="72" t="n">
        <f aca="false">SUBTOTAL(109,Tableau2[TVA 10%])</f>
        <v>0</v>
      </c>
      <c r="I204" s="72" t="n">
        <f aca="false">SUBTOTAL(109,Tableau2[TVA 20%])</f>
        <v>0</v>
      </c>
      <c r="J204" s="72" t="n">
        <f aca="false">SUBTOTAL(109,Tableau2[Montant TTC])</f>
        <v>168466</v>
      </c>
      <c r="K204" s="73"/>
      <c r="L204" s="74"/>
      <c r="M204" s="73"/>
      <c r="N204" s="75"/>
      <c r="O204" s="76"/>
      <c r="P204" s="77"/>
      <c r="Q204" s="78"/>
    </row>
    <row r="205" customFormat="false" ht="15" hidden="false" customHeight="true" outlineLevel="0" collapsed="false">
      <c r="A205" s="0"/>
      <c r="B205" s="79" t="s">
        <v>116</v>
      </c>
      <c r="C205" s="79"/>
      <c r="D205" s="80" t="s">
        <v>117</v>
      </c>
      <c r="E205" s="80"/>
      <c r="F205" s="81"/>
      <c r="G205" s="80" t="s">
        <v>118</v>
      </c>
      <c r="H205" s="80"/>
      <c r="I205" s="80"/>
      <c r="J205" s="82"/>
      <c r="K205" s="83"/>
      <c r="L205" s="84"/>
      <c r="M205" s="84"/>
      <c r="N205" s="84"/>
      <c r="O205" s="84"/>
      <c r="P205" s="85"/>
      <c r="Q205" s="86"/>
    </row>
    <row r="206" customFormat="false" ht="13.8" hidden="false" customHeight="false" outlineLevel="0" collapsed="false">
      <c r="A206" s="87"/>
      <c r="B206" s="79"/>
      <c r="C206" s="79"/>
      <c r="D206" s="88" t="s">
        <v>119</v>
      </c>
      <c r="E206" s="88"/>
      <c r="F206" s="89"/>
      <c r="G206" s="88" t="s">
        <v>120</v>
      </c>
      <c r="H206" s="88"/>
      <c r="I206" s="88"/>
      <c r="J206" s="90"/>
      <c r="K206" s="91"/>
      <c r="L206" s="84"/>
      <c r="M206" s="84"/>
      <c r="N206" s="84"/>
      <c r="O206" s="84"/>
      <c r="P206" s="85"/>
      <c r="Q206" s="86"/>
    </row>
    <row r="207" customFormat="false" ht="15" hidden="false" customHeight="false" outlineLevel="0" collapsed="false">
      <c r="A207" s="87"/>
      <c r="B207" s="79"/>
      <c r="C207" s="79"/>
      <c r="D207" s="92" t="s">
        <v>121</v>
      </c>
      <c r="E207" s="92"/>
      <c r="F207" s="93"/>
      <c r="G207" s="92" t="s">
        <v>122</v>
      </c>
      <c r="H207" s="92"/>
      <c r="I207" s="92"/>
      <c r="J207" s="94"/>
      <c r="K207" s="95"/>
      <c r="L207" s="84"/>
      <c r="M207" s="84"/>
      <c r="N207" s="84"/>
      <c r="O207" s="84"/>
      <c r="P207" s="85"/>
      <c r="Q207" s="86"/>
    </row>
    <row r="208" customFormat="false" ht="15" hidden="false" customHeight="false" outlineLevel="0" collapsed="false">
      <c r="A208" s="87"/>
      <c r="B208" s="79"/>
      <c r="C208" s="79"/>
      <c r="D208" s="96" t="s">
        <v>123</v>
      </c>
      <c r="E208" s="96"/>
      <c r="F208" s="97"/>
      <c r="G208" s="98" t="s">
        <v>124</v>
      </c>
      <c r="H208" s="98"/>
      <c r="I208" s="98"/>
      <c r="J208" s="99"/>
      <c r="K208" s="100"/>
      <c r="L208" s="84"/>
      <c r="M208" s="84"/>
      <c r="N208" s="84"/>
      <c r="O208" s="84"/>
      <c r="P208" s="85"/>
      <c r="Q208" s="86"/>
    </row>
    <row r="209" customFormat="false" ht="17" hidden="false" customHeight="false" outlineLevel="0" collapsed="false">
      <c r="A209" s="87"/>
      <c r="B209" s="87"/>
      <c r="C209" s="84"/>
      <c r="D209" s="101"/>
      <c r="E209" s="102"/>
      <c r="F209" s="102"/>
      <c r="G209" s="102"/>
      <c r="H209" s="102"/>
      <c r="I209" s="102"/>
      <c r="J209" s="103"/>
      <c r="K209" s="104"/>
      <c r="L209" s="84"/>
      <c r="M209" s="84"/>
      <c r="N209" s="84"/>
      <c r="O209" s="84"/>
      <c r="P209" s="85"/>
      <c r="Q209" s="86"/>
    </row>
    <row r="210" customFormat="false" ht="16" hidden="false" customHeight="true" outlineLevel="0" collapsed="false">
      <c r="A210" s="87"/>
      <c r="B210" s="79" t="s">
        <v>125</v>
      </c>
      <c r="C210" s="79"/>
      <c r="D210" s="80" t="s">
        <v>117</v>
      </c>
      <c r="E210" s="80"/>
      <c r="F210" s="81"/>
      <c r="G210" s="80" t="s">
        <v>118</v>
      </c>
      <c r="H210" s="80"/>
      <c r="I210" s="80"/>
      <c r="J210" s="82" t="n">
        <f aca="false">SUMIF(Tableau2[Etat de la facture],"Réglé",Tableau2[Montant TTC])</f>
        <v>88121.26</v>
      </c>
      <c r="K210" s="85"/>
      <c r="L210" s="84"/>
      <c r="M210" s="84"/>
      <c r="N210" s="84"/>
      <c r="O210" s="84"/>
      <c r="P210" s="85"/>
      <c r="Q210" s="86"/>
    </row>
    <row r="211" customFormat="false" ht="15" hidden="false" customHeight="false" outlineLevel="0" collapsed="false">
      <c r="A211" s="87"/>
      <c r="B211" s="79"/>
      <c r="C211" s="79"/>
      <c r="D211" s="88" t="s">
        <v>119</v>
      </c>
      <c r="E211" s="88"/>
      <c r="F211" s="89"/>
      <c r="G211" s="88" t="s">
        <v>120</v>
      </c>
      <c r="H211" s="88"/>
      <c r="I211" s="88"/>
      <c r="J211" s="90" t="n">
        <f aca="false">SUMIF(Tableau2[Etat de la facture]," A régler",Tableau2[Montant TTC])</f>
        <v>0</v>
      </c>
      <c r="K211" s="85"/>
      <c r="L211" s="84"/>
      <c r="M211" s="84"/>
      <c r="N211" s="84"/>
      <c r="O211" s="84"/>
      <c r="P211" s="85"/>
      <c r="Q211" s="86"/>
    </row>
    <row r="212" customFormat="false" ht="16" hidden="false" customHeight="false" outlineLevel="0" collapsed="false">
      <c r="A212" s="87"/>
      <c r="B212" s="79"/>
      <c r="C212" s="79"/>
      <c r="D212" s="92" t="s">
        <v>121</v>
      </c>
      <c r="E212" s="92"/>
      <c r="F212" s="93"/>
      <c r="G212" s="92" t="s">
        <v>122</v>
      </c>
      <c r="H212" s="92"/>
      <c r="I212" s="92"/>
      <c r="J212" s="94" t="n">
        <f aca="false">SUMIF(Tableau2[Etat de la facture],"Retard",Tableau2[Montant TTC])</f>
        <v>32980.79</v>
      </c>
      <c r="K212" s="85"/>
      <c r="L212" s="84"/>
      <c r="M212" s="84"/>
      <c r="N212" s="84"/>
      <c r="O212" s="84"/>
      <c r="P212" s="85"/>
      <c r="Q212" s="86"/>
    </row>
    <row r="213" customFormat="false" ht="17" hidden="false" customHeight="false" outlineLevel="0" collapsed="false">
      <c r="A213" s="87"/>
      <c r="B213" s="79"/>
      <c r="C213" s="79"/>
      <c r="D213" s="96" t="s">
        <v>123</v>
      </c>
      <c r="E213" s="96"/>
      <c r="F213" s="97"/>
      <c r="G213" s="98" t="s">
        <v>124</v>
      </c>
      <c r="H213" s="98"/>
      <c r="I213" s="98"/>
      <c r="J213" s="99" t="n">
        <f aca="false">SUMIF(Tableau2[Etat de la facture],"en attente",Tableau2[Montant TTC])</f>
        <v>47363.95</v>
      </c>
      <c r="K213" s="85"/>
      <c r="L213" s="84"/>
      <c r="M213" s="84"/>
      <c r="N213" s="84"/>
      <c r="O213" s="84"/>
      <c r="P213" s="85"/>
      <c r="Q213" s="86"/>
    </row>
    <row r="214" customFormat="false" ht="16" hidden="false" customHeight="false" outlineLevel="0" collapsed="false">
      <c r="A214" s="87"/>
      <c r="B214" s="87"/>
      <c r="C214" s="84"/>
      <c r="D214" s="101"/>
      <c r="E214" s="102"/>
      <c r="F214" s="102"/>
      <c r="G214" s="102"/>
      <c r="H214" s="102"/>
      <c r="I214" s="102"/>
      <c r="J214" s="103"/>
      <c r="K214" s="85"/>
      <c r="L214" s="84"/>
      <c r="M214" s="84"/>
      <c r="N214" s="84"/>
      <c r="O214" s="84"/>
      <c r="P214" s="85"/>
      <c r="Q214" s="86"/>
    </row>
    <row r="215" customFormat="false" ht="16" hidden="false" customHeight="false" outlineLevel="0" collapsed="false">
      <c r="A215" s="87"/>
      <c r="B215" s="87"/>
      <c r="C215" s="84"/>
      <c r="D215" s="101"/>
      <c r="E215" s="102"/>
      <c r="F215" s="102"/>
      <c r="G215" s="102"/>
      <c r="H215" s="102"/>
      <c r="I215" s="102"/>
      <c r="J215" s="103"/>
      <c r="K215" s="85"/>
      <c r="L215" s="84"/>
      <c r="M215" s="84"/>
      <c r="N215" s="84"/>
      <c r="O215" s="84"/>
      <c r="P215" s="85"/>
      <c r="Q215" s="86"/>
    </row>
    <row r="216" customFormat="false" ht="16" hidden="false" customHeight="false" outlineLevel="0" collapsed="false">
      <c r="A216" s="87"/>
      <c r="B216" s="87"/>
      <c r="C216" s="84"/>
      <c r="D216" s="101"/>
      <c r="E216" s="102"/>
      <c r="F216" s="102"/>
      <c r="G216" s="102"/>
      <c r="H216" s="102"/>
      <c r="I216" s="102"/>
      <c r="J216" s="103"/>
      <c r="K216" s="85"/>
      <c r="L216" s="84"/>
      <c r="M216" s="84"/>
      <c r="N216" s="84"/>
      <c r="O216" s="84"/>
      <c r="P216" s="85"/>
      <c r="Q216" s="86"/>
    </row>
    <row r="217" customFormat="false" ht="16" hidden="false" customHeight="false" outlineLevel="0" collapsed="false">
      <c r="A217" s="87"/>
      <c r="B217" s="87"/>
      <c r="C217" s="84"/>
      <c r="D217" s="101"/>
      <c r="E217" s="102"/>
      <c r="F217" s="102"/>
      <c r="G217" s="102"/>
      <c r="H217" s="102"/>
      <c r="I217" s="102"/>
      <c r="J217" s="103"/>
      <c r="K217" s="85"/>
      <c r="L217" s="84"/>
      <c r="M217" s="84"/>
      <c r="N217" s="84"/>
      <c r="O217" s="84"/>
      <c r="P217" s="85"/>
      <c r="Q217" s="86"/>
    </row>
    <row r="218" customFormat="false" ht="16" hidden="false" customHeight="false" outlineLevel="0" collapsed="false">
      <c r="A218" s="87"/>
      <c r="B218" s="87"/>
      <c r="C218" s="84"/>
      <c r="D218" s="101"/>
      <c r="E218" s="102"/>
      <c r="F218" s="102"/>
      <c r="G218" s="102"/>
      <c r="H218" s="102"/>
      <c r="I218" s="102"/>
      <c r="J218" s="103"/>
      <c r="K218" s="85"/>
      <c r="L218" s="84"/>
      <c r="M218" s="84"/>
      <c r="N218" s="84"/>
      <c r="O218" s="84"/>
      <c r="P218" s="85"/>
      <c r="Q218" s="86"/>
    </row>
    <row r="219" customFormat="false" ht="16" hidden="false" customHeight="false" outlineLevel="0" collapsed="false">
      <c r="A219" s="87"/>
      <c r="B219" s="87"/>
      <c r="C219" s="84"/>
      <c r="D219" s="101"/>
      <c r="E219" s="102"/>
      <c r="F219" s="102"/>
      <c r="G219" s="102"/>
      <c r="H219" s="102"/>
      <c r="I219" s="102"/>
      <c r="J219" s="103"/>
      <c r="K219" s="85"/>
      <c r="L219" s="84"/>
      <c r="M219" s="84"/>
      <c r="N219" s="84"/>
      <c r="O219" s="84"/>
      <c r="P219" s="85"/>
      <c r="Q219" s="86"/>
    </row>
    <row r="220" customFormat="false" ht="16" hidden="false" customHeight="false" outlineLevel="0" collapsed="false">
      <c r="A220" s="87"/>
      <c r="B220" s="87"/>
      <c r="C220" s="84"/>
      <c r="D220" s="101"/>
      <c r="E220" s="102"/>
      <c r="F220" s="102"/>
      <c r="G220" s="102"/>
      <c r="H220" s="102"/>
      <c r="I220" s="102"/>
      <c r="J220" s="103"/>
      <c r="K220" s="85"/>
      <c r="L220" s="84"/>
      <c r="M220" s="84"/>
      <c r="N220" s="84"/>
      <c r="O220" s="84"/>
      <c r="P220" s="85"/>
      <c r="Q220" s="86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8">
    <mergeCell ref="B205:C208"/>
    <mergeCell ref="D205:E205"/>
    <mergeCell ref="G205:I205"/>
    <mergeCell ref="D206:E206"/>
    <mergeCell ref="G206:I206"/>
    <mergeCell ref="D207:E207"/>
    <mergeCell ref="G207:I207"/>
    <mergeCell ref="D208:E208"/>
    <mergeCell ref="G208:I208"/>
    <mergeCell ref="B210:C213"/>
    <mergeCell ref="D210:E210"/>
    <mergeCell ref="G210:I210"/>
    <mergeCell ref="D211:E211"/>
    <mergeCell ref="G211:I211"/>
    <mergeCell ref="D212:E212"/>
    <mergeCell ref="G212:I212"/>
    <mergeCell ref="D213:E213"/>
    <mergeCell ref="G213:I213"/>
  </mergeCells>
  <conditionalFormatting sqref="L2:L203">
    <cfRule type="expression" priority="2" aboveAverage="0" equalAverage="0" bottom="0" percent="0" rank="0" text="" dxfId="0">
      <formula>$L2=" A régler"</formula>
    </cfRule>
    <cfRule type="expression" priority="3" aboveAverage="0" equalAverage="0" bottom="0" percent="0" rank="0" text="" dxfId="1">
      <formula>$L2="en attente"</formula>
    </cfRule>
    <cfRule type="expression" priority="4" aboveAverage="0" equalAverage="0" bottom="0" percent="0" rank="0" text="" dxfId="2">
      <formula>$L2="Retard"</formula>
    </cfRule>
    <cfRule type="expression" priority="5" aboveAverage="0" equalAverage="0" bottom="0" percent="0" rank="0" text="" dxfId="3">
      <formula>$L2="Réglé"</formula>
    </cfRule>
  </conditionalFormatting>
  <dataValidations count="4">
    <dataValidation allowBlank="true" operator="between" showDropDown="false" showErrorMessage="true" showInputMessage="true" sqref="O9 O17 O20:O25 O28:O30 O32 O35:O36 O57 O60 O65 O82 O94 O109 O124:O126 O131" type="list">
      <formula1>TypeRgmt</formula1>
      <formula2>0</formula2>
    </dataValidation>
    <dataValidation allowBlank="true" operator="between" showDropDown="false" showErrorMessage="true" showInputMessage="true" sqref="D2:D12 D144" type="list">
      <formula1>ListeFrn</formula1>
      <formula2>0</formula2>
    </dataValidation>
    <dataValidation allowBlank="true" operator="between" showDropDown="false" showErrorMessage="true" showInputMessage="true" sqref="O2:O8 O10:O16 O18:O19 O26:O27 O31 O33:O34 O37:O56 O58:O59 O61:O64 O66:O81 O83:O93 O95:O108 O110:O123 O127:O130 O132:O189" type="list">
      <formula1>Mode</formula1>
      <formula2>0</formula2>
    </dataValidation>
    <dataValidation allowBlank="true" operator="between" showDropDown="false" showErrorMessage="true" showInputMessage="true" sqref="P2:P143 P145:P147 P149:P151 P160:P189 P192:P197" type="list">
      <formula1>Banque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511805555555555" footer="0.511805555555555"/>
  <pageSetup paperSize="8" scale="100" firstPageNumber="0" fitToWidth="1" fitToHeight="0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FFFFFF"/>
    <pageSetUpPr fitToPage="true"/>
  </sheetPr>
  <dimension ref="A1:R2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2" ySplit="2" topLeftCell="C3" activePane="bottomRight" state="frozen"/>
      <selection pane="topLeft" activeCell="A1" activeCellId="0" sqref="A1"/>
      <selection pane="topRight" activeCell="C1" activeCellId="0" sqref="C1"/>
      <selection pane="bottomLeft" activeCell="A3" activeCellId="0" sqref="A3"/>
      <selection pane="bottomRight" activeCell="B15" activeCellId="0" sqref="B15"/>
    </sheetView>
  </sheetViews>
  <sheetFormatPr defaultRowHeight="15" zeroHeight="false" outlineLevelRow="0" outlineLevelCol="0"/>
  <cols>
    <col collapsed="false" customWidth="true" hidden="false" outlineLevel="0" max="1" min="1" style="0" width="30.72"/>
    <col collapsed="false" customWidth="true" hidden="false" outlineLevel="0" max="2" min="2" style="105" width="13.12"/>
    <col collapsed="false" customWidth="true" hidden="false" outlineLevel="0" max="14" min="3" style="0" width="13.12"/>
    <col collapsed="false" customWidth="true" hidden="true" outlineLevel="0" max="15" min="15" style="0" width="6.08"/>
    <col collapsed="false" customWidth="true" hidden="false" outlineLevel="0" max="16" min="16" style="0" width="10.25"/>
    <col collapsed="false" customWidth="true" hidden="false" outlineLevel="0" max="17" min="17" style="0" width="13.12"/>
    <col collapsed="false" customWidth="true" hidden="false" outlineLevel="0" max="18" min="18" style="0" width="15.52"/>
    <col collapsed="false" customWidth="true" hidden="false" outlineLevel="0" max="1025" min="19" style="0" width="10.25"/>
  </cols>
  <sheetData>
    <row r="1" s="110" customFormat="true" ht="12" hidden="false" customHeight="false" outlineLevel="0" collapsed="false">
      <c r="A1" s="106"/>
      <c r="B1" s="107"/>
      <c r="C1" s="108" t="n">
        <v>1</v>
      </c>
      <c r="D1" s="108" t="n">
        <f aca="false">C1+1</f>
        <v>2</v>
      </c>
      <c r="E1" s="108" t="n">
        <f aca="false">D1+1</f>
        <v>3</v>
      </c>
      <c r="F1" s="108" t="n">
        <f aca="false">E1+1</f>
        <v>4</v>
      </c>
      <c r="G1" s="108" t="n">
        <f aca="false">F1+1</f>
        <v>5</v>
      </c>
      <c r="H1" s="108" t="n">
        <f aca="false">G1+1</f>
        <v>6</v>
      </c>
      <c r="I1" s="108" t="n">
        <f aca="false">H1+1</f>
        <v>7</v>
      </c>
      <c r="J1" s="108" t="n">
        <f aca="false">I1+1</f>
        <v>8</v>
      </c>
      <c r="K1" s="108" t="n">
        <f aca="false">J1+1</f>
        <v>9</v>
      </c>
      <c r="L1" s="108" t="n">
        <f aca="false">K1+1</f>
        <v>10</v>
      </c>
      <c r="M1" s="108" t="n">
        <f aca="false">L1+1</f>
        <v>11</v>
      </c>
      <c r="N1" s="108" t="n">
        <f aca="false">M1+1</f>
        <v>12</v>
      </c>
      <c r="O1" s="109" t="n">
        <v>1</v>
      </c>
    </row>
    <row r="2" s="33" customFormat="true" ht="51.75" hidden="false" customHeight="true" outlineLevel="0" collapsed="false">
      <c r="A2" s="111" t="n">
        <v>2019</v>
      </c>
      <c r="B2" s="112" t="s">
        <v>115</v>
      </c>
      <c r="C2" s="113" t="n">
        <f aca="false">VALUE("1/"&amp;C$1&amp;"/"&amp;$A2)</f>
        <v>43466</v>
      </c>
      <c r="D2" s="113" t="n">
        <f aca="false">VALUE("1/"&amp;D$1&amp;"/"&amp;$A2)</f>
        <v>43497</v>
      </c>
      <c r="E2" s="113" t="n">
        <f aca="false">VALUE("1/"&amp;E$1&amp;"/"&amp;$A2)</f>
        <v>43525</v>
      </c>
      <c r="F2" s="113" t="n">
        <f aca="false">VALUE("1/"&amp;F$1&amp;"/"&amp;$A2)</f>
        <v>43556</v>
      </c>
      <c r="G2" s="113" t="n">
        <f aca="false">VALUE("1/"&amp;G$1&amp;"/"&amp;$A2)</f>
        <v>43586</v>
      </c>
      <c r="H2" s="113" t="n">
        <f aca="false">VALUE("1/"&amp;H$1&amp;"/"&amp;$A2)</f>
        <v>43617</v>
      </c>
      <c r="I2" s="113" t="n">
        <f aca="false">VALUE("1/"&amp;I$1&amp;"/"&amp;$A2)</f>
        <v>43647</v>
      </c>
      <c r="J2" s="113" t="n">
        <f aca="false">VALUE("1/"&amp;J$1&amp;"/"&amp;$A2)</f>
        <v>43678</v>
      </c>
      <c r="K2" s="113" t="n">
        <f aca="false">VALUE("1/"&amp;K$1&amp;"/"&amp;$A2)</f>
        <v>43709</v>
      </c>
      <c r="L2" s="113" t="n">
        <f aca="false">VALUE("1/"&amp;L$1&amp;"/"&amp;$A2)</f>
        <v>43739</v>
      </c>
      <c r="M2" s="113" t="n">
        <f aca="false">VALUE("1/"&amp;M$1&amp;"/"&amp;$A2)</f>
        <v>43770</v>
      </c>
      <c r="N2" s="114" t="n">
        <f aca="false">VALUE("1/"&amp;N$1&amp;"/"&amp;$A2)</f>
        <v>43800</v>
      </c>
      <c r="O2" s="115" t="n">
        <f aca="false">VALUE("1/"&amp;O$1&amp;"/"&amp;$A8)</f>
        <v>43831</v>
      </c>
    </row>
    <row r="3" s="33" customFormat="true" ht="51.75" hidden="false" customHeight="true" outlineLevel="0" collapsed="false">
      <c r="A3" s="116" t="s">
        <v>126</v>
      </c>
      <c r="B3" s="117" t="n">
        <f aca="false">SUM(C3:N3)</f>
        <v>88121.26</v>
      </c>
      <c r="C3" s="118" t="n">
        <f aca="false">SUMIFS(Factures!$J:$J,Factures!$M:$M,"&gt;=01/01/2019",Factures!$M:$M,"&lt;01/02/2019")</f>
        <v>0</v>
      </c>
      <c r="D3" s="119" t="n">
        <f aca="false">SUMIFS(Factures!$J:$J,Factures!$M:$M,"&gt;=01/02/2019",Factures!$M:$M,"&lt;01/03/2019")</f>
        <v>159.72</v>
      </c>
      <c r="E3" s="118" t="n">
        <f aca="false">SUMIFS(Factures!$J:$J,Factures!$M:$M,"&gt;=01/03/2019",Factures!$M:$M,"&lt;01/04/2019")</f>
        <v>0</v>
      </c>
      <c r="F3" s="119" t="n">
        <f aca="false">SUMIFS(Factures!$J:$J,Factures!$M:$M,"&gt;=01/04/2019",Factures!$M:$M,"&lt;01/05/2019")</f>
        <v>0</v>
      </c>
      <c r="G3" s="118" t="n">
        <f aca="false">SUMIFS(Factures!$J:$J,Factures!$M:$M,"&gt;=01/05/2019",Factures!$M:$M,"&lt;01/06/2019")</f>
        <v>0</v>
      </c>
      <c r="H3" s="119" t="n">
        <f aca="false">SUMIFS(Factures!$J:$J,Factures!$M:$M,"&gt;=01/06/2019",Factures!$M:$M,"&lt;01/07/2019")</f>
        <v>0</v>
      </c>
      <c r="I3" s="118" t="n">
        <f aca="false">SUMIFS(Factures!$J:$J,Factures!$M:$M,"&gt;=01/07/2019",Factures!$M:$M,"&lt;01/08/2019")</f>
        <v>0</v>
      </c>
      <c r="J3" s="119" t="n">
        <f aca="false">SUMIFS(Factures!$J:$J,Factures!$M:$M,"&gt;=01/08/2019",Factures!$M:$M,"&lt;01/09/2019")</f>
        <v>0</v>
      </c>
      <c r="K3" s="118" t="n">
        <f aca="false">SUMIFS(Factures!$J:$J,Factures!$M:$M,"&gt;=01/09/2019",Factures!$M:$M,"&lt;01/10/2019")</f>
        <v>0</v>
      </c>
      <c r="L3" s="119" t="n">
        <f aca="false">SUMIFS(Factures!$J:$J,Factures!$M:$M,"&gt;=01/10/2019",Factures!$M:$M,"&lt;01/11/2019")</f>
        <v>0</v>
      </c>
      <c r="M3" s="118" t="n">
        <f aca="false">SUMIFS(Factures!$J:$J,Factures!$M:$M,"&gt;=01/11/2019",Factures!$M:$M,"&lt;01/12/2019")</f>
        <v>8451.78</v>
      </c>
      <c r="N3" s="119" t="n">
        <f aca="false">SUMIFS(Factures!J:J,Factures!M:M,"&gt;=01/12/2019",Factures!M:M,"&lt;01/01/2020")</f>
        <v>79509.76</v>
      </c>
      <c r="O3" s="120"/>
    </row>
    <row r="4" s="33" customFormat="true" ht="51.75" hidden="false" customHeight="true" outlineLevel="0" collapsed="false">
      <c r="A4" s="121" t="s">
        <v>127</v>
      </c>
      <c r="B4" s="122" t="n">
        <f aca="false">SUM(C4:N4)</f>
        <v>85887.63</v>
      </c>
      <c r="C4" s="123" t="n">
        <f aca="false">SUMIFS(Montant,Date_,"&gt;="&amp;C2,Date_,"&lt;"&amp;D2,Etat,"Réglé")</f>
        <v>0</v>
      </c>
      <c r="D4" s="124" t="n">
        <f aca="false">SUMIFS(Montant,Date_,"&gt;="&amp;D2,Date_,"&lt;"&amp;E2,Etat,"Réglé")</f>
        <v>0</v>
      </c>
      <c r="E4" s="123" t="n">
        <f aca="false">SUMIFS(Montant,Date_,"&gt;="&amp;E2,Date_,"&lt;"&amp;F2,Etat,"Réglé")</f>
        <v>0</v>
      </c>
      <c r="F4" s="124" t="n">
        <f aca="false">SUMIFS(Montant,Date_,"&gt;="&amp;F2,Date_,"&lt;"&amp;G2,Etat,"Réglé")</f>
        <v>0</v>
      </c>
      <c r="G4" s="123" t="n">
        <f aca="false">SUMIFS(Montant,Date_,"&gt;="&amp;G2,Date_,"&lt;"&amp;H2,Etat,"Réglé")</f>
        <v>0</v>
      </c>
      <c r="H4" s="124" t="n">
        <f aca="false">SUMIFS(Montant,Date_,"&gt;="&amp;H2,Date_,"&lt;"&amp;I2,Etat,"Réglé")</f>
        <v>0</v>
      </c>
      <c r="I4" s="123" t="n">
        <f aca="false">SUMIFS(Montant,Date_,"&gt;="&amp;I2,Date_,"&lt;"&amp;J2,Etat,"Réglé")</f>
        <v>0</v>
      </c>
      <c r="J4" s="124" t="n">
        <f aca="false">SUMIFS(Montant,Date_,"&gt;="&amp;J2,Date_,"&lt;"&amp;K2,Etat,"Réglé")</f>
        <v>0</v>
      </c>
      <c r="K4" s="123" t="n">
        <f aca="false">SUMIFS(Montant,Date_,"&gt;="&amp;K2,Date_,"&lt;"&amp;L2,Etat,"Réglé")</f>
        <v>0</v>
      </c>
      <c r="L4" s="124" t="n">
        <f aca="false">SUMIFS(Montant,Date_,"&gt;="&amp;L2,Date_,"&lt;"&amp;M2,Etat,"Réglé")</f>
        <v>11352.42</v>
      </c>
      <c r="M4" s="123" t="n">
        <f aca="false">SUMIFS(Montant,Date_,"&gt;="&amp;M2,Date_,"&lt;"&amp;N2,Etat,"Réglé")</f>
        <v>42839.37</v>
      </c>
      <c r="N4" s="124" t="n">
        <f aca="false">SUMIFS(Montant,Date_,"&gt;="&amp;N2,Date_,"&lt;"&amp;O2,Etat,"Réglé")</f>
        <v>31695.84</v>
      </c>
      <c r="Q4" s="125"/>
      <c r="R4" s="125"/>
    </row>
    <row r="5" s="33" customFormat="true" ht="51.75" hidden="false" customHeight="true" outlineLevel="0" collapsed="false">
      <c r="A5" s="126" t="s">
        <v>128</v>
      </c>
      <c r="B5" s="122" t="n">
        <f aca="false">SUM(C5:N5)</f>
        <v>32980.79</v>
      </c>
      <c r="C5" s="123" t="n">
        <f aca="false">SUMIFS(Montant,Date_,"&gt;="&amp;C2,Date_,"&lt;"&amp;D2,Etat,"Retard")</f>
        <v>0</v>
      </c>
      <c r="D5" s="124" t="n">
        <f aca="false">SUMIFS(Montant,Date_,"&gt;="&amp;D2,Date_,"&lt;"&amp;E2,Etat,"Retard")</f>
        <v>0</v>
      </c>
      <c r="E5" s="123" t="n">
        <f aca="false">SUMIFS(Montant,Date_,"&gt;="&amp;E2,Date_,"&lt;"&amp;F2,Etat,"Retard")</f>
        <v>0</v>
      </c>
      <c r="F5" s="124" t="n">
        <f aca="false">SUMIFS(Montant,Date_,"&gt;="&amp;F2,Date_,"&lt;"&amp;G2,Etat,"Retard")</f>
        <v>0</v>
      </c>
      <c r="G5" s="123" t="n">
        <f aca="false">SUMIFS(Montant,Date_,"&gt;="&amp;G2,Date_,"&lt;"&amp;H2,Etat,"Retard")</f>
        <v>0</v>
      </c>
      <c r="H5" s="124" t="n">
        <f aca="false">SUMIFS(Montant,Date_,"&gt;="&amp;H2,Date_,"&lt;"&amp;I2,Etat,"Retard")</f>
        <v>0</v>
      </c>
      <c r="I5" s="123" t="n">
        <f aca="false">SUMIFS(Montant,Date_,"&gt;="&amp;I2,Date_,"&lt;"&amp;J2,Etat,"Retard")</f>
        <v>0</v>
      </c>
      <c r="J5" s="124" t="n">
        <f aca="false">SUMIFS(Montant,Date_,"&gt;="&amp;J2,Date_,"&lt;"&amp;K2,Etat,"Retard")</f>
        <v>-126.88</v>
      </c>
      <c r="K5" s="123" t="n">
        <f aca="false">SUMIFS(Montant,Date_,"&gt;="&amp;K2,Date_,"&lt;"&amp;L2,Etat,"Retard")</f>
        <v>1814.12</v>
      </c>
      <c r="L5" s="124" t="n">
        <f aca="false">SUMIFS(Montant,Date_,"&gt;="&amp;L2,Date_,"&lt;"&amp;M2,Etat,"Retard")</f>
        <v>1121.8</v>
      </c>
      <c r="M5" s="123" t="n">
        <f aca="false">SUMIFS(Montant,Date_,"&gt;="&amp;M2,Date_,"&lt;"&amp;N2,Etat,"Retard")</f>
        <v>7613.62</v>
      </c>
      <c r="N5" s="124" t="n">
        <f aca="false">SUMIFS(Montant,Date_,"&gt;="&amp;N2,Date_,"&lt;"&amp;O2,Etat,"Retard")</f>
        <v>22558.13</v>
      </c>
    </row>
    <row r="6" s="33" customFormat="true" ht="51.75" hidden="false" customHeight="true" outlineLevel="0" collapsed="false">
      <c r="A6" s="127" t="s">
        <v>129</v>
      </c>
      <c r="B6" s="128" t="n">
        <f aca="false">SUM(C6:N6)</f>
        <v>0</v>
      </c>
      <c r="C6" s="123" t="n">
        <f aca="false">SUMIFS(Montant,Date_,"&gt;="&amp;C2,Date_,"&lt;"&amp;D2,Etat,"en attente")</f>
        <v>0</v>
      </c>
      <c r="D6" s="124" t="n">
        <f aca="false">SUMIFS(Montant,Date_,"&gt;="&amp;D2,Date_,"&lt;"&amp;E2,Etat,"en attente")</f>
        <v>0</v>
      </c>
      <c r="E6" s="123" t="n">
        <f aca="false">SUMIFS(Montant,Date_,"&gt;="&amp;E2,Date_,"&lt;"&amp;F2,Etat,"en attente")</f>
        <v>0</v>
      </c>
      <c r="F6" s="124" t="n">
        <f aca="false">SUMIFS(Montant,Date_,"&gt;="&amp;F2,Date_,"&lt;"&amp;G2,Etat,"en attente")</f>
        <v>0</v>
      </c>
      <c r="G6" s="123" t="n">
        <f aca="false">SUMIFS(Montant,Date_,"&gt;="&amp;G2,Date_,"&lt;"&amp;H2,Etat,"en attente")</f>
        <v>0</v>
      </c>
      <c r="H6" s="124" t="n">
        <f aca="false">SUMIFS(Montant,Date_,"&gt;="&amp;H2,Date_,"&lt;"&amp;I2,Etat,"en attente")</f>
        <v>0</v>
      </c>
      <c r="I6" s="123" t="n">
        <f aca="false">SUMIFS(Montant,Date_,"&gt;="&amp;I2,Date_,"&lt;"&amp;J2,Etat,"en attente")</f>
        <v>0</v>
      </c>
      <c r="J6" s="124" t="n">
        <f aca="false">SUMIFS(Montant,Date_,"&gt;="&amp;J2,Date_,"&lt;"&amp;K2,Etat,"en attente")</f>
        <v>0</v>
      </c>
      <c r="K6" s="123" t="n">
        <f aca="false">SUMIFS(Montant,Date_,"&gt;="&amp;K2,Date_,"&lt;"&amp;L2,Etat,"en attente")</f>
        <v>0</v>
      </c>
      <c r="L6" s="124" t="n">
        <f aca="false">SUMIFS(Montant,Date_,"&gt;="&amp;L2,Date_,"&lt;"&amp;M2,Etat,"en attente")</f>
        <v>0</v>
      </c>
      <c r="M6" s="123" t="n">
        <f aca="false">SUMIFS(Montant,Date_,"&gt;="&amp;M2,Date_,"&lt;"&amp;N2,Etat,"en attente")</f>
        <v>0</v>
      </c>
      <c r="N6" s="124" t="n">
        <f aca="false">SUMIFS(Montant,Date_,"&gt;="&amp;N2,Date_,"&lt;"&amp;O2,Etat,"en attente")</f>
        <v>0</v>
      </c>
    </row>
    <row r="7" customFormat="false" ht="16" hidden="false" customHeight="false" outlineLevel="0" collapsed="false">
      <c r="A7" s="129"/>
      <c r="B7" s="130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</row>
    <row r="8" customFormat="false" ht="51.75" hidden="false" customHeight="true" outlineLevel="0" collapsed="false">
      <c r="A8" s="131" t="n">
        <v>2020</v>
      </c>
      <c r="B8" s="112" t="s">
        <v>115</v>
      </c>
      <c r="C8" s="132" t="n">
        <f aca="false">VALUE("1/"&amp;C$1&amp;"/"&amp;$A8)</f>
        <v>43831</v>
      </c>
      <c r="D8" s="132" t="n">
        <f aca="false">VALUE("1/"&amp;D$1&amp;"/"&amp;$A8)</f>
        <v>43862</v>
      </c>
      <c r="E8" s="132" t="n">
        <f aca="false">VALUE("1/"&amp;E$1&amp;"/"&amp;$A8)</f>
        <v>43891</v>
      </c>
      <c r="F8" s="132" t="n">
        <f aca="false">VALUE("1/"&amp;F$1&amp;"/"&amp;$A8)</f>
        <v>43922</v>
      </c>
      <c r="G8" s="132" t="n">
        <f aca="false">VALUE("1/"&amp;G$1&amp;"/"&amp;$A8)</f>
        <v>43952</v>
      </c>
      <c r="H8" s="132" t="n">
        <f aca="false">VALUE("1/"&amp;H$1&amp;"/"&amp;$A8)</f>
        <v>43983</v>
      </c>
      <c r="I8" s="132" t="n">
        <f aca="false">VALUE("1/"&amp;I$1&amp;"/"&amp;$A8)</f>
        <v>44013</v>
      </c>
      <c r="J8" s="132" t="n">
        <f aca="false">VALUE("1/"&amp;J$1&amp;"/"&amp;$A8)</f>
        <v>44044</v>
      </c>
      <c r="K8" s="132" t="n">
        <f aca="false">VALUE("1/"&amp;K$1&amp;"/"&amp;$A8)</f>
        <v>44075</v>
      </c>
      <c r="L8" s="132" t="n">
        <f aca="false">VALUE("1/"&amp;L$1&amp;"/"&amp;$A8)</f>
        <v>44105</v>
      </c>
      <c r="M8" s="132" t="n">
        <f aca="false">VALUE("1/"&amp;M$1&amp;"/"&amp;$A8)</f>
        <v>44136</v>
      </c>
      <c r="N8" s="133" t="n">
        <f aca="false">VALUE("1/"&amp;N$1&amp;"/"&amp;$A8)</f>
        <v>44166</v>
      </c>
      <c r="O8" s="115" t="n">
        <f aca="false">VALUE("1/"&amp;O$1&amp;"/"&amp;$A14)</f>
        <v>44197</v>
      </c>
    </row>
    <row r="9" customFormat="false" ht="51.75" hidden="false" customHeight="true" outlineLevel="0" collapsed="false">
      <c r="A9" s="134" t="s">
        <v>126</v>
      </c>
      <c r="B9" s="135" t="n">
        <f aca="false">SUM(C9:N9)</f>
        <v>0</v>
      </c>
      <c r="C9" s="118" t="n">
        <f aca="false">SUMIFS(Factures!$J:$J,Factures!$M:$M,"&gt;=01/01/2020",Factures!$M:$M,"&lt;01/02/2020")</f>
        <v>0</v>
      </c>
      <c r="D9" s="119" t="n">
        <f aca="false">SUMIFS(Factures!$J:$J,Factures!$M:$M,"&gt;=01/02/2020",Factures!$M:$M,"&lt;01/03/2020")</f>
        <v>0</v>
      </c>
      <c r="E9" s="118" t="n">
        <f aca="false">SUMIFS(Factures!$J:$J,Factures!$M:$M,"&gt;=01/03/2020",Factures!$M:$M,"&lt;01/04/2020")</f>
        <v>0</v>
      </c>
      <c r="F9" s="119" t="n">
        <f aca="false">SUMIFS(Factures!$J:$J,Factures!$M:$M,"&gt;=01/04/2020",Factures!$M:$M,"&lt;01/05/2020")</f>
        <v>0</v>
      </c>
      <c r="G9" s="118" t="n">
        <f aca="false">SUMIFS(Factures!$J:$J,Factures!$M:$M,"&gt;=01/05/2020",Factures!$M:$M,"&lt;01/06/2020")</f>
        <v>0</v>
      </c>
      <c r="H9" s="119" t="n">
        <f aca="false">SUMIFS(Factures!$J:$J,Factures!$M:$M,"&gt;=01/06/2020",Factures!$M:$M,"&lt;01/07/2020")</f>
        <v>0</v>
      </c>
      <c r="I9" s="118" t="n">
        <f aca="false">SUMIFS(Factures!$J:$J,Factures!$M:$M,"&gt;=01/07/2020",Factures!$M:$M,"&lt;01/08/2020")</f>
        <v>0</v>
      </c>
      <c r="J9" s="119" t="n">
        <f aca="false">SUMIFS(Factures!$J:$J,Factures!$M:$M,"&gt;=01/08/2020",Factures!$M:$M,"&lt;01/09/2020")</f>
        <v>0</v>
      </c>
      <c r="K9" s="118" t="n">
        <f aca="false">SUMIFS(Factures!$J:$J,Factures!$M:$M,"&gt;=01/09/2020",Factures!$M:$M,"&lt;01/10/2020")</f>
        <v>0</v>
      </c>
      <c r="L9" s="119" t="n">
        <f aca="false">SUMIFS(Factures!$J:$J,Factures!$M:$M,"&gt;=01/10/2020",Factures!$M:$M,"&lt;01/11/2020")</f>
        <v>0</v>
      </c>
      <c r="M9" s="118" t="n">
        <f aca="false">SUMIFS(Factures!$J:$J,Factures!$M:$M,"&gt;=01/11/2020",Factures!$M:$M,"&lt;01/12/2020")</f>
        <v>0</v>
      </c>
      <c r="N9" s="119" t="n">
        <f aca="false">SUMIFS(Factures!J:J,Factures!M:M,"&gt;=01/12/2020",Factures!M:M,"&lt;01/01/2021")</f>
        <v>0</v>
      </c>
      <c r="O9" s="120"/>
    </row>
    <row r="10" customFormat="false" ht="51.75" hidden="false" customHeight="true" outlineLevel="0" collapsed="false">
      <c r="A10" s="121" t="s">
        <v>127</v>
      </c>
      <c r="B10" s="135" t="n">
        <f aca="false">SUM(C10:N10)</f>
        <v>2233.63</v>
      </c>
      <c r="C10" s="136" t="n">
        <f aca="false">SUMIFS(Montant,Date_,"&gt;="&amp;C8,Date_,"&lt;"&amp;D8,Etat,"Réglé")</f>
        <v>2233.63</v>
      </c>
      <c r="D10" s="124" t="n">
        <f aca="false">SUMIFS(Montant,Date_,"&gt;="&amp;D8,Date_,"&lt;"&amp;E8,Etat,"Réglé")</f>
        <v>0</v>
      </c>
      <c r="E10" s="123" t="n">
        <f aca="false">SUMIFS(Montant,Date_,"&gt;="&amp;E8,Date_,"&lt;"&amp;F8,Etat,"Réglé")</f>
        <v>0</v>
      </c>
      <c r="F10" s="124" t="n">
        <f aca="false">SUMIFS(Montant,Date_,"&gt;="&amp;F8,Date_,"&lt;"&amp;G8,Etat,"Réglé")</f>
        <v>0</v>
      </c>
      <c r="G10" s="123" t="n">
        <f aca="false">SUMIFS(Montant,Date_,"&gt;="&amp;G8,Date_,"&lt;"&amp;H8,Etat,"Réglé")</f>
        <v>0</v>
      </c>
      <c r="H10" s="124" t="n">
        <f aca="false">SUMIFS(Montant,Date_,"&gt;="&amp;H8,Date_,"&lt;"&amp;I8,Etat,"Réglé")</f>
        <v>0</v>
      </c>
      <c r="I10" s="123" t="n">
        <f aca="false">SUMIFS(Montant,Date_,"&gt;="&amp;I8,Date_,"&lt;"&amp;J8,Etat,"Réglé")</f>
        <v>0</v>
      </c>
      <c r="J10" s="124" t="n">
        <f aca="false">SUMIFS(Montant,Date_,"&gt;="&amp;J8,Date_,"&lt;"&amp;K8,Etat,"Réglé")</f>
        <v>0</v>
      </c>
      <c r="K10" s="123" t="n">
        <f aca="false">SUMIFS(Montant,Date_,"&gt;="&amp;K8,Date_,"&lt;"&amp;L8,Etat,"Réglé")</f>
        <v>0</v>
      </c>
      <c r="L10" s="124" t="n">
        <f aca="false">SUMIFS(Montant,Date_,"&gt;="&amp;L8,Date_,"&lt;"&amp;M8,Etat,"Réglé")</f>
        <v>0</v>
      </c>
      <c r="M10" s="123" t="n">
        <f aca="false">SUMIFS(Montant,Date_,"&gt;="&amp;M8,Date_,"&lt;"&amp;N8,Etat,"Réglé")</f>
        <v>0</v>
      </c>
      <c r="N10" s="124" t="n">
        <f aca="false">SUMIFS(Montant,Date_,"&gt;="&amp;N8,Date_,"&lt;"&amp;O8,Etat,"Réglé")</f>
        <v>0</v>
      </c>
    </row>
    <row r="11" customFormat="false" ht="51.75" hidden="false" customHeight="true" outlineLevel="0" collapsed="false">
      <c r="A11" s="126" t="s">
        <v>128</v>
      </c>
      <c r="B11" s="135" t="n">
        <f aca="false">SUM(C11:N11)</f>
        <v>0</v>
      </c>
      <c r="C11" s="136" t="n">
        <f aca="false">SUMIFS(Montant,Date_,"&gt;="&amp;C8,Date_,"&lt;"&amp;D8,Etat,"Retard")</f>
        <v>0</v>
      </c>
      <c r="D11" s="124" t="n">
        <f aca="false">SUMIFS(Montant,Date_,"&gt;="&amp;D8,Date_,"&lt;"&amp;E8,Etat,"Retard")</f>
        <v>0</v>
      </c>
      <c r="E11" s="123" t="n">
        <f aca="false">SUMIFS(Montant,Date_,"&gt;="&amp;E8,Date_,"&lt;"&amp;F8,Etat,"Retard")</f>
        <v>0</v>
      </c>
      <c r="F11" s="124" t="n">
        <f aca="false">SUMIFS(Montant,Date_,"&gt;="&amp;F8,Date_,"&lt;"&amp;G8,Etat,"Retard")</f>
        <v>0</v>
      </c>
      <c r="G11" s="123" t="n">
        <f aca="false">SUMIFS(Montant,Date_,"&gt;="&amp;G8,Date_,"&lt;"&amp;H8,Etat,"Retard")</f>
        <v>0</v>
      </c>
      <c r="H11" s="124" t="n">
        <f aca="false">SUMIFS(Montant,Date_,"&gt;="&amp;H8,Date_,"&lt;"&amp;I8,Etat,"Retard")</f>
        <v>0</v>
      </c>
      <c r="I11" s="123" t="n">
        <f aca="false">SUMIFS(Montant,Date_,"&gt;="&amp;I8,Date_,"&lt;"&amp;J8,Etat,"Retard")</f>
        <v>0</v>
      </c>
      <c r="J11" s="124" t="n">
        <f aca="false">SUMIFS(Montant,Date_,"&gt;="&amp;J8,Date_,"&lt;"&amp;K8,Etat,"Retard")</f>
        <v>0</v>
      </c>
      <c r="K11" s="123" t="n">
        <f aca="false">SUMIFS(Montant,Date_,"&gt;="&amp;K8,Date_,"&lt;"&amp;L8,Etat,"Retard")</f>
        <v>0</v>
      </c>
      <c r="L11" s="124" t="n">
        <f aca="false">SUMIFS(Montant,Date_,"&gt;="&amp;L8,Date_,"&lt;"&amp;M8,Etat,"Retard")</f>
        <v>0</v>
      </c>
      <c r="M11" s="123" t="n">
        <f aca="false">SUMIFS(Montant,Date_,"&gt;="&amp;M8,Date_,"&lt;"&amp;N8,Etat,"Retard")</f>
        <v>0</v>
      </c>
      <c r="N11" s="124" t="n">
        <f aca="false">SUMIFS(Montant,Date_,"&gt;="&amp;N8,Date_,"&lt;"&amp;O8,Etat,"Retard")</f>
        <v>0</v>
      </c>
    </row>
    <row r="12" customFormat="false" ht="51.75" hidden="false" customHeight="true" outlineLevel="0" collapsed="false">
      <c r="A12" s="126" t="s">
        <v>129</v>
      </c>
      <c r="B12" s="137" t="n">
        <f aca="false">SUM(C12:N12)</f>
        <v>47363.95</v>
      </c>
      <c r="C12" s="136" t="n">
        <f aca="false">SUMIFS(Montant,Date_,"&gt;="&amp;C8,Date_,"&lt;"&amp;D8,Etat,"en attente")</f>
        <v>45363.95</v>
      </c>
      <c r="D12" s="124" t="n">
        <f aca="false">SUMIFS(Montant,Date_,"&gt;="&amp;D8,Date_,"&lt;"&amp;E8,Etat,"en attente")</f>
        <v>1000</v>
      </c>
      <c r="E12" s="123" t="n">
        <f aca="false">SUMIFS(Montant,Date_,"&gt;="&amp;E8,Date_,"&lt;"&amp;F8,Etat,"en attente")</f>
        <v>1000</v>
      </c>
      <c r="F12" s="124" t="n">
        <f aca="false">SUMIFS(Montant,Date_,"&gt;="&amp;F8,Date_,"&lt;"&amp;G8,Etat,"en attente")</f>
        <v>0</v>
      </c>
      <c r="G12" s="123" t="n">
        <f aca="false">SUMIFS(Montant,Date_,"&gt;="&amp;G8,Date_,"&lt;"&amp;H8,Etat,"en attente")</f>
        <v>0</v>
      </c>
      <c r="H12" s="124" t="n">
        <f aca="false">SUMIFS(Montant,Date_,"&gt;="&amp;H8,Date_,"&lt;"&amp;I8,Etat,"en attente")</f>
        <v>0</v>
      </c>
      <c r="I12" s="123" t="n">
        <f aca="false">SUMIFS(Montant,Date_,"&gt;="&amp;I8,Date_,"&lt;"&amp;J8,Etat,"en attente")</f>
        <v>0</v>
      </c>
      <c r="J12" s="124" t="n">
        <f aca="false">SUMIFS(Montant,Date_,"&gt;="&amp;J8,Date_,"&lt;"&amp;K8,Etat,"en attente")</f>
        <v>0</v>
      </c>
      <c r="K12" s="123" t="n">
        <f aca="false">SUMIFS(Montant,Date_,"&gt;="&amp;K8,Date_,"&lt;"&amp;L8,Etat,"en attente")</f>
        <v>0</v>
      </c>
      <c r="L12" s="124" t="n">
        <f aca="false">SUMIFS(Montant,Date_,"&gt;="&amp;L8,Date_,"&lt;"&amp;M8,Etat,"en attente")</f>
        <v>0</v>
      </c>
      <c r="M12" s="123" t="n">
        <f aca="false">SUMIFS(Montant,Date_,"&gt;="&amp;M8,Date_,"&lt;"&amp;N8,Etat,"en attente")</f>
        <v>0</v>
      </c>
      <c r="N12" s="124" t="n">
        <f aca="false">SUMIFS(Montant,Date_,"&gt;="&amp;N8,Date_,"&lt;"&amp;O8,Etat,"en attente")</f>
        <v>0</v>
      </c>
    </row>
    <row r="13" customFormat="false" ht="16" hidden="false" customHeight="false" outlineLevel="0" collapsed="false">
      <c r="A13" s="129"/>
      <c r="B13" s="130"/>
      <c r="C13" s="129"/>
      <c r="D13" s="129"/>
      <c r="E13" s="129"/>
      <c r="F13" s="129"/>
      <c r="G13" s="129"/>
      <c r="H13" s="129"/>
      <c r="I13" s="129"/>
      <c r="J13" s="129"/>
      <c r="K13" s="129"/>
      <c r="L13" s="129"/>
      <c r="M13" s="129"/>
      <c r="N13" s="129"/>
    </row>
    <row r="14" customFormat="false" ht="51.75" hidden="false" customHeight="true" outlineLevel="0" collapsed="false">
      <c r="A14" s="131" t="n">
        <v>2021</v>
      </c>
      <c r="B14" s="112" t="s">
        <v>115</v>
      </c>
      <c r="C14" s="132" t="n">
        <f aca="false">VALUE("1/"&amp;C$1&amp;"/"&amp;$A14)</f>
        <v>44197</v>
      </c>
      <c r="D14" s="132" t="n">
        <f aca="false">VALUE("1/"&amp;D$1&amp;"/"&amp;$A14)</f>
        <v>44228</v>
      </c>
      <c r="E14" s="132" t="n">
        <f aca="false">VALUE("1/"&amp;E$1&amp;"/"&amp;$A14)</f>
        <v>44256</v>
      </c>
      <c r="F14" s="132" t="n">
        <f aca="false">VALUE("1/"&amp;F$1&amp;"/"&amp;$A14)</f>
        <v>44287</v>
      </c>
      <c r="G14" s="132" t="n">
        <f aca="false">VALUE("1/"&amp;G$1&amp;"/"&amp;$A14)</f>
        <v>44317</v>
      </c>
      <c r="H14" s="132" t="n">
        <f aca="false">VALUE("1/"&amp;H$1&amp;"/"&amp;$A14)</f>
        <v>44348</v>
      </c>
      <c r="I14" s="132" t="n">
        <f aca="false">VALUE("1/"&amp;I$1&amp;"/"&amp;$A14)</f>
        <v>44378</v>
      </c>
      <c r="J14" s="132" t="n">
        <f aca="false">VALUE("1/"&amp;J$1&amp;"/"&amp;$A14)</f>
        <v>44409</v>
      </c>
      <c r="K14" s="132" t="n">
        <f aca="false">VALUE("1/"&amp;K$1&amp;"/"&amp;$A14)</f>
        <v>44440</v>
      </c>
      <c r="L14" s="132" t="n">
        <f aca="false">VALUE("1/"&amp;L$1&amp;"/"&amp;$A14)</f>
        <v>44470</v>
      </c>
      <c r="M14" s="132" t="n">
        <f aca="false">VALUE("1/"&amp;M$1&amp;"/"&amp;$A14)</f>
        <v>44501</v>
      </c>
      <c r="N14" s="133" t="n">
        <f aca="false">VALUE("1/"&amp;N$1&amp;"/"&amp;$A14)</f>
        <v>44531</v>
      </c>
      <c r="O14" s="115" t="n">
        <f aca="false">VALUE("1/"&amp;O$1&amp;"/"&amp;$A20)</f>
        <v>44197</v>
      </c>
    </row>
    <row r="15" customFormat="false" ht="51.75" hidden="false" customHeight="true" outlineLevel="0" collapsed="false">
      <c r="A15" s="134" t="s">
        <v>126</v>
      </c>
      <c r="B15" s="135" t="n">
        <f aca="false">SUM(C15:N15)</f>
        <v>0</v>
      </c>
      <c r="C15" s="118" t="n">
        <f aca="false">SUMIFS(Factures!$J:$J,Factures!$M:$M,"&gt;=01/01/2021",Factures!$M:$M,"&lt;01/02/2021")</f>
        <v>0</v>
      </c>
      <c r="D15" s="119" t="n">
        <f aca="false">SUMIFS(Factures!$J:$J,Factures!$M:$M,"&gt;=01/02/2021",Factures!$M:$M,"&lt;01/03/2021")</f>
        <v>0</v>
      </c>
      <c r="E15" s="118" t="n">
        <f aca="false">SUMIFS(Factures!$J:$J,Factures!$M:$M,"&gt;=01/03/2021",Factures!$M:$M,"&lt;01/04/2021")</f>
        <v>0</v>
      </c>
      <c r="F15" s="119" t="n">
        <f aca="false">SUMIFS(Factures!$J:$J,Factures!$M:$M,"&gt;=01/04/2021",Factures!$M:$M,"&lt;01/05/2021")</f>
        <v>0</v>
      </c>
      <c r="G15" s="118" t="n">
        <f aca="false">SUMIFS(Factures!$J:$J,Factures!$M:$M,"&gt;=01/05/2021",Factures!$M:$M,"&lt;01/06/2021")</f>
        <v>0</v>
      </c>
      <c r="H15" s="119" t="n">
        <f aca="false">SUMIFS(Factures!$J:$J,Factures!$M:$M,"&gt;=01/06/2021",Factures!$M:$M,"&lt;01/07/2021")</f>
        <v>0</v>
      </c>
      <c r="I15" s="118" t="n">
        <f aca="false">SUMIFS(Factures!$J:$J,Factures!$M:$M,"&gt;=01/07/2021",Factures!$M:$M,"&lt;01/08/2021")</f>
        <v>0</v>
      </c>
      <c r="J15" s="119" t="n">
        <f aca="false">SUMIFS(Factures!$J:$J,Factures!$M:$M,"&gt;=01/08/2021",Factures!$M:$M,"&lt;01/09/2021")</f>
        <v>0</v>
      </c>
      <c r="K15" s="118" t="n">
        <f aca="false">SUMIFS(Factures!$J:$J,Factures!$M:$M,"&gt;=01/09/2021",Factures!$M:$M,"&lt;01/10/2021")</f>
        <v>0</v>
      </c>
      <c r="L15" s="119" t="n">
        <f aca="false">SUMIFS(Factures!$J:$J,Factures!$M:$M,"&gt;=01/10/2021",Factures!$M:$M,"&lt;01/11/2021")</f>
        <v>0</v>
      </c>
      <c r="M15" s="118" t="n">
        <f aca="false">SUMIFS(Factures!$J:$J,Factures!$M:$M,"&gt;=01/11/2021",Factures!$M:$M,"&lt;01/12/2021")</f>
        <v>0</v>
      </c>
      <c r="N15" s="119" t="n">
        <f aca="false">SUMIFS(Factures!J:J,Factures!M:M,"&gt;=01/12/2021",Factures!M:M,"&lt;01/01/2022")</f>
        <v>0</v>
      </c>
      <c r="O15" s="120"/>
    </row>
    <row r="16" customFormat="false" ht="51.75" hidden="false" customHeight="true" outlineLevel="0" collapsed="false">
      <c r="A16" s="121" t="s">
        <v>127</v>
      </c>
      <c r="B16" s="135" t="n">
        <f aca="false">SUM(C16:N16)</f>
        <v>0</v>
      </c>
      <c r="C16" s="136" t="n">
        <f aca="false">SUMIFS(Montant,Date_,"&gt;="&amp;C14,Date_,"&lt;"&amp;D14,Etat,"Réglé")</f>
        <v>0</v>
      </c>
      <c r="D16" s="124" t="n">
        <f aca="false">SUMIFS(Montant,Date_,"&gt;="&amp;D14,Date_,"&lt;"&amp;E14,Etat,"Réglé")</f>
        <v>0</v>
      </c>
      <c r="E16" s="123" t="n">
        <f aca="false">SUMIFS(Montant,Date_,"&gt;="&amp;E14,Date_,"&lt;"&amp;F14,Etat,"Réglé")</f>
        <v>0</v>
      </c>
      <c r="F16" s="124" t="n">
        <f aca="false">SUMIFS(Montant,Date_,"&gt;="&amp;F14,Date_,"&lt;"&amp;G14,Etat,"Réglé")</f>
        <v>0</v>
      </c>
      <c r="G16" s="123" t="n">
        <f aca="false">SUMIFS(Montant,Date_,"&gt;="&amp;G14,Date_,"&lt;"&amp;H14,Etat,"Réglé")</f>
        <v>0</v>
      </c>
      <c r="H16" s="124" t="n">
        <f aca="false">SUMIFS(Montant,Date_,"&gt;="&amp;H14,Date_,"&lt;"&amp;I14,Etat,"Réglé")</f>
        <v>0</v>
      </c>
      <c r="I16" s="123" t="n">
        <f aca="false">SUMIFS(Montant,Date_,"&gt;="&amp;I14,Date_,"&lt;"&amp;J14,Etat,"Réglé")</f>
        <v>0</v>
      </c>
      <c r="J16" s="124" t="n">
        <f aca="false">SUMIFS(Montant,Date_,"&gt;="&amp;J14,Date_,"&lt;"&amp;K14,Etat,"Réglé")</f>
        <v>0</v>
      </c>
      <c r="K16" s="123" t="n">
        <f aca="false">SUMIFS(Montant,Date_,"&gt;="&amp;K14,Date_,"&lt;"&amp;L14,Etat,"Réglé")</f>
        <v>0</v>
      </c>
      <c r="L16" s="124" t="n">
        <f aca="false">SUMIFS(Montant,Date_,"&gt;="&amp;L14,Date_,"&lt;"&amp;M14,Etat,"Réglé")</f>
        <v>0</v>
      </c>
      <c r="M16" s="123" t="n">
        <f aca="false">SUMIFS(Montant,Date_,"&gt;="&amp;M14,Date_,"&lt;"&amp;N14,Etat,"Réglé")</f>
        <v>0</v>
      </c>
      <c r="N16" s="124" t="n">
        <f aca="false">SUMIFS(Montant,Date_,"&gt;="&amp;N14,Date_,"&lt;"&amp;O14,Etat,"Réglé")</f>
        <v>0</v>
      </c>
    </row>
    <row r="17" customFormat="false" ht="51.75" hidden="false" customHeight="true" outlineLevel="0" collapsed="false">
      <c r="A17" s="126" t="s">
        <v>128</v>
      </c>
      <c r="B17" s="135" t="n">
        <f aca="false">SUM(C17:N17)</f>
        <v>0</v>
      </c>
      <c r="C17" s="136" t="n">
        <f aca="false">SUMIFS(Montant,Date_,"&gt;="&amp;C14,Date_,"&lt;"&amp;D14,Etat,"Retard")</f>
        <v>0</v>
      </c>
      <c r="D17" s="124" t="n">
        <f aca="false">SUMIFS(Montant,Date_,"&gt;="&amp;D14,Date_,"&lt;"&amp;E14,Etat,"Retard")</f>
        <v>0</v>
      </c>
      <c r="E17" s="123" t="n">
        <f aca="false">SUMIFS(Montant,Date_,"&gt;="&amp;E14,Date_,"&lt;"&amp;F14,Etat,"Retard")</f>
        <v>0</v>
      </c>
      <c r="F17" s="124" t="n">
        <f aca="false">SUMIFS(Montant,Date_,"&gt;="&amp;F14,Date_,"&lt;"&amp;G14,Etat,"Retard")</f>
        <v>0</v>
      </c>
      <c r="G17" s="123" t="n">
        <f aca="false">SUMIFS(Montant,Date_,"&gt;="&amp;G14,Date_,"&lt;"&amp;H14,Etat,"Retard")</f>
        <v>0</v>
      </c>
      <c r="H17" s="124" t="n">
        <f aca="false">SUMIFS(Montant,Date_,"&gt;="&amp;H14,Date_,"&lt;"&amp;I14,Etat,"Retard")</f>
        <v>0</v>
      </c>
      <c r="I17" s="123" t="n">
        <f aca="false">SUMIFS(Montant,Date_,"&gt;="&amp;I14,Date_,"&lt;"&amp;J14,Etat,"Retard")</f>
        <v>0</v>
      </c>
      <c r="J17" s="124" t="n">
        <f aca="false">SUMIFS(Montant,Date_,"&gt;="&amp;J14,Date_,"&lt;"&amp;K14,Etat,"Retard")</f>
        <v>0</v>
      </c>
      <c r="K17" s="123" t="n">
        <f aca="false">SUMIFS(Montant,Date_,"&gt;="&amp;K14,Date_,"&lt;"&amp;L14,Etat,"Retard")</f>
        <v>0</v>
      </c>
      <c r="L17" s="124" t="n">
        <f aca="false">SUMIFS(Montant,Date_,"&gt;="&amp;L14,Date_,"&lt;"&amp;M14,Etat,"Retard")</f>
        <v>0</v>
      </c>
      <c r="M17" s="123" t="n">
        <f aca="false">SUMIFS(Montant,Date_,"&gt;="&amp;M14,Date_,"&lt;"&amp;N14,Etat,"Retard")</f>
        <v>0</v>
      </c>
      <c r="N17" s="124" t="n">
        <f aca="false">SUMIFS(Montant,Date_,"&gt;="&amp;N14,Date_,"&lt;"&amp;O14,Etat,"Retard")</f>
        <v>0</v>
      </c>
    </row>
    <row r="18" customFormat="false" ht="51.75" hidden="false" customHeight="true" outlineLevel="0" collapsed="false">
      <c r="A18" s="126" t="s">
        <v>129</v>
      </c>
      <c r="B18" s="137" t="n">
        <f aca="false">SUM(C18:N18)</f>
        <v>0</v>
      </c>
      <c r="C18" s="136" t="n">
        <f aca="false">SUMIFS(Montant,Date_,"&gt;="&amp;C14,Date_,"&lt;"&amp;D14,Etat,"en attente")</f>
        <v>0</v>
      </c>
      <c r="D18" s="124" t="n">
        <f aca="false">SUMIFS(Montant,Date_,"&gt;="&amp;D14,Date_,"&lt;"&amp;E14,Etat,"en attente")</f>
        <v>0</v>
      </c>
      <c r="E18" s="123" t="n">
        <f aca="false">SUMIFS(Montant,Date_,"&gt;="&amp;E14,Date_,"&lt;"&amp;F14,Etat,"en attente")</f>
        <v>0</v>
      </c>
      <c r="F18" s="124" t="n">
        <f aca="false">SUMIFS(Montant,Date_,"&gt;="&amp;F14,Date_,"&lt;"&amp;G14,Etat,"en attente")</f>
        <v>0</v>
      </c>
      <c r="G18" s="123" t="n">
        <f aca="false">SUMIFS(Montant,Date_,"&gt;="&amp;G14,Date_,"&lt;"&amp;H14,Etat,"en attente")</f>
        <v>0</v>
      </c>
      <c r="H18" s="124" t="n">
        <f aca="false">SUMIFS(Montant,Date_,"&gt;="&amp;H14,Date_,"&lt;"&amp;I14,Etat,"en attente")</f>
        <v>0</v>
      </c>
      <c r="I18" s="123" t="n">
        <f aca="false">SUMIFS(Montant,Date_,"&gt;="&amp;I14,Date_,"&lt;"&amp;J14,Etat,"en attente")</f>
        <v>0</v>
      </c>
      <c r="J18" s="124" t="n">
        <f aca="false">SUMIFS(Montant,Date_,"&gt;="&amp;J14,Date_,"&lt;"&amp;K14,Etat,"en attente")</f>
        <v>0</v>
      </c>
      <c r="K18" s="123" t="n">
        <f aca="false">SUMIFS(Montant,Date_,"&gt;="&amp;K14,Date_,"&lt;"&amp;L14,Etat,"en attente")</f>
        <v>0</v>
      </c>
      <c r="L18" s="124" t="n">
        <f aca="false">SUMIFS(Montant,Date_,"&gt;="&amp;L14,Date_,"&lt;"&amp;M14,Etat,"en attente")</f>
        <v>0</v>
      </c>
      <c r="M18" s="123" t="n">
        <f aca="false">SUMIFS(Montant,Date_,"&gt;="&amp;M14,Date_,"&lt;"&amp;N14,Etat,"en attente")</f>
        <v>0</v>
      </c>
      <c r="N18" s="124" t="n">
        <f aca="false">SUMIFS(Montant,Date_,"&gt;="&amp;N14,Date_,"&lt;"&amp;O14,Etat,"en attente")</f>
        <v>0</v>
      </c>
    </row>
    <row r="19" customFormat="false" ht="15" hidden="false" customHeight="false" outlineLevel="0" collapsed="false">
      <c r="A19" s="129"/>
      <c r="B19" s="130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</row>
    <row r="20" customFormat="false" ht="21" hidden="false" customHeight="false" outlineLevel="0" collapsed="false">
      <c r="A20" s="138" t="n">
        <v>2021</v>
      </c>
    </row>
    <row r="21" customFormat="false" ht="15" hidden="false" customHeight="false" outlineLevel="0" collapsed="false">
      <c r="A21" s="139" t="s">
        <v>130</v>
      </c>
    </row>
  </sheetData>
  <conditionalFormatting sqref="B3 B4:N8 B10:N14 B9 B16:N18 B15">
    <cfRule type="cellIs" priority="2" operator="lessThan" aboveAverage="0" equalAverage="0" bottom="0" percent="0" rank="0" text="" dxfId="4">
      <formula>0</formula>
    </cfRule>
  </conditionalFormatting>
  <printOptions headings="false" gridLines="false" gridLinesSet="true" horizontalCentered="true" verticalCentered="false"/>
  <pageMargins left="0.25" right="0.25" top="0.75" bottom="0.75" header="0.3" footer="0.3"/>
  <pageSetup paperSize="8" scale="100" firstPageNumber="0" fitToWidth="0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&amp;C&amp;F</oddHeader>
    <oddFooter>&amp;L Confidentiel&amp;C&amp;D&amp;RPage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FFC000"/>
    <pageSetUpPr fitToPage="false"/>
  </sheetPr>
  <dimension ref="A1:N3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2" ySplit="1" topLeftCell="F2" activePane="bottomRight" state="frozen"/>
      <selection pane="topLeft" activeCell="A1" activeCellId="0" sqref="A1"/>
      <selection pane="topRight" activeCell="F1" activeCellId="0" sqref="F1"/>
      <selection pane="bottomLeft" activeCell="A2" activeCellId="0" sqref="A2"/>
      <selection pane="bottomRight" activeCell="N20" activeCellId="0" sqref="N20"/>
    </sheetView>
  </sheetViews>
  <sheetFormatPr defaultRowHeight="15" zeroHeight="false" outlineLevelRow="0" outlineLevelCol="0"/>
  <cols>
    <col collapsed="false" customWidth="true" hidden="false" outlineLevel="0" max="1" min="1" style="0" width="24.32"/>
    <col collapsed="false" customWidth="true" hidden="false" outlineLevel="0" max="2" min="2" style="140" width="12.96"/>
    <col collapsed="false" customWidth="true" hidden="false" outlineLevel="0" max="3" min="3" style="0" width="19.68"/>
    <col collapsed="false" customWidth="true" hidden="false" outlineLevel="0" max="4" min="4" style="0" width="16"/>
    <col collapsed="false" customWidth="true" hidden="false" outlineLevel="0" max="5" min="5" style="0" width="37.92"/>
    <col collapsed="false" customWidth="true" hidden="false" outlineLevel="0" max="6" min="6" style="0" width="13.12"/>
    <col collapsed="false" customWidth="true" hidden="false" outlineLevel="0" max="7" min="7" style="0" width="26.56"/>
    <col collapsed="false" customWidth="true" hidden="false" outlineLevel="0" max="8" min="8" style="0" width="12.32"/>
    <col collapsed="false" customWidth="true" hidden="false" outlineLevel="0" max="9" min="9" style="0" width="28.48"/>
    <col collapsed="false" customWidth="true" hidden="false" outlineLevel="0" max="10" min="10" style="0" width="32.8"/>
    <col collapsed="false" customWidth="true" hidden="false" outlineLevel="0" max="11" min="11" style="0" width="24.48"/>
    <col collapsed="false" customWidth="true" hidden="false" outlineLevel="0" max="12" min="12" style="0" width="21.12"/>
    <col collapsed="false" customWidth="true" hidden="false" outlineLevel="0" max="13" min="13" style="0" width="29.92"/>
    <col collapsed="false" customWidth="true" hidden="false" outlineLevel="0" max="14" min="14" style="0" width="12.8"/>
    <col collapsed="false" customWidth="true" hidden="false" outlineLevel="0" max="1025" min="15" style="0" width="10.25"/>
  </cols>
  <sheetData>
    <row r="1" customFormat="false" ht="15" hidden="false" customHeight="false" outlineLevel="0" collapsed="false">
      <c r="A1" s="141" t="s">
        <v>131</v>
      </c>
      <c r="B1" s="142" t="s">
        <v>132</v>
      </c>
      <c r="C1" s="141" t="s">
        <v>133</v>
      </c>
      <c r="D1" s="141" t="s">
        <v>134</v>
      </c>
      <c r="E1" s="141" t="s">
        <v>135</v>
      </c>
      <c r="F1" s="141" t="s">
        <v>136</v>
      </c>
      <c r="G1" s="141" t="s">
        <v>137</v>
      </c>
      <c r="H1" s="141" t="s">
        <v>138</v>
      </c>
      <c r="I1" s="141" t="s">
        <v>139</v>
      </c>
      <c r="J1" s="141" t="s">
        <v>140</v>
      </c>
      <c r="K1" s="141" t="s">
        <v>141</v>
      </c>
      <c r="L1" s="141" t="s">
        <v>142</v>
      </c>
      <c r="M1" s="141" t="s">
        <v>143</v>
      </c>
      <c r="N1" s="141" t="s">
        <v>144</v>
      </c>
    </row>
    <row r="2" customFormat="false" ht="15" hidden="false" customHeight="false" outlineLevel="0" collapsed="false">
      <c r="A2" s="0" t="s">
        <v>145</v>
      </c>
      <c r="B2" s="140" t="s">
        <v>146</v>
      </c>
      <c r="C2" s="0" t="s">
        <v>147</v>
      </c>
      <c r="D2" s="0" t="s">
        <v>148</v>
      </c>
      <c r="E2" s="0" t="s">
        <v>149</v>
      </c>
      <c r="F2" s="0" t="n">
        <v>33000</v>
      </c>
      <c r="G2" s="0" t="s">
        <v>150</v>
      </c>
      <c r="H2" s="0" t="s">
        <v>151</v>
      </c>
      <c r="J2" s="143"/>
      <c r="M2" s="0" t="s">
        <v>152</v>
      </c>
      <c r="N2" s="0" t="s">
        <v>153</v>
      </c>
    </row>
    <row r="3" customFormat="false" ht="15" hidden="false" customHeight="false" outlineLevel="0" collapsed="false">
      <c r="A3" s="0" t="s">
        <v>154</v>
      </c>
      <c r="B3" s="140" t="s">
        <v>155</v>
      </c>
      <c r="C3" s="0" t="s">
        <v>148</v>
      </c>
      <c r="E3" s="0" t="s">
        <v>156</v>
      </c>
      <c r="F3" s="0" t="n">
        <v>13680</v>
      </c>
      <c r="G3" s="0" t="s">
        <v>157</v>
      </c>
      <c r="H3" s="0" t="s">
        <v>158</v>
      </c>
      <c r="J3" s="143" t="s">
        <v>159</v>
      </c>
      <c r="L3" s="0" t="s">
        <v>160</v>
      </c>
      <c r="M3" s="0" t="s">
        <v>161</v>
      </c>
      <c r="N3" s="0" t="s">
        <v>162</v>
      </c>
    </row>
    <row r="4" customFormat="false" ht="15" hidden="false" customHeight="false" outlineLevel="0" collapsed="false">
      <c r="A4" s="0" t="s">
        <v>163</v>
      </c>
      <c r="C4" s="0" t="s">
        <v>164</v>
      </c>
      <c r="E4" s="0" t="s">
        <v>165</v>
      </c>
      <c r="F4" s="0" t="n">
        <v>33260</v>
      </c>
      <c r="G4" s="0" t="s">
        <v>166</v>
      </c>
      <c r="H4" s="0" t="s">
        <v>167</v>
      </c>
      <c r="J4" s="143" t="s">
        <v>168</v>
      </c>
      <c r="L4" s="0" t="s">
        <v>169</v>
      </c>
      <c r="M4" s="0" t="s">
        <v>170</v>
      </c>
      <c r="N4" s="0" t="s">
        <v>171</v>
      </c>
    </row>
    <row r="5" customFormat="false" ht="15" hidden="false" customHeight="false" outlineLevel="0" collapsed="false">
      <c r="A5" s="0" t="s">
        <v>172</v>
      </c>
      <c r="C5" s="0" t="s">
        <v>147</v>
      </c>
      <c r="D5" s="0" t="s">
        <v>173</v>
      </c>
      <c r="E5" s="0" t="s">
        <v>174</v>
      </c>
      <c r="F5" s="0" t="n">
        <v>33270</v>
      </c>
      <c r="G5" s="0" t="s">
        <v>175</v>
      </c>
      <c r="H5" s="0" t="s">
        <v>176</v>
      </c>
      <c r="I5" s="143" t="s">
        <v>177</v>
      </c>
      <c r="J5" s="143"/>
    </row>
    <row r="6" customFormat="false" ht="15" hidden="false" customHeight="false" outlineLevel="0" collapsed="false">
      <c r="A6" s="0" t="s">
        <v>178</v>
      </c>
      <c r="B6" s="140" t="n">
        <v>882670</v>
      </c>
      <c r="C6" s="0" t="s">
        <v>147</v>
      </c>
      <c r="D6" s="0" t="s">
        <v>179</v>
      </c>
      <c r="E6" s="0" t="s">
        <v>180</v>
      </c>
      <c r="F6" s="0" t="n">
        <v>95105</v>
      </c>
      <c r="G6" s="0" t="s">
        <v>181</v>
      </c>
      <c r="H6" s="0" t="s">
        <v>182</v>
      </c>
      <c r="I6" s="143" t="s">
        <v>183</v>
      </c>
      <c r="J6" s="143" t="s">
        <v>184</v>
      </c>
      <c r="L6" s="0" t="s">
        <v>185</v>
      </c>
      <c r="M6" s="0" t="s">
        <v>186</v>
      </c>
      <c r="N6" s="0" t="s">
        <v>187</v>
      </c>
    </row>
    <row r="7" customFormat="false" ht="15" hidden="false" customHeight="false" outlineLevel="0" collapsed="false">
      <c r="A7" s="0" t="s">
        <v>188</v>
      </c>
      <c r="B7" s="140" t="s">
        <v>189</v>
      </c>
      <c r="C7" s="0" t="s">
        <v>147</v>
      </c>
      <c r="D7" s="0" t="s">
        <v>148</v>
      </c>
      <c r="E7" s="0" t="s">
        <v>190</v>
      </c>
      <c r="F7" s="0" t="n">
        <v>84480</v>
      </c>
      <c r="G7" s="0" t="s">
        <v>191</v>
      </c>
      <c r="H7" s="0" t="s">
        <v>192</v>
      </c>
      <c r="I7" s="143"/>
      <c r="J7" s="143"/>
    </row>
    <row r="8" s="33" customFormat="true" ht="16" hidden="false" customHeight="false" outlineLevel="0" collapsed="false">
      <c r="A8" s="33" t="s">
        <v>193</v>
      </c>
      <c r="B8" s="144" t="n">
        <v>1328901</v>
      </c>
      <c r="C8" s="33" t="s">
        <v>147</v>
      </c>
      <c r="D8" s="33" t="s">
        <v>194</v>
      </c>
      <c r="E8" s="145" t="s">
        <v>195</v>
      </c>
      <c r="F8" s="33" t="n">
        <v>91424</v>
      </c>
      <c r="G8" s="33" t="s">
        <v>196</v>
      </c>
      <c r="H8" s="33" t="s">
        <v>197</v>
      </c>
      <c r="I8" s="146" t="s">
        <v>198</v>
      </c>
      <c r="J8" s="146"/>
      <c r="L8" s="33" t="s">
        <v>199</v>
      </c>
      <c r="M8" s="33" t="s">
        <v>200</v>
      </c>
      <c r="N8" s="33" t="s">
        <v>201</v>
      </c>
    </row>
    <row r="9" s="33" customFormat="true" ht="32" hidden="false" customHeight="false" outlineLevel="0" collapsed="false">
      <c r="A9" s="145" t="s">
        <v>202</v>
      </c>
      <c r="B9" s="144" t="s">
        <v>203</v>
      </c>
      <c r="C9" s="33" t="s">
        <v>147</v>
      </c>
      <c r="D9" s="33" t="s">
        <v>164</v>
      </c>
      <c r="E9" s="33" t="s">
        <v>204</v>
      </c>
      <c r="F9" s="33" t="n">
        <v>92700</v>
      </c>
      <c r="G9" s="33" t="s">
        <v>205</v>
      </c>
      <c r="H9" s="33" t="s">
        <v>206</v>
      </c>
      <c r="J9" s="146"/>
      <c r="L9" s="33" t="s">
        <v>207</v>
      </c>
      <c r="M9" s="33" t="s">
        <v>208</v>
      </c>
    </row>
    <row r="10" customFormat="false" ht="15" hidden="false" customHeight="false" outlineLevel="0" collapsed="false">
      <c r="A10" s="0" t="s">
        <v>209</v>
      </c>
      <c r="B10" s="140" t="n">
        <v>53178</v>
      </c>
      <c r="C10" s="0" t="s">
        <v>147</v>
      </c>
      <c r="D10" s="0" t="s">
        <v>164</v>
      </c>
      <c r="E10" s="0" t="s">
        <v>210</v>
      </c>
      <c r="F10" s="0" t="n">
        <v>94140</v>
      </c>
      <c r="G10" s="0" t="s">
        <v>211</v>
      </c>
      <c r="H10" s="0" t="s">
        <v>212</v>
      </c>
      <c r="I10" s="143" t="s">
        <v>213</v>
      </c>
      <c r="J10" s="143" t="s">
        <v>214</v>
      </c>
      <c r="L10" s="0" t="s">
        <v>215</v>
      </c>
      <c r="M10" s="0" t="s">
        <v>216</v>
      </c>
      <c r="N10" s="0" t="s">
        <v>217</v>
      </c>
    </row>
    <row r="11" customFormat="false" ht="15" hidden="false" customHeight="false" outlineLevel="0" collapsed="false">
      <c r="A11" s="0" t="s">
        <v>218</v>
      </c>
      <c r="B11" s="140" t="s">
        <v>219</v>
      </c>
      <c r="C11" s="0" t="s">
        <v>147</v>
      </c>
      <c r="D11" s="0" t="s">
        <v>164</v>
      </c>
      <c r="E11" s="0" t="s">
        <v>220</v>
      </c>
      <c r="F11" s="0" t="n">
        <v>30210</v>
      </c>
      <c r="G11" s="0" t="s">
        <v>221</v>
      </c>
      <c r="H11" s="0" t="s">
        <v>222</v>
      </c>
      <c r="I11" s="143" t="s">
        <v>223</v>
      </c>
      <c r="J11" s="143" t="s">
        <v>224</v>
      </c>
      <c r="M11" s="0" t="s">
        <v>225</v>
      </c>
    </row>
    <row r="12" customFormat="false" ht="15" hidden="false" customHeight="false" outlineLevel="0" collapsed="false">
      <c r="A12" s="0" t="s">
        <v>226</v>
      </c>
      <c r="B12" s="140" t="s">
        <v>227</v>
      </c>
      <c r="C12" s="0" t="s">
        <v>147</v>
      </c>
      <c r="D12" s="0" t="s">
        <v>164</v>
      </c>
      <c r="E12" s="0" t="s">
        <v>228</v>
      </c>
      <c r="F12" s="0" t="n">
        <v>33520</v>
      </c>
      <c r="G12" s="0" t="s">
        <v>229</v>
      </c>
      <c r="H12" s="0" t="s">
        <v>230</v>
      </c>
      <c r="I12" s="143"/>
      <c r="J12" s="143" t="s">
        <v>231</v>
      </c>
      <c r="L12" s="0" t="s">
        <v>232</v>
      </c>
      <c r="M12" s="0" t="s">
        <v>233</v>
      </c>
      <c r="N12" s="0" t="s">
        <v>234</v>
      </c>
    </row>
    <row r="13" s="33" customFormat="true" ht="16" hidden="false" customHeight="false" outlineLevel="0" collapsed="false">
      <c r="A13" s="33" t="s">
        <v>235</v>
      </c>
      <c r="B13" s="144"/>
      <c r="C13" s="33" t="s">
        <v>147</v>
      </c>
      <c r="D13" s="33" t="s">
        <v>173</v>
      </c>
      <c r="E13" s="145" t="s">
        <v>236</v>
      </c>
      <c r="F13" s="33" t="n">
        <v>41355</v>
      </c>
      <c r="G13" s="33" t="s">
        <v>237</v>
      </c>
      <c r="H13" s="33" t="s">
        <v>238</v>
      </c>
      <c r="J13" s="146"/>
      <c r="M13" s="33" t="s">
        <v>239</v>
      </c>
    </row>
    <row r="14" customFormat="false" ht="15" hidden="false" customHeight="false" outlineLevel="0" collapsed="false">
      <c r="A14" s="0" t="s">
        <v>240</v>
      </c>
      <c r="B14" s="140" t="n">
        <v>82061</v>
      </c>
      <c r="C14" s="0" t="s">
        <v>147</v>
      </c>
      <c r="D14" s="0" t="s">
        <v>148</v>
      </c>
      <c r="E14" s="0" t="s">
        <v>241</v>
      </c>
      <c r="F14" s="0" t="n">
        <v>78294</v>
      </c>
      <c r="G14" s="0" t="s">
        <v>242</v>
      </c>
      <c r="H14" s="0" t="s">
        <v>243</v>
      </c>
      <c r="J14" s="143"/>
      <c r="K14" s="143" t="s">
        <v>244</v>
      </c>
      <c r="M14" s="0" t="s">
        <v>245</v>
      </c>
      <c r="N14" s="0" t="s">
        <v>246</v>
      </c>
    </row>
    <row r="15" customFormat="false" ht="15" hidden="false" customHeight="false" outlineLevel="0" collapsed="false">
      <c r="A15" s="0" t="s">
        <v>247</v>
      </c>
      <c r="C15" s="0" t="s">
        <v>147</v>
      </c>
      <c r="D15" s="0" t="s">
        <v>164</v>
      </c>
      <c r="E15" s="0" t="s">
        <v>248</v>
      </c>
      <c r="F15" s="0" t="n">
        <v>33260</v>
      </c>
      <c r="G15" s="0" t="s">
        <v>166</v>
      </c>
      <c r="J15" s="143"/>
    </row>
    <row r="16" customFormat="false" ht="15" hidden="false" customHeight="false" outlineLevel="0" collapsed="false">
      <c r="A16" s="0" t="s">
        <v>249</v>
      </c>
      <c r="C16" s="0" t="s">
        <v>147</v>
      </c>
      <c r="D16" s="0" t="s">
        <v>148</v>
      </c>
      <c r="E16" s="0" t="s">
        <v>250</v>
      </c>
      <c r="F16" s="0" t="n">
        <v>33260</v>
      </c>
      <c r="G16" s="0" t="s">
        <v>166</v>
      </c>
      <c r="H16" s="0" t="s">
        <v>251</v>
      </c>
      <c r="I16" s="143" t="s">
        <v>252</v>
      </c>
      <c r="J16" s="143" t="s">
        <v>253</v>
      </c>
    </row>
    <row r="17" customFormat="false" ht="15" hidden="false" customHeight="false" outlineLevel="0" collapsed="false">
      <c r="A17" s="0" t="s">
        <v>254</v>
      </c>
      <c r="B17" s="140" t="n">
        <v>561354</v>
      </c>
      <c r="C17" s="0" t="s">
        <v>147</v>
      </c>
      <c r="D17" s="0" t="s">
        <v>255</v>
      </c>
      <c r="E17" s="0" t="s">
        <v>256</v>
      </c>
      <c r="F17" s="0" t="n">
        <v>75827</v>
      </c>
      <c r="G17" s="0" t="s">
        <v>257</v>
      </c>
      <c r="H17" s="0" t="s">
        <v>258</v>
      </c>
      <c r="I17" s="143" t="s">
        <v>259</v>
      </c>
      <c r="J17" s="143"/>
      <c r="K17" s="143" t="s">
        <v>260</v>
      </c>
      <c r="L17" s="0" t="s">
        <v>261</v>
      </c>
      <c r="M17" s="0" t="s">
        <v>262</v>
      </c>
      <c r="N17" s="0" t="s">
        <v>263</v>
      </c>
    </row>
    <row r="18" customFormat="false" ht="15" hidden="false" customHeight="false" outlineLevel="0" collapsed="false">
      <c r="A18" s="0" t="s">
        <v>264</v>
      </c>
      <c r="B18" s="140" t="n">
        <v>93000111</v>
      </c>
      <c r="C18" s="0" t="s">
        <v>265</v>
      </c>
      <c r="D18" s="0" t="s">
        <v>266</v>
      </c>
      <c r="E18" s="0" t="s">
        <v>267</v>
      </c>
      <c r="F18" s="0" t="n">
        <v>33260</v>
      </c>
      <c r="G18" s="0" t="s">
        <v>166</v>
      </c>
      <c r="H18" s="0" t="s">
        <v>268</v>
      </c>
      <c r="I18" s="143" t="s">
        <v>269</v>
      </c>
      <c r="J18" s="143" t="s">
        <v>270</v>
      </c>
      <c r="K18" s="143"/>
    </row>
    <row r="19" customFormat="false" ht="15" hidden="false" customHeight="false" outlineLevel="0" collapsed="false">
      <c r="A19" s="0" t="s">
        <v>271</v>
      </c>
      <c r="B19" s="140" t="s">
        <v>272</v>
      </c>
      <c r="C19" s="0" t="s">
        <v>147</v>
      </c>
      <c r="D19" s="0" t="s">
        <v>273</v>
      </c>
      <c r="E19" s="0" t="s">
        <v>274</v>
      </c>
      <c r="F19" s="0" t="n">
        <v>33270</v>
      </c>
      <c r="G19" s="0" t="s">
        <v>275</v>
      </c>
      <c r="H19" s="0" t="s">
        <v>276</v>
      </c>
      <c r="I19" s="143"/>
      <c r="J19" s="143" t="s">
        <v>277</v>
      </c>
      <c r="K19" s="143"/>
      <c r="L19" s="0" t="s">
        <v>160</v>
      </c>
      <c r="M19" s="0" t="s">
        <v>278</v>
      </c>
      <c r="N19" s="0" t="s">
        <v>162</v>
      </c>
    </row>
    <row r="20" customFormat="false" ht="15" hidden="false" customHeight="false" outlineLevel="0" collapsed="false">
      <c r="A20" s="0" t="s">
        <v>279</v>
      </c>
      <c r="B20" s="140" t="s">
        <v>280</v>
      </c>
      <c r="C20" s="0" t="s">
        <v>147</v>
      </c>
      <c r="D20" s="0" t="s">
        <v>164</v>
      </c>
      <c r="E20" s="0" t="s">
        <v>281</v>
      </c>
      <c r="F20" s="0" t="n">
        <v>92309</v>
      </c>
      <c r="G20" s="0" t="s">
        <v>282</v>
      </c>
      <c r="H20" s="0" t="s">
        <v>283</v>
      </c>
      <c r="I20" s="143" t="s">
        <v>284</v>
      </c>
      <c r="J20" s="143" t="s">
        <v>285</v>
      </c>
    </row>
    <row r="21" s="33" customFormat="true" ht="32" hidden="false" customHeight="false" outlineLevel="0" collapsed="false">
      <c r="A21" s="33" t="s">
        <v>286</v>
      </c>
      <c r="B21" s="144" t="n">
        <v>716732</v>
      </c>
      <c r="C21" s="33" t="s">
        <v>147</v>
      </c>
      <c r="D21" s="33" t="s">
        <v>164</v>
      </c>
      <c r="E21" s="145" t="s">
        <v>287</v>
      </c>
      <c r="F21" s="33" t="n">
        <v>94200</v>
      </c>
      <c r="G21" s="33" t="s">
        <v>288</v>
      </c>
      <c r="H21" s="33" t="s">
        <v>289</v>
      </c>
      <c r="I21" s="146" t="s">
        <v>290</v>
      </c>
      <c r="J21" s="146" t="s">
        <v>291</v>
      </c>
      <c r="L21" s="33" t="s">
        <v>292</v>
      </c>
      <c r="M21" s="33" t="s">
        <v>293</v>
      </c>
      <c r="N21" s="33" t="s">
        <v>294</v>
      </c>
    </row>
    <row r="22" s="33" customFormat="true" ht="16" hidden="false" customHeight="false" outlineLevel="0" collapsed="false">
      <c r="A22" s="33" t="s">
        <v>295</v>
      </c>
      <c r="B22" s="144" t="n">
        <v>117450</v>
      </c>
      <c r="C22" s="33" t="s">
        <v>147</v>
      </c>
      <c r="D22" s="33" t="s">
        <v>148</v>
      </c>
      <c r="E22" s="145" t="s">
        <v>296</v>
      </c>
      <c r="F22" s="33" t="n">
        <v>91430</v>
      </c>
      <c r="G22" s="33" t="s">
        <v>297</v>
      </c>
      <c r="H22" s="33" t="s">
        <v>298</v>
      </c>
      <c r="I22" s="146" t="s">
        <v>299</v>
      </c>
      <c r="J22" s="146" t="s">
        <v>300</v>
      </c>
      <c r="L22" s="33" t="s">
        <v>301</v>
      </c>
      <c r="M22" s="33" t="s">
        <v>302</v>
      </c>
      <c r="N22" s="33" t="s">
        <v>303</v>
      </c>
    </row>
    <row r="23" s="33" customFormat="true" ht="16" hidden="false" customHeight="false" outlineLevel="0" collapsed="false">
      <c r="A23" s="33" t="s">
        <v>304</v>
      </c>
      <c r="B23" s="144"/>
      <c r="C23" s="33" t="s">
        <v>305</v>
      </c>
      <c r="D23" s="33" t="s">
        <v>148</v>
      </c>
      <c r="E23" s="145" t="s">
        <v>306</v>
      </c>
      <c r="F23" s="33" t="n">
        <v>33260</v>
      </c>
      <c r="G23" s="33" t="s">
        <v>166</v>
      </c>
      <c r="H23" s="33" t="s">
        <v>307</v>
      </c>
      <c r="I23" s="146"/>
      <c r="J23" s="146" t="s">
        <v>308</v>
      </c>
    </row>
    <row r="24" customFormat="false" ht="15" hidden="false" customHeight="false" outlineLevel="0" collapsed="false">
      <c r="A24" s="0" t="s">
        <v>309</v>
      </c>
      <c r="B24" s="140" t="n">
        <v>33046</v>
      </c>
      <c r="C24" s="0" t="s">
        <v>147</v>
      </c>
      <c r="D24" s="0" t="s">
        <v>148</v>
      </c>
      <c r="E24" s="0" t="s">
        <v>310</v>
      </c>
      <c r="F24" s="0" t="n">
        <v>77220</v>
      </c>
      <c r="G24" s="0" t="s">
        <v>311</v>
      </c>
      <c r="H24" s="0" t="s">
        <v>312</v>
      </c>
      <c r="I24" s="143" t="s">
        <v>313</v>
      </c>
      <c r="J24" s="143" t="s">
        <v>314</v>
      </c>
      <c r="M24" s="0" t="s">
        <v>315</v>
      </c>
      <c r="N24" s="0" t="s">
        <v>316</v>
      </c>
    </row>
    <row r="25" customFormat="false" ht="15" hidden="false" customHeight="false" outlineLevel="0" collapsed="false">
      <c r="A25" s="0" t="s">
        <v>317</v>
      </c>
      <c r="B25" s="140" t="s">
        <v>318</v>
      </c>
      <c r="C25" s="0" t="s">
        <v>147</v>
      </c>
      <c r="D25" s="0" t="s">
        <v>319</v>
      </c>
      <c r="E25" s="0" t="s">
        <v>320</v>
      </c>
      <c r="F25" s="0" t="n">
        <v>94118</v>
      </c>
      <c r="G25" s="0" t="s">
        <v>321</v>
      </c>
      <c r="H25" s="0" t="s">
        <v>322</v>
      </c>
      <c r="I25" s="143" t="s">
        <v>323</v>
      </c>
      <c r="J25" s="143" t="s">
        <v>324</v>
      </c>
      <c r="L25" s="0" t="s">
        <v>160</v>
      </c>
      <c r="M25" s="0" t="s">
        <v>325</v>
      </c>
      <c r="N25" s="0" t="s">
        <v>162</v>
      </c>
    </row>
    <row r="26" customFormat="false" ht="15" hidden="false" customHeight="false" outlineLevel="0" collapsed="false">
      <c r="A26" s="0" t="s">
        <v>326</v>
      </c>
      <c r="B26" s="140" t="n">
        <v>70118141</v>
      </c>
      <c r="C26" s="0" t="s">
        <v>147</v>
      </c>
      <c r="D26" s="0" t="s">
        <v>319</v>
      </c>
      <c r="E26" s="0" t="s">
        <v>327</v>
      </c>
      <c r="F26" s="0" t="n">
        <v>93297</v>
      </c>
      <c r="G26" s="0" t="s">
        <v>328</v>
      </c>
      <c r="H26" s="0" t="s">
        <v>329</v>
      </c>
      <c r="I26" s="143" t="s">
        <v>330</v>
      </c>
      <c r="J26" s="143"/>
      <c r="M26" s="0" t="s">
        <v>331</v>
      </c>
    </row>
    <row r="27" customFormat="false" ht="15" hidden="false" customHeight="false" outlineLevel="0" collapsed="false">
      <c r="A27" s="0" t="s">
        <v>332</v>
      </c>
      <c r="B27" s="140" t="s">
        <v>333</v>
      </c>
      <c r="C27" s="0" t="s">
        <v>147</v>
      </c>
      <c r="D27" s="0" t="s">
        <v>173</v>
      </c>
      <c r="E27" s="0" t="s">
        <v>334</v>
      </c>
      <c r="F27" s="0" t="n">
        <v>39700</v>
      </c>
      <c r="G27" s="0" t="s">
        <v>335</v>
      </c>
      <c r="H27" s="0" t="s">
        <v>336</v>
      </c>
      <c r="I27" s="143"/>
      <c r="J27" s="143"/>
      <c r="K27" s="143" t="s">
        <v>337</v>
      </c>
      <c r="M27" s="0" t="s">
        <v>338</v>
      </c>
      <c r="N27" s="0" t="s">
        <v>162</v>
      </c>
    </row>
    <row r="28" customFormat="false" ht="15" hidden="false" customHeight="false" outlineLevel="0" collapsed="false">
      <c r="A28" s="0" t="s">
        <v>339</v>
      </c>
      <c r="B28" s="140" t="s">
        <v>340</v>
      </c>
      <c r="C28" s="0" t="s">
        <v>147</v>
      </c>
      <c r="D28" s="0" t="s">
        <v>341</v>
      </c>
      <c r="E28" s="0" t="s">
        <v>342</v>
      </c>
      <c r="F28" s="0" t="n">
        <v>67411</v>
      </c>
      <c r="G28" s="0" t="s">
        <v>343</v>
      </c>
      <c r="H28" s="0" t="s">
        <v>344</v>
      </c>
      <c r="J28" s="143" t="s">
        <v>345</v>
      </c>
      <c r="L28" s="0" t="s">
        <v>346</v>
      </c>
      <c r="M28" s="0" t="s">
        <v>347</v>
      </c>
    </row>
    <row r="29" customFormat="false" ht="15" hidden="false" customHeight="false" outlineLevel="0" collapsed="false">
      <c r="A29" s="0" t="s">
        <v>348</v>
      </c>
      <c r="C29" s="0" t="s">
        <v>147</v>
      </c>
      <c r="D29" s="0" t="s">
        <v>164</v>
      </c>
      <c r="E29" s="0" t="s">
        <v>349</v>
      </c>
      <c r="F29" s="0" t="n">
        <v>33320</v>
      </c>
      <c r="G29" s="0" t="s">
        <v>350</v>
      </c>
      <c r="H29" s="0" t="s">
        <v>351</v>
      </c>
      <c r="J29" s="143" t="s">
        <v>352</v>
      </c>
      <c r="L29" s="0" t="s">
        <v>353</v>
      </c>
      <c r="M29" s="0" t="s">
        <v>354</v>
      </c>
      <c r="N29" s="0" t="s">
        <v>153</v>
      </c>
    </row>
    <row r="30" customFormat="false" ht="15" hidden="false" customHeight="false" outlineLevel="0" collapsed="false">
      <c r="A30" s="0" t="s">
        <v>72</v>
      </c>
      <c r="C30" s="0" t="s">
        <v>147</v>
      </c>
      <c r="D30" s="0" t="s">
        <v>148</v>
      </c>
      <c r="E30" s="0" t="s">
        <v>355</v>
      </c>
      <c r="F30" s="0" t="n">
        <v>16100</v>
      </c>
      <c r="G30" s="0" t="s">
        <v>356</v>
      </c>
      <c r="H30" s="0" t="s">
        <v>357</v>
      </c>
      <c r="I30" s="143" t="s">
        <v>358</v>
      </c>
      <c r="J30" s="143" t="s">
        <v>359</v>
      </c>
      <c r="L30" s="0" t="s">
        <v>160</v>
      </c>
      <c r="M30" s="0" t="s">
        <v>360</v>
      </c>
      <c r="N30" s="0" t="s">
        <v>162</v>
      </c>
    </row>
    <row r="31" customFormat="false" ht="15" hidden="false" customHeight="false" outlineLevel="0" collapsed="false">
      <c r="A31" s="0" t="s">
        <v>361</v>
      </c>
      <c r="B31" s="140" t="n">
        <v>613929</v>
      </c>
      <c r="C31" s="0" t="s">
        <v>147</v>
      </c>
      <c r="D31" s="0" t="s">
        <v>319</v>
      </c>
      <c r="E31" s="0" t="s">
        <v>362</v>
      </c>
      <c r="F31" s="0" t="n">
        <v>67100</v>
      </c>
      <c r="G31" s="0" t="s">
        <v>363</v>
      </c>
      <c r="H31" s="0" t="s">
        <v>364</v>
      </c>
      <c r="I31" s="143" t="s">
        <v>365</v>
      </c>
      <c r="J31" s="143" t="s">
        <v>366</v>
      </c>
      <c r="L31" s="0" t="s">
        <v>353</v>
      </c>
      <c r="M31" s="0" t="s">
        <v>367</v>
      </c>
      <c r="N31" s="0" t="s">
        <v>368</v>
      </c>
    </row>
    <row r="32" customFormat="false" ht="15" hidden="false" customHeight="false" outlineLevel="0" collapsed="false">
      <c r="A32" s="0" t="s">
        <v>369</v>
      </c>
      <c r="C32" s="0" t="s">
        <v>147</v>
      </c>
      <c r="D32" s="0" t="s">
        <v>148</v>
      </c>
      <c r="E32" s="0" t="s">
        <v>370</v>
      </c>
      <c r="F32" s="0" t="n">
        <v>33260</v>
      </c>
      <c r="G32" s="0" t="s">
        <v>166</v>
      </c>
      <c r="H32" s="0" t="s">
        <v>371</v>
      </c>
      <c r="J32" s="143" t="s">
        <v>372</v>
      </c>
      <c r="M32" s="0" t="s">
        <v>373</v>
      </c>
      <c r="N32" s="0" t="s">
        <v>187</v>
      </c>
    </row>
    <row r="33" customFormat="false" ht="15" hidden="false" customHeight="false" outlineLevel="0" collapsed="false">
      <c r="A33" s="0" t="s">
        <v>374</v>
      </c>
      <c r="B33" s="140" t="n">
        <v>3614</v>
      </c>
      <c r="C33" s="0" t="s">
        <v>265</v>
      </c>
      <c r="D33" s="0" t="s">
        <v>164</v>
      </c>
      <c r="E33" s="0" t="s">
        <v>375</v>
      </c>
      <c r="F33" s="0" t="n">
        <v>77680</v>
      </c>
      <c r="G33" s="0" t="s">
        <v>376</v>
      </c>
      <c r="H33" s="0" t="s">
        <v>377</v>
      </c>
      <c r="J33" s="143"/>
      <c r="L33" s="0" t="s">
        <v>378</v>
      </c>
      <c r="M33" s="0" t="s">
        <v>379</v>
      </c>
      <c r="N33" s="0" t="s">
        <v>380</v>
      </c>
    </row>
    <row r="34" customFormat="false" ht="15" hidden="false" customHeight="false" outlineLevel="0" collapsed="false">
      <c r="A34" s="0" t="s">
        <v>381</v>
      </c>
      <c r="B34" s="140" t="s">
        <v>382</v>
      </c>
      <c r="C34" s="0" t="s">
        <v>147</v>
      </c>
      <c r="D34" s="0" t="s">
        <v>148</v>
      </c>
      <c r="E34" s="0" t="s">
        <v>383</v>
      </c>
      <c r="F34" s="0" t="n">
        <v>33320</v>
      </c>
      <c r="G34" s="0" t="s">
        <v>350</v>
      </c>
      <c r="H34" s="0" t="s">
        <v>384</v>
      </c>
      <c r="J34" s="143"/>
    </row>
    <row r="35" customFormat="false" ht="15" hidden="false" customHeight="false" outlineLevel="0" collapsed="false">
      <c r="J35" s="143"/>
    </row>
  </sheetData>
  <hyperlinks>
    <hyperlink ref="J3" r:id="rId1" display="svce.commercial@bisico.fr"/>
    <hyperlink ref="J4" r:id="rId2" display="contact@cafes-tchanque.fr"/>
    <hyperlink ref="I5" r:id="rId3" display="www.corusdental.com"/>
    <hyperlink ref="I6" r:id="rId4" display="www.dexter.fr"/>
    <hyperlink ref="J6" r:id="rId5" display="service.clients@dexter.fr"/>
    <hyperlink ref="I8" r:id="rId6" display="www.frankel.fr"/>
    <hyperlink ref="I10" r:id="rId7" display="www.henryschein.fr"/>
    <hyperlink ref="J10" r:id="rId8" display="cabinet.dentaire@henryschein.fr"/>
    <hyperlink ref="I11" r:id="rId9" display="www.hygisudmedical.com"/>
    <hyperlink ref="J11" r:id="rId10" display="hygisud.medical@9online.fr"/>
    <hyperlink ref="J12" r:id="rId11" display="contact@abibordeaux.fr"/>
    <hyperlink ref="K14" r:id="rId12" display="dosimetrie@irsn.fr"/>
    <hyperlink ref="I16" r:id="rId13" display="www.kikopiki.com"/>
    <hyperlink ref="J16" r:id="rId14" display="jerome@kikopiki.com"/>
    <hyperlink ref="I17" r:id="rId15" display="www.komet.fr"/>
    <hyperlink ref="K17" r:id="rId16" display="creditclient@komet.fr"/>
    <hyperlink ref="I18" r:id="rId17" display="www.compagnie-fiduciaire.com"/>
    <hyperlink ref="J19" r:id="rId18" display="sebastien.fougere@lenectar.fr"/>
    <hyperlink ref="I20" r:id="rId19" display="www.misimplants.fr"/>
    <hyperlink ref="J20" r:id="rId20" display="infos@mis-implants.fr"/>
    <hyperlink ref="I21" r:id="rId21" display="www.nobelbiocare.fr"/>
    <hyperlink ref="J21" r:id="rId22" display="order.france@nobelbiocare.com"/>
    <hyperlink ref="I22" r:id="rId23" display="www.orthoplus.fr"/>
    <hyperlink ref="J22" r:id="rId24" display="orthoplus@orthoplus.fr"/>
    <hyperlink ref="J23" r:id="rId25" display="pharmaciesaintexupery33@orange.fr"/>
    <hyperlink ref="I24" r:id="rId26" display="www.praxisinstruments.fr"/>
    <hyperlink ref="J24" r:id="rId27" display="contact@praxisinstruments.fr"/>
    <hyperlink ref="I25" r:id="rId28" display="www.pred.fr"/>
    <hyperlink ref="I26" r:id="rId29" display="www.promodentaire.com"/>
    <hyperlink ref="K27" r:id="rId30" display="advso@proserve-dasri.com"/>
    <hyperlink ref="J28" r:id="rId31" display="info@rmoeurope.com"/>
    <hyperlink ref="J29" r:id="rId32" display="rouzes.oocean@cloison.fr"/>
    <hyperlink ref="I30" r:id="rId33" display="www.sdmc.fr"/>
    <hyperlink ref="J30" r:id="rId34" display="info@sdmc.fr"/>
    <hyperlink ref="I31" r:id="rId35" display="www.stoma.de"/>
    <hyperlink ref="J31" r:id="rId36" display="export@stoma.de"/>
    <hyperlink ref="J32" r:id="rId37" display="contact@surfonline.fr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38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FFFFFF"/>
    <pageSetUpPr fitToPage="false"/>
  </sheetPr>
  <dimension ref="A1:C3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RowHeight="15" zeroHeight="false" outlineLevelRow="0" outlineLevelCol="0"/>
  <cols>
    <col collapsed="false" customWidth="true" hidden="false" outlineLevel="0" max="1" min="1" style="0" width="26.24"/>
    <col collapsed="false" customWidth="true" hidden="true" outlineLevel="0" max="2" min="2" style="0" width="29.76"/>
    <col collapsed="false" customWidth="true" hidden="false" outlineLevel="0" max="3" min="3" style="0" width="20.65"/>
    <col collapsed="false" customWidth="true" hidden="false" outlineLevel="0" max="1025" min="4" style="0" width="10.25"/>
  </cols>
  <sheetData>
    <row r="1" customFormat="false" ht="15" hidden="false" customHeight="false" outlineLevel="0" collapsed="false">
      <c r="A1" s="141" t="s">
        <v>106</v>
      </c>
      <c r="B1" s="147" t="s">
        <v>385</v>
      </c>
      <c r="C1" s="141" t="s">
        <v>386</v>
      </c>
    </row>
    <row r="2" customFormat="false" ht="15" hidden="false" customHeight="false" outlineLevel="0" collapsed="false">
      <c r="A2" s="0" t="s">
        <v>33</v>
      </c>
      <c r="B2" s="147" t="s">
        <v>109</v>
      </c>
      <c r="C2" s="0" t="s">
        <v>33</v>
      </c>
    </row>
    <row r="3" customFormat="false" ht="15" hidden="false" customHeight="false" outlineLevel="0" collapsed="false">
      <c r="A3" s="0" t="s">
        <v>62</v>
      </c>
      <c r="B3" s="147" t="s">
        <v>49</v>
      </c>
      <c r="C3" s="0" t="s">
        <v>62</v>
      </c>
    </row>
    <row r="4" customFormat="false" ht="15" hidden="false" customHeight="false" outlineLevel="0" collapsed="false">
      <c r="A4" s="148" t="s">
        <v>387</v>
      </c>
      <c r="B4" s="147" t="s">
        <v>99</v>
      </c>
      <c r="C4" s="0" t="s">
        <v>388</v>
      </c>
    </row>
    <row r="5" customFormat="false" ht="15" hidden="false" customHeight="false" outlineLevel="0" collapsed="false">
      <c r="A5" s="148" t="s">
        <v>389</v>
      </c>
      <c r="B5" s="147" t="s">
        <v>65</v>
      </c>
      <c r="C5" s="0" t="s">
        <v>390</v>
      </c>
    </row>
    <row r="6" customFormat="false" ht="15" hidden="false" customHeight="false" outlineLevel="0" collapsed="false">
      <c r="A6" s="105" t="s">
        <v>391</v>
      </c>
      <c r="B6" s="147" t="s">
        <v>392</v>
      </c>
      <c r="C6" s="0" t="s">
        <v>18</v>
      </c>
    </row>
    <row r="7" customFormat="false" ht="15" hidden="false" customHeight="false" outlineLevel="0" collapsed="false">
      <c r="A7" s="148" t="s">
        <v>393</v>
      </c>
      <c r="B7" s="147" t="s">
        <v>104</v>
      </c>
      <c r="C7" s="0" t="s">
        <v>50</v>
      </c>
    </row>
    <row r="8" customFormat="false" ht="15" hidden="false" customHeight="false" outlineLevel="0" collapsed="false">
      <c r="A8" s="148" t="s">
        <v>394</v>
      </c>
      <c r="B8" s="147" t="s">
        <v>87</v>
      </c>
    </row>
    <row r="9" customFormat="false" ht="15" hidden="false" customHeight="false" outlineLevel="0" collapsed="false">
      <c r="B9" s="147" t="s">
        <v>111</v>
      </c>
    </row>
    <row r="10" customFormat="false" ht="15" hidden="false" customHeight="false" outlineLevel="0" collapsed="false">
      <c r="B10" s="147" t="s">
        <v>20</v>
      </c>
    </row>
    <row r="11" customFormat="false" ht="15" hidden="false" customHeight="false" outlineLevel="0" collapsed="false">
      <c r="B11" s="147" t="s">
        <v>31</v>
      </c>
    </row>
    <row r="12" customFormat="false" ht="15" hidden="false" customHeight="false" outlineLevel="0" collapsed="false">
      <c r="B12" s="147" t="s">
        <v>56</v>
      </c>
    </row>
    <row r="13" customFormat="false" ht="15" hidden="false" customHeight="false" outlineLevel="0" collapsed="false">
      <c r="B13" s="147" t="s">
        <v>54</v>
      </c>
    </row>
    <row r="14" customFormat="false" ht="15" hidden="false" customHeight="false" outlineLevel="0" collapsed="false">
      <c r="B14" s="147" t="s">
        <v>46</v>
      </c>
    </row>
    <row r="15" customFormat="false" ht="15" hidden="false" customHeight="false" outlineLevel="0" collapsed="false">
      <c r="B15" s="147" t="s">
        <v>47</v>
      </c>
    </row>
    <row r="16" customFormat="false" ht="15" hidden="false" customHeight="false" outlineLevel="0" collapsed="false">
      <c r="B16" s="147" t="s">
        <v>43</v>
      </c>
    </row>
    <row r="17" customFormat="false" ht="15" hidden="false" customHeight="false" outlineLevel="0" collapsed="false">
      <c r="B17" s="147" t="s">
        <v>45</v>
      </c>
    </row>
    <row r="18" customFormat="false" ht="15" hidden="false" customHeight="false" outlineLevel="0" collapsed="false">
      <c r="B18" s="147" t="s">
        <v>44</v>
      </c>
    </row>
    <row r="19" customFormat="false" ht="15" hidden="false" customHeight="false" outlineLevel="0" collapsed="false">
      <c r="B19" s="147" t="s">
        <v>69</v>
      </c>
    </row>
    <row r="20" customFormat="false" ht="15" hidden="false" customHeight="false" outlineLevel="0" collapsed="false">
      <c r="B20" s="147" t="s">
        <v>89</v>
      </c>
    </row>
    <row r="21" customFormat="false" ht="15" hidden="false" customHeight="false" outlineLevel="0" collapsed="false">
      <c r="B21" s="147" t="s">
        <v>32</v>
      </c>
    </row>
    <row r="22" customFormat="false" ht="15" hidden="false" customHeight="false" outlineLevel="0" collapsed="false">
      <c r="B22" s="147" t="s">
        <v>103</v>
      </c>
    </row>
    <row r="23" customFormat="false" ht="15" hidden="false" customHeight="false" outlineLevel="0" collapsed="false">
      <c r="B23" s="147" t="s">
        <v>97</v>
      </c>
    </row>
    <row r="24" customFormat="false" ht="15" hidden="false" customHeight="false" outlineLevel="0" collapsed="false">
      <c r="B24" s="147" t="s">
        <v>70</v>
      </c>
    </row>
    <row r="25" customFormat="false" ht="15" hidden="false" customHeight="false" outlineLevel="0" collapsed="false">
      <c r="B25" s="147" t="s">
        <v>21</v>
      </c>
    </row>
    <row r="26" customFormat="false" ht="15" hidden="false" customHeight="false" outlineLevel="0" collapsed="false">
      <c r="B26" s="147" t="s">
        <v>95</v>
      </c>
    </row>
    <row r="27" customFormat="false" ht="15" hidden="false" customHeight="false" outlineLevel="0" collapsed="false">
      <c r="B27" s="147" t="s">
        <v>86</v>
      </c>
    </row>
    <row r="28" customFormat="false" ht="15" hidden="false" customHeight="false" outlineLevel="0" collapsed="false">
      <c r="B28" s="147" t="s">
        <v>98</v>
      </c>
    </row>
    <row r="29" customFormat="false" ht="15" hidden="false" customHeight="false" outlineLevel="0" collapsed="false">
      <c r="B29" s="149" t="s">
        <v>72</v>
      </c>
    </row>
    <row r="30" customFormat="false" ht="15" hidden="false" customHeight="false" outlineLevel="0" collapsed="false">
      <c r="B30" s="147" t="s">
        <v>58</v>
      </c>
    </row>
    <row r="31" customFormat="false" ht="15" hidden="false" customHeight="false" outlineLevel="0" collapsed="false">
      <c r="B31" s="147" t="s">
        <v>61</v>
      </c>
    </row>
    <row r="32" customFormat="false" ht="15" hidden="false" customHeight="false" outlineLevel="0" collapsed="false">
      <c r="B32" s="147" t="s">
        <v>25</v>
      </c>
    </row>
    <row r="33" customFormat="false" ht="15" hidden="false" customHeight="false" outlineLevel="0" collapsed="false">
      <c r="B33" s="147" t="s">
        <v>23</v>
      </c>
    </row>
    <row r="34" customFormat="false" ht="15" hidden="false" customHeight="false" outlineLevel="0" collapsed="false">
      <c r="B34" s="147" t="s">
        <v>17</v>
      </c>
    </row>
    <row r="35" customFormat="false" ht="15" hidden="false" customHeight="false" outlineLevel="0" collapsed="false">
      <c r="B35" s="147" t="s">
        <v>22</v>
      </c>
    </row>
    <row r="36" customFormat="false" ht="15" hidden="false" customHeight="false" outlineLevel="0" collapsed="false">
      <c r="B36" s="147" t="s">
        <v>24</v>
      </c>
    </row>
    <row r="37" customFormat="false" ht="15" hidden="false" customHeight="false" outlineLevel="0" collapsed="false">
      <c r="B37" s="147" t="s">
        <v>26</v>
      </c>
    </row>
    <row r="38" customFormat="false" ht="15" hidden="false" customHeight="false" outlineLevel="0" collapsed="false">
      <c r="B38" s="147" t="s">
        <v>55</v>
      </c>
    </row>
    <row r="39" customFormat="false" ht="15" hidden="false" customHeight="false" outlineLevel="0" collapsed="false">
      <c r="B39" s="147" t="s">
        <v>41</v>
      </c>
    </row>
  </sheetData>
  <conditionalFormatting sqref="B2:B4 B20:B39">
    <cfRule type="expression" priority="2" aboveAverage="0" equalAverage="0" bottom="0" percent="0" rank="0" text="" dxfId="5">
      <formula>$K3="en attente"</formula>
    </cfRule>
    <cfRule type="expression" priority="3" aboveAverage="0" equalAverage="0" bottom="0" percent="0" rank="0" text="" dxfId="6">
      <formula>$K3="Retard"</formula>
    </cfRule>
    <cfRule type="expression" priority="4" aboveAverage="0" equalAverage="0" bottom="0" percent="0" rank="0" text="" dxfId="7">
      <formula>$K3="Réglé"</formula>
    </cfRule>
  </conditionalFormatting>
  <conditionalFormatting sqref="B1">
    <cfRule type="expression" priority="5" aboveAverage="0" equalAverage="0" bottom="0" percent="0" rank="0" text="" dxfId="8">
      <formula>$K1="en attente"</formula>
    </cfRule>
    <cfRule type="expression" priority="6" aboveAverage="0" equalAverage="0" bottom="0" percent="0" rank="0" text="" dxfId="9">
      <formula>$K1="Retard"</formula>
    </cfRule>
    <cfRule type="expression" priority="7" aboveAverage="0" equalAverage="0" bottom="0" percent="0" rank="0" text="" dxfId="10">
      <formula>$K1="Réglé"</formula>
    </cfRule>
  </conditionalFormatting>
  <conditionalFormatting sqref="B5:B20">
    <cfRule type="expression" priority="8" aboveAverage="0" equalAverage="0" bottom="0" percent="0" rank="0" text="" dxfId="11">
      <formula>$K7="en attente"</formula>
    </cfRule>
    <cfRule type="expression" priority="9" aboveAverage="0" equalAverage="0" bottom="0" percent="0" rank="0" text="" dxfId="12">
      <formula>$K7="Retard"</formula>
    </cfRule>
    <cfRule type="expression" priority="10" aboveAverage="0" equalAverage="0" bottom="0" percent="0" rank="0" text="" dxfId="13">
      <formula>$K7="Réglé"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6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9" activeCellId="0" sqref="D19"/>
    </sheetView>
  </sheetViews>
  <sheetFormatPr defaultRowHeight="13.8" zeroHeight="false" outlineLevelRow="0" outlineLevelCol="0"/>
  <cols>
    <col collapsed="false" customWidth="false" hidden="false" outlineLevel="0" max="2" min="1" style="0" width="11.4"/>
    <col collapsed="false" customWidth="true" hidden="false" outlineLevel="0" max="3" min="3" style="0" width="22.3"/>
    <col collapsed="false" customWidth="false" hidden="false" outlineLevel="0" max="9" min="4" style="0" width="11.4"/>
    <col collapsed="false" customWidth="true" hidden="false" outlineLevel="0" max="10" min="10" style="0" width="28.69"/>
    <col collapsed="false" customWidth="false" hidden="false" outlineLevel="0" max="11" min="11" style="0" width="11.4"/>
    <col collapsed="false" customWidth="true" hidden="false" outlineLevel="0" max="12" min="12" style="0" width="10.81"/>
    <col collapsed="false" customWidth="false" hidden="false" outlineLevel="0" max="14" min="13" style="0" width="11.4"/>
    <col collapsed="false" customWidth="true" hidden="false" outlineLevel="0" max="15" min="15" style="0" width="3.39"/>
    <col collapsed="false" customWidth="false" hidden="false" outlineLevel="0" max="16" min="16" style="0" width="11.4"/>
    <col collapsed="false" customWidth="true" hidden="false" outlineLevel="0" max="17" min="17" style="150" width="28.18"/>
    <col collapsed="false" customWidth="false" hidden="false" outlineLevel="0" max="1025" min="18" style="0" width="11.4"/>
  </cols>
  <sheetData>
    <row r="1" customFormat="false" ht="17.35" hidden="false" customHeight="false" outlineLevel="0" collapsed="false">
      <c r="A1" s="151" t="s">
        <v>44</v>
      </c>
      <c r="B1" s="151"/>
      <c r="C1" s="151"/>
      <c r="D1" s="152"/>
      <c r="J1" s="153" t="s">
        <v>44</v>
      </c>
      <c r="K1" s="154" t="n">
        <f aca="false">SUMIFS(Factures!J$2:J$203,Factures!D$2:D$203,$J1)</f>
        <v>10991.05</v>
      </c>
      <c r="L1" s="154" t="n">
        <f aca="false">SUMIFS(Factures!J$2:J$203,Factures!D$2:D$203,$J1,Factures!L22:L223,"Réglé")</f>
        <v>10991.05</v>
      </c>
      <c r="M1" s="154" t="n">
        <f aca="false">L1-K1</f>
        <v>0</v>
      </c>
      <c r="N1" s="154"/>
      <c r="O1" s="155" t="n">
        <f aca="false">RANK(K1,K$1:K$60,0)</f>
        <v>5</v>
      </c>
      <c r="P1" s="156" t="n">
        <f aca="false">M1/K1</f>
        <v>0</v>
      </c>
      <c r="Q1" s="150" t="str">
        <f aca="false">IF(P1&gt;-0.2,"bon client",IF(P1&lt;-0.5,"renégocier les délais de paiement","acceptable"))</f>
        <v>bon client</v>
      </c>
    </row>
    <row r="2" customFormat="false" ht="13.8" hidden="false" customHeight="false" outlineLevel="0" collapsed="false">
      <c r="A2" s="157" t="str">
        <f aca="true">"Chiffre d'affaire : "&amp;INDIRECT("O"&amp;MATCH(A1,J1:J60,0),1)&amp;IF(INDIRECT("O"&amp;MATCH(A1,J1:J60,0),1)&gt;2,"ème",IF(INDIRECT("O"&amp;MATCH(A1,J1:J60,0),1)=2,"cd","er"))&amp;"/48 "&amp;INDIRECT("q"&amp;MATCH(A1,J1:J60,0),1)</f>
        <v>Chiffre d'affaire : 5ème/48 bon client</v>
      </c>
      <c r="B2" s="157"/>
      <c r="C2" s="157"/>
      <c r="D2" s="157"/>
      <c r="J2" s="153" t="s">
        <v>38</v>
      </c>
      <c r="K2" s="154" t="n">
        <f aca="false">SUMIFS(Factures!J$2:J$203,Factures!D$2:D$203,$J2)</f>
        <v>3150</v>
      </c>
      <c r="L2" s="154" t="n">
        <f aca="false">SUMIFS(Factures!J$2:J$203,Factures!D$2:D$203,$J2,Factures!L25:L226,"Réglé")</f>
        <v>3150</v>
      </c>
      <c r="M2" s="154" t="n">
        <f aca="false">L2-K2</f>
        <v>0</v>
      </c>
      <c r="N2" s="154"/>
      <c r="O2" s="155" t="n">
        <f aca="false">RANK(K2,K$1:K$60,0)</f>
        <v>17</v>
      </c>
      <c r="P2" s="156" t="n">
        <f aca="false">M2/K2</f>
        <v>0</v>
      </c>
      <c r="Q2" s="150" t="str">
        <f aca="false">IF(P2&gt;-0.2,"bon client",IF(P2&lt;-0.5,"renégocier les délais de paiement","acceptable"))</f>
        <v>bon client</v>
      </c>
    </row>
    <row r="3" customFormat="false" ht="15" hidden="false" customHeight="true" outlineLevel="0" collapsed="false">
      <c r="A3" s="79" t="s">
        <v>116</v>
      </c>
      <c r="B3" s="79"/>
      <c r="C3" s="80" t="s">
        <v>118</v>
      </c>
      <c r="D3" s="158" t="n">
        <f aca="false">SUMIFS(Factures!J$2:J$203,Factures!D$2:D$203,$A$1,Factures!L2:L203,"Réglé")</f>
        <v>8524.58</v>
      </c>
      <c r="E3" s="156" t="n">
        <f aca="false">D3/D$8</f>
        <v>0.775592868743205</v>
      </c>
      <c r="J3" s="153" t="s">
        <v>72</v>
      </c>
      <c r="K3" s="154" t="n">
        <f aca="false">SUMIFS(Factures!J$2:J$203,Factures!D$2:D$203,$J3)</f>
        <v>985.43</v>
      </c>
      <c r="L3" s="154" t="n">
        <f aca="false">SUMIFS(Factures!J$2:J$203,Factures!D$2:D$203,$J3,Factures!L37:L238,"Réglé")</f>
        <v>985.43</v>
      </c>
      <c r="M3" s="154" t="n">
        <f aca="false">L3-K3</f>
        <v>0</v>
      </c>
      <c r="N3" s="154"/>
      <c r="O3" s="155" t="n">
        <f aca="false">RANK(K3,K$1:K$60,0)</f>
        <v>24</v>
      </c>
      <c r="P3" s="156" t="n">
        <f aca="false">M3/K3</f>
        <v>0</v>
      </c>
      <c r="Q3" s="150" t="str">
        <f aca="false">IF(P3&gt;-0.2,"bon client",IF(P3&lt;-0.5,"renégocier les délais de paiement","acceptable"))</f>
        <v>bon client</v>
      </c>
    </row>
    <row r="4" customFormat="false" ht="13.8" hidden="false" customHeight="false" outlineLevel="0" collapsed="false">
      <c r="A4" s="79"/>
      <c r="B4" s="79"/>
      <c r="C4" s="88" t="s">
        <v>120</v>
      </c>
      <c r="D4" s="159" t="n">
        <f aca="false">SUMIFS(Factures!J$2:J$203,Factures!D$2:D$203,$A$1,Factures!L2:L203," A régler")</f>
        <v>0</v>
      </c>
      <c r="E4" s="156" t="n">
        <f aca="false">D4/D$8</f>
        <v>0</v>
      </c>
      <c r="J4" s="153" t="s">
        <v>54</v>
      </c>
      <c r="K4" s="154" t="n">
        <f aca="false">SUMIFS(Factures!J$2:J$203,Factures!D$2:D$203,$J4)</f>
        <v>908.26</v>
      </c>
      <c r="L4" s="154" t="n">
        <f aca="false">SUMIFS(Factures!J$2:J$203,Factures!D$2:D$203,$J4,Factures!L17:L218,"Réglé")</f>
        <v>908.26</v>
      </c>
      <c r="M4" s="154" t="n">
        <f aca="false">L4-K4</f>
        <v>0</v>
      </c>
      <c r="N4" s="154"/>
      <c r="O4" s="155" t="n">
        <f aca="false">RANK(K4,K$1:K$60,0)</f>
        <v>26</v>
      </c>
      <c r="P4" s="156" t="n">
        <f aca="false">M4/K4</f>
        <v>0</v>
      </c>
      <c r="Q4" s="150" t="str">
        <f aca="false">IF(P4&gt;-0.2,"bon client",IF(P4&lt;-0.5,"renégocier les délais de paiement","acceptable"))</f>
        <v>bon client</v>
      </c>
    </row>
    <row r="5" customFormat="false" ht="15" hidden="false" customHeight="false" outlineLevel="0" collapsed="false">
      <c r="A5" s="79"/>
      <c r="B5" s="79"/>
      <c r="C5" s="92" t="s">
        <v>122</v>
      </c>
      <c r="D5" s="160" t="n">
        <f aca="false">SUMIFS(Factures!J$2:J$203,Factures!D$2:D$203,$A$1,Factures!L2:L203,"Retard")</f>
        <v>0</v>
      </c>
      <c r="E5" s="156" t="n">
        <f aca="false">D5/D$8</f>
        <v>0</v>
      </c>
      <c r="J5" s="153" t="s">
        <v>58</v>
      </c>
      <c r="K5" s="154" t="n">
        <f aca="false">SUMIFS(Factures!J$2:J$203,Factures!D$2:D$203,$J5)</f>
        <v>711.36</v>
      </c>
      <c r="L5" s="154" t="n">
        <f aca="false">SUMIFS(Factures!J$2:J$203,Factures!D$2:D$203,$J5,Factures!L38:L239,"Réglé")</f>
        <v>711.36</v>
      </c>
      <c r="M5" s="154" t="n">
        <f aca="false">L5-K5</f>
        <v>0</v>
      </c>
      <c r="N5" s="154"/>
      <c r="O5" s="155" t="n">
        <f aca="false">RANK(K5,K$1:K$60,0)</f>
        <v>28</v>
      </c>
      <c r="P5" s="156" t="n">
        <f aca="false">M5/K5</f>
        <v>0</v>
      </c>
      <c r="Q5" s="150" t="str">
        <f aca="false">IF(P5&gt;-0.2,"bon client",IF(P5&lt;-0.5,"renégocier les délais de paiement","acceptable"))</f>
        <v>bon client</v>
      </c>
    </row>
    <row r="6" customFormat="false" ht="15" hidden="false" customHeight="false" outlineLevel="0" collapsed="false">
      <c r="A6" s="79"/>
      <c r="B6" s="79"/>
      <c r="C6" s="98" t="s">
        <v>124</v>
      </c>
      <c r="D6" s="161" t="n">
        <f aca="false">SUMIFS(Factures!J$2:J$203,Factures!D$2:D$203,$A$1,Factures!L2:L203,"en attente")</f>
        <v>2466.47</v>
      </c>
      <c r="E6" s="156" t="n">
        <f aca="false">D6/D$8</f>
        <v>0.224407131256795</v>
      </c>
      <c r="J6" s="153" t="s">
        <v>65</v>
      </c>
      <c r="K6" s="154" t="n">
        <f aca="false">SUMIFS(Factures!J$2:J$203,Factures!D$2:D$203,$J6)</f>
        <v>503.6</v>
      </c>
      <c r="L6" s="154" t="n">
        <f aca="false">SUMIFS(Factures!J$2:J$203,Factures!D$2:D$203,$J6,Factures!L8:L209,"Réglé")</f>
        <v>503.6</v>
      </c>
      <c r="M6" s="154" t="n">
        <f aca="false">L6-K6</f>
        <v>0</v>
      </c>
      <c r="N6" s="154"/>
      <c r="O6" s="155" t="n">
        <f aca="false">RANK(K6,K$1:K$60,0)</f>
        <v>31</v>
      </c>
      <c r="P6" s="156" t="n">
        <f aca="false">M6/K6</f>
        <v>0</v>
      </c>
      <c r="Q6" s="150" t="str">
        <f aca="false">IF(P6&gt;-0.2,"bon client",IF(P6&lt;-0.5,"renégocier les délais de paiement","acceptable"))</f>
        <v>bon client</v>
      </c>
    </row>
    <row r="7" customFormat="false" ht="13.8" hidden="false" customHeight="false" outlineLevel="0" collapsed="false">
      <c r="D7" s="154"/>
      <c r="J7" s="153" t="s">
        <v>48</v>
      </c>
      <c r="K7" s="154" t="n">
        <f aca="false">SUMIFS(Factures!J$2:J$203,Factures!D$2:D$203,$J7)</f>
        <v>461.54</v>
      </c>
      <c r="L7" s="154" t="n">
        <f aca="false">SUMIFS(Factures!J$2:J$203,Factures!D$2:D$203,$J7,Factures!L41:L242,"Réglé")</f>
        <v>461.54</v>
      </c>
      <c r="M7" s="154" t="n">
        <f aca="false">L7-K7</f>
        <v>0</v>
      </c>
      <c r="N7" s="154"/>
      <c r="O7" s="155" t="n">
        <f aca="false">RANK(K7,K$1:K$60,0)</f>
        <v>32</v>
      </c>
      <c r="P7" s="156" t="n">
        <f aca="false">M7/K7</f>
        <v>0</v>
      </c>
      <c r="Q7" s="150" t="str">
        <f aca="false">IF(P7&gt;-0.2,"bon client",IF(P7&lt;-0.5,"renégocier les délais de paiement","acceptable"))</f>
        <v>bon client</v>
      </c>
    </row>
    <row r="8" customFormat="false" ht="13.8" hidden="false" customHeight="false" outlineLevel="0" collapsed="false">
      <c r="C8" s="0" t="s">
        <v>395</v>
      </c>
      <c r="D8" s="154" t="n">
        <f aca="false">SUMIFS(Factures!J$2:J$203,Factures!D$2:D$203,$A$1)</f>
        <v>10991.05</v>
      </c>
      <c r="J8" s="153" t="s">
        <v>61</v>
      </c>
      <c r="K8" s="154" t="n">
        <f aca="false">SUMIFS(Factures!J$2:J$203,Factures!D$2:D$203,$J8)</f>
        <v>391.66</v>
      </c>
      <c r="L8" s="154" t="n">
        <f aca="false">SUMIFS(Factures!J$2:J$203,Factures!D$2:D$203,$J8,Factures!L39:L240,"Réglé")</f>
        <v>391.66</v>
      </c>
      <c r="M8" s="154" t="n">
        <f aca="false">L8-K8</f>
        <v>0</v>
      </c>
      <c r="N8" s="154"/>
      <c r="O8" s="155" t="n">
        <f aca="false">RANK(K8,K$1:K$60,0)</f>
        <v>35</v>
      </c>
      <c r="P8" s="156" t="n">
        <f aca="false">M8/K8</f>
        <v>0</v>
      </c>
      <c r="Q8" s="150" t="str">
        <f aca="false">IF(P8&gt;-0.2,"bon client",IF(P8&lt;-0.5,"renégocier les délais de paiement","acceptable"))</f>
        <v>bon client</v>
      </c>
    </row>
    <row r="9" customFormat="false" ht="13.8" hidden="false" customHeight="false" outlineLevel="0" collapsed="false">
      <c r="J9" s="153" t="s">
        <v>56</v>
      </c>
      <c r="K9" s="154" t="n">
        <f aca="false">SUMIFS(Factures!J$2:J$203,Factures!D$2:D$203,$J9)</f>
        <v>344.3</v>
      </c>
      <c r="L9" s="154" t="n">
        <f aca="false">SUMIFS(Factures!J$2:J$203,Factures!D$2:D$203,$J9,Factures!L16:L217,"Réglé")</f>
        <v>344.3</v>
      </c>
      <c r="M9" s="154" t="n">
        <f aca="false">L9-K9</f>
        <v>0</v>
      </c>
      <c r="N9" s="154"/>
      <c r="O9" s="155" t="n">
        <f aca="false">RANK(K9,K$1:K$60,0)</f>
        <v>38</v>
      </c>
      <c r="P9" s="156" t="n">
        <f aca="false">M9/K9</f>
        <v>0</v>
      </c>
      <c r="Q9" s="150" t="str">
        <f aca="false">IF(P9&gt;-0.2,"bon client",IF(P9&lt;-0.5,"renégocier les délais de paiement","acceptable"))</f>
        <v>bon client</v>
      </c>
    </row>
    <row r="10" customFormat="false" ht="13.8" hidden="false" customHeight="false" outlineLevel="0" collapsed="false">
      <c r="J10" s="153" t="s">
        <v>49</v>
      </c>
      <c r="K10" s="154" t="n">
        <f aca="false">SUMIFS(Factures!J$2:J$203,Factures!D$2:D$203,$J10)</f>
        <v>310.94</v>
      </c>
      <c r="L10" s="154" t="n">
        <f aca="false">SUMIFS(Factures!J$2:J$203,Factures!D$2:D$203,$J10,Factures!L4:L205,"Réglé")</f>
        <v>310.94</v>
      </c>
      <c r="M10" s="154" t="n">
        <f aca="false">L10-K10</f>
        <v>0</v>
      </c>
      <c r="N10" s="154"/>
      <c r="O10" s="155" t="n">
        <f aca="false">RANK(K10,K$1:K$60,0)</f>
        <v>40</v>
      </c>
      <c r="P10" s="156" t="n">
        <f aca="false">M10/K10</f>
        <v>0</v>
      </c>
      <c r="Q10" s="150" t="str">
        <f aca="false">IF(P10&gt;-0.2,"bon client",IF(P10&lt;-0.5,"renégocier les délais de paiement","acceptable"))</f>
        <v>bon client</v>
      </c>
    </row>
    <row r="11" customFormat="false" ht="13.8" hidden="false" customHeight="false" outlineLevel="0" collapsed="false">
      <c r="J11" s="153" t="s">
        <v>82</v>
      </c>
      <c r="K11" s="154" t="n">
        <f aca="false">SUMIFS(Factures!J$2:J$203,Factures!D$2:D$203,$J11)</f>
        <v>306</v>
      </c>
      <c r="L11" s="154" t="n">
        <f aca="false">SUMIFS(Factures!J$2:J$203,Factures!D$2:D$203,$J11,Factures!L23:L224,"Réglé")</f>
        <v>306</v>
      </c>
      <c r="M11" s="154" t="n">
        <f aca="false">L11-K11</f>
        <v>0</v>
      </c>
      <c r="N11" s="154"/>
      <c r="O11" s="155" t="n">
        <f aca="false">RANK(K11,K$1:K$60,0)</f>
        <v>41</v>
      </c>
      <c r="P11" s="156" t="n">
        <f aca="false">M11/K11</f>
        <v>0</v>
      </c>
      <c r="Q11" s="150" t="str">
        <f aca="false">IF(P11&gt;-0.2,"bon client",IF(P11&lt;-0.5,"renégocier les délais de paiement","acceptable"))</f>
        <v>bon client</v>
      </c>
    </row>
    <row r="12" customFormat="false" ht="13.8" hidden="false" customHeight="false" outlineLevel="0" collapsed="false">
      <c r="J12" s="153" t="s">
        <v>34</v>
      </c>
      <c r="K12" s="154" t="n">
        <f aca="false">SUMIFS(Factures!J$2:J$203,Factures!D$2:D$203,$J12)</f>
        <v>102.02</v>
      </c>
      <c r="L12" s="154" t="n">
        <f aca="false">SUMIFS(Factures!J$2:J$203,Factures!D$2:D$203,$J12,Factures!L33:L234,"Réglé")</f>
        <v>102.02</v>
      </c>
      <c r="M12" s="154" t="n">
        <f aca="false">L12-K12</f>
        <v>0</v>
      </c>
      <c r="N12" s="154"/>
      <c r="O12" s="155" t="n">
        <f aca="false">RANK(K12,K$1:K$60,0)</f>
        <v>47</v>
      </c>
      <c r="P12" s="156" t="n">
        <f aca="false">M12/K12</f>
        <v>0</v>
      </c>
      <c r="Q12" s="150" t="str">
        <f aca="false">IF(P12&gt;-0.2,"bon client",IF(P12&lt;-0.5,"renégocier les délais de paiement","acceptable"))</f>
        <v>bon client</v>
      </c>
    </row>
    <row r="13" customFormat="false" ht="13.8" hidden="false" customHeight="false" outlineLevel="0" collapsed="false">
      <c r="J13" s="153" t="s">
        <v>45</v>
      </c>
      <c r="K13" s="154" t="n">
        <f aca="false">SUMIFS(Factures!J$2:J$203,Factures!D$2:D$203,$J13)</f>
        <v>9176.76</v>
      </c>
      <c r="L13" s="154" t="n">
        <f aca="false">SUMIFS(Factures!J$2:J$203,Factures!D$2:D$203,$J13,Factures!L21:L222,"Réglé")</f>
        <v>7770.75</v>
      </c>
      <c r="M13" s="154" t="n">
        <f aca="false">L13-K13</f>
        <v>-1406.01</v>
      </c>
      <c r="N13" s="154"/>
      <c r="O13" s="155" t="n">
        <f aca="false">RANK(K13,K$1:K$60,0)</f>
        <v>8</v>
      </c>
      <c r="P13" s="156" t="n">
        <f aca="false">M13/K13</f>
        <v>-0.153214206321185</v>
      </c>
      <c r="Q13" s="150" t="str">
        <f aca="false">IF(P13&gt;-0.2,"bon client",IF(P13&lt;-0.5,"renégocier les délais de paiement","acceptable"))</f>
        <v>bon client</v>
      </c>
    </row>
    <row r="14" customFormat="false" ht="13.8" hidden="false" customHeight="false" outlineLevel="0" collapsed="false">
      <c r="J14" s="153" t="s">
        <v>25</v>
      </c>
      <c r="K14" s="154" t="n">
        <f aca="false">SUMIFS(Factures!J$2:J$203,Factures!D$2:D$203,$J14)</f>
        <v>12437.99</v>
      </c>
      <c r="L14" s="154" t="n">
        <f aca="false">SUMIFS(Factures!J$2:J$203,Factures!D$2:D$203,$J14,Factures!L40:L241,"Réglé")</f>
        <v>10002.98</v>
      </c>
      <c r="M14" s="154" t="n">
        <f aca="false">L14-K14</f>
        <v>-2435.01</v>
      </c>
      <c r="N14" s="154"/>
      <c r="O14" s="155" t="n">
        <f aca="false">RANK(K14,K$1:K$60,0)</f>
        <v>4</v>
      </c>
      <c r="P14" s="156" t="n">
        <f aca="false">M14/K14</f>
        <v>-0.195771985666495</v>
      </c>
      <c r="Q14" s="150" t="str">
        <f aca="false">IF(P14&gt;-0.2,"bon client",IF(P14&lt;-0.5,"renégocier les délais de paiement","acceptable"))</f>
        <v>bon client</v>
      </c>
    </row>
    <row r="15" customFormat="false" ht="13.8" hidden="false" customHeight="false" outlineLevel="0" collapsed="false">
      <c r="J15" s="153" t="s">
        <v>41</v>
      </c>
      <c r="K15" s="154" t="n">
        <f aca="false">SUMIFS(Factures!J$2:J$203,Factures!D$2:D$203,$J15)</f>
        <v>5000</v>
      </c>
      <c r="L15" s="154" t="n">
        <f aca="false">SUMIFS(Factures!J$2:J$203,Factures!D$2:D$203,$J15,Factures!L49:L250,"Réglé")</f>
        <v>4000</v>
      </c>
      <c r="M15" s="154" t="n">
        <f aca="false">L15-K15</f>
        <v>-1000</v>
      </c>
      <c r="N15" s="154"/>
      <c r="O15" s="155" t="n">
        <f aca="false">RANK(K15,K$1:K$60,0)</f>
        <v>11</v>
      </c>
      <c r="P15" s="156" t="n">
        <f aca="false">M15/K15</f>
        <v>-0.2</v>
      </c>
      <c r="Q15" s="150" t="str">
        <f aca="false">IF(P15&gt;-0.2,"bon client",IF(P15&lt;-0.5,"renégocier les délais de paiement","acceptable"))</f>
        <v>acceptable</v>
      </c>
    </row>
    <row r="16" customFormat="false" ht="13.8" hidden="false" customHeight="false" outlineLevel="0" collapsed="false">
      <c r="J16" s="153" t="s">
        <v>43</v>
      </c>
      <c r="K16" s="154" t="n">
        <f aca="false">SUMIFS(Factures!J$2:J$203,Factures!D$2:D$203,$J16)</f>
        <v>16057.51</v>
      </c>
      <c r="L16" s="154" t="n">
        <f aca="false">SUMIFS(Factures!J$2:J$203,Factures!D$2:D$203,$J16,Factures!L20:L221,"Réglé")</f>
        <v>12714.16</v>
      </c>
      <c r="M16" s="154" t="n">
        <f aca="false">L16-K16</f>
        <v>-3343.35</v>
      </c>
      <c r="N16" s="154"/>
      <c r="O16" s="155" t="n">
        <f aca="false">RANK(K16,K$1:K$60,0)</f>
        <v>2</v>
      </c>
      <c r="P16" s="156" t="n">
        <f aca="false">M16/K16</f>
        <v>-0.208210986634914</v>
      </c>
      <c r="Q16" s="150" t="str">
        <f aca="false">IF(P16&gt;-0.2,"bon client",IF(P16&lt;-0.5,"renégocier les délais de paiement","acceptable"))</f>
        <v>acceptable</v>
      </c>
    </row>
    <row r="17" customFormat="false" ht="13.8" hidden="false" customHeight="false" outlineLevel="0" collapsed="false">
      <c r="J17" s="153" t="s">
        <v>52</v>
      </c>
      <c r="K17" s="154" t="n">
        <f aca="false">SUMIFS(Factures!J$2:J$203,Factures!D$2:D$203,$J17)</f>
        <v>297.01</v>
      </c>
      <c r="L17" s="154" t="n">
        <f aca="false">SUMIFS(Factures!J$2:J$203,Factures!D$2:D$203,$J17,Factures!L44:L245,"Réglé")</f>
        <v>230.77</v>
      </c>
      <c r="M17" s="154" t="n">
        <f aca="false">L17-K17</f>
        <v>-66.24</v>
      </c>
      <c r="N17" s="154"/>
      <c r="O17" s="155" t="n">
        <f aca="false">RANK(K17,K$1:K$60,0)</f>
        <v>42</v>
      </c>
      <c r="P17" s="156" t="n">
        <f aca="false">M17/K17</f>
        <v>-0.223022793845325</v>
      </c>
      <c r="Q17" s="150" t="str">
        <f aca="false">IF(P17&gt;-0.2,"bon client",IF(P17&lt;-0.5,"renégocier les délais de paiement","acceptable"))</f>
        <v>acceptable</v>
      </c>
    </row>
    <row r="18" customFormat="false" ht="13.8" hidden="false" customHeight="false" outlineLevel="0" collapsed="false">
      <c r="J18" s="153" t="s">
        <v>47</v>
      </c>
      <c r="K18" s="154" t="n">
        <f aca="false">SUMIFS(Factures!J$2:J$203,Factures!D$2:D$203,$J18)</f>
        <v>8878.61</v>
      </c>
      <c r="L18" s="154" t="n">
        <f aca="false">SUMIFS(Factures!J$2:J$203,Factures!D$2:D$203,$J18,Factures!L19:L220,"Réglé")</f>
        <v>6811.81</v>
      </c>
      <c r="M18" s="154" t="n">
        <f aca="false">L18-K18</f>
        <v>-2066.8</v>
      </c>
      <c r="N18" s="154"/>
      <c r="O18" s="155" t="n">
        <f aca="false">RANK(K18,K$1:K$60,0)</f>
        <v>9</v>
      </c>
      <c r="P18" s="156" t="n">
        <f aca="false">M18/K18</f>
        <v>-0.232784185812869</v>
      </c>
      <c r="Q18" s="150" t="str">
        <f aca="false">IF(P18&gt;-0.2,"bon client",IF(P18&lt;-0.5,"renégocier les délais de paiement","acceptable"))</f>
        <v>acceptable</v>
      </c>
    </row>
    <row r="19" customFormat="false" ht="13.8" hidden="false" customHeight="false" outlineLevel="0" collapsed="false">
      <c r="J19" s="153" t="s">
        <v>22</v>
      </c>
      <c r="K19" s="154" t="n">
        <f aca="false">SUMIFS(Factures!J$2:J$203,Factures!D$2:D$203,$J19)</f>
        <v>6004.14</v>
      </c>
      <c r="L19" s="154" t="n">
        <f aca="false">SUMIFS(Factures!J$2:J$203,Factures!D$2:D$203,$J19,Factures!L45:L246,"Réglé")</f>
        <v>4163.31</v>
      </c>
      <c r="M19" s="154" t="n">
        <f aca="false">L19-K19</f>
        <v>-1840.83</v>
      </c>
      <c r="N19" s="154"/>
      <c r="O19" s="155" t="n">
        <f aca="false">RANK(K19,K$1:K$60,0)</f>
        <v>10</v>
      </c>
      <c r="P19" s="156" t="n">
        <f aca="false">M19/K19</f>
        <v>-0.306593450519142</v>
      </c>
      <c r="Q19" s="150" t="str">
        <f aca="false">IF(P19&gt;-0.2,"bon client",IF(P19&lt;-0.5,"renégocier les délais de paiement","acceptable"))</f>
        <v>acceptable</v>
      </c>
    </row>
    <row r="20" customFormat="false" ht="13.8" hidden="false" customHeight="false" outlineLevel="0" collapsed="false">
      <c r="J20" s="153" t="s">
        <v>55</v>
      </c>
      <c r="K20" s="154" t="n">
        <f aca="false">SUMIFS(Factures!J$2:J$203,Factures!D$2:D$203,$J20)</f>
        <v>1720.58</v>
      </c>
      <c r="L20" s="154" t="n">
        <f aca="false">SUMIFS(Factures!J$2:J$203,Factures!D$2:D$203,$J20,Factures!L48:L249,"Réglé")</f>
        <v>1114.17</v>
      </c>
      <c r="M20" s="154" t="n">
        <f aca="false">L20-K20</f>
        <v>-606.41</v>
      </c>
      <c r="N20" s="154"/>
      <c r="O20" s="155" t="n">
        <f aca="false">RANK(K20,K$1:K$60,0)</f>
        <v>20</v>
      </c>
      <c r="P20" s="156" t="n">
        <f aca="false">M20/K20</f>
        <v>-0.352445105720164</v>
      </c>
      <c r="Q20" s="150" t="str">
        <f aca="false">IF(P20&gt;-0.2,"bon client",IF(P20&lt;-0.5,"renégocier les délais de paiement","acceptable"))</f>
        <v>acceptable</v>
      </c>
    </row>
    <row r="21" customFormat="false" ht="13.8" hidden="false" customHeight="false" outlineLevel="0" collapsed="false">
      <c r="J21" s="153" t="s">
        <v>32</v>
      </c>
      <c r="K21" s="154" t="n">
        <f aca="false">SUMIFS(Factures!J$2:J$203,Factures!D$2:D$203,$J21)</f>
        <v>458.35</v>
      </c>
      <c r="L21" s="154" t="n">
        <f aca="false">SUMIFS(Factures!J$2:J$203,Factures!D$2:D$203,$J21,Factures!L28:L229,"Réglé")</f>
        <v>275.78</v>
      </c>
      <c r="M21" s="154" t="n">
        <f aca="false">L21-K21</f>
        <v>-182.57</v>
      </c>
      <c r="N21" s="154"/>
      <c r="O21" s="155" t="n">
        <f aca="false">RANK(K21,K$1:K$60,0)</f>
        <v>33</v>
      </c>
      <c r="P21" s="156" t="n">
        <f aca="false">M21/K21</f>
        <v>-0.398320061088688</v>
      </c>
      <c r="Q21" s="150" t="str">
        <f aca="false">IF(P21&gt;-0.2,"bon client",IF(P21&lt;-0.5,"renégocier les délais de paiement","acceptable"))</f>
        <v>acceptable</v>
      </c>
    </row>
    <row r="22" customFormat="false" ht="13.8" hidden="false" customHeight="false" outlineLevel="0" collapsed="false">
      <c r="J22" s="153" t="s">
        <v>46</v>
      </c>
      <c r="K22" s="154" t="n">
        <f aca="false">SUMIFS(Factures!J$2:J$203,Factures!D$2:D$203,$J22)</f>
        <v>13679.13</v>
      </c>
      <c r="L22" s="154" t="n">
        <f aca="false">SUMIFS(Factures!J$2:J$203,Factures!D$2:D$203,$J22,Factures!L18:L219,"Réglé")</f>
        <v>7900.11</v>
      </c>
      <c r="M22" s="154" t="n">
        <f aca="false">L22-K22</f>
        <v>-5779.02</v>
      </c>
      <c r="N22" s="154"/>
      <c r="O22" s="155" t="n">
        <f aca="false">RANK(K22,K$1:K$60,0)</f>
        <v>3</v>
      </c>
      <c r="P22" s="156" t="n">
        <f aca="false">M22/K22</f>
        <v>-0.422469850056253</v>
      </c>
      <c r="Q22" s="150" t="str">
        <f aca="false">IF(P22&gt;-0.2,"bon client",IF(P22&lt;-0.5,"renégocier les délais de paiement","acceptable"))</f>
        <v>acceptable</v>
      </c>
    </row>
    <row r="23" customFormat="false" ht="13.8" hidden="false" customHeight="false" outlineLevel="0" collapsed="false">
      <c r="J23" s="153" t="s">
        <v>23</v>
      </c>
      <c r="K23" s="154" t="n">
        <f aca="false">SUMIFS(Factures!J$2:J$203,Factures!D$2:D$203,$J23)</f>
        <v>1017.84</v>
      </c>
      <c r="L23" s="154" t="n">
        <f aca="false">SUMIFS(Factures!J$2:J$203,Factures!D$2:D$203,$J23,Factures!L42:L243,"Réglé")</f>
        <v>539.4</v>
      </c>
      <c r="M23" s="154" t="n">
        <f aca="false">L23-K23</f>
        <v>-478.44</v>
      </c>
      <c r="N23" s="154"/>
      <c r="O23" s="155" t="n">
        <f aca="false">RANK(K23,K$1:K$60,0)</f>
        <v>23</v>
      </c>
      <c r="P23" s="156" t="n">
        <f aca="false">M23/K23</f>
        <v>-0.470054232492337</v>
      </c>
      <c r="Q23" s="150" t="str">
        <f aca="false">IF(P23&gt;-0.2,"bon client",IF(P23&lt;-0.5,"renégocier les délais de paiement","acceptable"))</f>
        <v>acceptable</v>
      </c>
    </row>
    <row r="24" customFormat="false" ht="13.8" hidden="false" customHeight="false" outlineLevel="0" collapsed="false">
      <c r="J24" s="153" t="s">
        <v>70</v>
      </c>
      <c r="K24" s="154" t="n">
        <f aca="false">SUMIFS(Factures!J$2:J$203,Factures!D$2:D$203,$J24)</f>
        <v>2109</v>
      </c>
      <c r="L24" s="154" t="n">
        <f aca="false">SUMIFS(Factures!J$2:J$203,Factures!D$2:D$203,$J24,Factures!L31:L232,"Réglé")</f>
        <v>1117</v>
      </c>
      <c r="M24" s="154" t="n">
        <f aca="false">L24-K24</f>
        <v>-992</v>
      </c>
      <c r="N24" s="154"/>
      <c r="O24" s="155" t="n">
        <f aca="false">RANK(K24,K$1:K$60,0)</f>
        <v>19</v>
      </c>
      <c r="P24" s="156" t="n">
        <f aca="false">M24/K24</f>
        <v>-0.470365101944049</v>
      </c>
      <c r="Q24" s="150" t="str">
        <f aca="false">IF(P24&gt;-0.2,"bon client",IF(P24&lt;-0.5,"renégocier les délais de paiement","acceptable"))</f>
        <v>acceptable</v>
      </c>
    </row>
    <row r="25" customFormat="false" ht="13.8" hidden="false" customHeight="false" outlineLevel="0" collapsed="false">
      <c r="J25" s="153" t="s">
        <v>29</v>
      </c>
      <c r="K25" s="154" t="n">
        <f aca="false">SUMIFS(Factures!J$2:J$203,Factures!D$2:D$203,$J25)</f>
        <v>188.58</v>
      </c>
      <c r="L25" s="154" t="n">
        <f aca="false">SUMIFS(Factures!J$2:J$203,Factures!D$2:D$203,$J25,Factures!L6:L207,"Réglé")</f>
        <v>99.09</v>
      </c>
      <c r="M25" s="154" t="n">
        <f aca="false">L25-K25</f>
        <v>-89.49</v>
      </c>
      <c r="N25" s="154"/>
      <c r="O25" s="155" t="n">
        <f aca="false">RANK(K25,K$1:K$60,0)</f>
        <v>44</v>
      </c>
      <c r="P25" s="156" t="n">
        <f aca="false">M25/K25</f>
        <v>-0.474546611517658</v>
      </c>
      <c r="Q25" s="150" t="str">
        <f aca="false">IF(P25&gt;-0.2,"bon client",IF(P25&lt;-0.5,"renégocier les délais de paiement","acceptable"))</f>
        <v>acceptable</v>
      </c>
    </row>
    <row r="26" customFormat="false" ht="13.8" hidden="false" customHeight="false" outlineLevel="0" collapsed="false">
      <c r="J26" s="153" t="s">
        <v>17</v>
      </c>
      <c r="K26" s="154" t="n">
        <f aca="false">SUMIFS(Factures!J$2:J$203,Factures!D$2:D$203,$J26)</f>
        <v>31882.07</v>
      </c>
      <c r="L26" s="154" t="n">
        <f aca="false">SUMIFS(Factures!J$2:J$203,Factures!D$2:D$203,$J26,Factures!L43:L244,"Réglé")</f>
        <v>13522.17</v>
      </c>
      <c r="M26" s="154" t="n">
        <f aca="false">L26-K26</f>
        <v>-18359.9</v>
      </c>
      <c r="N26" s="154"/>
      <c r="O26" s="155" t="n">
        <f aca="false">RANK(K26,K$1:K$60,0)</f>
        <v>1</v>
      </c>
      <c r="P26" s="156" t="n">
        <f aca="false">M26/K26</f>
        <v>-0.575869132713152</v>
      </c>
      <c r="Q26" s="150" t="str">
        <f aca="false">IF(P26&gt;-0.2,"bon client",IF(P26&lt;-0.5,"renégocier les délais de paiement","acceptable"))</f>
        <v>renégocier les délais de paiement</v>
      </c>
    </row>
    <row r="27" customFormat="false" ht="13.8" hidden="false" customHeight="false" outlineLevel="0" collapsed="false">
      <c r="J27" s="153" t="s">
        <v>21</v>
      </c>
      <c r="K27" s="154" t="n">
        <f aca="false">SUMIFS(Factures!J$2:J$203,Factures!D$2:D$203,$J27)</f>
        <v>10446.81</v>
      </c>
      <c r="L27" s="154" t="n">
        <f aca="false">SUMIFS(Factures!J$2:J$203,Factures!D$2:D$203,$J27,Factures!L32:L233,"Réglé")</f>
        <v>4286.66</v>
      </c>
      <c r="M27" s="154" t="n">
        <f aca="false">L27-K27</f>
        <v>-6160.15</v>
      </c>
      <c r="N27" s="154"/>
      <c r="O27" s="155" t="n">
        <f aca="false">RANK(K27,K$1:K$60,0)</f>
        <v>7</v>
      </c>
      <c r="P27" s="156" t="n">
        <f aca="false">M27/K27</f>
        <v>-0.589668042206185</v>
      </c>
      <c r="Q27" s="150" t="str">
        <f aca="false">IF(P27&gt;-0.2,"bon client",IF(P27&lt;-0.5,"renégocier les délais de paiement","acceptable"))</f>
        <v>renégocier les délais de paiement</v>
      </c>
    </row>
    <row r="28" customFormat="false" ht="13.8" hidden="false" customHeight="false" outlineLevel="0" collapsed="false">
      <c r="J28" s="153" t="s">
        <v>69</v>
      </c>
      <c r="K28" s="154" t="n">
        <f aca="false">SUMIFS(Factures!J$2:J$203,Factures!D$2:D$203,$J28)</f>
        <v>780.54</v>
      </c>
      <c r="L28" s="154" t="n">
        <f aca="false">SUMIFS(Factures!J$2:J$203,Factures!D$2:D$203,$J28,Factures!L24:L225,"Réglé")</f>
        <v>285.78</v>
      </c>
      <c r="M28" s="154" t="n">
        <f aca="false">L28-K28</f>
        <v>-494.76</v>
      </c>
      <c r="N28" s="154"/>
      <c r="O28" s="155" t="n">
        <f aca="false">RANK(K28,K$1:K$60,0)</f>
        <v>27</v>
      </c>
      <c r="P28" s="156" t="n">
        <f aca="false">M28/K28</f>
        <v>-0.633868860019986</v>
      </c>
      <c r="Q28" s="150" t="str">
        <f aca="false">IF(P28&gt;-0.2,"bon client",IF(P28&lt;-0.5,"renégocier les délais de paiement","acceptable"))</f>
        <v>renégocier les délais de paiement</v>
      </c>
    </row>
    <row r="29" customFormat="false" ht="13.8" hidden="false" customHeight="false" outlineLevel="0" collapsed="false">
      <c r="J29" s="153" t="s">
        <v>31</v>
      </c>
      <c r="K29" s="154" t="n">
        <f aca="false">SUMIFS(Factures!J$2:J$203,Factures!D$2:D$203,$J29)</f>
        <v>4365.13</v>
      </c>
      <c r="L29" s="154" t="n">
        <f aca="false">SUMIFS(Factures!J$2:J$203,Factures!D$2:D$203,$J29,Factures!L14:L215,"Réglé")</f>
        <v>1592.95</v>
      </c>
      <c r="M29" s="154" t="n">
        <f aca="false">L29-K29</f>
        <v>-2772.18</v>
      </c>
      <c r="N29" s="154"/>
      <c r="O29" s="155" t="n">
        <f aca="false">RANK(K29,K$1:K$60,0)</f>
        <v>13</v>
      </c>
      <c r="P29" s="156" t="n">
        <f aca="false">M29/K29</f>
        <v>-0.63507386950675</v>
      </c>
      <c r="Q29" s="150" t="str">
        <f aca="false">IF(P29&gt;-0.2,"bon client",IF(P29&lt;-0.5,"renégocier les délais de paiement","acceptable"))</f>
        <v>renégocier les délais de paiement</v>
      </c>
    </row>
    <row r="30" customFormat="false" ht="13.8" hidden="false" customHeight="false" outlineLevel="0" collapsed="false">
      <c r="J30" s="153" t="s">
        <v>20</v>
      </c>
      <c r="K30" s="154" t="n">
        <f aca="false">SUMIFS(Factures!J$2:J$203,Factures!D$2:D$203,$J30)</f>
        <v>3634.26</v>
      </c>
      <c r="L30" s="154" t="n">
        <f aca="false">SUMIFS(Factures!J$2:J$203,Factures!D$2:D$203,$J30,Factures!L13:L214,"Réglé")</f>
        <v>1177.97</v>
      </c>
      <c r="M30" s="154" t="n">
        <f aca="false">L30-K30</f>
        <v>-2456.29</v>
      </c>
      <c r="N30" s="154"/>
      <c r="O30" s="155" t="n">
        <f aca="false">RANK(K30,K$1:K$60,0)</f>
        <v>14</v>
      </c>
      <c r="P30" s="156" t="n">
        <f aca="false">M30/K30</f>
        <v>-0.675870741223798</v>
      </c>
      <c r="Q30" s="150" t="str">
        <f aca="false">IF(P30&gt;-0.2,"bon client",IF(P30&lt;-0.5,"renégocier les délais de paiement","acceptable"))</f>
        <v>renégocier les délais de paiement</v>
      </c>
    </row>
    <row r="31" customFormat="false" ht="13.8" hidden="false" customHeight="false" outlineLevel="0" collapsed="false">
      <c r="J31" s="153" t="s">
        <v>24</v>
      </c>
      <c r="K31" s="154" t="n">
        <f aca="false">SUMIFS(Factures!J$2:J$203,Factures!D$2:D$203,$J31)</f>
        <v>1173.92</v>
      </c>
      <c r="L31" s="154" t="n">
        <f aca="false">SUMIFS(Factures!J$2:J$203,Factures!D$2:D$203,$J31,Factures!L46:L247,"Réglé")</f>
        <v>198.72</v>
      </c>
      <c r="M31" s="154" t="n">
        <f aca="false">L31-K31</f>
        <v>-975.2</v>
      </c>
      <c r="N31" s="154"/>
      <c r="O31" s="155" t="n">
        <f aca="false">RANK(K31,K$1:K$60,0)</f>
        <v>22</v>
      </c>
      <c r="P31" s="156" t="n">
        <f aca="false">M31/K31</f>
        <v>-0.830721003134796</v>
      </c>
      <c r="Q31" s="150" t="str">
        <f aca="false">IF(P31&gt;-0.2,"bon client",IF(P31&lt;-0.5,"renégocier les délais de paiement","acceptable"))</f>
        <v>renégocier les délais de paiement</v>
      </c>
    </row>
    <row r="32" customFormat="false" ht="13.8" hidden="false" customHeight="false" outlineLevel="0" collapsed="false">
      <c r="J32" s="153" t="s">
        <v>26</v>
      </c>
      <c r="K32" s="154" t="n">
        <f aca="false">SUMIFS(Factures!J$2:J$203,Factures!D$2:D$203,$J32)</f>
        <v>3385.67</v>
      </c>
      <c r="L32" s="154" t="n">
        <f aca="false">SUMIFS(Factures!J$2:J$203,Factures!D$2:D$203,$J32,Factures!L47:L248,"Réglé")</f>
        <v>345.6</v>
      </c>
      <c r="M32" s="154" t="n">
        <f aca="false">L32-K32</f>
        <v>-3040.07</v>
      </c>
      <c r="N32" s="154"/>
      <c r="O32" s="155" t="n">
        <f aca="false">RANK(K32,K$1:K$60,0)</f>
        <v>15</v>
      </c>
      <c r="P32" s="156" t="n">
        <f aca="false">M32/K32</f>
        <v>-0.897922715444801</v>
      </c>
      <c r="Q32" s="150" t="str">
        <f aca="false">IF(P32&gt;-0.2,"bon client",IF(P32&lt;-0.5,"renégocier les délais de paiement","acceptable"))</f>
        <v>renégocier les délais de paiement</v>
      </c>
    </row>
    <row r="33" customFormat="false" ht="13.8" hidden="false" customHeight="false" outlineLevel="0" collapsed="false">
      <c r="J33" s="153" t="s">
        <v>93</v>
      </c>
      <c r="K33" s="154" t="n">
        <f aca="false">SUMIFS(Factures!J$2:J$203,Factures!D$2:D$203,$J1)</f>
        <v>10991.05</v>
      </c>
      <c r="L33" s="154" t="n">
        <f aca="false">SUMIFS(Factures!J$2:J$203,Factures!D$2:D$203,$J33,Factures!L2:L203,"Réglé")</f>
        <v>0</v>
      </c>
      <c r="M33" s="154" t="n">
        <f aca="false">L33-K33</f>
        <v>-10991.05</v>
      </c>
      <c r="N33" s="154"/>
      <c r="O33" s="155" t="n">
        <f aca="false">RANK(K1,K$1:K$60,0)</f>
        <v>5</v>
      </c>
      <c r="P33" s="156" t="n">
        <f aca="false">M33/K33</f>
        <v>-1</v>
      </c>
      <c r="Q33" s="150" t="str">
        <f aca="false">IF(P33&gt;-0.2,"bon client",IF(P33&lt;-0.5,"renégocier les délais de paiement","acceptable"))</f>
        <v>renégocier les délais de paiement</v>
      </c>
    </row>
    <row r="34" customFormat="false" ht="13.8" hidden="false" customHeight="false" outlineLevel="0" collapsed="false">
      <c r="J34" s="153" t="s">
        <v>103</v>
      </c>
      <c r="K34" s="154" t="n">
        <f aca="false">SUMIFS(Factures!J$2:J$203,Factures!D$2:D$203,$J34)</f>
        <v>4802.8</v>
      </c>
      <c r="L34" s="154" t="n">
        <f aca="false">SUMIFS(Factures!J$2:J$203,Factures!D$2:D$203,$J34,Factures!L29:L230,"Réglé")</f>
        <v>0</v>
      </c>
      <c r="M34" s="154" t="n">
        <f aca="false">L34-K34</f>
        <v>-4802.8</v>
      </c>
      <c r="N34" s="154"/>
      <c r="O34" s="155" t="n">
        <f aca="false">RANK(K34,K$1:K$60,0)</f>
        <v>12</v>
      </c>
      <c r="P34" s="156" t="n">
        <f aca="false">M34/K34</f>
        <v>-1</v>
      </c>
      <c r="Q34" s="150" t="str">
        <f aca="false">IF(P34&gt;-0.2,"bon client",IF(P34&lt;-0.5,"renégocier les délais de paiement","acceptable"))</f>
        <v>renégocier les délais de paiement</v>
      </c>
    </row>
    <row r="35" customFormat="false" ht="13.8" hidden="false" customHeight="false" outlineLevel="0" collapsed="false">
      <c r="J35" s="153" t="s">
        <v>110</v>
      </c>
      <c r="K35" s="154" t="n">
        <f aca="false">SUMIFS(Factures!J$2:J$203,Factures!D$2:D$203,$J35)</f>
        <v>3354.6</v>
      </c>
      <c r="L35" s="154" t="n">
        <f aca="false">SUMIFS(Factures!J$2:J$203,Factures!D$2:D$203,$J35,Factures!L7:L208,"Réglé")</f>
        <v>0</v>
      </c>
      <c r="M35" s="154" t="n">
        <f aca="false">L35-K35</f>
        <v>-3354.6</v>
      </c>
      <c r="N35" s="154"/>
      <c r="O35" s="155" t="n">
        <f aca="false">RANK(K35,K$1:K$60,0)</f>
        <v>16</v>
      </c>
      <c r="P35" s="156" t="n">
        <f aca="false">M35/K35</f>
        <v>-1</v>
      </c>
      <c r="Q35" s="150" t="str">
        <f aca="false">IF(P35&gt;-0.2,"bon client",IF(P35&lt;-0.5,"renégocier les délais de paiement","acceptable"))</f>
        <v>renégocier les délais de paiement</v>
      </c>
    </row>
    <row r="36" customFormat="false" ht="13.8" hidden="false" customHeight="false" outlineLevel="0" collapsed="false">
      <c r="J36" s="153" t="s">
        <v>87</v>
      </c>
      <c r="K36" s="154" t="n">
        <f aca="false">SUMIFS(Factures!J$2:J$203,Factures!D$2:D$203,$J36)</f>
        <v>2233.63</v>
      </c>
      <c r="L36" s="154" t="n">
        <f aca="false">SUMIFS(Factures!J$2:J$203,Factures!D$2:D$203,$J36,Factures!L11:L212,"Réglé")</f>
        <v>0</v>
      </c>
      <c r="M36" s="154" t="n">
        <f aca="false">L36-K36</f>
        <v>-2233.63</v>
      </c>
      <c r="N36" s="154"/>
      <c r="O36" s="155" t="n">
        <f aca="false">RANK(K36,K$1:K$60,0)</f>
        <v>18</v>
      </c>
      <c r="P36" s="156" t="n">
        <f aca="false">M36/K36</f>
        <v>-1</v>
      </c>
      <c r="Q36" s="150" t="str">
        <f aca="false">IF(P36&gt;-0.2,"bon client",IF(P36&lt;-0.5,"renégocier les délais de paiement","acceptable"))</f>
        <v>renégocier les délais de paiement</v>
      </c>
    </row>
    <row r="37" customFormat="false" ht="13.8" hidden="false" customHeight="false" outlineLevel="0" collapsed="false">
      <c r="J37" s="153" t="s">
        <v>95</v>
      </c>
      <c r="K37" s="154" t="n">
        <f aca="false">SUMIFS(Factures!J$2:J$203,Factures!D$2:D$203,$J37)</f>
        <v>1653</v>
      </c>
      <c r="L37" s="154" t="n">
        <f aca="false">SUMIFS(Factures!J$2:J$203,Factures!D$2:D$203,$J37,Factures!L34:L235,"Réglé")</f>
        <v>0</v>
      </c>
      <c r="M37" s="154" t="n">
        <f aca="false">L37-K37</f>
        <v>-1653</v>
      </c>
      <c r="N37" s="154"/>
      <c r="O37" s="155" t="n">
        <f aca="false">RANK(K37,K$1:K$60,0)</f>
        <v>21</v>
      </c>
      <c r="P37" s="156" t="n">
        <f aca="false">M37/K37</f>
        <v>-1</v>
      </c>
      <c r="Q37" s="150" t="str">
        <f aca="false">IF(P37&gt;-0.2,"bon client",IF(P37&lt;-0.5,"renégocier les délais de paiement","acceptable"))</f>
        <v>renégocier les délais de paiement</v>
      </c>
    </row>
    <row r="38" customFormat="false" ht="13.8" hidden="false" customHeight="false" outlineLevel="0" collapsed="false">
      <c r="J38" s="153" t="s">
        <v>98</v>
      </c>
      <c r="K38" s="154" t="n">
        <f aca="false">SUMIFS(Factures!J$2:J$203,Factures!D$2:D$203,$J38)</f>
        <v>909</v>
      </c>
      <c r="L38" s="154" t="n">
        <f aca="false">SUMIFS(Factures!J$2:J$203,Factures!D$2:D$203,$J38,Factures!L36:L237,"Réglé")</f>
        <v>0</v>
      </c>
      <c r="M38" s="154" t="n">
        <f aca="false">L38-K38</f>
        <v>-909</v>
      </c>
      <c r="N38" s="154"/>
      <c r="O38" s="155" t="n">
        <f aca="false">RANK(K38,K$1:K$60,0)</f>
        <v>25</v>
      </c>
      <c r="P38" s="156" t="n">
        <f aca="false">M38/K38</f>
        <v>-1</v>
      </c>
      <c r="Q38" s="150" t="str">
        <f aca="false">IF(P38&gt;-0.2,"bon client",IF(P38&lt;-0.5,"renégocier les délais de paiement","acceptable"))</f>
        <v>renégocier les délais de paiement</v>
      </c>
    </row>
    <row r="39" customFormat="false" ht="13.8" hidden="false" customHeight="false" outlineLevel="0" collapsed="false">
      <c r="J39" s="153" t="s">
        <v>84</v>
      </c>
      <c r="K39" s="154" t="n">
        <f aca="false">SUMIFS(Factures!J$2:J$203,Factures!D$2:D$203,$J39)</f>
        <v>612.36</v>
      </c>
      <c r="L39" s="154" t="n">
        <f aca="false">SUMIFS(Factures!J$2:J$203,Factures!D$2:D$203,$J39,Factures!L26:L227,"Réglé")</f>
        <v>0</v>
      </c>
      <c r="M39" s="154" t="n">
        <f aca="false">L39-K39</f>
        <v>-612.36</v>
      </c>
      <c r="N39" s="154"/>
      <c r="O39" s="155" t="n">
        <f aca="false">RANK(K39,K$1:K$60,0)</f>
        <v>29</v>
      </c>
      <c r="P39" s="156" t="n">
        <f aca="false">M39/K39</f>
        <v>-1</v>
      </c>
      <c r="Q39" s="150" t="str">
        <f aca="false">IF(P39&gt;-0.2,"bon client",IF(P39&lt;-0.5,"renégocier les délais de paiement","acceptable"))</f>
        <v>renégocier les délais de paiement</v>
      </c>
    </row>
    <row r="40" customFormat="false" ht="13.8" hidden="false" customHeight="false" outlineLevel="0" collapsed="false">
      <c r="J40" s="153" t="s">
        <v>86</v>
      </c>
      <c r="K40" s="154" t="n">
        <f aca="false">SUMIFS(Factures!J$2:J$203,Factures!D$2:D$203,$J40)</f>
        <v>529.2</v>
      </c>
      <c r="L40" s="154" t="n">
        <f aca="false">SUMIFS(Factures!J$2:J$203,Factures!D$2:D$203,$J40,Factures!L35:L236,"Réglé")</f>
        <v>0</v>
      </c>
      <c r="M40" s="154" t="n">
        <f aca="false">L40-K40</f>
        <v>-529.2</v>
      </c>
      <c r="N40" s="154"/>
      <c r="O40" s="155" t="n">
        <f aca="false">RANK(K40,K$1:K$60,0)</f>
        <v>30</v>
      </c>
      <c r="P40" s="156" t="n">
        <f aca="false">M40/K40</f>
        <v>-1</v>
      </c>
      <c r="Q40" s="150" t="str">
        <f aca="false">IF(P40&gt;-0.2,"bon client",IF(P40&lt;-0.5,"renégocier les délais de paiement","acceptable"))</f>
        <v>renégocier les délais de paiement</v>
      </c>
    </row>
    <row r="41" customFormat="false" ht="13.8" hidden="false" customHeight="false" outlineLevel="0" collapsed="false">
      <c r="J41" s="153" t="s">
        <v>109</v>
      </c>
      <c r="K41" s="154" t="n">
        <f aca="false">SUMIFS(Factures!J$2:J$203,Factures!D$2:D$203,$J41)</f>
        <v>448.8</v>
      </c>
      <c r="L41" s="154" t="n">
        <f aca="false">SUMIFS(Factures!J$2:J$203,Factures!D$2:D$203,$J41,Factures!L3:L204,"Réglé")</f>
        <v>0</v>
      </c>
      <c r="M41" s="154" t="n">
        <f aca="false">L41-K41</f>
        <v>-448.8</v>
      </c>
      <c r="N41" s="154"/>
      <c r="O41" s="155" t="n">
        <f aca="false">RANK(K41,K$1:K$60,0)</f>
        <v>34</v>
      </c>
      <c r="P41" s="156" t="n">
        <f aca="false">M41/K41</f>
        <v>-1</v>
      </c>
      <c r="Q41" s="150" t="str">
        <f aca="false">IF(P41&gt;-0.2,"bon client",IF(P41&lt;-0.5,"renégocier les délais de paiement","acceptable"))</f>
        <v>renégocier les délais de paiement</v>
      </c>
    </row>
    <row r="42" customFormat="false" ht="13.8" hidden="false" customHeight="false" outlineLevel="0" collapsed="false">
      <c r="J42" s="153" t="s">
        <v>99</v>
      </c>
      <c r="K42" s="154" t="n">
        <f aca="false">SUMIFS(Factures!J$2:J$203,Factures!D$2:D$203,$J42)</f>
        <v>358.4</v>
      </c>
      <c r="L42" s="154" t="n">
        <f aca="false">SUMIFS(Factures!J$2:J$203,Factures!D$2:D$203,$J42,Factures!L5:L206,"Réglé")</f>
        <v>0</v>
      </c>
      <c r="M42" s="154" t="n">
        <f aca="false">L42-K42</f>
        <v>-358.4</v>
      </c>
      <c r="N42" s="154"/>
      <c r="O42" s="155" t="n">
        <f aca="false">RANK(K42,K$1:K$60,0)</f>
        <v>36</v>
      </c>
      <c r="P42" s="156" t="n">
        <f aca="false">M42/K42</f>
        <v>-1</v>
      </c>
      <c r="Q42" s="150" t="str">
        <f aca="false">IF(P42&gt;-0.2,"bon client",IF(P42&lt;-0.5,"renégocier les délais de paiement","acceptable"))</f>
        <v>renégocier les délais de paiement</v>
      </c>
    </row>
    <row r="43" customFormat="false" ht="13.8" hidden="false" customHeight="false" outlineLevel="0" collapsed="false">
      <c r="J43" s="153" t="s">
        <v>102</v>
      </c>
      <c r="K43" s="154" t="n">
        <f aca="false">SUMIFS(Factures!J$2:J$203,Factures!D$2:D$203,$J43)</f>
        <v>349</v>
      </c>
      <c r="L43" s="154" t="n">
        <f aca="false">SUMIFS(Factures!J$2:J$203,Factures!D$2:D$203,$J43,Factures!L10:L211,"Réglé")</f>
        <v>0</v>
      </c>
      <c r="M43" s="154" t="n">
        <f aca="false">L43-K43</f>
        <v>-349</v>
      </c>
      <c r="N43" s="154"/>
      <c r="O43" s="155" t="n">
        <f aca="false">RANK(K43,K$1:K$60,0)</f>
        <v>37</v>
      </c>
      <c r="P43" s="156" t="n">
        <f aca="false">M43/K43</f>
        <v>-1</v>
      </c>
      <c r="Q43" s="150" t="str">
        <f aca="false">IF(P43&gt;-0.2,"bon client",IF(P43&lt;-0.5,"renégocier les délais de paiement","acceptable"))</f>
        <v>renégocier les délais de paiement</v>
      </c>
    </row>
    <row r="44" customFormat="false" ht="13.8" hidden="false" customHeight="false" outlineLevel="0" collapsed="false">
      <c r="J44" s="153" t="s">
        <v>97</v>
      </c>
      <c r="K44" s="154" t="n">
        <f aca="false">SUMIFS(Factures!J$2:J$203,Factures!D$2:D$203,$J44)</f>
        <v>328.96</v>
      </c>
      <c r="L44" s="154" t="n">
        <f aca="false">SUMIFS(Factures!J$2:J$203,Factures!D$2:D$203,$J44,Factures!L30:L231,"Réglé")</f>
        <v>0</v>
      </c>
      <c r="M44" s="154" t="n">
        <f aca="false">L44-K44</f>
        <v>-328.96</v>
      </c>
      <c r="N44" s="154"/>
      <c r="O44" s="155" t="n">
        <f aca="false">RANK(K44,K$1:K$60,0)</f>
        <v>39</v>
      </c>
      <c r="P44" s="156" t="n">
        <f aca="false">M44/K44</f>
        <v>-1</v>
      </c>
      <c r="Q44" s="150" t="str">
        <f aca="false">IF(P44&gt;-0.2,"bon client",IF(P44&lt;-0.5,"renégocier les délais de paiement","acceptable"))</f>
        <v>renégocier les délais de paiement</v>
      </c>
    </row>
    <row r="45" customFormat="false" ht="13.8" hidden="false" customHeight="false" outlineLevel="0" collapsed="false">
      <c r="J45" s="153" t="s">
        <v>111</v>
      </c>
      <c r="K45" s="154" t="n">
        <f aca="false">SUMIFS(Factures!J$2:J$203,Factures!D$2:D$203,$J45)</f>
        <v>204.17</v>
      </c>
      <c r="L45" s="154" t="n">
        <f aca="false">SUMIFS(Factures!J$2:J$203,Factures!D$2:D$203,$J45,Factures!L31:L232,"Réglé")</f>
        <v>0</v>
      </c>
      <c r="M45" s="154" t="n">
        <f aca="false">L45-K45</f>
        <v>-204.17</v>
      </c>
      <c r="N45" s="154"/>
      <c r="O45" s="155" t="n">
        <f aca="false">RANK(K45,K$1:K$60,0)</f>
        <v>43</v>
      </c>
      <c r="P45" s="156" t="n">
        <f aca="false">M45/K45</f>
        <v>-1</v>
      </c>
      <c r="Q45" s="150" t="str">
        <f aca="false">IF(P45&gt;-0.2,"bon client",IF(P45&lt;-0.5,"renégocier les délais de paiement","acceptable"))</f>
        <v>renégocier les délais de paiement</v>
      </c>
    </row>
    <row r="46" customFormat="false" ht="13.8" hidden="false" customHeight="false" outlineLevel="0" collapsed="false">
      <c r="J46" s="153" t="s">
        <v>85</v>
      </c>
      <c r="K46" s="154" t="n">
        <f aca="false">SUMIFS(Factures!J$2:J$203,Factures!D$2:D$203,$J46)</f>
        <v>180.42</v>
      </c>
      <c r="L46" s="154" t="n">
        <f aca="false">SUMIFS(Factures!J$2:J$203,Factures!D$2:D$203,$J46,Factures!L32:L233,"Réglé")</f>
        <v>0</v>
      </c>
      <c r="M46" s="154" t="n">
        <f aca="false">L46-K46</f>
        <v>-180.42</v>
      </c>
      <c r="N46" s="154"/>
      <c r="O46" s="155" t="n">
        <f aca="false">RANK(K46,K$1:K$60,0)</f>
        <v>45</v>
      </c>
      <c r="P46" s="156" t="n">
        <f aca="false">M46/K46</f>
        <v>-1</v>
      </c>
      <c r="Q46" s="150" t="str">
        <f aca="false">IF(P46&gt;-0.2,"bon client",IF(P46&lt;-0.5,"renégocier les délais de paiement","acceptable"))</f>
        <v>renégocier les délais de paiement</v>
      </c>
    </row>
    <row r="47" customFormat="false" ht="13.8" hidden="false" customHeight="false" outlineLevel="0" collapsed="false">
      <c r="J47" s="153" t="s">
        <v>104</v>
      </c>
      <c r="K47" s="154" t="n">
        <f aca="false">SUMIFS(Factures!J$2:J$203,Factures!D$2:D$203,$J47)</f>
        <v>168.48</v>
      </c>
      <c r="L47" s="154" t="n">
        <f aca="false">SUMIFS(Factures!J$2:J$203,Factures!D$2:D$203,$J47,Factures!L33:L234,"Réglé")</f>
        <v>0</v>
      </c>
      <c r="M47" s="154" t="n">
        <f aca="false">L47-K47</f>
        <v>-168.48</v>
      </c>
      <c r="N47" s="154"/>
      <c r="O47" s="155" t="n">
        <f aca="false">RANK(K47,K$1:K$60,0)</f>
        <v>46</v>
      </c>
      <c r="P47" s="156" t="n">
        <f aca="false">M47/K47</f>
        <v>-1</v>
      </c>
      <c r="Q47" s="150" t="str">
        <f aca="false">IF(P47&gt;-0.2,"bon client",IF(P47&lt;-0.5,"renégocier les délais de paiement","acceptable"))</f>
        <v>renégocier les délais de paiement</v>
      </c>
    </row>
    <row r="48" customFormat="false" ht="13.8" hidden="false" customHeight="false" outlineLevel="0" collapsed="false">
      <c r="J48" s="153" t="s">
        <v>89</v>
      </c>
      <c r="K48" s="154" t="n">
        <f aca="false">SUMIFS(Factures!J$2:J$203,Factures!D$2:D$203,$J48)</f>
        <v>-126.88</v>
      </c>
      <c r="L48" s="154" t="n">
        <f aca="false">SUMIFS(Factures!J$2:J$203,Factures!D$2:D$203,$J48,Factures!L34:L235,"Réglé")</f>
        <v>0</v>
      </c>
      <c r="M48" s="154" t="n">
        <f aca="false">L48-K48</f>
        <v>126.88</v>
      </c>
      <c r="N48" s="154"/>
      <c r="O48" s="155" t="n">
        <f aca="false">RANK(K48,K$1:K$60,0)</f>
        <v>60</v>
      </c>
      <c r="P48" s="156" t="n">
        <f aca="false">M48/K48</f>
        <v>-1</v>
      </c>
      <c r="Q48" s="150" t="str">
        <f aca="false">IF(P48&gt;-0.2,"bon client",IF(P48&lt;-0.5,"renégocier les délais de paiement","acceptable"))</f>
        <v>renégocier les délais de paiement</v>
      </c>
    </row>
    <row r="49" customFormat="false" ht="13.8" hidden="false" customHeight="false" outlineLevel="0" collapsed="false">
      <c r="J49" s="153"/>
      <c r="K49" s="154" t="n">
        <f aca="false">SUMIFS(Factures!J$2:J$203,Factures!D$2:D$203,$J49)</f>
        <v>0</v>
      </c>
      <c r="L49" s="154" t="n">
        <f aca="false">SUMIFS(Factures!J$2:J$203,Factures!D$2:D$203,$J49,Factures!L50:L251,"Réglé")</f>
        <v>0</v>
      </c>
      <c r="M49" s="154" t="n">
        <f aca="false">L49-K49</f>
        <v>0</v>
      </c>
      <c r="N49" s="154"/>
      <c r="O49" s="155" t="n">
        <f aca="false">RANK(K49,K$1:K$60,0)</f>
        <v>48</v>
      </c>
      <c r="P49" s="156" t="str">
        <f aca="false">IF(K49=0,"",M49/K49)</f>
        <v/>
      </c>
    </row>
    <row r="50" customFormat="false" ht="13.8" hidden="false" customHeight="false" outlineLevel="0" collapsed="false">
      <c r="J50" s="153"/>
      <c r="K50" s="154" t="n">
        <f aca="false">SUMIFS(Factures!J$2:J$203,Factures!D$2:D$203,$J50)</f>
        <v>0</v>
      </c>
      <c r="L50" s="154" t="n">
        <f aca="false">SUMIFS(Factures!J$2:J$203,Factures!D$2:D$203,$J50,Factures!L51:L252,"Réglé")</f>
        <v>0</v>
      </c>
      <c r="M50" s="154" t="n">
        <f aca="false">L50-K50</f>
        <v>0</v>
      </c>
      <c r="N50" s="154"/>
      <c r="O50" s="155" t="n">
        <f aca="false">RANK(K50,K$1:K$60,0)</f>
        <v>48</v>
      </c>
      <c r="P50" s="156" t="str">
        <f aca="false">IF(K50=0,"",M50/K50)</f>
        <v/>
      </c>
    </row>
    <row r="51" customFormat="false" ht="13.8" hidden="false" customHeight="false" outlineLevel="0" collapsed="false">
      <c r="J51" s="153"/>
      <c r="K51" s="154" t="n">
        <f aca="false">SUMIFS(Factures!J$2:J$203,Factures!D$2:D$203,$J51)</f>
        <v>0</v>
      </c>
      <c r="L51" s="154" t="n">
        <f aca="false">SUMIFS(Factures!J$2:J$203,Factures!D$2:D$203,$J51,Factures!L52:L253,"Réglé")</f>
        <v>0</v>
      </c>
      <c r="M51" s="154" t="n">
        <f aca="false">L51-K51</f>
        <v>0</v>
      </c>
      <c r="N51" s="154"/>
      <c r="O51" s="155" t="n">
        <f aca="false">RANK(K51,K$1:K$60,0)</f>
        <v>48</v>
      </c>
      <c r="P51" s="156" t="str">
        <f aca="false">IF(K51=0,"",M51/K51)</f>
        <v/>
      </c>
    </row>
    <row r="52" customFormat="false" ht="13.8" hidden="false" customHeight="false" outlineLevel="0" collapsed="false">
      <c r="J52" s="153"/>
      <c r="K52" s="154" t="n">
        <f aca="false">SUMIFS(Factures!J$2:J$203,Factures!D$2:D$203,$J52)</f>
        <v>0</v>
      </c>
      <c r="L52" s="154" t="n">
        <f aca="false">SUMIFS(Factures!J$2:J$203,Factures!D$2:D$203,$J52,Factures!L53:L254,"Réglé")</f>
        <v>0</v>
      </c>
      <c r="M52" s="154" t="n">
        <f aca="false">L52-K52</f>
        <v>0</v>
      </c>
      <c r="N52" s="154"/>
      <c r="O52" s="155" t="n">
        <f aca="false">RANK(K52,K$1:K$60,0)</f>
        <v>48</v>
      </c>
      <c r="P52" s="156" t="str">
        <f aca="false">IF(K52=0,"",M52/K52)</f>
        <v/>
      </c>
    </row>
    <row r="53" customFormat="false" ht="13.8" hidden="false" customHeight="false" outlineLevel="0" collapsed="false">
      <c r="J53" s="153"/>
      <c r="K53" s="154" t="n">
        <f aca="false">SUMIFS(Factures!J$2:J$203,Factures!D$2:D$203,$J53)</f>
        <v>0</v>
      </c>
      <c r="L53" s="154" t="n">
        <f aca="false">SUMIFS(Factures!J$2:J$203,Factures!D$2:D$203,$J53,Factures!L54:L255,"Réglé")</f>
        <v>0</v>
      </c>
      <c r="M53" s="154" t="n">
        <f aca="false">L53-K53</f>
        <v>0</v>
      </c>
      <c r="N53" s="154"/>
      <c r="O53" s="155" t="n">
        <f aca="false">RANK(K53,K$1:K$60,0)</f>
        <v>48</v>
      </c>
      <c r="P53" s="156" t="str">
        <f aca="false">IF(K53=0,"",M53/K53)</f>
        <v/>
      </c>
    </row>
    <row r="54" customFormat="false" ht="13.8" hidden="false" customHeight="false" outlineLevel="0" collapsed="false">
      <c r="J54" s="153"/>
      <c r="K54" s="154" t="n">
        <f aca="false">SUMIFS(Factures!J$2:J$203,Factures!D$2:D$203,$J54)</f>
        <v>0</v>
      </c>
      <c r="L54" s="154" t="n">
        <f aca="false">SUMIFS(Factures!J$2:J$203,Factures!D$2:D$203,$J54,Factures!L55:L256,"Réglé")</f>
        <v>0</v>
      </c>
      <c r="M54" s="154" t="n">
        <f aca="false">L54-K54</f>
        <v>0</v>
      </c>
      <c r="N54" s="154"/>
      <c r="O54" s="155" t="n">
        <f aca="false">RANK(K54,K$1:K$60,0)</f>
        <v>48</v>
      </c>
      <c r="P54" s="156" t="str">
        <f aca="false">IF(K54=0,"",M54/K54)</f>
        <v/>
      </c>
    </row>
    <row r="55" customFormat="false" ht="13.8" hidden="false" customHeight="false" outlineLevel="0" collapsed="false">
      <c r="J55" s="153"/>
      <c r="K55" s="154" t="n">
        <f aca="false">SUMIFS(Factures!J$2:J$203,Factures!D$2:D$203,$J55)</f>
        <v>0</v>
      </c>
      <c r="L55" s="154" t="n">
        <f aca="false">SUMIFS(Factures!J$2:J$203,Factures!D$2:D$203,$J55,Factures!L56:L257,"Réglé")</f>
        <v>0</v>
      </c>
      <c r="M55" s="154" t="n">
        <f aca="false">L55-K55</f>
        <v>0</v>
      </c>
      <c r="N55" s="154"/>
      <c r="O55" s="155" t="n">
        <f aca="false">RANK(K55,K$1:K$60,0)</f>
        <v>48</v>
      </c>
      <c r="P55" s="156" t="str">
        <f aca="false">IF(K55=0,"",M55/K55)</f>
        <v/>
      </c>
    </row>
    <row r="56" customFormat="false" ht="13.8" hidden="false" customHeight="false" outlineLevel="0" collapsed="false">
      <c r="J56" s="153"/>
      <c r="K56" s="154" t="n">
        <f aca="false">SUMIFS(Factures!J$2:J$203,Factures!D$2:D$203,$J56)</f>
        <v>0</v>
      </c>
      <c r="L56" s="154" t="n">
        <f aca="false">SUMIFS(Factures!J$2:J$203,Factures!D$2:D$203,$J56,Factures!L57:L258,"Réglé")</f>
        <v>0</v>
      </c>
      <c r="M56" s="154" t="n">
        <f aca="false">L56-K56</f>
        <v>0</v>
      </c>
      <c r="N56" s="154"/>
      <c r="O56" s="155" t="n">
        <f aca="false">RANK(K56,K$1:K$60,0)</f>
        <v>48</v>
      </c>
      <c r="P56" s="156" t="str">
        <f aca="false">IF(K56=0,"",M56/K56)</f>
        <v/>
      </c>
    </row>
    <row r="57" customFormat="false" ht="13.8" hidden="false" customHeight="false" outlineLevel="0" collapsed="false">
      <c r="J57" s="153"/>
      <c r="K57" s="154" t="n">
        <f aca="false">SUMIFS(Factures!J$2:J$203,Factures!D$2:D$203,$J57)</f>
        <v>0</v>
      </c>
      <c r="L57" s="154" t="n">
        <f aca="false">SUMIFS(Factures!J$2:J$203,Factures!D$2:D$203,$J57,Factures!L58:L259,"Réglé")</f>
        <v>0</v>
      </c>
      <c r="M57" s="154" t="n">
        <f aca="false">L57-K57</f>
        <v>0</v>
      </c>
      <c r="N57" s="154"/>
      <c r="O57" s="155" t="n">
        <f aca="false">RANK(K57,K$1:K$60,0)</f>
        <v>48</v>
      </c>
      <c r="P57" s="156" t="str">
        <f aca="false">IF(K57=0,"",M57/K57)</f>
        <v/>
      </c>
    </row>
    <row r="58" customFormat="false" ht="13.8" hidden="false" customHeight="false" outlineLevel="0" collapsed="false">
      <c r="J58" s="153"/>
      <c r="K58" s="154" t="n">
        <f aca="false">SUMIFS(Factures!J$2:J$203,Factures!D$2:D$203,$J58)</f>
        <v>0</v>
      </c>
      <c r="L58" s="154" t="n">
        <f aca="false">SUMIFS(Factures!J$2:J$203,Factures!D$2:D$203,$J58,Factures!L59:L260,"Réglé")</f>
        <v>0</v>
      </c>
      <c r="M58" s="154" t="n">
        <f aca="false">L58-K58</f>
        <v>0</v>
      </c>
      <c r="N58" s="154"/>
      <c r="O58" s="155" t="n">
        <f aca="false">RANK(K58,K$1:K$60,0)</f>
        <v>48</v>
      </c>
      <c r="P58" s="156" t="str">
        <f aca="false">IF(K58=0,"",M58/K58)</f>
        <v/>
      </c>
    </row>
    <row r="59" customFormat="false" ht="13.8" hidden="false" customHeight="false" outlineLevel="0" collapsed="false">
      <c r="J59" s="153"/>
      <c r="K59" s="154" t="n">
        <f aca="false">SUMIFS(Factures!J$2:J$203,Factures!D$2:D$203,$J59)</f>
        <v>0</v>
      </c>
      <c r="L59" s="154" t="n">
        <f aca="false">SUMIFS(Factures!J$2:J$203,Factures!D$2:D$203,$J59,Factures!L60:L261,"Réglé")</f>
        <v>0</v>
      </c>
      <c r="M59" s="154" t="n">
        <f aca="false">L59-K59</f>
        <v>0</v>
      </c>
      <c r="N59" s="154"/>
      <c r="O59" s="155" t="n">
        <f aca="false">RANK(K59,K$1:K$60,0)</f>
        <v>48</v>
      </c>
      <c r="P59" s="156" t="str">
        <f aca="false">IF(K59=0,"",M59/K59)</f>
        <v/>
      </c>
    </row>
    <row r="60" customFormat="false" ht="13.8" hidden="false" customHeight="false" outlineLevel="0" collapsed="false">
      <c r="J60" s="153"/>
      <c r="K60" s="154" t="n">
        <f aca="false">SUMIFS(Factures!J$2:J$203,Factures!D$2:D$203,$J60)</f>
        <v>0</v>
      </c>
      <c r="L60" s="154" t="n">
        <f aca="false">SUMIFS(Factures!J$2:J$203,Factures!D$2:D$203,$J60,Factures!L61:L262,"Réglé")</f>
        <v>0</v>
      </c>
      <c r="M60" s="154" t="n">
        <f aca="false">L60-K60</f>
        <v>0</v>
      </c>
      <c r="N60" s="154"/>
      <c r="O60" s="155" t="n">
        <f aca="false">RANK(K60,K$1:K$60,0)</f>
        <v>48</v>
      </c>
      <c r="P60" s="156" t="str">
        <f aca="false">IF(K60=0,"",M60/K60)</f>
        <v/>
      </c>
    </row>
    <row r="62" customFormat="false" ht="13.8" hidden="false" customHeight="false" outlineLevel="0" collapsed="false">
      <c r="K62" s="0" t="n">
        <f aca="false">SUM(K1:K61)</f>
        <v>178857.05</v>
      </c>
      <c r="L62" s="0" t="n">
        <f aca="false">SUM(L1:L61)</f>
        <v>97315.34</v>
      </c>
      <c r="M62" s="0" t="n">
        <f aca="false">SUM(M1:M61)</f>
        <v>-81541.71</v>
      </c>
    </row>
    <row r="63" customFormat="false" ht="13.8" hidden="false" customHeight="false" outlineLevel="0" collapsed="false">
      <c r="K63" s="156" t="n">
        <f aca="false">K62/$K$62</f>
        <v>1</v>
      </c>
      <c r="L63" s="156" t="n">
        <f aca="false">L62/$K$62</f>
        <v>0.544095633915465</v>
      </c>
      <c r="M63" s="156" t="n">
        <f aca="false">M62/$K$62</f>
        <v>-0.455904366084535</v>
      </c>
    </row>
  </sheetData>
  <mergeCells count="3">
    <mergeCell ref="A1:C1"/>
    <mergeCell ref="A2:D2"/>
    <mergeCell ref="A3:B6"/>
  </mergeCells>
  <dataValidations count="2">
    <dataValidation allowBlank="true" operator="equal" showDropDown="false" showErrorMessage="true" showInputMessage="false" sqref="C1" type="list">
      <formula1>Factures!$D$1:$D$201</formula1>
      <formula2>0</formula2>
    </dataValidation>
    <dataValidation allowBlank="true" operator="equal" showDropDown="false" showErrorMessage="true" showInputMessage="false" sqref="A1" type="list">
      <formula1>Suivi!$J$1:$J$60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2019-12-30T08:12:46Z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