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se de données contrats" sheetId="1" state="visible" r:id="rId2"/>
    <sheet name="Récapitulatif des commissions" sheetId="2" state="visible" r:id="rId3"/>
  </sheets>
  <calcPr iterateCount="100" refMode="A1" iterate="false" iterateDelta="0.0001"/>
  <pivotCaches>
    <pivotCache cacheId="1" r:id="rId5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<sst xmlns="http://schemas.openxmlformats.org/spreadsheetml/2006/main" count="87" uniqueCount="41">
  <si>
    <t xml:space="preserve">Nombre unique</t>
  </si>
  <si>
    <t xml:space="preserve">Responsable</t>
  </si>
  <si>
    <t xml:space="preserve">Etablissement</t>
  </si>
  <si>
    <t xml:space="preserve">Contact</t>
  </si>
  <si>
    <t xml:space="preserve">Adresse email</t>
  </si>
  <si>
    <t xml:space="preserve">Appareils</t>
  </si>
  <si>
    <t xml:space="preserve">Numéro de série</t>
  </si>
  <si>
    <t xml:space="preserve">Date  de début</t>
  </si>
  <si>
    <t xml:space="preserve">Date de fin</t>
  </si>
  <si>
    <t xml:space="preserve">Durée</t>
  </si>
  <si>
    <t xml:space="preserve">Date de facturation</t>
  </si>
  <si>
    <t xml:space="preserve">Facturation</t>
  </si>
  <si>
    <t xml:space="preserve">Montant TTC</t>
  </si>
  <si>
    <t xml:space="preserve">Montant HT</t>
  </si>
  <si>
    <t xml:space="preserve">Commision</t>
  </si>
  <si>
    <t xml:space="preserve">Nb échéances dues</t>
  </si>
  <si>
    <t xml:space="preserve">Commission par échéance</t>
  </si>
  <si>
    <t xml:space="preserve">Commissions à payer</t>
  </si>
  <si>
    <t xml:space="preserve">MMFA</t>
  </si>
  <si>
    <t xml:space="preserve">HU</t>
  </si>
  <si>
    <t xml:space="preserve">.</t>
  </si>
  <si>
    <t xml:space="preserve">HR+TC</t>
  </si>
  <si>
    <t xml:space="preserve">annuelle</t>
  </si>
  <si>
    <t xml:space="preserve">Type_facturation</t>
  </si>
  <si>
    <t xml:space="preserve">LC</t>
  </si>
  <si>
    <t xml:space="preserve">RD</t>
  </si>
  <si>
    <t xml:space="preserve">semestrielle</t>
  </si>
  <si>
    <t xml:space="preserve">MMFAB</t>
  </si>
  <si>
    <t xml:space="preserve">DR</t>
  </si>
  <si>
    <t xml:space="preserve">trimestrielle</t>
  </si>
  <si>
    <t xml:space="preserve">BT</t>
  </si>
  <si>
    <t xml:space="preserve">à terme échu</t>
  </si>
  <si>
    <t xml:space="preserve">QW</t>
  </si>
  <si>
    <t xml:space="preserve">RT</t>
  </si>
  <si>
    <t xml:space="preserve">AS</t>
  </si>
  <si>
    <t xml:space="preserve">ED</t>
  </si>
  <si>
    <t xml:space="preserve">Année</t>
  </si>
  <si>
    <t xml:space="preserve">Données</t>
  </si>
  <si>
    <t xml:space="preserve">Somme de Commision</t>
  </si>
  <si>
    <t xml:space="preserve">Somme de Durée</t>
  </si>
  <si>
    <t xml:space="preserve">Total Résultat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</si>
</sst>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&quot; €&quot;"/>
    <numFmt numFmtId="166" formatCode="_ * #,##0.00_)&quot; €&quot;_ ;_ * \(#,##0.00&quot;) €&quot;_ ;_ * \-??_)&quot; €&quot;_ ;_ @_ "/>
    <numFmt numFmtId="167" formatCode="#,##0"/>
    <numFmt numFmtId="168" formatCode="[$-40C]DD/MM/YYYY"/>
    <numFmt numFmtId="169" formatCode="#,##0.00"/>
    <numFmt numFmtId="170" formatCode="#,##0.00\ [$€-40C];[RED]\-#,##0.00\ [$€-40C]"/>
    <numFmt numFmtId="171" formatCode="MMMM"/>
    <numFmt numFmtId="172" formatCode="DD/MM/YYYY"/>
    <numFmt numFmtId="173" formatCode="General"/>
  </numFmts>
  <fonts count="6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ACD"/>
        <bgColor rgb="FFFFFFFF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0" fillId="2" borderId="0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0" fillId="2" borderId="0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0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0" fontId="0" fillId="2" borderId="0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0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8" xfId="20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9" xfId="20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72" fontId="0" fillId="0" borderId="10" xfId="20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1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20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72" fontId="0" fillId="0" borderId="14" xfId="20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7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5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72" fontId="4" fillId="0" borderId="16" xfId="24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4" fillId="0" borderId="17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atégorie de la table dynamique" xfId="20"/>
    <cellStyle name="Champ de la table dynamique" xfId="21"/>
    <cellStyle name="Coin de la table dynamique" xfId="22"/>
    <cellStyle name="Valeur de la table dynamique" xfId="23"/>
    <cellStyle name="Titre de la table dynamique" xfId="24"/>
    <cellStyle name="Résultat de la table dynamique" xfId="2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AC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
</Relationships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9" createdVersion="3">
  <cacheSource type="worksheet">
    <worksheetSource ref="A1:O10" sheet="Base de données contrats"/>
  </cacheSource>
  <cacheFields count="15">
    <cacheField name="Nombre uniqu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Responsable" numFmtId="0">
      <sharedItems count="2">
        <s v="MMFA"/>
        <s v="MMFAB"/>
      </sharedItems>
    </cacheField>
    <cacheField name="Etablissement" numFmtId="0">
      <sharedItems count="9">
        <s v="AS"/>
        <s v="BT"/>
        <s v="DR"/>
        <s v="ED"/>
        <s v="HU"/>
        <s v="LC"/>
        <s v="QW"/>
        <s v="RD"/>
        <s v="RT"/>
      </sharedItems>
    </cacheField>
    <cacheField name="Contact" numFmtId="0">
      <sharedItems count="1">
        <s v="."/>
      </sharedItems>
    </cacheField>
    <cacheField name="Adresse email" numFmtId="0">
      <sharedItems count="1">
        <s v="."/>
      </sharedItems>
    </cacheField>
    <cacheField name="Appareils" numFmtId="0">
      <sharedItems count="1">
        <s v="HR+TC"/>
      </sharedItems>
    </cacheField>
    <cacheField name="Numéro de série" numFmtId="0">
      <sharedItems containsSemiMixedTypes="0" containsString="0" containsNumber="1" containsInteger="1" minValue="124" maxValue="1123" count="9">
        <n v="124"/>
        <n v="170"/>
        <n v="432"/>
        <n v="504"/>
        <n v="543"/>
        <n v="555"/>
        <n v="746"/>
        <n v="765"/>
        <n v="1123"/>
      </sharedItems>
    </cacheField>
    <cacheField name="Date  de début" numFmtId="0">
      <sharedItems containsSemiMixedTypes="0" containsNonDate="0" containsDate="1" containsString="0" minDate="2020-01-23T00:00:00" maxDate="2020-07-24T00:00:00" count="8">
        <d v="2020-01-23T00:00:00"/>
        <d v="2020-01-28T00:00:00"/>
        <d v="2020-01-30T00:00:00"/>
        <d v="2020-03-16T00:00:00"/>
        <d v="2020-04-25T00:00:00"/>
        <d v="2020-06-15T00:00:00"/>
        <d v="2020-07-16T00:00:00"/>
        <d v="2020-07-24T00:00:00"/>
      </sharedItems>
    </cacheField>
    <cacheField name="Date de fin" numFmtId="0">
      <sharedItems containsSemiMixedTypes="0" containsNonDate="0" containsDate="1" containsString="0" minDate="2021-01-23T00:00:00" maxDate="2024-03-16T00:00:00" count="9">
        <d v="2021-01-23T00:00:00"/>
        <d v="2021-01-30T00:00:00"/>
        <d v="2021-06-15T00:00:00"/>
        <d v="2022-01-28T00:00:00"/>
        <d v="2022-03-16T00:00:00"/>
        <d v="2022-04-25T00:00:00"/>
        <d v="2022-07-16T00:00:00"/>
        <d v="2023-07-24T00:00:00"/>
        <d v="2024-03-16T00:00:00"/>
      </sharedItems>
    </cacheField>
    <cacheField name="Duré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Date de facturation" numFmtId="0">
      <sharedItems containsSemiMixedTypes="0" containsNonDate="0" containsDate="1" containsString="0" minDate="2020-01-23T00:00:00" maxDate="2021-06-15T00:00:00" count="8">
        <d v="2020-01-23T00:00:00"/>
        <d v="2020-01-28T00:00:00"/>
        <d v="2020-01-30T00:00:00"/>
        <d v="2020-03-16T00:00:00"/>
        <d v="2020-04-25T00:00:00"/>
        <d v="2020-07-16T00:00:00"/>
        <d v="2020-07-24T00:00:00"/>
        <d v="2021-06-15T00:00:00"/>
      </sharedItems>
    </cacheField>
    <cacheField name="Facturation" numFmtId="0">
      <sharedItems count="4">
        <s v="à terme échu"/>
        <s v="annuelle"/>
        <s v="semestrielle"/>
        <s v="trimestrielle"/>
      </sharedItems>
    </cacheField>
    <cacheField name="Montant TTC" numFmtId="0">
      <sharedItems containsSemiMixedTypes="0" containsString="0" containsNumber="1" containsInteger="1" minValue="5500" maxValue="24000" count="8">
        <n v="5500"/>
        <n v="8500"/>
        <n v="9000"/>
        <n v="10000"/>
        <n v="18000"/>
        <n v="22960"/>
        <n v="23000"/>
        <n v="24000"/>
      </sharedItems>
    </cacheField>
    <cacheField name="Montant HT" numFmtId="0">
      <sharedItems containsSemiMixedTypes="0" containsString="0" containsNumber="1" minValue="4583.33333333333" maxValue="20000" count="8">
        <n v="4583.33333333333"/>
        <n v="7083.33333333333"/>
        <n v="7500"/>
        <n v="8333.33333333333"/>
        <n v="15000"/>
        <n v="19133.3333333333"/>
        <n v="19166.6666666667"/>
        <n v="20000"/>
      </sharedItems>
    </cacheField>
    <cacheField name="Commision" numFmtId="0">
      <sharedItems containsSemiMixedTypes="0" containsString="0" containsNumber="1" minValue="34.7222222222222" maxValue="119.583333333333" count="8">
        <n v="34.7222222222222"/>
        <n v="41.6666666666667"/>
        <n v="44.2708333333333"/>
        <n v="57.2916666666667"/>
        <n v="79.8611111111111"/>
        <n v="88.5416666666667"/>
        <n v="93.75"/>
        <n v="119.58333333333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4"/>
    <x v="0"/>
    <x v="0"/>
    <x v="0"/>
    <x v="6"/>
    <x v="2"/>
    <x v="1"/>
    <x v="0"/>
    <x v="2"/>
    <x v="1"/>
    <x v="1"/>
    <x v="1"/>
    <x v="5"/>
  </r>
  <r>
    <x v="1"/>
    <x v="0"/>
    <x v="5"/>
    <x v="0"/>
    <x v="0"/>
    <x v="0"/>
    <x v="3"/>
    <x v="1"/>
    <x v="3"/>
    <x v="1"/>
    <x v="1"/>
    <x v="1"/>
    <x v="5"/>
    <x v="5"/>
    <x v="7"/>
  </r>
  <r>
    <x v="2"/>
    <x v="0"/>
    <x v="7"/>
    <x v="0"/>
    <x v="0"/>
    <x v="0"/>
    <x v="1"/>
    <x v="0"/>
    <x v="0"/>
    <x v="0"/>
    <x v="0"/>
    <x v="1"/>
    <x v="2"/>
    <x v="2"/>
    <x v="6"/>
  </r>
  <r>
    <x v="3"/>
    <x v="1"/>
    <x v="2"/>
    <x v="0"/>
    <x v="0"/>
    <x v="0"/>
    <x v="5"/>
    <x v="3"/>
    <x v="4"/>
    <x v="1"/>
    <x v="3"/>
    <x v="1"/>
    <x v="6"/>
    <x v="6"/>
    <x v="4"/>
  </r>
  <r>
    <x v="4"/>
    <x v="1"/>
    <x v="1"/>
    <x v="0"/>
    <x v="0"/>
    <x v="0"/>
    <x v="8"/>
    <x v="3"/>
    <x v="8"/>
    <x v="3"/>
    <x v="3"/>
    <x v="1"/>
    <x v="7"/>
    <x v="7"/>
    <x v="1"/>
  </r>
  <r>
    <x v="5"/>
    <x v="0"/>
    <x v="6"/>
    <x v="0"/>
    <x v="0"/>
    <x v="0"/>
    <x v="0"/>
    <x v="4"/>
    <x v="5"/>
    <x v="1"/>
    <x v="4"/>
    <x v="1"/>
    <x v="4"/>
    <x v="4"/>
    <x v="6"/>
  </r>
  <r>
    <x v="6"/>
    <x v="0"/>
    <x v="8"/>
    <x v="0"/>
    <x v="0"/>
    <x v="0"/>
    <x v="4"/>
    <x v="5"/>
    <x v="2"/>
    <x v="0"/>
    <x v="7"/>
    <x v="0"/>
    <x v="0"/>
    <x v="0"/>
    <x v="3"/>
  </r>
  <r>
    <x v="7"/>
    <x v="0"/>
    <x v="0"/>
    <x v="0"/>
    <x v="0"/>
    <x v="0"/>
    <x v="7"/>
    <x v="6"/>
    <x v="6"/>
    <x v="1"/>
    <x v="5"/>
    <x v="3"/>
    <x v="1"/>
    <x v="1"/>
    <x v="2"/>
  </r>
  <r>
    <x v="8"/>
    <x v="0"/>
    <x v="3"/>
    <x v="0"/>
    <x v="0"/>
    <x v="0"/>
    <x v="2"/>
    <x v="7"/>
    <x v="7"/>
    <x v="2"/>
    <x v="6"/>
    <x v="2"/>
    <x v="3"/>
    <x v="3"/>
    <x v="0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0" dataCaption="Values" useAutoFormatting="0" itemPrintTitles="1" indent="0" outline="1" outlineData="1" compact="0" compactData="0">
  <location ref="AA8:AD28" firstHeaderRow="1" firstDataRow="2" firstDataCol="2"/>
  <pivotFields count="15">
    <pivotField axis="axisRow" compact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Row" compact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showAll="0"/>
    <pivotField compact="0" showAll="0"/>
    <pivotField dataField="1" compact="0" showAll="0"/>
    <pivotField compact="0" showAll="0"/>
  </pivotFields>
  <rowFields count="2">
    <field x="0"/>
    <field x="10"/>
  </rowFields>
  <colFields count="1">
    <field x="-2"/>
  </colFields>
  <dataFields count="2">
    <dataField name="Somme de Commision" fld="13" subtotal="sum" numFmtId="165"/>
    <dataField name="Somme de Durée" fld="9" subtotal="sum" numFmtId="164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Liste_années" displayName="Liste_années" ref="Y8:Y13" headerRowCount="1" totalsRowCount="0" totalsRowShown="0">
  <autoFilter ref="Y8:Y13"/>
  <tableColumns count="1">
    <tableColumn id="1" name="Année"/>
  </tableColumns>
</table>
</file>

<file path=xl/tables/table2.xml><?xml version="1.0" encoding="utf-8"?>
<table xmlns="http://schemas.openxmlformats.org/spreadsheetml/2006/main" id="2" name="T_base_données_contrats" displayName="T_base_données_contrats" ref="A1:O10" headerRowCount="1" totalsRowCount="0" totalsRowShown="0">
  <tableColumns count="15">
    <tableColumn id="1" name="Nombre unique"/>
    <tableColumn id="2" name="Responsable"/>
    <tableColumn id="3" name="Etablissement"/>
    <tableColumn id="4" name="Contact"/>
    <tableColumn id="5" name="Adresse email"/>
    <tableColumn id="6" name="Appareils"/>
    <tableColumn id="7" name="Numéro de série"/>
    <tableColumn id="8" name="Date  de début"/>
    <tableColumn id="9" name="Date de fin"/>
    <tableColumn id="10" name="Durée"/>
    <tableColumn id="11" name="Date de facturation"/>
    <tableColumn id="12" name="Facturation"/>
    <tableColumn id="13" name="Montant TTC"/>
    <tableColumn id="14" name="Montant HT"/>
    <tableColumn id="15" name="Commision"/>
  </tableColumns>
</table>
</file>

<file path=xl/tables/table3.xml><?xml version="1.0" encoding="utf-8"?>
<table xmlns="http://schemas.openxmlformats.org/spreadsheetml/2006/main" id="3" name="Tableau3" displayName="Tableau3" ref="X2:X6" headerRowCount="1" totalsRowCount="0" totalsRowShown="0">
  <autoFilter ref="X2:X6"/>
  <tableColumns count="1">
    <tableColumn id="1" name="Type_facturation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2.xml"/><Relationship Id="rId2" Type="http://schemas.openxmlformats.org/officeDocument/2006/relationships/table" Target="../tables/table3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3"/>
  <sheetViews>
    <sheetView showFormulas="false" showGridLines="true" showRowColHeaders="true" showZeros="true" rightToLeft="false" tabSelected="true" showOutlineSymbols="true" defaultGridColor="true" view="normal" topLeftCell="J1" colorId="64" zoomScale="100" zoomScaleNormal="100" zoomScalePageLayoutView="100" workbookViewId="0">
      <selection pane="topLeft" activeCell="P10" activeCellId="0" sqref="P10"/>
    </sheetView>
  </sheetViews>
  <sheetFormatPr defaultColWidth="10.4921875" defaultRowHeight="15" zeroHeight="false" outlineLevelRow="0" outlineLevelCol="0"/>
  <cols>
    <col collapsed="false" customWidth="true" hidden="false" outlineLevel="0" max="1" min="1" style="0" width="7.96"/>
    <col collapsed="false" customWidth="true" hidden="false" outlineLevel="0" max="3" min="3" style="0" width="7.34"/>
    <col collapsed="false" customWidth="true" hidden="false" outlineLevel="0" max="5" min="4" style="0" width="7.1"/>
    <col collapsed="false" customWidth="true" hidden="false" outlineLevel="0" max="6" min="6" style="0" width="7.96"/>
    <col collapsed="false" customWidth="true" hidden="false" outlineLevel="0" max="7" min="7" style="0" width="7.71"/>
    <col collapsed="false" customWidth="true" hidden="false" outlineLevel="0" max="9" min="8" style="0" width="10.84"/>
    <col collapsed="false" customWidth="true" hidden="false" outlineLevel="0" max="10" min="10" style="0" width="6"/>
    <col collapsed="false" customWidth="true" hidden="false" outlineLevel="0" max="11" min="11" style="1" width="10.84"/>
    <col collapsed="false" customWidth="true" hidden="false" outlineLevel="0" max="12" min="12" style="1" width="11.88"/>
    <col collapsed="false" customWidth="true" hidden="false" outlineLevel="0" max="13" min="13" style="2" width="10.7"/>
    <col collapsed="false" customWidth="true" hidden="false" outlineLevel="0" max="14" min="14" style="3" width="10.7"/>
    <col collapsed="false" customWidth="true" hidden="false" outlineLevel="0" max="15" min="15" style="0" width="9.6"/>
    <col collapsed="false" customWidth="true" hidden="false" outlineLevel="0" max="18" min="18" style="0" width="11.14"/>
    <col collapsed="false" customWidth="true" hidden="false" outlineLevel="0" max="21" min="21" style="0" width="10.84"/>
    <col collapsed="false" customWidth="true" hidden="false" outlineLevel="0" max="24" min="24" style="0" width="15.23"/>
  </cols>
  <sheetData>
    <row r="1" customFormat="false" ht="48.5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7" t="s">
        <v>15</v>
      </c>
      <c r="Q1" s="8" t="s">
        <v>16</v>
      </c>
      <c r="R1" s="8" t="s">
        <v>17</v>
      </c>
    </row>
    <row r="2" customFormat="false" ht="15" hidden="false" customHeight="false" outlineLevel="0" collapsed="false">
      <c r="A2" s="0" t="n">
        <v>1</v>
      </c>
      <c r="B2" s="0" t="s">
        <v>18</v>
      </c>
      <c r="C2" s="0" t="s">
        <v>19</v>
      </c>
      <c r="D2" s="0" t="s">
        <v>20</v>
      </c>
      <c r="E2" s="0" t="s">
        <v>20</v>
      </c>
      <c r="F2" s="9" t="s">
        <v>21</v>
      </c>
      <c r="G2" s="0" t="n">
        <v>746</v>
      </c>
      <c r="H2" s="10" t="n">
        <v>43860</v>
      </c>
      <c r="I2" s="10" t="n">
        <v>44226</v>
      </c>
      <c r="J2" s="0" t="n">
        <f aca="false">DATEDIF(H2,I2,"Y")</f>
        <v>1</v>
      </c>
      <c r="K2" s="10" t="n">
        <v>43860</v>
      </c>
      <c r="L2" s="11" t="s">
        <v>22</v>
      </c>
      <c r="M2" s="1" t="n">
        <v>8500</v>
      </c>
      <c r="N2" s="2" t="n">
        <f aca="false">M2/1.2</f>
        <v>7083.33333333333</v>
      </c>
      <c r="O2" s="3" t="n">
        <f aca="false">IF(T_base_données_contrats[[#This Row],[Responsable]]="MMFA",((N2/J2)*0.025)/2,((N2/J2)*0.025)/3)</f>
        <v>88.5416666666667</v>
      </c>
      <c r="P2" s="8" t="n">
        <f aca="false">IF(OR(L2="annuelle",L2="à terme échu"),1,IF(L2="trimestrielle",4,IF(L2="semestrielle",2)))*J2</f>
        <v>1</v>
      </c>
      <c r="Q2" s="12" t="n">
        <f aca="false">(2.5*N2)/(P2*100*IF(B2="MMFA",2,3))</f>
        <v>88.5416666666666</v>
      </c>
      <c r="R2" s="13" t="n">
        <f aca="true">SUM(IF(TODAY()&gt;K2,TRUE()),INT(DATEDIF(H2,MIN(TODAY(),K2),"m")/12)*IF(L2="semestrielle",2,IF(L2="trimestrielle",4,1)))*Q2</f>
        <v>88.5416666666666</v>
      </c>
      <c r="U2" s="10" t="n">
        <f aca="true">TODAY()</f>
        <v>43908</v>
      </c>
      <c r="X2" s="9" t="s">
        <v>23</v>
      </c>
    </row>
    <row r="3" customFormat="false" ht="15" hidden="false" customHeight="false" outlineLevel="0" collapsed="false">
      <c r="A3" s="0" t="n">
        <v>2</v>
      </c>
      <c r="B3" s="0" t="s">
        <v>18</v>
      </c>
      <c r="C3" s="0" t="s">
        <v>24</v>
      </c>
      <c r="D3" s="0" t="s">
        <v>20</v>
      </c>
      <c r="E3" s="0" t="s">
        <v>20</v>
      </c>
      <c r="F3" s="9" t="s">
        <v>21</v>
      </c>
      <c r="G3" s="0" t="n">
        <v>504</v>
      </c>
      <c r="H3" s="10" t="n">
        <v>43858</v>
      </c>
      <c r="I3" s="10" t="n">
        <v>44589</v>
      </c>
      <c r="J3" s="0" t="n">
        <f aca="false">DATEDIF(H3,I3,"Y")</f>
        <v>2</v>
      </c>
      <c r="K3" s="10" t="n">
        <v>43858</v>
      </c>
      <c r="L3" s="11" t="s">
        <v>22</v>
      </c>
      <c r="M3" s="1" t="n">
        <v>22960</v>
      </c>
      <c r="N3" s="2" t="n">
        <f aca="false">M3/1.2</f>
        <v>19133.3333333333</v>
      </c>
      <c r="O3" s="3" t="n">
        <f aca="false">IF(T_base_données_contrats[[#This Row],[Responsable]]="MMFA",((N3/J3)*0.025)/2,((N3/J3)*0.025)/3)</f>
        <v>119.583333333333</v>
      </c>
      <c r="P3" s="8" t="n">
        <f aca="false">IF(OR(L3="annuelle",L3="à terme échu"),1,IF(L3="trimestrielle",4,IF(L3="semestrielle",2)))*J3</f>
        <v>2</v>
      </c>
      <c r="Q3" s="12" t="n">
        <f aca="false">(2.5*N3)/(P3*100*IF(B3="MMFA",2,3))</f>
        <v>119.583333333333</v>
      </c>
      <c r="R3" s="13" t="n">
        <f aca="true">SUM(IF(TODAY()&gt;K3,TRUE()),INT(DATEDIF(H3,MIN(TODAY(),K3),"m")/12)*IF(L3="semestrielle",2,IF(L3="trimestrielle",4,1)))*Q3</f>
        <v>119.583333333333</v>
      </c>
      <c r="X3" s="0" t="s">
        <v>22</v>
      </c>
    </row>
    <row r="4" customFormat="false" ht="15" hidden="false" customHeight="false" outlineLevel="0" collapsed="false">
      <c r="A4" s="0" t="n">
        <v>3</v>
      </c>
      <c r="B4" s="0" t="s">
        <v>18</v>
      </c>
      <c r="C4" s="0" t="s">
        <v>25</v>
      </c>
      <c r="D4" s="0" t="s">
        <v>20</v>
      </c>
      <c r="E4" s="0" t="s">
        <v>20</v>
      </c>
      <c r="F4" s="9" t="s">
        <v>21</v>
      </c>
      <c r="G4" s="0" t="n">
        <v>170</v>
      </c>
      <c r="H4" s="10" t="n">
        <v>43853</v>
      </c>
      <c r="I4" s="10" t="n">
        <v>44219</v>
      </c>
      <c r="J4" s="0" t="n">
        <f aca="false">DATEDIF(H4,I4,"Y")</f>
        <v>1</v>
      </c>
      <c r="K4" s="10" t="n">
        <v>43853</v>
      </c>
      <c r="L4" s="11" t="s">
        <v>22</v>
      </c>
      <c r="M4" s="1" t="n">
        <v>9000</v>
      </c>
      <c r="N4" s="2" t="n">
        <f aca="false">M4/1.2</f>
        <v>7500</v>
      </c>
      <c r="O4" s="3" t="n">
        <f aca="false">IF(T_base_données_contrats[[#This Row],[Responsable]]="MMFA",((N4/J4)*0.025)/2,((N4/J4)*0.025)/3)</f>
        <v>93.75</v>
      </c>
      <c r="P4" s="8" t="n">
        <f aca="false">IF(OR(L4="annuelle",L4="à terme échu"),1,IF(L4="trimestrielle",4,IF(L4="semestrielle",2)))*J4</f>
        <v>1</v>
      </c>
      <c r="Q4" s="12" t="n">
        <f aca="false">(2.5*N4)/(P4*100*IF(B4="MMFA",2,3))</f>
        <v>93.75</v>
      </c>
      <c r="R4" s="13" t="n">
        <f aca="true">SUM(IF(TODAY()&gt;K4,TRUE()),INT(DATEDIF(H4,MIN(TODAY(),K4),"m")/12)*IF(L4="semestrielle",2,IF(L4="trimestrielle",4,1)))*Q4</f>
        <v>93.75</v>
      </c>
      <c r="X4" s="0" t="s">
        <v>26</v>
      </c>
    </row>
    <row r="5" customFormat="false" ht="15" hidden="false" customHeight="false" outlineLevel="0" collapsed="false">
      <c r="A5" s="0" t="n">
        <v>4</v>
      </c>
      <c r="B5" s="0" t="s">
        <v>27</v>
      </c>
      <c r="C5" s="0" t="s">
        <v>28</v>
      </c>
      <c r="D5" s="0" t="s">
        <v>20</v>
      </c>
      <c r="E5" s="0" t="s">
        <v>20</v>
      </c>
      <c r="F5" s="9" t="s">
        <v>21</v>
      </c>
      <c r="G5" s="0" t="n">
        <v>555</v>
      </c>
      <c r="H5" s="10" t="n">
        <v>43906</v>
      </c>
      <c r="I5" s="10" t="n">
        <v>44636</v>
      </c>
      <c r="J5" s="0" t="n">
        <f aca="false">DATEDIF(H5,I5,"Y")</f>
        <v>2</v>
      </c>
      <c r="K5" s="10" t="n">
        <v>43906</v>
      </c>
      <c r="L5" s="11" t="s">
        <v>22</v>
      </c>
      <c r="M5" s="1" t="n">
        <v>23000</v>
      </c>
      <c r="N5" s="2" t="n">
        <f aca="false">M5/1.2</f>
        <v>19166.6666666667</v>
      </c>
      <c r="O5" s="3" t="n">
        <f aca="false">IF(T_base_données_contrats[[#This Row],[Responsable]]="MMFA",((N5/J5)*0.025)/2,((N5/J5)*0.025)/3)</f>
        <v>79.8611111111111</v>
      </c>
      <c r="P5" s="8" t="n">
        <f aca="false">IF(OR(L5="annuelle",L5="à terme échu"),1,IF(L5="trimestrielle",4,IF(L5="semestrielle",2)))*J5</f>
        <v>2</v>
      </c>
      <c r="Q5" s="12" t="n">
        <f aca="false">(2.5*N5)/(P5*100*IF(B5="MMFA",2,3))</f>
        <v>79.8611111111113</v>
      </c>
      <c r="R5" s="13" t="n">
        <f aca="true">SUM(IF(TODAY()&gt;K5,TRUE()),INT(DATEDIF(H5,MIN(TODAY(),K5),"m")/12)*IF(L5="semestrielle",2,IF(L5="trimestrielle",4,1)))*Q5</f>
        <v>79.8611111111113</v>
      </c>
      <c r="X5" s="0" t="s">
        <v>29</v>
      </c>
    </row>
    <row r="6" customFormat="false" ht="15" hidden="false" customHeight="false" outlineLevel="0" collapsed="false">
      <c r="A6" s="0" t="n">
        <v>5</v>
      </c>
      <c r="B6" s="0" t="s">
        <v>27</v>
      </c>
      <c r="C6" s="0" t="s">
        <v>30</v>
      </c>
      <c r="D6" s="0" t="s">
        <v>20</v>
      </c>
      <c r="E6" s="0" t="s">
        <v>20</v>
      </c>
      <c r="F6" s="9" t="s">
        <v>21</v>
      </c>
      <c r="G6" s="0" t="n">
        <v>1123</v>
      </c>
      <c r="H6" s="10" t="n">
        <v>43906</v>
      </c>
      <c r="I6" s="10" t="n">
        <v>45367</v>
      </c>
      <c r="J6" s="0" t="n">
        <f aca="false">DATEDIF(H6,I6,"Y")</f>
        <v>4</v>
      </c>
      <c r="K6" s="10" t="n">
        <v>43906</v>
      </c>
      <c r="L6" s="11" t="s">
        <v>22</v>
      </c>
      <c r="M6" s="1" t="n">
        <v>24000</v>
      </c>
      <c r="N6" s="2" t="n">
        <f aca="false">M6/1.2</f>
        <v>20000</v>
      </c>
      <c r="O6" s="3" t="n">
        <f aca="false">IF(T_base_données_contrats[[#This Row],[Responsable]]="MMFA",((N6/J6)*0.025)/2,((N6/J6)*0.025)/3)</f>
        <v>41.6666666666667</v>
      </c>
      <c r="P6" s="8" t="n">
        <f aca="false">IF(OR(L6="annuelle",L6="à terme échu"),1,IF(L6="trimestrielle",4,IF(L6="semestrielle",2)))*J6</f>
        <v>4</v>
      </c>
      <c r="Q6" s="12" t="n">
        <f aca="false">(2.5*N6)/(P6*100*IF(B6="MMFA",2,3))</f>
        <v>41.6666666666667</v>
      </c>
      <c r="R6" s="13" t="n">
        <f aca="true">SUM(IF(TODAY()&gt;K6,TRUE()),INT(DATEDIF(H6,MIN(TODAY(),K6),"m")/12)*IF(L6="semestrielle",2,IF(L6="trimestrielle",4,1)))*Q6</f>
        <v>41.6666666666667</v>
      </c>
      <c r="X6" s="0" t="s">
        <v>31</v>
      </c>
    </row>
    <row r="7" customFormat="false" ht="15" hidden="false" customHeight="false" outlineLevel="0" collapsed="false">
      <c r="A7" s="0" t="n">
        <v>6</v>
      </c>
      <c r="B7" s="0" t="s">
        <v>18</v>
      </c>
      <c r="C7" s="0" t="s">
        <v>32</v>
      </c>
      <c r="D7" s="0" t="s">
        <v>20</v>
      </c>
      <c r="E7" s="0" t="s">
        <v>20</v>
      </c>
      <c r="F7" s="9" t="s">
        <v>21</v>
      </c>
      <c r="G7" s="0" t="n">
        <v>124</v>
      </c>
      <c r="H7" s="10" t="n">
        <v>42850</v>
      </c>
      <c r="I7" s="10" t="n">
        <v>43946</v>
      </c>
      <c r="J7" s="0" t="n">
        <f aca="false">DATEDIF(H7,I7,"Y")</f>
        <v>3</v>
      </c>
      <c r="K7" s="10" t="n">
        <v>43946</v>
      </c>
      <c r="L7" s="11" t="s">
        <v>22</v>
      </c>
      <c r="M7" s="2" t="n">
        <v>18000</v>
      </c>
      <c r="N7" s="2" t="n">
        <f aca="false">M7/1.2</f>
        <v>15000</v>
      </c>
      <c r="O7" s="3" t="n">
        <f aca="false">IF(T_base_données_contrats[[#This Row],[Responsable]]="MMFA",((N7/J7)*0.025)/2,((N7/J7)*0.025)/3)</f>
        <v>62.5</v>
      </c>
      <c r="P7" s="8" t="n">
        <f aca="false">IF(OR(L7="annuelle",L7="à terme échu"),1,IF(L7="trimestrielle",4,IF(L7="semestrielle",2)))*J7</f>
        <v>3</v>
      </c>
      <c r="Q7" s="12" t="n">
        <f aca="false">(2.5*N7)/(P7*100*IF(B7="MMFA",2,3))</f>
        <v>62.5</v>
      </c>
      <c r="R7" s="13" t="n">
        <f aca="true">SUM(IF(TODAY()&gt;K7,TRUE()),INT(DATEDIF(H7,MIN(TODAY(),K7),"m")/12)*IF(L7="semestrielle",2,IF(L7="trimestrielle",4,1)))*Q7</f>
        <v>125</v>
      </c>
    </row>
    <row r="8" customFormat="false" ht="15" hidden="false" customHeight="false" outlineLevel="0" collapsed="false">
      <c r="A8" s="0" t="n">
        <v>7</v>
      </c>
      <c r="B8" s="0" t="s">
        <v>18</v>
      </c>
      <c r="C8" s="0" t="s">
        <v>33</v>
      </c>
      <c r="D8" s="0" t="s">
        <v>20</v>
      </c>
      <c r="E8" s="0" t="s">
        <v>20</v>
      </c>
      <c r="F8" s="9" t="s">
        <v>21</v>
      </c>
      <c r="G8" s="0" t="n">
        <v>543</v>
      </c>
      <c r="H8" s="10" t="n">
        <v>42901</v>
      </c>
      <c r="I8" s="10" t="n">
        <v>43997</v>
      </c>
      <c r="J8" s="0" t="n">
        <f aca="false">DATEDIF(H8,I8,"Y")</f>
        <v>3</v>
      </c>
      <c r="K8" s="10" t="n">
        <v>43997</v>
      </c>
      <c r="L8" s="11" t="s">
        <v>31</v>
      </c>
      <c r="M8" s="2" t="n">
        <v>5500</v>
      </c>
      <c r="N8" s="2" t="n">
        <f aca="false">M8/1.2</f>
        <v>4583.33333333333</v>
      </c>
      <c r="O8" s="3" t="n">
        <f aca="false">IF(T_base_données_contrats[[#This Row],[Responsable]]="MMFA",((N8/J8)*0.025)/2,((N8/J8)*0.025)/3)</f>
        <v>19.0972222222222</v>
      </c>
      <c r="P8" s="8" t="n">
        <f aca="false">IF(OR(L8="annuelle",L8="à terme échu"),1,IF(L8="trimestrielle",4,IF(L8="semestrielle",2)))*J8</f>
        <v>3</v>
      </c>
      <c r="Q8" s="12" t="n">
        <f aca="false">(2.5*N8)/(P8*100*IF(B8="MMFA",2,3))</f>
        <v>19.0972222222222</v>
      </c>
      <c r="R8" s="13" t="n">
        <f aca="true">SUM(IF(TODAY()&gt;K8,TRUE()),INT(DATEDIF(H8,MIN(TODAY(),K8),"m")/12)*IF(L8="semestrielle",2,IF(L8="trimestrielle",4,1)))*Q8</f>
        <v>38.1944444444444</v>
      </c>
    </row>
    <row r="9" customFormat="false" ht="15" hidden="false" customHeight="false" outlineLevel="0" collapsed="false">
      <c r="A9" s="0" t="n">
        <v>8</v>
      </c>
      <c r="B9" s="0" t="s">
        <v>18</v>
      </c>
      <c r="C9" s="0" t="s">
        <v>34</v>
      </c>
      <c r="D9" s="0" t="s">
        <v>20</v>
      </c>
      <c r="E9" s="0" t="s">
        <v>20</v>
      </c>
      <c r="F9" s="9" t="s">
        <v>21</v>
      </c>
      <c r="G9" s="0" t="n">
        <v>765</v>
      </c>
      <c r="H9" s="10" t="n">
        <v>42932</v>
      </c>
      <c r="I9" s="10" t="n">
        <v>44028</v>
      </c>
      <c r="J9" s="0" t="n">
        <f aca="false">DATEDIF(H9,I9,"Y")</f>
        <v>3</v>
      </c>
      <c r="K9" s="10" t="n">
        <v>44028</v>
      </c>
      <c r="L9" s="11" t="s">
        <v>29</v>
      </c>
      <c r="M9" s="2" t="n">
        <v>8500</v>
      </c>
      <c r="N9" s="2" t="n">
        <f aca="false">M9/1.2</f>
        <v>7083.33333333333</v>
      </c>
      <c r="O9" s="3" t="n">
        <f aca="false">IF(T_base_données_contrats[[#This Row],[Responsable]]="MMFA",((N9/J9)*0.025)/2,((N9/J9)*0.025)/3)</f>
        <v>29.5138888888889</v>
      </c>
      <c r="P9" s="8" t="n">
        <f aca="false">IF(OR(L9="annuelle",L9="à terme échu"),1,IF(L9="trimestrielle",4,IF(L9="semestrielle",2)))*J9</f>
        <v>12</v>
      </c>
      <c r="Q9" s="12" t="n">
        <f aca="false">(2.5*N9)/(P9*100*IF(B9="MMFA",2,3))</f>
        <v>7.37847222222222</v>
      </c>
      <c r="R9" s="13" t="n">
        <f aca="true">SUM(IF(TODAY()&gt;K9,TRUE()),INT(DATEDIF(H9,MIN(TODAY(),K9),"m")/12)*IF(L9="semestrielle",2,IF(L9="trimestrielle",4,1)))*Q9</f>
        <v>59.0277777777778</v>
      </c>
    </row>
    <row r="10" customFormat="false" ht="15" hidden="false" customHeight="false" outlineLevel="0" collapsed="false">
      <c r="A10" s="0" t="n">
        <v>9</v>
      </c>
      <c r="B10" s="0" t="s">
        <v>18</v>
      </c>
      <c r="C10" s="0" t="s">
        <v>35</v>
      </c>
      <c r="D10" s="0" t="s">
        <v>20</v>
      </c>
      <c r="E10" s="0" t="s">
        <v>20</v>
      </c>
      <c r="F10" s="9" t="s">
        <v>21</v>
      </c>
      <c r="G10" s="0" t="n">
        <v>432</v>
      </c>
      <c r="H10" s="10" t="n">
        <v>42940</v>
      </c>
      <c r="I10" s="10" t="n">
        <v>44036</v>
      </c>
      <c r="J10" s="0" t="n">
        <f aca="false">DATEDIF(H10,I10,"Y")</f>
        <v>3</v>
      </c>
      <c r="K10" s="10" t="n">
        <v>44036</v>
      </c>
      <c r="L10" s="11" t="s">
        <v>26</v>
      </c>
      <c r="M10" s="2" t="n">
        <v>10000</v>
      </c>
      <c r="N10" s="2" t="n">
        <f aca="false">M10/1.2</f>
        <v>8333.33333333333</v>
      </c>
      <c r="O10" s="3" t="n">
        <f aca="false">IF(T_base_données_contrats[[#This Row],[Responsable]]="MMFA",((N10/J10)*0.025)/2,((N10/J10)*0.025)/3)</f>
        <v>34.7222222222222</v>
      </c>
      <c r="P10" s="8" t="n">
        <f aca="false">IF(OR(L10="annuelle",L10="à terme échu"),1,IF(L10="trimestrielle",4,IF(L10="semestrielle",2)))*J10</f>
        <v>6</v>
      </c>
      <c r="Q10" s="12" t="n">
        <f aca="false">(2.5*N10)/(P10*100*IF(B10="MMFA",2,3))</f>
        <v>17.3611111111111</v>
      </c>
      <c r="R10" s="13" t="n">
        <f aca="true">SUM(IF(TODAY()&gt;K10,TRUE()),INT(DATEDIF(H10,MIN(TODAY(),K10),"m")/12)*IF(L10="semestrielle",2,IF(L10="trimestrielle",4,1)))*Q10</f>
        <v>69.4444444444444</v>
      </c>
    </row>
    <row r="11" customFormat="false" ht="15" hidden="false" customHeight="false" outlineLevel="0" collapsed="false">
      <c r="P11" s="14"/>
      <c r="Q11" s="14"/>
      <c r="R11" s="14"/>
    </row>
    <row r="12" customFormat="false" ht="15" hidden="false" customHeight="false" outlineLevel="0" collapsed="false">
      <c r="P12" s="14"/>
      <c r="Q12" s="15" t="s">
        <v>18</v>
      </c>
      <c r="R12" s="13" t="n">
        <f aca="false">SUMIF(B$2:B$10,Q12,R$2:R$10)</f>
        <v>593.541666666666</v>
      </c>
    </row>
    <row r="13" customFormat="false" ht="15" hidden="false" customHeight="false" outlineLevel="0" collapsed="false">
      <c r="P13" s="14"/>
      <c r="Q13" s="15" t="s">
        <v>27</v>
      </c>
      <c r="R13" s="13" t="n">
        <f aca="false">SUMIF(B$2:B$10,Q13,R$2:R$10)</f>
        <v>121.527777777778</v>
      </c>
    </row>
  </sheetData>
  <dataValidations count="1">
    <dataValidation allowBlank="true" operator="between" showDropDown="false" showErrorMessage="true" showInputMessage="true" sqref="L2:L10" type="list">
      <formula1>$X$3:$X$6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7:AD28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B12" activeCellId="0" sqref="B12"/>
    </sheetView>
  </sheetViews>
  <sheetFormatPr defaultColWidth="10.7890625" defaultRowHeight="16" zeroHeight="false" outlineLevelRow="0" outlineLevelCol="0"/>
  <cols>
    <col collapsed="false" customWidth="true" hidden="false" outlineLevel="0" max="13" min="2" style="0" width="16.13"/>
    <col collapsed="false" customWidth="true" hidden="false" outlineLevel="0" max="27" min="27" style="0" width="20.54"/>
    <col collapsed="false" customWidth="true" hidden="false" outlineLevel="0" max="28" min="28" style="0" width="20.2"/>
    <col collapsed="false" customWidth="true" hidden="false" outlineLevel="0" max="29" min="29" style="0" width="15.79"/>
  </cols>
  <sheetData>
    <row r="7" customFormat="false" ht="21" hidden="false" customHeight="false" outlineLevel="0" collapsed="false">
      <c r="B7" s="16" t="s">
        <v>36</v>
      </c>
      <c r="C7" s="0" t="n">
        <f aca="false" t="array" ref="C7:C7">INDEX(Liste_années[Année],D7,1)</f>
        <v>2020</v>
      </c>
      <c r="D7" s="0" t="n">
        <v>1</v>
      </c>
    </row>
    <row r="8" customFormat="false" ht="16" hidden="false" customHeight="false" outlineLevel="0" collapsed="false">
      <c r="Y8" s="9" t="s">
        <v>36</v>
      </c>
      <c r="AA8" s="17"/>
      <c r="AB8" s="18"/>
      <c r="AC8" s="19" t="s">
        <v>37</v>
      </c>
      <c r="AD8" s="20"/>
    </row>
    <row r="9" customFormat="false" ht="16" hidden="false" customHeight="false" outlineLevel="0" collapsed="false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Y9" s="0" t="n">
        <v>2020</v>
      </c>
      <c r="AA9" s="22" t="s">
        <v>0</v>
      </c>
      <c r="AB9" s="23" t="s">
        <v>10</v>
      </c>
      <c r="AC9" s="24" t="s">
        <v>38</v>
      </c>
      <c r="AD9" s="25" t="s">
        <v>39</v>
      </c>
    </row>
    <row r="10" customFormat="false" ht="16" hidden="false" customHeight="false" outlineLevel="0" collapsed="false">
      <c r="Y10" s="0" t="n">
        <v>2021</v>
      </c>
      <c r="AA10" s="26" t="n">
        <v>1</v>
      </c>
      <c r="AB10" s="27"/>
      <c r="AC10" s="28" t="n">
        <v>7083.33333333333</v>
      </c>
      <c r="AD10" s="29" t="n">
        <v>1</v>
      </c>
    </row>
    <row r="11" customFormat="false" ht="21" hidden="false" customHeight="false" outlineLevel="0" collapsed="false">
      <c r="B11" s="30" t="str">
        <f aca="false">TEXT(DATE($C$7,1,1),"mmmm")</f>
        <v>janvier</v>
      </c>
      <c r="C11" s="30" t="str">
        <f aca="false">TEXT(DATE($C$7,2,1),"mmmm")</f>
        <v>février</v>
      </c>
      <c r="D11" s="30" t="str">
        <f aca="false">TEXT(DATE($C$7,3,1),"mmmm")</f>
        <v>mars</v>
      </c>
      <c r="E11" s="30" t="str">
        <f aca="false">TEXT(DATE($C$7,4,1),"mmmm")</f>
        <v>avril</v>
      </c>
      <c r="F11" s="30" t="str">
        <f aca="false">TEXT(DATE($C$7,5,1),"mmmm")</f>
        <v>mai</v>
      </c>
      <c r="G11" s="30" t="str">
        <f aca="false">TEXT(DATE($C$7,6,1),"mmmm")</f>
        <v>juin</v>
      </c>
      <c r="H11" s="30" t="str">
        <f aca="false">TEXT(DATE($C$7,7,1),"mmmm")</f>
        <v>juillet</v>
      </c>
      <c r="I11" s="30" t="str">
        <f aca="false">TEXT(DATE($C$7,8,1),"mmmm")</f>
        <v>août</v>
      </c>
      <c r="J11" s="30" t="str">
        <f aca="false">TEXT(DATE($C$7,9,1),"mmmm")</f>
        <v>septembre</v>
      </c>
      <c r="K11" s="30" t="str">
        <f aca="false">TEXT(DATE($C$7,10,1),"mmmm")</f>
        <v>octobre</v>
      </c>
      <c r="L11" s="30" t="str">
        <f aca="false">TEXT(DATE($C$7,11,1),"mmmm")</f>
        <v>novembre</v>
      </c>
      <c r="M11" s="30" t="str">
        <f aca="false">TEXT(DATE($C$7,12,1),"mmmm")</f>
        <v>décembre</v>
      </c>
      <c r="Y11" s="0" t="n">
        <v>2022</v>
      </c>
      <c r="AA11" s="31"/>
      <c r="AB11" s="32" t="n">
        <v>43860</v>
      </c>
      <c r="AC11" s="33" t="n">
        <v>7083.33333333333</v>
      </c>
      <c r="AD11" s="34" t="n">
        <v>1</v>
      </c>
    </row>
    <row r="12" customFormat="false" ht="16" hidden="false" customHeight="false" outlineLevel="0" collapsed="false">
      <c r="B12" s="0" t="n">
        <f aca="false">SUMIF(AA:AC,VLOOKUP(MONTH(1),AA:AC,2,1))</f>
        <v>177.083333333333</v>
      </c>
      <c r="Y12" s="0" t="n">
        <v>2023</v>
      </c>
      <c r="AA12" s="26" t="n">
        <v>2</v>
      </c>
      <c r="AB12" s="27"/>
      <c r="AC12" s="28" t="n">
        <v>19133.3333333333</v>
      </c>
      <c r="AD12" s="29" t="n">
        <v>2</v>
      </c>
    </row>
    <row r="13" customFormat="false" ht="16" hidden="false" customHeight="false" outlineLevel="0" collapsed="false">
      <c r="Y13" s="0" t="n">
        <v>2024</v>
      </c>
      <c r="AA13" s="31"/>
      <c r="AB13" s="32" t="n">
        <v>43858</v>
      </c>
      <c r="AC13" s="33" t="n">
        <v>19133.3333333333</v>
      </c>
      <c r="AD13" s="34" t="n">
        <v>2</v>
      </c>
    </row>
    <row r="14" customFormat="false" ht="16" hidden="false" customHeight="false" outlineLevel="0" collapsed="false">
      <c r="AA14" s="26" t="n">
        <v>3</v>
      </c>
      <c r="AB14" s="27"/>
      <c r="AC14" s="28" t="n">
        <v>7500</v>
      </c>
      <c r="AD14" s="29" t="n">
        <v>1</v>
      </c>
    </row>
    <row r="15" customFormat="false" ht="16" hidden="false" customHeight="false" outlineLevel="0" collapsed="false">
      <c r="AA15" s="31"/>
      <c r="AB15" s="32" t="n">
        <v>43853</v>
      </c>
      <c r="AC15" s="33" t="n">
        <v>7500</v>
      </c>
      <c r="AD15" s="34" t="n">
        <v>1</v>
      </c>
    </row>
    <row r="16" customFormat="false" ht="16" hidden="false" customHeight="false" outlineLevel="0" collapsed="false">
      <c r="AA16" s="26" t="n">
        <v>4</v>
      </c>
      <c r="AB16" s="27"/>
      <c r="AC16" s="28" t="n">
        <v>19166.6666666667</v>
      </c>
      <c r="AD16" s="29" t="n">
        <v>2</v>
      </c>
    </row>
    <row r="17" customFormat="false" ht="16" hidden="false" customHeight="false" outlineLevel="0" collapsed="false">
      <c r="AA17" s="31"/>
      <c r="AB17" s="32" t="n">
        <v>43906</v>
      </c>
      <c r="AC17" s="33" t="n">
        <v>19166.6666666667</v>
      </c>
      <c r="AD17" s="34" t="n">
        <v>2</v>
      </c>
    </row>
    <row r="18" customFormat="false" ht="16" hidden="false" customHeight="false" outlineLevel="0" collapsed="false">
      <c r="AA18" s="26" t="n">
        <v>5</v>
      </c>
      <c r="AB18" s="27"/>
      <c r="AC18" s="28" t="n">
        <v>20000</v>
      </c>
      <c r="AD18" s="29" t="n">
        <v>4</v>
      </c>
    </row>
    <row r="19" customFormat="false" ht="16" hidden="false" customHeight="false" outlineLevel="0" collapsed="false">
      <c r="AA19" s="31"/>
      <c r="AB19" s="32" t="n">
        <v>43906</v>
      </c>
      <c r="AC19" s="33" t="n">
        <v>20000</v>
      </c>
      <c r="AD19" s="34" t="n">
        <v>4</v>
      </c>
    </row>
    <row r="20" customFormat="false" ht="16" hidden="false" customHeight="false" outlineLevel="0" collapsed="false">
      <c r="AA20" s="26" t="n">
        <v>6</v>
      </c>
      <c r="AB20" s="27"/>
      <c r="AC20" s="28" t="n">
        <v>15000</v>
      </c>
      <c r="AD20" s="29" t="n">
        <v>2</v>
      </c>
    </row>
    <row r="21" customFormat="false" ht="16" hidden="false" customHeight="false" outlineLevel="0" collapsed="false">
      <c r="AA21" s="31"/>
      <c r="AB21" s="32" t="n">
        <v>43946</v>
      </c>
      <c r="AC21" s="33" t="n">
        <v>15000</v>
      </c>
      <c r="AD21" s="34" t="n">
        <v>2</v>
      </c>
    </row>
    <row r="22" customFormat="false" ht="16" hidden="false" customHeight="false" outlineLevel="0" collapsed="false">
      <c r="AA22" s="26" t="n">
        <v>7</v>
      </c>
      <c r="AB22" s="27"/>
      <c r="AC22" s="28" t="n">
        <v>4583.33333333333</v>
      </c>
      <c r="AD22" s="29" t="n">
        <v>1</v>
      </c>
    </row>
    <row r="23" customFormat="false" ht="16" hidden="false" customHeight="false" outlineLevel="0" collapsed="false">
      <c r="AA23" s="31"/>
      <c r="AB23" s="32" t="n">
        <v>44362</v>
      </c>
      <c r="AC23" s="33" t="n">
        <v>4583.33333333333</v>
      </c>
      <c r="AD23" s="34" t="n">
        <v>1</v>
      </c>
    </row>
    <row r="24" customFormat="false" ht="16" hidden="false" customHeight="false" outlineLevel="0" collapsed="false">
      <c r="AA24" s="26" t="n">
        <v>8</v>
      </c>
      <c r="AB24" s="27"/>
      <c r="AC24" s="28" t="n">
        <v>7083.33333333333</v>
      </c>
      <c r="AD24" s="29" t="n">
        <v>2</v>
      </c>
    </row>
    <row r="25" customFormat="false" ht="16" hidden="false" customHeight="false" outlineLevel="0" collapsed="false">
      <c r="AA25" s="31"/>
      <c r="AB25" s="32" t="n">
        <v>44028</v>
      </c>
      <c r="AC25" s="33" t="n">
        <v>7083.33333333333</v>
      </c>
      <c r="AD25" s="34" t="n">
        <v>2</v>
      </c>
    </row>
    <row r="26" customFormat="false" ht="16" hidden="false" customHeight="false" outlineLevel="0" collapsed="false">
      <c r="AA26" s="26" t="n">
        <v>9</v>
      </c>
      <c r="AB26" s="27"/>
      <c r="AC26" s="28" t="n">
        <v>8333.33333333333</v>
      </c>
      <c r="AD26" s="29" t="n">
        <v>3</v>
      </c>
    </row>
    <row r="27" customFormat="false" ht="16" hidden="false" customHeight="false" outlineLevel="0" collapsed="false">
      <c r="AA27" s="31"/>
      <c r="AB27" s="32" t="n">
        <v>44036</v>
      </c>
      <c r="AC27" s="33" t="n">
        <v>8333.33333333333</v>
      </c>
      <c r="AD27" s="34" t="n">
        <v>3</v>
      </c>
    </row>
    <row r="28" customFormat="false" ht="16" hidden="false" customHeight="false" outlineLevel="0" collapsed="false">
      <c r="AA28" s="35" t="s">
        <v>40</v>
      </c>
      <c r="AB28" s="36"/>
      <c r="AC28" s="37" t="n">
        <v>107883.333333333</v>
      </c>
      <c r="AD28" s="38" t="n">
        <v>18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2020-03-18T22:02:47Z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