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vbaProject.bin" ContentType="application/vnd.ms-office.vbaProject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odèle" sheetId="1" state="visible" r:id="rId3"/>
    <sheet name="Evap profroid" sheetId="2" state="visible" r:id="rId4"/>
    <sheet name="Feuil1" sheetId="3" state="visible" r:id="rId5"/>
  </sheets>
  <definedNames>
    <definedName function="false" hidden="false" localSheetId="0" name="_xlnm.Print_Area" vbProcedure="false">Modèle!$A$1:$N$100</definedName>
    <definedName function="false" hidden="false" name="Excel_BuiltIn_Print_Area_2" vbProcedure="false">"$#REF !.$A$1:$M$88"</definedName>
    <definedName function="false" hidden="false" name="Excel_BuiltIn_Print_Area_3" vbProcedure="false">"$#REF !.$A$1:$M$87"</definedName>
    <definedName function="false" hidden="false" name="Excel_BuiltIn_Print_Area_4" vbProcedure="false">"$#REF !.$A$1:$M$87"</definedName>
    <definedName function="false" hidden="false" name="Excel_BuiltIn_Print_Area_5" vbProcedure="false">"$#REF !.$A$1:$M$87"</definedName>
    <definedName function="false" hidden="false" name="Excel_BuiltIn_Print_Area_6" vbProcedure="false">"$#REF !.$A$1:$M$87"</definedName>
    <definedName function="false" hidden="false" name="_xlfn_SUMIFS" vbProcedure="false">NA()</definedName>
    <definedName function="false" hidden="false" localSheetId="0" name="Excel_BuiltIn__FilterDatabase" vbProcedure="false">Modèle!$E$30:$I$38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<sst xmlns="http://schemas.openxmlformats.org/spreadsheetml/2006/main" count="553" uniqueCount="304">
  <si>
    <t xml:space="preserve">BILAN THERMIQUE</t>
  </si>
  <si>
    <t xml:space="preserve">Dimension intérieures</t>
  </si>
  <si>
    <t xml:space="preserve">Conditions de base</t>
  </si>
  <si>
    <t xml:space="preserve">Longueur</t>
  </si>
  <si>
    <t xml:space="preserve">Largeur</t>
  </si>
  <si>
    <t xml:space="preserve">Hauteur</t>
  </si>
  <si>
    <t xml:space="preserve">Surface sol</t>
  </si>
  <si>
    <t xml:space="preserve">Surface murs</t>
  </si>
  <si>
    <t xml:space="preserve">Volume</t>
  </si>
  <si>
    <t xml:space="preserve">Intérieure</t>
  </si>
  <si>
    <t xml:space="preserve">Extérieure</t>
  </si>
  <si>
    <t xml:space="preserve">Plafond</t>
  </si>
  <si>
    <t xml:space="preserve">Sol</t>
  </si>
  <si>
    <t xml:space="preserve"> T (°C)</t>
  </si>
  <si>
    <t xml:space="preserve">m</t>
  </si>
  <si>
    <t xml:space="preserve">m²</t>
  </si>
  <si>
    <r>
      <rPr>
        <sz val="12"/>
        <rFont val="Arial"/>
        <family val="2"/>
      </rPr>
      <t xml:space="preserve">m</t>
    </r>
    <r>
      <rPr>
        <vertAlign val="superscript"/>
        <sz val="10"/>
        <rFont val="Arial"/>
        <family val="2"/>
      </rPr>
      <t xml:space="preserve">3</t>
    </r>
  </si>
  <si>
    <t xml:space="preserve"> H.R.(%)</t>
  </si>
  <si>
    <r>
      <rPr>
        <sz val="12"/>
        <rFont val="Arial"/>
        <family val="2"/>
      </rPr>
      <t xml:space="preserve"> h (kJ.kg</t>
    </r>
    <r>
      <rPr>
        <vertAlign val="superscript"/>
        <sz val="10"/>
        <rFont val="Arial"/>
        <family val="2"/>
      </rPr>
      <t xml:space="preserve">-1</t>
    </r>
    <r>
      <rPr>
        <sz val="10"/>
        <rFont val="Arial"/>
        <family val="2"/>
      </rPr>
      <t xml:space="preserve">)</t>
    </r>
  </si>
  <si>
    <t xml:space="preserve"> Base de temps (h)</t>
  </si>
  <si>
    <t xml:space="preserve">soit t =</t>
  </si>
  <si>
    <t xml:space="preserve">secondes</t>
  </si>
  <si>
    <r>
      <rPr>
        <sz val="12"/>
        <rFont val="Arial"/>
        <family val="2"/>
      </rPr>
      <t xml:space="preserve"> w (kg.kg</t>
    </r>
    <r>
      <rPr>
        <vertAlign val="superscript"/>
        <sz val="10"/>
        <rFont val="Arial"/>
        <family val="2"/>
      </rPr>
      <t xml:space="preserve">-1</t>
    </r>
    <r>
      <rPr>
        <sz val="10"/>
        <rFont val="Arial"/>
        <family val="2"/>
      </rPr>
      <t xml:space="preserve">)</t>
    </r>
  </si>
  <si>
    <r>
      <rPr>
        <sz val="12"/>
        <rFont val="Arial"/>
        <family val="2"/>
      </rPr>
      <t xml:space="preserve"> v" (m</t>
    </r>
    <r>
      <rPr>
        <vertAlign val="superscript"/>
        <sz val="10"/>
        <rFont val="Arial"/>
        <family val="2"/>
      </rPr>
      <t xml:space="preserve">3</t>
    </r>
    <r>
      <rPr>
        <sz val="10"/>
        <rFont val="Arial"/>
        <family val="2"/>
      </rPr>
      <t xml:space="preserve">.kg</t>
    </r>
    <r>
      <rPr>
        <vertAlign val="superscript"/>
        <sz val="10"/>
        <rFont val="Arial"/>
        <family val="2"/>
      </rPr>
      <t xml:space="preserve">-1</t>
    </r>
    <r>
      <rPr>
        <sz val="10"/>
        <rFont val="Arial"/>
        <family val="2"/>
      </rPr>
      <t xml:space="preserve">)</t>
    </r>
  </si>
  <si>
    <t xml:space="preserve"> Pv sat (Pa)</t>
  </si>
  <si>
    <t xml:space="preserve">Positif</t>
  </si>
  <si>
    <t xml:space="preserve">Double flux DF</t>
  </si>
  <si>
    <t xml:space="preserve">Evaporateur :</t>
  </si>
  <si>
    <t xml:space="preserve">  APPORTS PAR LES PAROIS</t>
  </si>
  <si>
    <r>
      <rPr>
        <sz val="12"/>
        <rFont val="Arial"/>
        <family val="2"/>
      </rPr>
      <t xml:space="preserve">Coeff. K (W.m</t>
    </r>
    <r>
      <rPr>
        <vertAlign val="superscript"/>
        <sz val="10"/>
        <rFont val="Arial"/>
        <family val="2"/>
      </rPr>
      <t xml:space="preserve">-2</t>
    </r>
    <r>
      <rPr>
        <sz val="10"/>
        <rFont val="Arial"/>
        <family val="2"/>
      </rPr>
      <t xml:space="preserve">.K</t>
    </r>
    <r>
      <rPr>
        <vertAlign val="superscript"/>
        <sz val="10"/>
        <rFont val="Arial"/>
        <family val="2"/>
      </rPr>
      <t xml:space="preserve">-1</t>
    </r>
    <r>
      <rPr>
        <sz val="10"/>
        <rFont val="Arial"/>
        <family val="2"/>
      </rPr>
      <t xml:space="preserve">)</t>
    </r>
  </si>
  <si>
    <t xml:space="preserve">mur 1</t>
  </si>
  <si>
    <t xml:space="preserve">valeur/défaut =</t>
  </si>
  <si>
    <r>
      <rPr>
        <sz val="12"/>
        <rFont val="Arial"/>
        <family val="2"/>
      </rPr>
      <t xml:space="preserve">W.m</t>
    </r>
    <r>
      <rPr>
        <vertAlign val="superscript"/>
        <sz val="10"/>
        <rFont val="Arial"/>
        <family val="2"/>
      </rPr>
      <t xml:space="preserve">-2</t>
    </r>
    <r>
      <rPr>
        <sz val="10"/>
        <rFont val="Arial"/>
        <family val="2"/>
      </rPr>
      <t xml:space="preserve">.K</t>
    </r>
    <r>
      <rPr>
        <vertAlign val="superscript"/>
        <sz val="10"/>
        <rFont val="Arial"/>
        <family val="2"/>
      </rPr>
      <t xml:space="preserve">-1</t>
    </r>
    <r>
      <rPr>
        <sz val="10"/>
        <rFont val="Arial"/>
        <family val="2"/>
      </rPr>
      <t xml:space="preserve"> (fonction de T° int)</t>
    </r>
  </si>
  <si>
    <t xml:space="preserve">mur 2</t>
  </si>
  <si>
    <t xml:space="preserve">mur 3</t>
  </si>
  <si>
    <t xml:space="preserve">mur 4</t>
  </si>
  <si>
    <t xml:space="preserve">plafond</t>
  </si>
  <si>
    <t xml:space="preserve">sol</t>
  </si>
  <si>
    <t xml:space="preserve"> murs verticaux</t>
  </si>
  <si>
    <r>
      <rPr>
        <sz val="10"/>
        <rFont val="Arial"/>
        <family val="2"/>
      </rPr>
      <t xml:space="preserve">Qp1 = K</t>
    </r>
    <r>
      <rPr>
        <vertAlign val="subscript"/>
        <sz val="10"/>
        <rFont val="Arial"/>
        <family val="2"/>
      </rPr>
      <t xml:space="preserve">mur</t>
    </r>
    <r>
      <rPr>
        <sz val="10"/>
        <rFont val="Arial"/>
        <family val="2"/>
      </rPr>
      <t xml:space="preserve"> x S</t>
    </r>
    <r>
      <rPr>
        <vertAlign val="subscript"/>
        <sz val="10"/>
        <rFont val="Arial"/>
        <family val="2"/>
      </rPr>
      <t xml:space="preserve">mur</t>
    </r>
    <r>
      <rPr>
        <sz val="10"/>
        <rFont val="Arial"/>
        <family val="2"/>
      </rPr>
      <t xml:space="preserve"> x DT</t>
    </r>
    <r>
      <rPr>
        <vertAlign val="subscript"/>
        <sz val="10"/>
        <rFont val="Arial"/>
        <family val="2"/>
      </rPr>
      <t xml:space="preserve">mur</t>
    </r>
    <r>
      <rPr>
        <sz val="10"/>
        <rFont val="Arial"/>
        <family val="2"/>
      </rPr>
      <t xml:space="preserve"> x t</t>
    </r>
  </si>
  <si>
    <t xml:space="preserve">kJ</t>
  </si>
  <si>
    <t xml:space="preserve"> plafond</t>
  </si>
  <si>
    <r>
      <rPr>
        <sz val="10"/>
        <rFont val="Arial"/>
        <family val="2"/>
      </rPr>
      <t xml:space="preserve">Qp2 = K</t>
    </r>
    <r>
      <rPr>
        <vertAlign val="subscript"/>
        <sz val="10"/>
        <rFont val="Arial"/>
        <family val="2"/>
      </rPr>
      <t xml:space="preserve">plafond</t>
    </r>
    <r>
      <rPr>
        <sz val="10"/>
        <rFont val="Arial"/>
        <family val="2"/>
      </rPr>
      <t xml:space="preserve"> x S</t>
    </r>
    <r>
      <rPr>
        <vertAlign val="subscript"/>
        <sz val="10"/>
        <rFont val="Arial"/>
        <family val="2"/>
      </rPr>
      <t xml:space="preserve">plafond</t>
    </r>
    <r>
      <rPr>
        <sz val="10"/>
        <rFont val="Arial"/>
        <family val="2"/>
      </rPr>
      <t xml:space="preserve"> x DT</t>
    </r>
    <r>
      <rPr>
        <vertAlign val="subscript"/>
        <sz val="10"/>
        <rFont val="Arial"/>
        <family val="2"/>
      </rPr>
      <t xml:space="preserve">plafond</t>
    </r>
    <r>
      <rPr>
        <sz val="10"/>
        <rFont val="Arial"/>
        <family val="2"/>
      </rPr>
      <t xml:space="preserve"> x t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</si>
  <si>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parois</t>
    </r>
  </si>
  <si>
    <t xml:space="preserve">kW</t>
  </si>
  <si>
    <t xml:space="preserve"> sol</t>
  </si>
  <si>
    <r>
      <rPr>
        <sz val="10"/>
        <rFont val="Arial"/>
        <family val="2"/>
      </rPr>
      <t xml:space="preserve">Qp3 = K</t>
    </r>
    <r>
      <rPr>
        <vertAlign val="subscript"/>
        <sz val="10"/>
        <rFont val="Arial"/>
        <family val="2"/>
      </rPr>
      <t xml:space="preserve">sol</t>
    </r>
    <r>
      <rPr>
        <sz val="10"/>
        <rFont val="Arial"/>
        <family val="2"/>
      </rPr>
      <t xml:space="preserve"> x S</t>
    </r>
    <r>
      <rPr>
        <vertAlign val="subscript"/>
        <sz val="10"/>
        <rFont val="Arial"/>
        <family val="2"/>
      </rPr>
      <t xml:space="preserve">sol</t>
    </r>
    <r>
      <rPr>
        <sz val="10"/>
        <rFont val="Arial"/>
        <family val="2"/>
      </rPr>
      <t xml:space="preserve"> x DT</t>
    </r>
    <r>
      <rPr>
        <vertAlign val="subscript"/>
        <sz val="10"/>
        <rFont val="Arial"/>
        <family val="2"/>
      </rPr>
      <t xml:space="preserve">sol</t>
    </r>
    <r>
      <rPr>
        <sz val="10"/>
        <rFont val="Arial"/>
        <family val="2"/>
      </rPr>
      <t xml:space="preserve"> x t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</si>
  <si>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parois</t>
    </r>
    <r>
      <rPr>
        <sz val="10"/>
        <rFont val="Arial"/>
        <family val="2"/>
      </rPr>
      <t xml:space="preserve">/Q</t>
    </r>
    <r>
      <rPr>
        <vertAlign val="subscript"/>
        <sz val="10"/>
        <rFont val="Arial"/>
        <family val="2"/>
      </rPr>
      <t xml:space="preserve">total</t>
    </r>
  </si>
  <si>
    <t xml:space="preserve">%</t>
  </si>
  <si>
    <t xml:space="preserve">  APPORTS PAR LES DENRÉES</t>
  </si>
  <si>
    <t xml:space="preserve">Quantité introduite / base de temps (kg)</t>
  </si>
  <si>
    <r>
      <rPr>
        <sz val="12"/>
        <rFont val="Arial"/>
        <family val="2"/>
      </rPr>
      <t xml:space="preserve">kg/base de temps (25 kg.m</t>
    </r>
    <r>
      <rPr>
        <vertAlign val="superscript"/>
        <sz val="10"/>
        <rFont val="Arial"/>
        <family val="2"/>
      </rPr>
      <t xml:space="preserve">-3</t>
    </r>
    <r>
      <rPr>
        <sz val="10"/>
        <rFont val="Arial"/>
        <family val="2"/>
      </rPr>
      <t xml:space="preserve">)</t>
    </r>
  </si>
  <si>
    <t xml:space="preserve">quantité stockée</t>
  </si>
  <si>
    <t xml:space="preserve">Type de denrées </t>
  </si>
  <si>
    <t xml:space="preserve">Température d'introduction</t>
  </si>
  <si>
    <t xml:space="preserve">°C</t>
  </si>
  <si>
    <t xml:space="preserve">Température de sortie ou de stockage</t>
  </si>
  <si>
    <t xml:space="preserve">°C par défaut =</t>
  </si>
  <si>
    <t xml:space="preserve">°C (température intérieure)</t>
  </si>
  <si>
    <t xml:space="preserve">Chaleur massique avant congélation C1</t>
  </si>
  <si>
    <r>
      <rPr>
        <sz val="12"/>
        <rFont val="Arial"/>
        <family val="2"/>
      </rPr>
      <t xml:space="preserve">kJ.kg</t>
    </r>
    <r>
      <rPr>
        <vertAlign val="superscript"/>
        <sz val="10"/>
        <rFont val="Arial"/>
        <family val="2"/>
      </rPr>
      <t xml:space="preserve">-1</t>
    </r>
    <r>
      <rPr>
        <sz val="10"/>
        <rFont val="Arial"/>
        <family val="2"/>
      </rPr>
      <t xml:space="preserve">.K</t>
    </r>
    <r>
      <rPr>
        <vertAlign val="superscript"/>
        <sz val="10"/>
        <rFont val="Arial"/>
        <family val="2"/>
      </rPr>
      <t xml:space="preserve">-1</t>
    </r>
  </si>
  <si>
    <t xml:space="preserve">DT1 =</t>
  </si>
  <si>
    <t xml:space="preserve">K</t>
  </si>
  <si>
    <t xml:space="preserve">Chaleur de respiration</t>
  </si>
  <si>
    <t xml:space="preserve">Chaleur latente de congélation L</t>
  </si>
  <si>
    <r>
      <rPr>
        <sz val="12"/>
        <rFont val="Arial"/>
        <family val="2"/>
      </rPr>
      <t xml:space="preserve">kJ.kg</t>
    </r>
    <r>
      <rPr>
        <vertAlign val="superscript"/>
        <sz val="10"/>
        <rFont val="Arial"/>
        <family val="2"/>
      </rPr>
      <t xml:space="preserve">-1</t>
    </r>
  </si>
  <si>
    <t xml:space="preserve">T°cong. =</t>
  </si>
  <si>
    <t xml:space="preserve">Chaleur massique après congélation C2</t>
  </si>
  <si>
    <t xml:space="preserve">DT2 =</t>
  </si>
  <si>
    <t xml:space="preserve"> avant congélation            QD1 = m x C1 x DT1</t>
  </si>
  <si>
    <t xml:space="preserve"> respiration                         QD= m x R</t>
  </si>
  <si>
    <t xml:space="preserve"> pendant la congélation    QD2 = m x L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</si>
  <si>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denrées</t>
    </r>
  </si>
  <si>
    <t xml:space="preserve"> après la congélation        QD3 = m x C2 x DT2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</si>
  <si>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denrées</t>
    </r>
    <r>
      <rPr>
        <sz val="10"/>
        <rFont val="Arial"/>
        <family val="2"/>
      </rPr>
      <t xml:space="preserve">/Q</t>
    </r>
    <r>
      <rPr>
        <vertAlign val="subscript"/>
        <sz val="10"/>
        <rFont val="Arial"/>
        <family val="2"/>
      </rPr>
      <t xml:space="preserve">total</t>
    </r>
  </si>
  <si>
    <t xml:space="preserve">  APPORTS PAR L'EMBALLAGE</t>
  </si>
  <si>
    <t xml:space="preserve">kg/base de temps (20 % des denrées)</t>
  </si>
  <si>
    <t xml:space="preserve">Chaleur massique C</t>
  </si>
  <si>
    <t xml:space="preserve">DT =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</si>
  <si>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emballage</t>
    </r>
  </si>
  <si>
    <t xml:space="preserve"> kW</t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</si>
  <si>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emballage</t>
    </r>
    <r>
      <rPr>
        <sz val="10"/>
        <rFont val="Arial"/>
        <family val="2"/>
      </rPr>
      <t xml:space="preserve"> = m x C x DT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</si>
  <si>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emballage</t>
    </r>
    <r>
      <rPr>
        <sz val="10"/>
        <rFont val="Arial"/>
        <family val="2"/>
      </rPr>
      <t xml:space="preserve">/Q</t>
    </r>
    <r>
      <rPr>
        <vertAlign val="subscript"/>
        <sz val="10"/>
        <rFont val="Arial"/>
        <family val="2"/>
      </rPr>
      <t xml:space="preserve">total</t>
    </r>
  </si>
  <si>
    <t xml:space="preserve">  APPORTS PAR L'ÉCLAIRAGE</t>
  </si>
  <si>
    <t xml:space="preserve">Puissance installée</t>
  </si>
  <si>
    <r>
      <rPr>
        <sz val="12"/>
        <rFont val="Arial"/>
        <family val="2"/>
      </rPr>
      <t xml:space="preserve">W.m</t>
    </r>
    <r>
      <rPr>
        <vertAlign val="superscript"/>
        <sz val="10"/>
        <rFont val="Arial"/>
        <family val="2"/>
      </rPr>
      <t xml:space="preserve">-2</t>
    </r>
    <r>
      <rPr>
        <sz val="10"/>
        <rFont val="Arial"/>
        <family val="2"/>
      </rPr>
      <t xml:space="preserve"> de surface au sol</t>
    </r>
  </si>
  <si>
    <t xml:space="preserve">Durée d'éclairage</t>
  </si>
  <si>
    <t xml:space="preserve">h         soit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</si>
  <si>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éclairage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</si>
  <si>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éclairage</t>
    </r>
    <r>
      <rPr>
        <sz val="10"/>
        <rFont val="Arial"/>
        <family val="2"/>
      </rPr>
      <t xml:space="preserve"> = P x S</t>
    </r>
    <r>
      <rPr>
        <vertAlign val="subscript"/>
        <sz val="10"/>
        <rFont val="Arial"/>
        <family val="2"/>
      </rPr>
      <t xml:space="preserve">sol</t>
    </r>
    <r>
      <rPr>
        <sz val="10"/>
        <rFont val="Arial"/>
        <family val="2"/>
      </rPr>
      <t xml:space="preserve"> x t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</si>
  <si>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éclairage</t>
    </r>
    <r>
      <rPr>
        <sz val="10"/>
        <rFont val="Arial"/>
        <family val="2"/>
      </rPr>
      <t xml:space="preserve">/Q</t>
    </r>
    <r>
      <rPr>
        <vertAlign val="subscript"/>
        <sz val="10"/>
        <rFont val="Arial"/>
        <family val="2"/>
      </rPr>
      <t xml:space="preserve">total</t>
    </r>
  </si>
  <si>
    <t xml:space="preserve">  APPORTS PAR LE PERSONNEL</t>
  </si>
  <si>
    <t xml:space="preserve">Individus dans l'ambiance n</t>
  </si>
  <si>
    <t xml:space="preserve">P apportée par un individu</t>
  </si>
  <si>
    <t xml:space="preserve">W</t>
  </si>
  <si>
    <t xml:space="preserve">temps passé dans l'ambiance </t>
  </si>
  <si>
    <t xml:space="preserve">heures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</si>
  <si>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personnel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</si>
  <si>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personnel</t>
    </r>
    <r>
      <rPr>
        <sz val="10"/>
        <rFont val="Arial"/>
        <family val="2"/>
      </rPr>
      <t xml:space="preserve"> = n x P x t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</si>
  <si>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personnel</t>
    </r>
    <r>
      <rPr>
        <sz val="10"/>
        <rFont val="Arial"/>
        <family val="2"/>
      </rPr>
      <t xml:space="preserve">/Q</t>
    </r>
    <r>
      <rPr>
        <vertAlign val="subscript"/>
        <sz val="10"/>
        <rFont val="Arial"/>
        <family val="2"/>
      </rPr>
      <t xml:space="preserve">total</t>
    </r>
  </si>
  <si>
    <t xml:space="preserve">Taux/base de temps</t>
  </si>
  <si>
    <t xml:space="preserve">  APPORTS PAR LE RENOUVELLEMENT D'AIR</t>
  </si>
  <si>
    <t xml:space="preserve">Taux de renouvellement d'air T</t>
  </si>
  <si>
    <t xml:space="preserve">par défaut  </t>
  </si>
  <si>
    <t xml:space="preserve">Volumes/base de temps (service fort prendre Tx2 ; service faible Tx0,6)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</si>
  <si>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respiration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</si>
  <si>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respiration</t>
    </r>
    <r>
      <rPr>
        <sz val="10"/>
        <rFont val="Arial"/>
        <family val="2"/>
      </rPr>
      <t xml:space="preserve"> = (V x t / v"i) x (he - hi)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</si>
  <si>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respiration</t>
    </r>
    <r>
      <rPr>
        <sz val="10"/>
        <rFont val="Arial"/>
        <family val="2"/>
      </rPr>
      <t xml:space="preserve">/Q</t>
    </r>
    <r>
      <rPr>
        <vertAlign val="subscript"/>
        <sz val="10"/>
        <rFont val="Arial"/>
        <family val="2"/>
      </rPr>
      <t xml:space="preserve">total</t>
    </r>
  </si>
  <si>
    <t xml:space="preserve">  APPORTS PAR LES MACHINES</t>
  </si>
  <si>
    <t xml:space="preserve">Nombre de machines (n)</t>
  </si>
  <si>
    <t xml:space="preserve">Puissance apportée par machine (P)</t>
  </si>
  <si>
    <t xml:space="preserve">Temps de fonctionnement (t) 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</si>
  <si>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machines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</si>
  <si>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machines</t>
    </r>
    <r>
      <rPr>
        <sz val="10"/>
        <rFont val="Arial"/>
        <family val="2"/>
      </rPr>
      <t xml:space="preserve"> = n x P x t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</si>
  <si>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machine</t>
    </r>
    <r>
      <rPr>
        <sz val="10"/>
        <rFont val="Arial"/>
        <family val="2"/>
      </rPr>
      <t xml:space="preserve">/Q</t>
    </r>
    <r>
      <rPr>
        <vertAlign val="subscript"/>
        <sz val="10"/>
        <rFont val="Arial"/>
        <family val="2"/>
      </rPr>
      <t xml:space="preserve">total</t>
    </r>
  </si>
  <si>
    <t xml:space="preserve">  APPORTS PAR LA VENTILATION</t>
  </si>
  <si>
    <r>
      <rPr>
        <sz val="12"/>
        <rFont val="Arial"/>
        <family val="2"/>
      </rPr>
      <t xml:space="preserve">% de Q</t>
    </r>
    <r>
      <rPr>
        <vertAlign val="subscript"/>
        <sz val="10"/>
        <rFont val="Arial"/>
        <family val="2"/>
      </rPr>
      <t xml:space="preserve">parois</t>
    </r>
    <r>
      <rPr>
        <sz val="10"/>
        <rFont val="Arial"/>
        <family val="2"/>
      </rPr>
      <t xml:space="preserve"> + Q</t>
    </r>
    <r>
      <rPr>
        <vertAlign val="subscript"/>
        <sz val="10"/>
        <rFont val="Arial"/>
        <family val="2"/>
      </rPr>
      <t xml:space="preserve">denrées </t>
    </r>
    <r>
      <rPr>
        <sz val="10"/>
        <rFont val="Arial"/>
        <family val="2"/>
      </rPr>
      <t xml:space="preserve">+ Q</t>
    </r>
    <r>
      <rPr>
        <vertAlign val="subscript"/>
        <sz val="10"/>
        <rFont val="Arial"/>
        <family val="2"/>
      </rPr>
      <t xml:space="preserve">emballage</t>
    </r>
    <r>
      <rPr>
        <sz val="10"/>
        <rFont val="Arial"/>
        <family val="2"/>
      </rPr>
      <t xml:space="preserve">+ Q</t>
    </r>
    <r>
      <rPr>
        <vertAlign val="subscript"/>
        <sz val="10"/>
        <rFont val="Arial"/>
        <family val="2"/>
      </rPr>
      <t xml:space="preserve">éclairage</t>
    </r>
    <r>
      <rPr>
        <sz val="10"/>
        <rFont val="Arial"/>
        <family val="2"/>
      </rPr>
      <t xml:space="preserve"> + Q</t>
    </r>
    <r>
      <rPr>
        <vertAlign val="subscript"/>
        <sz val="10"/>
        <rFont val="Arial"/>
        <family val="2"/>
      </rPr>
      <t xml:space="preserve">personnel</t>
    </r>
    <r>
      <rPr>
        <sz val="10"/>
        <rFont val="Arial"/>
        <family val="2"/>
      </rPr>
      <t xml:space="preserve"> + Q</t>
    </r>
    <r>
      <rPr>
        <vertAlign val="subscript"/>
        <sz val="10"/>
        <rFont val="Arial"/>
        <family val="2"/>
      </rPr>
      <t xml:space="preserve">respiration</t>
    </r>
    <r>
      <rPr>
        <sz val="10"/>
        <rFont val="Arial"/>
        <family val="2"/>
      </rPr>
      <t xml:space="preserve">+ Q</t>
    </r>
    <r>
      <rPr>
        <vertAlign val="subscript"/>
        <sz val="10"/>
        <rFont val="Arial"/>
        <family val="2"/>
      </rPr>
      <t xml:space="preserve">machines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</si>
  <si>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ventilation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</si>
  <si>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ventilation</t>
    </r>
    <r>
      <rPr>
        <sz val="10"/>
        <rFont val="Arial"/>
        <family val="2"/>
      </rPr>
      <t xml:space="preserve"> = somme Q précédents x X%</t>
    </r>
  </si>
  <si>
    <t xml:space="preserve">kJ 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</si>
  <si>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ventilation</t>
    </r>
    <r>
      <rPr>
        <sz val="10"/>
        <rFont val="Arial"/>
        <family val="2"/>
      </rPr>
      <t xml:space="preserve">/Q</t>
    </r>
    <r>
      <rPr>
        <vertAlign val="subscript"/>
        <sz val="10"/>
        <rFont val="Arial"/>
        <family val="2"/>
      </rPr>
      <t xml:space="preserve">total</t>
    </r>
  </si>
  <si>
    <t xml:space="preserve">  BILAN TOTAL JOURNALIER</t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</si>
  <si>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 xml:space="preserve">total</t>
    </r>
    <r>
      <rPr>
        <sz val="10"/>
        <rFont val="Arial"/>
        <family val="2"/>
      </rPr>
      <t xml:space="preserve"> = somme Q</t>
    </r>
  </si>
  <si>
    <t xml:space="preserve">  BILAN TOTAL JOURNALIER MAJORÉ</t>
  </si>
  <si>
    <t xml:space="preserve"> Majoration</t>
  </si>
  <si>
    <r>
      <rPr>
        <sz val="12"/>
        <rFont val="Arial"/>
        <family val="2"/>
      </rPr>
      <t xml:space="preserve"> Qtotal</t>
    </r>
    <r>
      <rPr>
        <vertAlign val="subscript"/>
        <sz val="10"/>
        <rFont val="Arial"/>
        <family val="2"/>
      </rPr>
      <t xml:space="preserve">majoré</t>
    </r>
    <r>
      <rPr>
        <sz val="10"/>
        <rFont val="Arial"/>
        <family val="2"/>
      </rPr>
      <t xml:space="preserve"> = somme Q x majoration</t>
    </r>
  </si>
  <si>
    <t xml:space="preserve">  PUISSANCE DU GROUPE À INSTALLER</t>
  </si>
  <si>
    <t xml:space="preserve">Temps de fonctionnement de l'installation frigorifique</t>
  </si>
  <si>
    <t xml:space="preserve">Fo</t>
  </si>
  <si>
    <t xml:space="preserve">compresseur</t>
  </si>
  <si>
    <t xml:space="preserve">soit </t>
  </si>
  <si>
    <r>
      <rPr>
        <sz val="14"/>
        <rFont val="Arial"/>
        <family val="2"/>
      </rPr>
      <t xml:space="preserve">W/m</t>
    </r>
    <r>
      <rPr>
        <vertAlign val="superscript"/>
        <sz val="10"/>
        <rFont val="Arial"/>
        <family val="2"/>
      </rPr>
      <t xml:space="preserve">3</t>
    </r>
  </si>
  <si>
    <t xml:space="preserve">Chaleur sensible</t>
  </si>
  <si>
    <t xml:space="preserve">Chaleur latente de congelation (Kj/Kg)</t>
  </si>
  <si>
    <t xml:space="preserve">Chaleur de respiration (Kj/Kg.24h)</t>
  </si>
  <si>
    <t xml:space="preserve">Produit</t>
  </si>
  <si>
    <t xml:space="preserve">point de congelation (°C)</t>
  </si>
  <si>
    <t xml:space="preserve">Avant decongelation (Kj/Kg.k)</t>
  </si>
  <si>
    <t xml:space="preserve">Aprèse decongelation (Kj/Kg.K)</t>
  </si>
  <si>
    <t xml:space="preserve">defaut</t>
  </si>
  <si>
    <t xml:space="preserve">Viandes</t>
  </si>
  <si>
    <t xml:space="preserve">agneau</t>
  </si>
  <si>
    <t xml:space="preserve">CAN 3267</t>
  </si>
  <si>
    <t xml:space="preserve">Bœuf (gras)</t>
  </si>
  <si>
    <t xml:space="preserve">Boeuuf (maigre)</t>
  </si>
  <si>
    <t xml:space="preserve">Porc</t>
  </si>
  <si>
    <t xml:space="preserve">Volailles</t>
  </si>
  <si>
    <t xml:space="preserve">Jambon</t>
  </si>
  <si>
    <t xml:space="preserve">Charcuterie fraiche </t>
  </si>
  <si>
    <t xml:space="preserve">Veau</t>
  </si>
  <si>
    <t xml:space="preserve">Friuts</t>
  </si>
  <si>
    <t xml:space="preserve">Anans</t>
  </si>
  <si>
    <t xml:space="preserve">Oranges</t>
  </si>
  <si>
    <t xml:space="preserve">Bananes</t>
  </si>
  <si>
    <t xml:space="preserve">Cerises</t>
  </si>
  <si>
    <t xml:space="preserve">Dattes sèches</t>
  </si>
  <si>
    <t xml:space="preserve">Fraises</t>
  </si>
  <si>
    <t xml:space="preserve">Citrons</t>
  </si>
  <si>
    <t xml:space="preserve">Mandarines</t>
  </si>
  <si>
    <t xml:space="preserve">Pommes</t>
  </si>
  <si>
    <t xml:space="preserve">Melons</t>
  </si>
  <si>
    <t xml:space="preserve">Poires</t>
  </si>
  <si>
    <t xml:space="preserve">Pèches</t>
  </si>
  <si>
    <t xml:space="preserve">Pamplemousses</t>
  </si>
  <si>
    <t xml:space="preserve">Prunes</t>
  </si>
  <si>
    <t xml:space="preserve">Raisins</t>
  </si>
  <si>
    <t xml:space="preserve">Produits actés</t>
  </si>
  <si>
    <t xml:space="preserve">Beurre </t>
  </si>
  <si>
    <t xml:space="preserve">Formage </t>
  </si>
  <si>
    <t xml:space="preserve">Lait</t>
  </si>
  <si>
    <t xml:space="preserve">Poissons</t>
  </si>
  <si>
    <t xml:space="preserve">Poissons fumés</t>
  </si>
  <si>
    <t xml:space="preserve">Poissons gras</t>
  </si>
  <si>
    <t xml:space="preserve">Poissons maigres</t>
  </si>
  <si>
    <t xml:space="preserve">Poissons salés</t>
  </si>
  <si>
    <t xml:space="preserve">Crustacés</t>
  </si>
  <si>
    <t xml:space="preserve">Huitres</t>
  </si>
  <si>
    <t xml:space="preserve">Légumes</t>
  </si>
  <si>
    <t xml:space="preserve">Asperges</t>
  </si>
  <si>
    <t xml:space="preserve">Blettes</t>
  </si>
  <si>
    <t xml:space="preserve">Brocolis</t>
  </si>
  <si>
    <t xml:space="preserve">Artichauts</t>
  </si>
  <si>
    <t xml:space="preserve">Carottes</t>
  </si>
  <si>
    <t xml:space="preserve">Choux-fleurs</t>
  </si>
  <si>
    <t xml:space="preserve">Concombres</t>
  </si>
  <si>
    <t xml:space="preserve">Oignons </t>
  </si>
  <si>
    <t xml:space="preserve">Haricotsfrais</t>
  </si>
  <si>
    <t xml:space="preserve">Haricots secs</t>
  </si>
  <si>
    <t xml:space="preserve">-</t>
  </si>
  <si>
    <t xml:space="preserve">Champignons </t>
  </si>
  <si>
    <t xml:space="preserve">Laitues</t>
  </si>
  <si>
    <t xml:space="preserve">Pommes de terre</t>
  </si>
  <si>
    <t xml:space="preserve">Pois frais </t>
  </si>
  <si>
    <t xml:space="preserve">Pois sec</t>
  </si>
  <si>
    <t xml:space="preserve">Tomates mûres</t>
  </si>
  <si>
    <t xml:space="preserve">Tomates  variées</t>
  </si>
  <si>
    <t xml:space="preserve">Céleris</t>
  </si>
  <si>
    <t xml:space="preserve">Epinards</t>
  </si>
  <si>
    <t xml:space="preserve">Divers</t>
  </si>
  <si>
    <t xml:space="preserve">Bière</t>
  </si>
  <si>
    <t xml:space="preserve">Fleurs coupées</t>
  </si>
  <si>
    <t xml:space="preserve">Glaces</t>
  </si>
  <si>
    <t xml:space="preserve">Lard</t>
  </si>
  <si>
    <t xml:space="preserve">levure</t>
  </si>
  <si>
    <t xml:space="preserve">Margarine</t>
  </si>
  <si>
    <t xml:space="preserve">Miel</t>
  </si>
  <si>
    <t xml:space="preserve">Huile</t>
  </si>
  <si>
    <t xml:space="preserve">Pain</t>
  </si>
  <si>
    <t xml:space="preserve">Peau à tanner</t>
  </si>
  <si>
    <t xml:space="preserve">Fourrures</t>
  </si>
  <si>
    <t xml:space="preserve">Œufs</t>
  </si>
  <si>
    <t xml:space="preserve">Type de panneau</t>
  </si>
  <si>
    <r>
      <rPr>
        <sz val="14"/>
        <rFont val="Arial"/>
        <family val="2"/>
      </rPr>
      <t xml:space="preserve">K=w / m</t>
    </r>
    <r>
      <rPr>
        <sz val="10"/>
        <rFont val="Calibri"/>
        <family val="2"/>
      </rPr>
      <t xml:space="preserve">² * K</t>
    </r>
  </si>
  <si>
    <t xml:space="preserve">Dreyer 80 </t>
  </si>
  <si>
    <t xml:space="preserve">Dreyer 100</t>
  </si>
  <si>
    <t xml:space="preserve">Dreyer 120</t>
  </si>
  <si>
    <t xml:space="preserve">Dreyer 140</t>
  </si>
  <si>
    <t xml:space="preserve">Dreyer 200</t>
  </si>
  <si>
    <t xml:space="preserve">Daggard 60</t>
  </si>
  <si>
    <t xml:space="preserve">Daggard 80</t>
  </si>
  <si>
    <t xml:space="preserve">Daggard 100</t>
  </si>
  <si>
    <t xml:space="preserve">Acclad 60</t>
  </si>
  <si>
    <t xml:space="preserve">Acclad 80</t>
  </si>
  <si>
    <t xml:space="preserve">Acclad 100</t>
  </si>
  <si>
    <t xml:space="preserve">Acclad 120</t>
  </si>
  <si>
    <t xml:space="preserve">Acclad 160</t>
  </si>
  <si>
    <t xml:space="preserve">Acclad 180 </t>
  </si>
  <si>
    <t xml:space="preserve">Acclad 200</t>
  </si>
  <si>
    <t xml:space="preserve">GAMME COMMERCIAL PROFROID</t>
  </si>
  <si>
    <t xml:space="preserve">Gamme POSITIF</t>
  </si>
  <si>
    <t xml:space="preserve">CUBIQUE  POSITIF</t>
  </si>
  <si>
    <t xml:space="preserve">DOUBLE FLUX POSITIF</t>
  </si>
  <si>
    <t xml:space="preserve">dt 8</t>
  </si>
  <si>
    <t xml:space="preserve">Ecartement d'ailettes 6.3mm</t>
  </si>
  <si>
    <t xml:space="preserve">CUBIQUE </t>
  </si>
  <si>
    <t xml:space="preserve">dt 5.5</t>
  </si>
  <si>
    <t xml:space="preserve">dt 7</t>
  </si>
  <si>
    <t xml:space="preserve">dt 15</t>
  </si>
  <si>
    <t xml:space="preserve">dt 20</t>
  </si>
  <si>
    <t xml:space="preserve">DB FLUX </t>
  </si>
  <si>
    <t xml:space="preserve">Kw</t>
  </si>
  <si>
    <t xml:space="preserve">DFC 14</t>
  </si>
  <si>
    <t xml:space="preserve">DFC 24</t>
  </si>
  <si>
    <t xml:space="preserve">DFC 34</t>
  </si>
  <si>
    <t xml:space="preserve">DFC 44</t>
  </si>
  <si>
    <t xml:space="preserve">DFC 54</t>
  </si>
  <si>
    <t xml:space="preserve">BP refrigeration POSITIF</t>
  </si>
  <si>
    <t xml:space="preserve">BP</t>
  </si>
  <si>
    <t xml:space="preserve">dt 10</t>
  </si>
  <si>
    <t xml:space="preserve">GAMME NEGATIF</t>
  </si>
  <si>
    <t xml:space="preserve">CUBIQUE  NEGATIF</t>
  </si>
  <si>
    <t xml:space="preserve">BP Négatif</t>
  </si>
  <si>
    <t xml:space="preserve">BN</t>
  </si>
  <si>
    <t xml:space="preserve">NB2256</t>
  </si>
  <si>
    <t xml:space="preserve">&gt;dt max</t>
  </si>
  <si>
    <t xml:space="preserve">Cubique</t>
  </si>
  <si>
    <t xml:space="preserve">NB2356</t>
  </si>
  <si>
    <t xml:space="preserve">NC3167</t>
  </si>
  <si>
    <t xml:space="preserve">NC3267</t>
  </si>
  <si>
    <t xml:space="preserve">NC3367</t>
  </si>
  <si>
    <t xml:space="preserve">NC3467</t>
  </si>
  <si>
    <t xml:space="preserve">NC3567</t>
  </si>
  <si>
    <t xml:space="preserve">NC3667</t>
  </si>
  <si>
    <t xml:space="preserve">NC4167</t>
  </si>
  <si>
    <t xml:space="preserve">NC4247</t>
  </si>
  <si>
    <t xml:space="preserve">NC4267</t>
  </si>
  <si>
    <t xml:space="preserve">NC4367</t>
  </si>
  <si>
    <t xml:space="preserve">NC4467</t>
  </si>
  <si>
    <t xml:space="preserve">NC5167</t>
  </si>
  <si>
    <t xml:space="preserve">NC5247</t>
  </si>
  <si>
    <t xml:space="preserve">NC5267</t>
  </si>
  <si>
    <t xml:space="preserve">NC5367</t>
  </si>
  <si>
    <t xml:space="preserve">NC5467</t>
  </si>
  <si>
    <t xml:space="preserve">NC5487</t>
  </si>
  <si>
    <t xml:space="preserve">PB105</t>
  </si>
  <si>
    <t xml:space="preserve">&lt;dt min</t>
  </si>
  <si>
    <t xml:space="preserve">PB145</t>
  </si>
  <si>
    <t xml:space="preserve">PB215</t>
  </si>
  <si>
    <t xml:space="preserve">PB290</t>
  </si>
  <si>
    <t xml:space="preserve">PB415</t>
  </si>
  <si>
    <t xml:space="preserve">PB70</t>
  </si>
  <si>
    <t xml:space="preserve">PC3167</t>
  </si>
  <si>
    <t xml:space="preserve">No-dt10</t>
  </si>
  <si>
    <t xml:space="preserve">PC3267</t>
  </si>
  <si>
    <t xml:space="preserve">PC3367</t>
  </si>
  <si>
    <t xml:space="preserve">PC3467</t>
  </si>
  <si>
    <t xml:space="preserve">PC3567</t>
  </si>
  <si>
    <t xml:space="preserve">PC3667</t>
  </si>
  <si>
    <t xml:space="preserve">PC4167</t>
  </si>
  <si>
    <t xml:space="preserve">PC4247</t>
  </si>
  <si>
    <t xml:space="preserve">PC4267</t>
  </si>
  <si>
    <t xml:space="preserve">PC4367</t>
  </si>
  <si>
    <t xml:space="preserve">PC4467</t>
  </si>
  <si>
    <t xml:space="preserve">PC5167</t>
  </si>
  <si>
    <t xml:space="preserve">PC5247</t>
  </si>
  <si>
    <t xml:space="preserve">PC5267</t>
  </si>
  <si>
    <t xml:space="preserve">PC5367</t>
  </si>
  <si>
    <t xml:space="preserve">PC5467</t>
  </si>
  <si>
    <t xml:space="preserve">PC5487</t>
  </si>
  <si>
    <t xml:space="preserve">PD 14</t>
  </si>
  <si>
    <t xml:space="preserve">PD 24</t>
  </si>
  <si>
    <t xml:space="preserve">PD 34</t>
  </si>
  <si>
    <t xml:space="preserve">PD 44</t>
  </si>
  <si>
    <t xml:space="preserve">PD 54</t>
  </si>
</sst>
</file>

<file path=xl/styles.xml><?xml version="1.0" encoding="utf-8"?>
<styleSheet xmlns="http://schemas.openxmlformats.org/spreadsheetml/2006/main">
  <numFmts count="19">
    <numFmt numFmtId="164" formatCode="General"/>
    <numFmt numFmtId="165" formatCode="\ #,##0.0&quot;    &quot;;\-#,##0.0&quot;    &quot;;&quot; -&quot;#&quot;    &quot;;@\ "/>
    <numFmt numFmtId="166" formatCode="\ #,##0.00&quot;    &quot;;\-#,##0.00&quot;    &quot;;&quot; -&quot;#&quot;    &quot;;@\ "/>
    <numFmt numFmtId="167" formatCode="\ #,##0&quot;    &quot;;\-#,##0&quot;    &quot;;&quot; -&quot;#&quot;    &quot;;@\ "/>
    <numFmt numFmtId="168" formatCode="\ #,##0.0&quot;   &quot;;\-#,##0.0&quot;   &quot;;&quot; -&quot;#&quot;   &quot;;@\ "/>
    <numFmt numFmtId="169" formatCode="\ #,##0.0000&quot;    &quot;;\-#,##0.0000&quot;    &quot;;&quot; -&quot;#&quot;    &quot;;@\ "/>
    <numFmt numFmtId="170" formatCode="\ #,##0.000&quot;    &quot;;\-#,##0.000&quot;    &quot;;&quot; -&quot;#&quot;    &quot;;@\ "/>
    <numFmt numFmtId="171" formatCode="#,##0.0"/>
    <numFmt numFmtId="172" formatCode="0"/>
    <numFmt numFmtId="173" formatCode="0.00\ %"/>
    <numFmt numFmtId="174" formatCode="\ #,##0.000&quot;   &quot;;\-#,##0.000&quot;   &quot;;&quot; -&quot;#&quot;   &quot;;@\ "/>
    <numFmt numFmtId="175" formatCode="#,##0.0&quot;   &quot;"/>
    <numFmt numFmtId="176" formatCode="\ #,##0&quot;  &quot;;\-#,##0&quot;  &quot;;&quot; -&quot;#&quot;  &quot;;@\ "/>
    <numFmt numFmtId="177" formatCode="\ #,##0.0&quot;  &quot;;\-#,##0.0&quot;  &quot;;&quot; -&quot;#&quot;  &quot;;@\ "/>
    <numFmt numFmtId="178" formatCode="\ #,##0.00&quot;    &quot;;\-#,##0.000&quot;    &quot;;&quot; -&quot;#&quot;    &quot;;@\ "/>
    <numFmt numFmtId="179" formatCode="#,##0_ ;\-#,##0\ "/>
    <numFmt numFmtId="180" formatCode="#,##0.00_ ;\-#,##0.00\ "/>
    <numFmt numFmtId="181" formatCode="0.00"/>
    <numFmt numFmtId="182" formatCode="0.0"/>
  </numFmts>
  <fonts count="31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333399"/>
      <name val="Cambria"/>
      <family val="2"/>
    </font>
    <font>
      <b val="true"/>
      <sz val="18"/>
      <name val="Arial"/>
      <family val="2"/>
    </font>
    <font>
      <sz val="12"/>
      <name val="Arial"/>
      <family val="2"/>
    </font>
    <font>
      <b val="true"/>
      <sz val="12"/>
      <name val="Arial"/>
      <family val="2"/>
    </font>
    <font>
      <b val="true"/>
      <sz val="12"/>
      <color rgb="FF000000"/>
      <name val="Arial"/>
      <family val="2"/>
    </font>
    <font>
      <vertAlign val="superscript"/>
      <sz val="10"/>
      <name val="Arial"/>
      <family val="2"/>
    </font>
    <font>
      <sz val="10"/>
      <color rgb="FF000000"/>
      <name val="Arial"/>
      <family val="2"/>
    </font>
    <font>
      <b val="true"/>
      <i val="true"/>
      <sz val="12"/>
      <name val="Arial"/>
      <family val="2"/>
    </font>
    <font>
      <b val="true"/>
      <i val="true"/>
      <u val="single"/>
      <sz val="14"/>
      <color rgb="FF0000FF"/>
      <name val="Arial"/>
      <family val="2"/>
    </font>
    <font>
      <sz val="14"/>
      <name val="Arial"/>
      <family val="2"/>
    </font>
    <font>
      <sz val="14"/>
      <color rgb="FF000000"/>
      <name val="Segoe UI"/>
      <family val="0"/>
    </font>
    <font>
      <sz val="11"/>
      <name val="Arial"/>
      <family val="2"/>
    </font>
    <font>
      <sz val="6"/>
      <name val="Arial"/>
      <family val="2"/>
    </font>
    <font>
      <vertAlign val="subscript"/>
      <sz val="10"/>
      <name val="Arial"/>
      <family val="2"/>
    </font>
    <font>
      <sz val="12"/>
      <color rgb="FFFF0000"/>
      <name val="Arial"/>
      <family val="2"/>
    </font>
    <font>
      <sz val="8"/>
      <color rgb="FFFFFFFF"/>
      <name val="Arial"/>
      <family val="2"/>
    </font>
    <font>
      <sz val="12"/>
      <color rgb="FFFFFFFF"/>
      <name val="Arial"/>
      <family val="2"/>
    </font>
    <font>
      <sz val="6"/>
      <color rgb="FFFF0000"/>
      <name val="Arial"/>
      <family val="2"/>
    </font>
    <font>
      <sz val="14"/>
      <name val="Symbol"/>
      <family val="1"/>
      <charset val="2"/>
    </font>
    <font>
      <sz val="14"/>
      <color rgb="FFFF0000"/>
      <name val="Arial"/>
      <family val="2"/>
    </font>
    <font>
      <sz val="10"/>
      <color rgb="FFFFFFFF"/>
      <name val="Arial"/>
      <family val="2"/>
    </font>
    <font>
      <sz val="20"/>
      <name val="Arial"/>
      <family val="2"/>
    </font>
    <font>
      <sz val="13"/>
      <color rgb="FFFFFFFF"/>
      <name val="Arial"/>
      <family val="2"/>
    </font>
    <font>
      <sz val="13"/>
      <name val="Arial"/>
      <family val="2"/>
    </font>
    <font>
      <sz val="19"/>
      <name val="Arial"/>
      <family val="2"/>
    </font>
    <font>
      <sz val="10"/>
      <name val="Calibri"/>
      <family val="2"/>
    </font>
    <font>
      <b val="true"/>
      <sz val="15"/>
      <color rgb="FFFFFFFF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C0"/>
        <bgColor rgb="FFFFFF99"/>
      </patternFill>
    </fill>
    <fill>
      <patternFill patternType="solid">
        <fgColor rgb="FFFFCC99"/>
        <bgColor rgb="FFE6E6E6"/>
      </patternFill>
    </fill>
    <fill>
      <patternFill patternType="solid">
        <fgColor rgb="FFFFFF00"/>
        <bgColor rgb="FFFFFF00"/>
      </patternFill>
    </fill>
    <fill>
      <patternFill patternType="solid">
        <fgColor rgb="FFE6E6E6"/>
        <bgColor rgb="FFFFFFFF"/>
      </patternFill>
    </fill>
    <fill>
      <patternFill patternType="solid">
        <fgColor rgb="FFFFFF99"/>
        <bgColor rgb="FFFFFFC0"/>
      </patternFill>
    </fill>
    <fill>
      <patternFill patternType="solid">
        <fgColor rgb="FFFFFFFF"/>
        <bgColor rgb="FFFFFFC0"/>
      </patternFill>
    </fill>
    <fill>
      <patternFill patternType="solid">
        <fgColor rgb="FF3333CC"/>
        <bgColor rgb="FF333399"/>
      </patternFill>
    </fill>
    <fill>
      <patternFill patternType="solid">
        <fgColor rgb="FFFF0000"/>
        <bgColor rgb="FF993300"/>
      </patternFill>
    </fill>
    <fill>
      <patternFill patternType="solid">
        <fgColor rgb="FF00FF00"/>
        <bgColor rgb="FF33CCCC"/>
      </patternFill>
    </fill>
    <fill>
      <patternFill patternType="solid">
        <fgColor rgb="FFA6CAF0"/>
        <bgColor rgb="FFCCCCFF"/>
      </patternFill>
    </fill>
    <fill>
      <patternFill patternType="solid">
        <fgColor rgb="FF008000"/>
        <bgColor rgb="FF008080"/>
      </patternFill>
    </fill>
    <fill>
      <patternFill patternType="solid">
        <fgColor rgb="FF999933"/>
        <bgColor rgb="FF969696"/>
      </patternFill>
    </fill>
  </fills>
  <borders count="50">
    <border diagonalUp="false" diagonalDown="false">
      <left/>
      <right/>
      <top/>
      <bottom/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/>
      <top style="thin"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double"/>
      <right/>
      <top style="double"/>
      <bottom style="double"/>
      <diagonal/>
    </border>
    <border diagonalUp="false" diagonalDown="false">
      <left style="thin"/>
      <right/>
      <top style="double"/>
      <bottom style="double"/>
      <diagonal/>
    </border>
    <border diagonalUp="false" diagonalDown="false">
      <left/>
      <right/>
      <top style="double"/>
      <bottom style="double"/>
      <diagonal/>
    </border>
    <border diagonalUp="false" diagonalDown="false">
      <left/>
      <right style="double"/>
      <top style="double"/>
      <bottom style="double"/>
      <diagonal/>
    </border>
    <border diagonalUp="false" diagonalDown="false">
      <left/>
      <right/>
      <top/>
      <bottom style="double"/>
      <diagonal/>
    </border>
    <border diagonalUp="false" diagonalDown="false">
      <left style="thick"/>
      <right/>
      <top style="thick"/>
      <bottom style="thick"/>
      <diagonal/>
    </border>
    <border diagonalUp="false" diagonalDown="false">
      <left/>
      <right/>
      <top style="thick"/>
      <bottom style="thick"/>
      <diagonal/>
    </border>
    <border diagonalUp="false" diagonalDown="false">
      <left/>
      <right style="thick"/>
      <top style="thick"/>
      <bottom style="thick"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1" applyFont="true" applyBorder="true" applyAlignment="false" applyProtection="false"/>
    <xf numFmtId="164" fontId="4" fillId="0" borderId="0" applyFont="true" applyBorder="false" applyAlignment="false" applyProtection="false"/>
  </cellStyleXfs>
  <cellXfs count="2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0" fillId="0" borderId="0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7" fontId="5" fillId="0" borderId="0" xfId="1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6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0" borderId="2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3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4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5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6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7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8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8" fillId="3" borderId="3" xfId="15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8" fillId="3" borderId="4" xfId="15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6" fillId="0" borderId="5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8" fillId="3" borderId="7" xfId="15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8" fontId="7" fillId="3" borderId="7" xfId="15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8" fontId="7" fillId="3" borderId="7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3" borderId="8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6" fillId="0" borderId="9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1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2" borderId="7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6" fillId="0" borderId="12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1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6" xfId="1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10" fillId="0" borderId="7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0" fillId="0" borderId="7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6" fillId="0" borderId="14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15" xfId="1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8" fillId="3" borderId="16" xfId="15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6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7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18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0" fillId="0" borderId="7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0" fontId="10" fillId="0" borderId="7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7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19" xfId="1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0" fillId="0" borderId="20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6" fillId="0" borderId="21" xfId="1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0" fillId="0" borderId="21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1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1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0" xfId="1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0" fillId="0" borderId="0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72" fontId="14" fillId="4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73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7" fillId="5" borderId="2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" fillId="5" borderId="2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5" borderId="2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5" borderId="2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" fillId="5" borderId="24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8" fillId="2" borderId="0" xfId="15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7" fontId="15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6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5" fontId="6" fillId="0" borderId="0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6" fillId="6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2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25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6" fillId="5" borderId="24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6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6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5" borderId="2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0" borderId="1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0" borderId="2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" fillId="0" borderId="2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0" borderId="2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0" borderId="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0" borderId="2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0" borderId="3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" fillId="0" borderId="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0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" fillId="0" borderId="12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6" fontId="6" fillId="0" borderId="2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3" fillId="0" borderId="1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7" fontId="13" fillId="0" borderId="3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3" fillId="0" borderId="1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0" borderId="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0" borderId="3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0" borderId="3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" fillId="0" borderId="2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" fillId="0" borderId="19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7" fontId="13" fillId="0" borderId="2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3" fillId="0" borderId="3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3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3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5" borderId="2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8" fillId="3" borderId="0" xfId="15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7" fontId="18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9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2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8" fillId="0" borderId="0" xfId="15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5" fontId="8" fillId="3" borderId="0" xfId="15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5" fontId="6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8" fontId="8" fillId="7" borderId="0" xfId="15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7" fontId="6" fillId="0" borderId="0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0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18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9" fontId="8" fillId="7" borderId="0" xfId="15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5" fontId="8" fillId="7" borderId="0" xfId="15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80" fontId="8" fillId="7" borderId="0" xfId="15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7" fontId="16" fillId="0" borderId="0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21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1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1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" fillId="0" borderId="35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8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8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" fillId="0" borderId="3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6" fillId="0" borderId="29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6" fillId="0" borderId="36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0" borderId="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" fillId="0" borderId="2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0" borderId="12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6" fontId="6" fillId="0" borderId="2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0" borderId="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" fillId="0" borderId="3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" fillId="0" borderId="3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0" fillId="0" borderId="19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8" fillId="3" borderId="0" xfId="15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6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6" fillId="0" borderId="0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6" fontId="13" fillId="0" borderId="2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0" borderId="15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6" fillId="0" borderId="3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3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" fillId="0" borderId="1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6" fillId="0" borderId="0" xfId="1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5" borderId="23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8" fillId="2" borderId="0" xfId="15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7" fontId="6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0" borderId="38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6" fillId="0" borderId="38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5" borderId="23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8" fillId="2" borderId="0" xfId="15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6" fontId="6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6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6" fillId="0" borderId="39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6" fillId="0" borderId="4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" fillId="0" borderId="4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0" borderId="4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" fillId="0" borderId="4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0" borderId="4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4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22" fillId="0" borderId="44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3" fillId="0" borderId="4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3" fillId="0" borderId="45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3" fillId="0" borderId="4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3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23" fillId="0" borderId="44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4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4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1" fontId="0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2" fontId="0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81" fontId="0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81" fontId="0" fillId="0" borderId="4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81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9" borderId="49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26" fillId="9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82" fontId="20" fillId="9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1" fontId="20" fillId="9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20" fillId="9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10" borderId="4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27" fillId="10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82" fontId="6" fillId="1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1" fontId="6" fillId="1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6" fillId="1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4" borderId="4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27" fillId="4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82" fontId="6" fillId="4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1" fontId="6" fillId="4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6" fillId="4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8" fillId="11" borderId="4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27" fillId="11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82" fontId="6" fillId="11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1" fontId="6" fillId="11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6" fillId="11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12" borderId="4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27" fillId="12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82" fontId="6" fillId="1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1" fontId="6" fillId="1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6" fillId="1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13" borderId="4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27" fillId="13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82" fontId="6" fillId="13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1" fontId="6" fillId="13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6" fillId="13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2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82" fontId="6" fillId="0" borderId="2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1" fontId="6" fillId="0" borderId="2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6" fillId="0" borderId="2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82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1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81" fontId="1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2" fontId="2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0" fillId="8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20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81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81" fontId="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81" fontId="0" fillId="7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Commentaire" xfId="20" builtinId="53" customBuiltin="true"/>
    <cellStyle name="Titre 1" xfId="21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99933"/>
      <rgbColor rgb="FF800080"/>
      <rgbColor rgb="FF008080"/>
      <rgbColor rgb="FFC0C0C0"/>
      <rgbColor rgb="FF808080"/>
      <rgbColor rgb="FF9999FF"/>
      <rgbColor rgb="FF993366"/>
      <rgbColor rgb="FFFFFFC0"/>
      <rgbColor rgb="FFE6E6E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6CAF0"/>
      <rgbColor rgb="FFFF99CC"/>
      <rgbColor rgb="FFCC99FF"/>
      <rgbColor rgb="FFFFCC99"/>
      <rgbColor rgb="FF3333CC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U251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H90" activeCellId="0" sqref="H90"/>
    </sheetView>
  </sheetViews>
  <sheetFormatPr defaultRowHeight="12.75" zeroHeight="false" outlineLevelRow="0" outlineLevelCol="0"/>
  <cols>
    <col collapsed="false" customWidth="true" hidden="false" outlineLevel="0" max="1" min="1" style="1" width="4.82"/>
    <col collapsed="false" customWidth="true" hidden="false" outlineLevel="0" max="2" min="2" style="1" width="15.37"/>
    <col collapsed="false" customWidth="true" hidden="false" outlineLevel="0" max="3" min="3" style="1" width="22.09"/>
    <col collapsed="false" customWidth="true" hidden="false" outlineLevel="0" max="4" min="4" style="1" width="25.86"/>
    <col collapsed="false" customWidth="true" hidden="false" outlineLevel="0" max="5" min="5" style="1" width="14.37"/>
    <col collapsed="false" customWidth="true" hidden="false" outlineLevel="0" max="6" min="6" style="1" width="15.95"/>
    <col collapsed="false" customWidth="true" hidden="false" outlineLevel="0" max="7" min="7" style="1" width="13.52"/>
    <col collapsed="false" customWidth="true" hidden="false" outlineLevel="0" max="8" min="8" style="1" width="17.23"/>
    <col collapsed="false" customWidth="true" hidden="false" outlineLevel="0" max="9" min="9" style="1" width="14.81"/>
    <col collapsed="false" customWidth="true" hidden="false" outlineLevel="0" max="10" min="10" style="1" width="11.1"/>
    <col collapsed="false" customWidth="true" hidden="false" outlineLevel="0" max="11" min="11" style="2" width="11.95"/>
    <col collapsed="false" customWidth="true" hidden="false" outlineLevel="0" max="12" min="12" style="1" width="12.37"/>
    <col collapsed="false" customWidth="true" hidden="false" outlineLevel="0" max="13" min="13" style="1" width="10.66"/>
    <col collapsed="false" customWidth="true" hidden="false" outlineLevel="0" max="14" min="14" style="1" width="2.53"/>
    <col collapsed="false" customWidth="true" hidden="false" outlineLevel="0" max="15" min="15" style="1" width="12.66"/>
    <col collapsed="false" customWidth="true" hidden="false" outlineLevel="0" max="17" min="16" style="1" width="11.38"/>
    <col collapsed="false" customWidth="true" hidden="false" outlineLevel="0" max="18" min="18" style="1" width="20.8"/>
    <col collapsed="false" customWidth="true" hidden="false" outlineLevel="0" max="257" min="19" style="1" width="11.38"/>
    <col collapsed="false" customWidth="true" hidden="false" outlineLevel="0" max="1025" min="258" style="0" width="11.38"/>
  </cols>
  <sheetData>
    <row r="1" s="3" customFormat="true" ht="26.25" hidden="false" customHeight="true" outlineLevel="0" collapsed="false">
      <c r="B1" s="4" t="s">
        <v>0</v>
      </c>
      <c r="C1" s="4"/>
      <c r="D1" s="4"/>
      <c r="E1" s="4"/>
      <c r="F1" s="4"/>
      <c r="G1" s="4"/>
      <c r="H1" s="4"/>
      <c r="I1" s="4"/>
      <c r="J1" s="4"/>
      <c r="K1" s="4"/>
    </row>
    <row r="2" s="5" customFormat="true" ht="15.75" hidden="false" customHeight="false" outlineLevel="0" collapsed="false">
      <c r="B2" s="6" t="s">
        <v>1</v>
      </c>
      <c r="C2" s="6"/>
      <c r="D2" s="6"/>
      <c r="E2" s="6"/>
      <c r="F2" s="6"/>
      <c r="G2" s="6"/>
      <c r="I2" s="6" t="s">
        <v>2</v>
      </c>
      <c r="J2" s="6"/>
      <c r="K2" s="6"/>
      <c r="L2" s="6"/>
      <c r="M2" s="6"/>
    </row>
    <row r="3" s="5" customFormat="true" ht="15" hidden="false" customHeight="false" outlineLevel="0" collapsed="false">
      <c r="B3" s="7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9" t="s">
        <v>8</v>
      </c>
      <c r="I3" s="10"/>
      <c r="J3" s="11" t="s">
        <v>9</v>
      </c>
      <c r="K3" s="11" t="s">
        <v>10</v>
      </c>
      <c r="L3" s="11" t="s">
        <v>11</v>
      </c>
      <c r="M3" s="12" t="s">
        <v>12</v>
      </c>
      <c r="N3" s="1"/>
      <c r="O3" s="1"/>
      <c r="P3" s="1"/>
      <c r="Q3" s="1"/>
      <c r="R3" s="1"/>
    </row>
    <row r="4" s="5" customFormat="true" ht="15.75" hidden="false" customHeight="false" outlineLevel="0" collapsed="false">
      <c r="B4" s="13" t="n">
        <v>3.5</v>
      </c>
      <c r="C4" s="14" t="n">
        <v>1.5</v>
      </c>
      <c r="D4" s="14" t="n">
        <v>3</v>
      </c>
      <c r="E4" s="8" t="n">
        <f aca="false">+B4*C4</f>
        <v>5.25</v>
      </c>
      <c r="F4" s="8" t="n">
        <f aca="false">2*(B4+C4)*D4</f>
        <v>30</v>
      </c>
      <c r="G4" s="15" t="n">
        <f aca="false">+B4*C4*D4</f>
        <v>15.75</v>
      </c>
      <c r="I4" s="16" t="s">
        <v>13</v>
      </c>
      <c r="J4" s="17" t="n">
        <v>0</v>
      </c>
      <c r="K4" s="18" t="n">
        <v>10</v>
      </c>
      <c r="L4" s="19" t="n">
        <v>28</v>
      </c>
      <c r="M4" s="20" t="n">
        <v>5</v>
      </c>
      <c r="N4" s="1"/>
      <c r="O4" s="1"/>
      <c r="P4" s="1"/>
      <c r="Q4" s="1"/>
      <c r="R4" s="1"/>
    </row>
    <row r="5" s="5" customFormat="true" ht="18.75" hidden="false" customHeight="false" outlineLevel="0" collapsed="false">
      <c r="B5" s="21" t="s">
        <v>14</v>
      </c>
      <c r="C5" s="22" t="s">
        <v>14</v>
      </c>
      <c r="D5" s="22" t="s">
        <v>14</v>
      </c>
      <c r="E5" s="22" t="s">
        <v>15</v>
      </c>
      <c r="F5" s="22" t="s">
        <v>15</v>
      </c>
      <c r="G5" s="23" t="s">
        <v>16</v>
      </c>
      <c r="I5" s="16" t="s">
        <v>17</v>
      </c>
      <c r="J5" s="24" t="n">
        <v>85</v>
      </c>
      <c r="K5" s="24" t="n">
        <v>50</v>
      </c>
      <c r="L5" s="25"/>
      <c r="M5" s="26"/>
      <c r="N5" s="1"/>
      <c r="O5" s="1"/>
      <c r="P5" s="1"/>
      <c r="Q5" s="1"/>
      <c r="R5" s="1"/>
    </row>
    <row r="6" s="5" customFormat="true" ht="18" hidden="false" customHeight="false" outlineLevel="0" collapsed="false">
      <c r="I6" s="27" t="s">
        <v>18</v>
      </c>
      <c r="J6" s="28" t="n">
        <f aca="false">2500.8*J7+J4*(1.007+1.846*J7)</f>
        <v>8.00944003741569</v>
      </c>
      <c r="K6" s="29" t="n">
        <f aca="false">2500.8*K7+K4*(1.007+1.846*K7)</f>
        <v>19.620609674877</v>
      </c>
      <c r="L6" s="30"/>
      <c r="N6" s="1"/>
      <c r="O6" s="1"/>
      <c r="P6" s="1"/>
      <c r="Q6" s="1"/>
      <c r="R6" s="1"/>
    </row>
    <row r="7" s="5" customFormat="true" ht="18.75" hidden="false" customHeight="false" outlineLevel="0" collapsed="false">
      <c r="B7" s="31" t="s">
        <v>19</v>
      </c>
      <c r="C7" s="31"/>
      <c r="D7" s="32" t="n">
        <v>12</v>
      </c>
      <c r="E7" s="33" t="s">
        <v>20</v>
      </c>
      <c r="F7" s="34" t="n">
        <f aca="false">+D7*3600</f>
        <v>43200</v>
      </c>
      <c r="G7" s="35" t="s">
        <v>21</v>
      </c>
      <c r="I7" s="16" t="s">
        <v>22</v>
      </c>
      <c r="J7" s="36" t="n">
        <f aca="false">0.00622*J5*J9/(101325-J5*J9/100)</f>
        <v>0.0032027511346032</v>
      </c>
      <c r="K7" s="36" t="n">
        <f aca="false">0.00622*K5*K9/(101325-K5*K9/100)</f>
        <v>0.00379103771539144</v>
      </c>
      <c r="L7" s="30"/>
      <c r="N7" s="1"/>
      <c r="O7" s="1"/>
      <c r="P7" s="1"/>
      <c r="Q7" s="1"/>
      <c r="R7" s="1"/>
    </row>
    <row r="8" s="5" customFormat="true" ht="18" hidden="false" customHeight="false" outlineLevel="0" collapsed="false">
      <c r="I8" s="27" t="s">
        <v>23</v>
      </c>
      <c r="J8" s="37" t="n">
        <f aca="false">461.51/101325*(0.622+J7)*(273.15+J4)</f>
        <v>0.777833401587319</v>
      </c>
      <c r="K8" s="37" t="n">
        <f aca="false">461.51/101325*(0.622+K7)*(273.15+K4)</f>
        <v>0.80706852106794</v>
      </c>
      <c r="L8" s="30"/>
      <c r="N8" s="1"/>
      <c r="O8" s="1"/>
      <c r="P8" s="1"/>
      <c r="Q8" s="1"/>
      <c r="R8" s="1"/>
    </row>
    <row r="9" s="5" customFormat="true" ht="17" hidden="false" customHeight="false" outlineLevel="0" collapsed="false">
      <c r="A9" s="38"/>
      <c r="I9" s="39" t="s">
        <v>24</v>
      </c>
      <c r="J9" s="40" t="n">
        <f aca="false">IF(J4&gt;0,10^(2.7858+7.5*J4/(237.3+J4)),10^(2.7858+9.48*J4/(265.5+J4)))</f>
        <v>610.66074047883</v>
      </c>
      <c r="K9" s="40" t="n">
        <f aca="false">IF(K4&gt;0,10^(2.7858+7.5*K4/(237.3+K4)),10^(2.7858+9.48*K4/(265.5+K4)))</f>
        <v>1227.65227803322</v>
      </c>
      <c r="L9" s="30"/>
      <c r="N9" s="1"/>
      <c r="O9" s="1"/>
      <c r="P9" s="1"/>
      <c r="Q9" s="1"/>
      <c r="R9" s="1"/>
    </row>
    <row r="10" s="5" customFormat="true" ht="27" hidden="false" customHeight="true" outlineLevel="0" collapsed="false">
      <c r="A10" s="38"/>
      <c r="I10" s="41"/>
      <c r="J10" s="42"/>
      <c r="K10" s="42"/>
      <c r="N10" s="43"/>
      <c r="O10" s="43"/>
      <c r="P10" s="43"/>
      <c r="Q10" s="43"/>
      <c r="R10" s="43"/>
    </row>
    <row r="11" s="5" customFormat="true" ht="30.75" hidden="false" customHeight="true" outlineLevel="0" collapsed="false">
      <c r="A11" s="38"/>
      <c r="C11" s="44" t="s">
        <v>25</v>
      </c>
      <c r="D11" s="44" t="s">
        <v>26</v>
      </c>
      <c r="E11" s="45"/>
      <c r="F11" s="46" t="n">
        <v>20</v>
      </c>
      <c r="H11" s="47" t="str">
        <f aca="false">HYPERLINK("#h90","résultats")</f>
        <v>résultats</v>
      </c>
      <c r="I11" s="48"/>
      <c r="J11" s="49"/>
      <c r="K11" s="49"/>
      <c r="N11" s="43"/>
      <c r="O11" s="50"/>
      <c r="P11" s="50"/>
      <c r="Q11" s="50"/>
      <c r="R11" s="50"/>
    </row>
    <row r="12" s="5" customFormat="true" ht="30.75" hidden="false" customHeight="true" outlineLevel="0" collapsed="false">
      <c r="A12" s="38"/>
      <c r="C12" s="51" t="s">
        <v>27</v>
      </c>
      <c r="D12" s="52" t="str">
        <f aca="false">D101</f>
        <v>DFC 14</v>
      </c>
      <c r="E12" s="53" t="n">
        <f aca="false">E101</f>
        <v>3.48</v>
      </c>
      <c r="F12" s="54" t="n">
        <f aca="false">F101</f>
        <v>1.5039125812088</v>
      </c>
      <c r="I12" s="48"/>
      <c r="J12" s="49"/>
      <c r="K12" s="49"/>
      <c r="N12" s="43"/>
      <c r="O12" s="50"/>
      <c r="P12" s="50"/>
      <c r="Q12" s="50"/>
      <c r="R12" s="50"/>
    </row>
    <row r="13" s="5" customFormat="true" ht="25.5" hidden="false" customHeight="true" outlineLevel="0" collapsed="false">
      <c r="A13" s="38"/>
      <c r="D13" s="0"/>
      <c r="I13" s="48"/>
      <c r="J13" s="49"/>
      <c r="K13" s="49"/>
      <c r="N13" s="43"/>
      <c r="O13" s="50"/>
      <c r="P13" s="50"/>
      <c r="Q13" s="50"/>
      <c r="R13" s="50"/>
    </row>
    <row r="14" s="5" customFormat="true" ht="41.25" hidden="false" customHeight="true" outlineLevel="0" collapsed="false">
      <c r="A14" s="38"/>
      <c r="D14" s="0"/>
      <c r="I14" s="48"/>
      <c r="J14" s="49"/>
      <c r="K14" s="49"/>
      <c r="N14" s="43"/>
      <c r="O14" s="43"/>
      <c r="P14" s="43"/>
      <c r="Q14" s="43"/>
      <c r="R14" s="43"/>
    </row>
    <row r="15" s="5" customFormat="true" ht="41.25" hidden="false" customHeight="true" outlineLevel="0" collapsed="false">
      <c r="A15" s="38"/>
      <c r="I15" s="48"/>
      <c r="J15" s="49"/>
      <c r="K15" s="49"/>
      <c r="N15" s="1"/>
      <c r="O15" s="1"/>
      <c r="P15" s="1"/>
      <c r="Q15" s="1"/>
      <c r="R15" s="1"/>
    </row>
    <row r="16" s="5" customFormat="true" ht="41.25" hidden="false" customHeight="true" outlineLevel="0" collapsed="false">
      <c r="A16" s="38"/>
      <c r="I16" s="48"/>
      <c r="J16" s="49"/>
      <c r="K16" s="49"/>
      <c r="N16" s="1"/>
      <c r="O16" s="1"/>
      <c r="P16" s="1"/>
      <c r="Q16" s="1"/>
      <c r="R16" s="1"/>
    </row>
    <row r="17" s="60" customFormat="true" ht="18.4" hidden="false" customHeight="true" outlineLevel="0" collapsed="false">
      <c r="A17" s="55" t="s">
        <v>28</v>
      </c>
      <c r="B17" s="56"/>
      <c r="C17" s="56"/>
      <c r="D17" s="56"/>
      <c r="E17" s="56"/>
      <c r="F17" s="56"/>
      <c r="G17" s="56"/>
      <c r="H17" s="56"/>
      <c r="I17" s="57"/>
      <c r="J17" s="58"/>
      <c r="K17" s="58"/>
      <c r="L17" s="56"/>
      <c r="M17" s="56"/>
      <c r="N17" s="59"/>
      <c r="O17" s="59"/>
      <c r="P17" s="59"/>
      <c r="Q17" s="59"/>
      <c r="R17" s="59"/>
    </row>
    <row r="18" s="5" customFormat="true" ht="19.5" hidden="false" customHeight="false" outlineLevel="0" collapsed="false">
      <c r="A18" s="61"/>
      <c r="B18" s="48" t="s">
        <v>29</v>
      </c>
      <c r="C18" s="48"/>
      <c r="D18" s="5" t="s">
        <v>30</v>
      </c>
      <c r="E18" s="62" t="n">
        <f aca="false">VLOOKUP(D236,A236:C251,3,0)</f>
        <v>0.23</v>
      </c>
      <c r="F18" s="63" t="s">
        <v>31</v>
      </c>
      <c r="G18" s="64" t="n">
        <f aca="false">IF(J4&gt;=0,0.43,0.25)</f>
        <v>0.43</v>
      </c>
      <c r="H18" s="5" t="s">
        <v>32</v>
      </c>
      <c r="J18" s="65" t="n">
        <f aca="false">B4*D4</f>
        <v>10.5</v>
      </c>
      <c r="K18" s="66" t="n">
        <f aca="false">K4-J4</f>
        <v>10</v>
      </c>
      <c r="L18" s="67" t="n">
        <f aca="false">IF(E18="",E18*J18*(K18-$J$4)*$F$7/1000,E18*J18*(K18-$J$4)*$F$7/1000)</f>
        <v>1043.28</v>
      </c>
      <c r="N18" s="1"/>
      <c r="O18" s="1"/>
      <c r="P18" s="1"/>
      <c r="Q18" s="1"/>
      <c r="R18" s="1"/>
    </row>
    <row r="19" s="5" customFormat="true" ht="19.5" hidden="false" customHeight="false" outlineLevel="0" collapsed="false">
      <c r="A19" s="61"/>
      <c r="B19" s="48" t="s">
        <v>29</v>
      </c>
      <c r="C19" s="48"/>
      <c r="D19" s="5" t="s">
        <v>33</v>
      </c>
      <c r="E19" s="62" t="n">
        <f aca="false">VLOOKUP(D236,A236:C251,3,0)</f>
        <v>0.23</v>
      </c>
      <c r="F19" s="63" t="s">
        <v>31</v>
      </c>
      <c r="G19" s="64" t="n">
        <f aca="false">IF(J4&gt;=0,0.43,0.25)</f>
        <v>0.43</v>
      </c>
      <c r="H19" s="5" t="s">
        <v>32</v>
      </c>
      <c r="J19" s="65" t="n">
        <f aca="false">C4*D4</f>
        <v>4.5</v>
      </c>
      <c r="K19" s="66" t="n">
        <f aca="false">K4-J4</f>
        <v>10</v>
      </c>
      <c r="L19" s="67" t="n">
        <f aca="false">IF(E19="",G19*J19*(K19-$J$4)*$F$7/1000,E19*J19*(K19-$J$4)*$F$7/1000)</f>
        <v>447.12</v>
      </c>
      <c r="N19" s="1"/>
      <c r="O19" s="1"/>
      <c r="P19" s="1"/>
      <c r="Q19" s="1"/>
      <c r="R19" s="1"/>
    </row>
    <row r="20" s="5" customFormat="true" ht="19.5" hidden="false" customHeight="false" outlineLevel="0" collapsed="false">
      <c r="A20" s="61"/>
      <c r="B20" s="48" t="s">
        <v>29</v>
      </c>
      <c r="C20" s="48"/>
      <c r="D20" s="5" t="s">
        <v>34</v>
      </c>
      <c r="E20" s="62" t="n">
        <f aca="false">VLOOKUP(D236,A236:C251,3,0)</f>
        <v>0.23</v>
      </c>
      <c r="F20" s="63" t="s">
        <v>31</v>
      </c>
      <c r="G20" s="64" t="n">
        <f aca="false">IF(J4&gt;=0,0.43,0.25)</f>
        <v>0.43</v>
      </c>
      <c r="H20" s="5" t="s">
        <v>32</v>
      </c>
      <c r="J20" s="65" t="n">
        <f aca="false">B4*D4</f>
        <v>10.5</v>
      </c>
      <c r="K20" s="66" t="n">
        <f aca="false">K4-J4</f>
        <v>10</v>
      </c>
      <c r="L20" s="67" t="n">
        <f aca="false">IF(E20="",G20*J20*(K20-$J$4)*$F$7/1000,E20*J20*(K20-$J$4)*$F$7/1000)</f>
        <v>1043.28</v>
      </c>
      <c r="N20" s="1"/>
      <c r="O20" s="1"/>
      <c r="P20" s="1"/>
      <c r="Q20" s="1"/>
      <c r="R20" s="1"/>
    </row>
    <row r="21" s="5" customFormat="true" ht="18.75" hidden="false" customHeight="false" outlineLevel="0" collapsed="false">
      <c r="A21" s="61"/>
      <c r="B21" s="48" t="s">
        <v>29</v>
      </c>
      <c r="C21" s="48"/>
      <c r="D21" s="5" t="s">
        <v>35</v>
      </c>
      <c r="E21" s="62" t="n">
        <f aca="false">VLOOKUP(D236,A236:C251,3,0)</f>
        <v>0.23</v>
      </c>
      <c r="F21" s="63" t="s">
        <v>31</v>
      </c>
      <c r="G21" s="64" t="n">
        <f aca="false">IF(J4&gt;=0,0.43,0.25)</f>
        <v>0.43</v>
      </c>
      <c r="H21" s="5" t="s">
        <v>32</v>
      </c>
      <c r="J21" s="65" t="n">
        <f aca="false">C4*D4</f>
        <v>4.5</v>
      </c>
      <c r="K21" s="66" t="n">
        <f aca="false">K4-J4</f>
        <v>10</v>
      </c>
      <c r="L21" s="68" t="n">
        <f aca="false">IF(E21="",G21*J21*(K21-$J$4)*$F$7/1000,E21*J21*(K21-$J$4)*$F$7/1000)</f>
        <v>447.12</v>
      </c>
      <c r="N21" s="1"/>
      <c r="O21" s="1"/>
      <c r="P21" s="1"/>
      <c r="Q21" s="1"/>
      <c r="R21" s="1"/>
    </row>
    <row r="22" s="5" customFormat="true" ht="18.75" hidden="false" customHeight="false" outlineLevel="0" collapsed="false">
      <c r="A22" s="61"/>
      <c r="B22" s="48" t="s">
        <v>29</v>
      </c>
      <c r="D22" s="5" t="s">
        <v>36</v>
      </c>
      <c r="E22" s="62" t="n">
        <f aca="false">VLOOKUP(D236,A236:C251,3,0)</f>
        <v>0.23</v>
      </c>
      <c r="F22" s="63" t="s">
        <v>31</v>
      </c>
      <c r="G22" s="64" t="n">
        <f aca="false">IF(J4&gt;=0,0.43,0.25)</f>
        <v>0.43</v>
      </c>
      <c r="H22" s="5" t="s">
        <v>32</v>
      </c>
      <c r="J22" s="65" t="n">
        <f aca="false">E4</f>
        <v>5.25</v>
      </c>
      <c r="K22" s="66" t="n">
        <f aca="false">K4-J4</f>
        <v>10</v>
      </c>
      <c r="L22" s="68" t="n">
        <f aca="false">IF(E22="",G22*J22*(K22-$J$4)*$F$7/1000,E22*J22*(K22-$J$4)*$F$7/1000)</f>
        <v>521.64</v>
      </c>
    </row>
    <row r="23" s="5" customFormat="true" ht="18.75" hidden="false" customHeight="false" outlineLevel="0" collapsed="false">
      <c r="A23" s="61"/>
      <c r="B23" s="48" t="s">
        <v>29</v>
      </c>
      <c r="D23" s="5" t="s">
        <v>37</v>
      </c>
      <c r="E23" s="62" t="n">
        <f aca="false">1/(0.2+0.15/1.28+0.015/0.16+0.1/0.03+0.1/1.28+0.05/1.92+0.015/1.05)</f>
        <v>0.258884715400173</v>
      </c>
      <c r="F23" s="63" t="s">
        <v>31</v>
      </c>
      <c r="G23" s="64" t="n">
        <f aca="false">IF(J4&gt;=0,0.43,0.25)</f>
        <v>0.43</v>
      </c>
      <c r="H23" s="5" t="s">
        <v>32</v>
      </c>
      <c r="J23" s="65" t="n">
        <f aca="false">E4</f>
        <v>5.25</v>
      </c>
      <c r="K23" s="66" t="n">
        <f aca="false">M4-J4</f>
        <v>5</v>
      </c>
      <c r="L23" s="68" t="n">
        <f aca="false">IF(E23="",G23*J23*(K23-$J$4)*$F$7/1000,E23*J23*(K23-$J$4)*$F$7/1000)</f>
        <v>293.575267263797</v>
      </c>
    </row>
    <row r="24" s="70" customFormat="true" ht="8.25" hidden="false" customHeight="false" outlineLevel="0" collapsed="false">
      <c r="A24" s="69"/>
      <c r="K24" s="71"/>
    </row>
    <row r="25" s="60" customFormat="true" ht="22.7" hidden="false" customHeight="true" outlineLevel="0" collapsed="false">
      <c r="A25" s="72"/>
      <c r="B25" s="73" t="s">
        <v>38</v>
      </c>
      <c r="C25" s="74" t="s">
        <v>39</v>
      </c>
      <c r="D25" s="75"/>
      <c r="E25" s="76" t="n">
        <f aca="false">SUM(L18:L21)</f>
        <v>2980.8</v>
      </c>
      <c r="F25" s="77" t="s">
        <v>40</v>
      </c>
      <c r="K25" s="78"/>
    </row>
    <row r="26" s="60" customFormat="true" ht="24.2" hidden="false" customHeight="true" outlineLevel="0" collapsed="false">
      <c r="A26" s="72"/>
      <c r="B26" s="79" t="s">
        <v>41</v>
      </c>
      <c r="C26" s="80" t="s">
        <v>42</v>
      </c>
      <c r="D26" s="81"/>
      <c r="E26" s="82" t="n">
        <f aca="false">IF(E22="",G22*E4*(L4-$J$4)*$F$7/1000,E22*E4*(L4-$J$4)*$F$7/1000)</f>
        <v>1460.592</v>
      </c>
      <c r="F26" s="83" t="s">
        <v>40</v>
      </c>
      <c r="H26" s="84" t="s">
        <v>43</v>
      </c>
      <c r="I26" s="85" t="n">
        <f aca="false">+SUM(E25:E27)</f>
        <v>4734.9672672638</v>
      </c>
      <c r="J26" s="86" t="s">
        <v>40</v>
      </c>
      <c r="K26" s="87" t="n">
        <f aca="false">I26/F7</f>
        <v>0.109605723779255</v>
      </c>
      <c r="L26" s="88" t="s">
        <v>44</v>
      </c>
    </row>
    <row r="27" s="60" customFormat="true" ht="24.2" hidden="false" customHeight="true" outlineLevel="0" collapsed="false">
      <c r="A27" s="72"/>
      <c r="B27" s="89" t="s">
        <v>45</v>
      </c>
      <c r="C27" s="90" t="s">
        <v>46</v>
      </c>
      <c r="D27" s="91"/>
      <c r="E27" s="92" t="n">
        <f aca="false">IF(E23="",G23*E4*(M4-$J$4)*$F$7/1000,E23*E4*(M4-$J$4)*$F$7/1000)</f>
        <v>293.575267263797</v>
      </c>
      <c r="F27" s="93" t="s">
        <v>40</v>
      </c>
      <c r="H27" s="94" t="s">
        <v>47</v>
      </c>
      <c r="I27" s="95" t="n">
        <f aca="false">+(I26/D86)*100</f>
        <v>5.21037843852097</v>
      </c>
      <c r="J27" s="96" t="s">
        <v>48</v>
      </c>
      <c r="K27" s="97"/>
      <c r="L27" s="98"/>
    </row>
    <row r="28" s="70" customFormat="true" ht="5.65" hidden="false" customHeight="true" outlineLevel="0" collapsed="false">
      <c r="K28" s="71"/>
    </row>
    <row r="29" s="60" customFormat="true" ht="18.4" hidden="false" customHeight="true" outlineLevel="0" collapsed="false">
      <c r="A29" s="55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99"/>
      <c r="L29" s="56"/>
      <c r="M29" s="56"/>
    </row>
    <row r="30" s="5" customFormat="true" ht="15.75" hidden="false" customHeight="false" outlineLevel="0" collapsed="false">
      <c r="A30" s="61"/>
      <c r="B30" s="63" t="s">
        <v>50</v>
      </c>
      <c r="C30" s="63"/>
      <c r="D30" s="63"/>
      <c r="E30" s="100" t="n">
        <f aca="false">+G30</f>
        <v>393.75</v>
      </c>
      <c r="F30" s="5" t="s">
        <v>31</v>
      </c>
      <c r="G30" s="33" t="n">
        <f aca="false">25*G4</f>
        <v>393.75</v>
      </c>
      <c r="H30" s="5" t="s">
        <v>51</v>
      </c>
      <c r="J30" s="101"/>
      <c r="K30" s="102" t="n">
        <f aca="false">IF(E30="",G30,E30)</f>
        <v>393.75</v>
      </c>
      <c r="L30" s="103"/>
      <c r="M30" s="103"/>
      <c r="N30" s="101"/>
    </row>
    <row r="31" s="5" customFormat="true" ht="15.75" hidden="false" customHeight="false" outlineLevel="0" collapsed="false">
      <c r="A31" s="61"/>
      <c r="B31" s="63" t="s">
        <v>52</v>
      </c>
      <c r="C31" s="63"/>
      <c r="D31" s="63"/>
      <c r="E31" s="100" t="n">
        <v>500</v>
      </c>
      <c r="F31" s="5" t="s">
        <v>31</v>
      </c>
      <c r="G31" s="33" t="n">
        <f aca="false">100*E4</f>
        <v>525</v>
      </c>
      <c r="J31" s="101"/>
      <c r="K31" s="104"/>
      <c r="L31" s="103"/>
      <c r="M31" s="103"/>
      <c r="N31" s="101"/>
    </row>
    <row r="32" s="5" customFormat="true" ht="22.5" hidden="false" customHeight="true" outlineLevel="0" collapsed="false">
      <c r="A32" s="61"/>
      <c r="B32" s="63" t="s">
        <v>53</v>
      </c>
      <c r="C32" s="63"/>
      <c r="D32" s="63"/>
      <c r="E32" s="105"/>
      <c r="G32" s="33"/>
      <c r="J32" s="101"/>
      <c r="K32" s="104"/>
      <c r="L32" s="103" t="n">
        <v>4</v>
      </c>
      <c r="M32" s="103"/>
      <c r="N32" s="101"/>
    </row>
    <row r="33" s="5" customFormat="true" ht="15.75" hidden="false" customHeight="false" outlineLevel="0" collapsed="false">
      <c r="A33" s="61"/>
      <c r="B33" s="63" t="s">
        <v>54</v>
      </c>
      <c r="C33" s="63"/>
      <c r="D33" s="63"/>
      <c r="E33" s="106" t="n">
        <v>15</v>
      </c>
      <c r="F33" s="5" t="s">
        <v>55</v>
      </c>
      <c r="J33" s="101"/>
      <c r="K33" s="104"/>
      <c r="L33" s="103"/>
      <c r="M33" s="103"/>
      <c r="N33" s="101"/>
    </row>
    <row r="34" s="5" customFormat="true" ht="15.75" hidden="false" customHeight="false" outlineLevel="0" collapsed="false">
      <c r="A34" s="61"/>
      <c r="B34" s="63" t="s">
        <v>56</v>
      </c>
      <c r="C34" s="63"/>
      <c r="D34" s="63"/>
      <c r="E34" s="106" t="n">
        <v>0</v>
      </c>
      <c r="F34" s="5" t="s">
        <v>57</v>
      </c>
      <c r="G34" s="107" t="n">
        <f aca="false">+J4</f>
        <v>0</v>
      </c>
      <c r="H34" s="5" t="s">
        <v>58</v>
      </c>
      <c r="J34" s="101"/>
      <c r="K34" s="104" t="n">
        <v>0</v>
      </c>
      <c r="L34" s="103"/>
      <c r="M34" s="103"/>
      <c r="N34" s="101"/>
    </row>
    <row r="35" s="5" customFormat="true" ht="18.75" hidden="false" customHeight="false" outlineLevel="0" collapsed="false">
      <c r="A35" s="61"/>
      <c r="B35" s="63" t="s">
        <v>59</v>
      </c>
      <c r="C35" s="63"/>
      <c r="D35" s="63"/>
      <c r="E35" s="108" t="n">
        <f aca="false">VLOOKUP(L32,A160:H223,5,0)</f>
        <v>3.22</v>
      </c>
      <c r="F35" s="5" t="s">
        <v>60</v>
      </c>
      <c r="G35" s="109" t="s">
        <v>61</v>
      </c>
      <c r="H35" s="110" t="n">
        <f aca="false">SUM(E33-H37)</f>
        <v>16.7</v>
      </c>
      <c r="I35" s="5" t="s">
        <v>62</v>
      </c>
      <c r="J35" s="101"/>
      <c r="K35" s="104"/>
      <c r="L35" s="103"/>
      <c r="M35" s="103"/>
      <c r="N35" s="101"/>
    </row>
    <row r="36" s="5" customFormat="true" ht="18.75" hidden="false" customHeight="false" outlineLevel="0" collapsed="false">
      <c r="A36" s="61"/>
      <c r="B36" s="63" t="s">
        <v>63</v>
      </c>
      <c r="C36" s="63"/>
      <c r="D36" s="63"/>
      <c r="E36" s="108" t="n">
        <f aca="false">VLOOKUP(L32,A161:H224,8,1)</f>
        <v>0</v>
      </c>
      <c r="F36" s="5" t="s">
        <v>60</v>
      </c>
      <c r="G36" s="109"/>
      <c r="H36" s="110"/>
      <c r="J36" s="101"/>
      <c r="K36" s="111"/>
      <c r="L36" s="101"/>
      <c r="M36" s="101"/>
      <c r="N36" s="101"/>
    </row>
    <row r="37" s="5" customFormat="true" ht="18.75" hidden="false" customHeight="false" outlineLevel="0" collapsed="false">
      <c r="A37" s="61"/>
      <c r="B37" s="63" t="s">
        <v>64</v>
      </c>
      <c r="C37" s="63"/>
      <c r="D37" s="63"/>
      <c r="E37" s="112" t="n">
        <f aca="false">VLOOKUP(L32,A160:H225,7,0)</f>
        <v>234</v>
      </c>
      <c r="F37" s="5" t="s">
        <v>65</v>
      </c>
      <c r="G37" s="109" t="s">
        <v>66</v>
      </c>
      <c r="H37" s="113" t="n">
        <f aca="false">VLOOKUP(L32,A160:H223,4,0)</f>
        <v>-1.7</v>
      </c>
      <c r="I37" s="5" t="s">
        <v>55</v>
      </c>
      <c r="J37" s="101"/>
      <c r="K37" s="111"/>
      <c r="L37" s="101"/>
      <c r="M37" s="101"/>
      <c r="N37" s="101"/>
    </row>
    <row r="38" s="5" customFormat="true" ht="18.75" hidden="false" customHeight="false" outlineLevel="0" collapsed="false">
      <c r="A38" s="61"/>
      <c r="B38" s="63" t="s">
        <v>67</v>
      </c>
      <c r="C38" s="63"/>
      <c r="D38" s="63"/>
      <c r="E38" s="114" t="n">
        <f aca="false">VLOOKUP(L32,A160:H226,6,0)</f>
        <v>1.67</v>
      </c>
      <c r="F38" s="5" t="s">
        <v>60</v>
      </c>
      <c r="G38" s="109" t="s">
        <v>68</v>
      </c>
      <c r="H38" s="110" t="n">
        <f aca="false">IF(AND(E33&gt;=H37,K34&lt;=H37)=TRUE(),ABS(H37-K34),IF(AND(E33&lt;=H37,K34&lt;=H37)=TRUE(),ABS(E33-K34),0))</f>
        <v>0</v>
      </c>
      <c r="I38" s="5" t="s">
        <v>62</v>
      </c>
      <c r="J38" s="101"/>
      <c r="K38" s="111"/>
      <c r="L38" s="101"/>
      <c r="M38" s="101"/>
      <c r="N38" s="101"/>
    </row>
    <row r="39" s="70" customFormat="true" ht="14.25" hidden="false" customHeight="false" outlineLevel="0" collapsed="false">
      <c r="A39" s="69"/>
      <c r="B39" s="63"/>
      <c r="C39" s="63"/>
      <c r="D39" s="63"/>
      <c r="E39" s="115"/>
      <c r="J39" s="116"/>
      <c r="K39" s="117"/>
      <c r="L39" s="116"/>
      <c r="M39" s="116"/>
      <c r="N39" s="116"/>
    </row>
    <row r="40" s="60" customFormat="true" ht="19.9" hidden="false" customHeight="true" outlineLevel="0" collapsed="false">
      <c r="A40" s="72"/>
      <c r="B40" s="84" t="s">
        <v>69</v>
      </c>
      <c r="C40" s="118"/>
      <c r="D40" s="118"/>
      <c r="E40" s="119" t="n">
        <f aca="false">+E30*E35*H35</f>
        <v>21173.5125</v>
      </c>
      <c r="F40" s="77" t="s">
        <v>40</v>
      </c>
      <c r="J40" s="120"/>
      <c r="K40" s="121"/>
      <c r="L40" s="120"/>
      <c r="M40" s="120"/>
      <c r="N40" s="120"/>
    </row>
    <row r="41" s="60" customFormat="true" ht="19.9" hidden="false" customHeight="true" outlineLevel="0" collapsed="false">
      <c r="A41" s="72"/>
      <c r="B41" s="122" t="s">
        <v>70</v>
      </c>
      <c r="C41" s="123"/>
      <c r="D41" s="123"/>
      <c r="E41" s="124" t="n">
        <f aca="false">+E31*E36</f>
        <v>0</v>
      </c>
      <c r="F41" s="83" t="s">
        <v>40</v>
      </c>
      <c r="K41" s="78"/>
    </row>
    <row r="42" s="60" customFormat="true" ht="24.2" hidden="false" customHeight="true" outlineLevel="0" collapsed="false">
      <c r="A42" s="72"/>
      <c r="B42" s="125" t="s">
        <v>71</v>
      </c>
      <c r="C42" s="126"/>
      <c r="D42" s="126"/>
      <c r="E42" s="124" t="n">
        <f aca="false">IF(AND(H35&gt;0,H38&gt;0)=TRUE(),E30*E37,0)</f>
        <v>0</v>
      </c>
      <c r="F42" s="83" t="s">
        <v>40</v>
      </c>
      <c r="H42" s="127" t="s">
        <v>72</v>
      </c>
      <c r="I42" s="128" t="n">
        <f aca="false">+SUM(E40:E43)</f>
        <v>21173.5125</v>
      </c>
      <c r="J42" s="86" t="s">
        <v>40</v>
      </c>
      <c r="K42" s="87" t="n">
        <f aca="false">+I42/F7</f>
        <v>0.490127604166667</v>
      </c>
      <c r="L42" s="88" t="s">
        <v>44</v>
      </c>
    </row>
    <row r="43" s="60" customFormat="true" ht="24.2" hidden="false" customHeight="true" outlineLevel="0" collapsed="false">
      <c r="A43" s="72"/>
      <c r="B43" s="129" t="s">
        <v>73</v>
      </c>
      <c r="C43" s="130"/>
      <c r="D43" s="130"/>
      <c r="E43" s="131" t="n">
        <f aca="false">E30*E38*H38</f>
        <v>0</v>
      </c>
      <c r="F43" s="93" t="s">
        <v>40</v>
      </c>
      <c r="H43" s="132" t="s">
        <v>74</v>
      </c>
      <c r="I43" s="95" t="n">
        <f aca="false">+(I42/D86)*100</f>
        <v>23.2994246360453</v>
      </c>
      <c r="J43" s="96" t="s">
        <v>48</v>
      </c>
      <c r="K43" s="97"/>
      <c r="L43" s="98"/>
    </row>
    <row r="44" s="70" customFormat="true" ht="5.65" hidden="false" customHeight="true" outlineLevel="0" collapsed="false">
      <c r="K44" s="71"/>
    </row>
    <row r="45" s="60" customFormat="true" ht="18.4" hidden="false" customHeight="true" outlineLevel="0" collapsed="false">
      <c r="A45" s="55" t="s">
        <v>75</v>
      </c>
      <c r="B45" s="56"/>
      <c r="C45" s="56"/>
      <c r="D45" s="56"/>
      <c r="E45" s="56"/>
      <c r="F45" s="56"/>
      <c r="G45" s="56"/>
      <c r="H45" s="56"/>
      <c r="I45" s="56"/>
      <c r="J45" s="56"/>
      <c r="K45" s="99"/>
      <c r="L45" s="56"/>
      <c r="M45" s="56"/>
    </row>
    <row r="46" s="5" customFormat="true" ht="15.75" hidden="false" customHeight="false" outlineLevel="0" collapsed="false">
      <c r="A46" s="61"/>
      <c r="B46" s="5" t="s">
        <v>50</v>
      </c>
      <c r="E46" s="133" t="n">
        <f aca="false">+G46</f>
        <v>78.75</v>
      </c>
      <c r="F46" s="5" t="s">
        <v>31</v>
      </c>
      <c r="G46" s="33" t="n">
        <f aca="false">IF(E30="",G30*0.2,E30*0.2)</f>
        <v>78.75</v>
      </c>
      <c r="H46" s="5" t="s">
        <v>76</v>
      </c>
      <c r="K46" s="104" t="n">
        <f aca="false">IF(E46="",G46,E46)</f>
        <v>78.75</v>
      </c>
    </row>
    <row r="47" s="5" customFormat="true" ht="15" hidden="false" customHeight="false" outlineLevel="0" collapsed="false">
      <c r="A47" s="61"/>
      <c r="B47" s="5" t="s">
        <v>54</v>
      </c>
      <c r="E47" s="109" t="n">
        <f aca="false">+E33</f>
        <v>15</v>
      </c>
      <c r="F47" s="5" t="s">
        <v>55</v>
      </c>
      <c r="K47" s="134"/>
    </row>
    <row r="48" s="5" customFormat="true" ht="18" hidden="false" customHeight="false" outlineLevel="0" collapsed="false">
      <c r="A48" s="61"/>
      <c r="B48" s="5" t="s">
        <v>77</v>
      </c>
      <c r="E48" s="135" t="n">
        <v>1.7</v>
      </c>
      <c r="F48" s="5" t="s">
        <v>60</v>
      </c>
      <c r="G48" s="109" t="s">
        <v>78</v>
      </c>
      <c r="H48" s="110" t="n">
        <f aca="false">+H35+H38</f>
        <v>16.7</v>
      </c>
      <c r="I48" s="5" t="s">
        <v>62</v>
      </c>
      <c r="K48" s="134"/>
    </row>
    <row r="49" s="70" customFormat="true" ht="7.5" hidden="false" customHeight="true" outlineLevel="0" collapsed="false">
      <c r="A49" s="61"/>
      <c r="K49" s="71"/>
    </row>
    <row r="50" s="60" customFormat="true" ht="24.2" hidden="false" customHeight="true" outlineLevel="0" collapsed="false">
      <c r="A50" s="72"/>
      <c r="H50" s="127" t="s">
        <v>79</v>
      </c>
      <c r="I50" s="136" t="n">
        <f aca="false">+E51</f>
        <v>2235.7125</v>
      </c>
      <c r="J50" s="86" t="s">
        <v>40</v>
      </c>
      <c r="K50" s="87" t="n">
        <f aca="false">+I50/F7</f>
        <v>0.0517526041666667</v>
      </c>
      <c r="L50" s="88" t="s">
        <v>80</v>
      </c>
    </row>
    <row r="51" s="60" customFormat="true" ht="24.2" hidden="false" customHeight="true" outlineLevel="0" collapsed="false">
      <c r="A51" s="72"/>
      <c r="B51" s="137" t="s">
        <v>81</v>
      </c>
      <c r="C51" s="138"/>
      <c r="D51" s="138"/>
      <c r="E51" s="139" t="n">
        <f aca="false">+K46*E48*H48</f>
        <v>2235.7125</v>
      </c>
      <c r="F51" s="140" t="s">
        <v>40</v>
      </c>
      <c r="H51" s="132" t="s">
        <v>82</v>
      </c>
      <c r="I51" s="95" t="n">
        <f aca="false">+(I50/D86)*100</f>
        <v>2.46018769448925</v>
      </c>
      <c r="J51" s="96" t="s">
        <v>48</v>
      </c>
      <c r="K51" s="97"/>
      <c r="L51" s="98"/>
    </row>
    <row r="52" s="70" customFormat="true" ht="5.65" hidden="false" customHeight="true" outlineLevel="0" collapsed="false">
      <c r="H52" s="141"/>
      <c r="K52" s="71"/>
    </row>
    <row r="53" s="60" customFormat="true" ht="18.4" hidden="false" customHeight="true" outlineLevel="0" collapsed="false">
      <c r="A53" s="55" t="s">
        <v>83</v>
      </c>
      <c r="B53" s="56"/>
      <c r="C53" s="56"/>
      <c r="D53" s="56"/>
      <c r="E53" s="56"/>
      <c r="F53" s="56"/>
      <c r="G53" s="56"/>
      <c r="H53" s="142"/>
      <c r="I53" s="56"/>
      <c r="J53" s="56"/>
      <c r="K53" s="99"/>
      <c r="L53" s="56"/>
      <c r="M53" s="56"/>
    </row>
    <row r="54" s="5" customFormat="true" ht="18.75" hidden="false" customHeight="false" outlineLevel="0" collapsed="false">
      <c r="A54" s="61"/>
      <c r="B54" s="5" t="s">
        <v>84</v>
      </c>
      <c r="D54" s="143" t="n">
        <v>15</v>
      </c>
      <c r="E54" s="5" t="s">
        <v>85</v>
      </c>
      <c r="H54" s="48"/>
      <c r="K54" s="134"/>
    </row>
    <row r="55" s="5" customFormat="true" ht="15.75" hidden="false" customHeight="false" outlineLevel="0" collapsed="false">
      <c r="A55" s="61"/>
      <c r="B55" s="5" t="s">
        <v>86</v>
      </c>
      <c r="D55" s="106" t="n">
        <v>12</v>
      </c>
      <c r="E55" s="5" t="s">
        <v>87</v>
      </c>
      <c r="F55" s="33" t="n">
        <f aca="false">D55*3600</f>
        <v>43200</v>
      </c>
      <c r="G55" s="5" t="s">
        <v>21</v>
      </c>
      <c r="H55" s="48"/>
      <c r="K55" s="134"/>
    </row>
    <row r="56" s="60" customFormat="true" ht="24.2" hidden="false" customHeight="true" outlineLevel="0" collapsed="false">
      <c r="A56" s="72"/>
      <c r="D56" s="144"/>
      <c r="H56" s="127" t="s">
        <v>88</v>
      </c>
      <c r="I56" s="136" t="n">
        <f aca="false">E57</f>
        <v>3402</v>
      </c>
      <c r="J56" s="86" t="s">
        <v>40</v>
      </c>
      <c r="K56" s="87" t="n">
        <f aca="false">I56/F7</f>
        <v>0.07875</v>
      </c>
      <c r="L56" s="88" t="s">
        <v>80</v>
      </c>
    </row>
    <row r="57" s="60" customFormat="true" ht="24.2" hidden="false" customHeight="true" outlineLevel="0" collapsed="false">
      <c r="A57" s="72"/>
      <c r="B57" s="137" t="s">
        <v>89</v>
      </c>
      <c r="C57" s="145"/>
      <c r="D57" s="146"/>
      <c r="E57" s="139" t="n">
        <f aca="false">+D54*E4*F55/1000</f>
        <v>3402</v>
      </c>
      <c r="F57" s="140" t="s">
        <v>40</v>
      </c>
      <c r="H57" s="132" t="s">
        <v>90</v>
      </c>
      <c r="I57" s="95" t="n">
        <f aca="false">(I56/D86)*100</f>
        <v>3.74357549848312</v>
      </c>
      <c r="J57" s="96" t="s">
        <v>48</v>
      </c>
      <c r="K57" s="97"/>
      <c r="L57" s="98"/>
    </row>
    <row r="58" s="70" customFormat="true" ht="5.65" hidden="false" customHeight="true" outlineLevel="0" collapsed="false">
      <c r="D58" s="115"/>
      <c r="H58" s="141"/>
      <c r="K58" s="71"/>
    </row>
    <row r="59" s="60" customFormat="true" ht="18.4" hidden="false" customHeight="true" outlineLevel="0" collapsed="false">
      <c r="A59" s="55" t="s">
        <v>91</v>
      </c>
      <c r="B59" s="56"/>
      <c r="C59" s="56"/>
      <c r="D59" s="147"/>
      <c r="E59" s="56"/>
      <c r="F59" s="56"/>
      <c r="G59" s="56"/>
      <c r="H59" s="142"/>
      <c r="I59" s="56"/>
      <c r="J59" s="56"/>
      <c r="K59" s="99"/>
      <c r="L59" s="56"/>
      <c r="M59" s="56"/>
    </row>
    <row r="60" s="5" customFormat="true" ht="15.75" hidden="false" customHeight="false" outlineLevel="0" collapsed="false">
      <c r="A60" s="61"/>
      <c r="B60" s="5" t="s">
        <v>92</v>
      </c>
      <c r="D60" s="100" t="n">
        <v>5</v>
      </c>
      <c r="H60" s="48"/>
      <c r="K60" s="134"/>
    </row>
    <row r="61" s="5" customFormat="true" ht="15.75" hidden="false" customHeight="false" outlineLevel="0" collapsed="false">
      <c r="A61" s="61"/>
      <c r="B61" s="5" t="s">
        <v>93</v>
      </c>
      <c r="D61" s="143" t="n">
        <v>270</v>
      </c>
      <c r="E61" s="5" t="s">
        <v>94</v>
      </c>
      <c r="H61" s="48"/>
      <c r="K61" s="134"/>
    </row>
    <row r="62" s="5" customFormat="true" ht="15.75" hidden="false" customHeight="false" outlineLevel="0" collapsed="false">
      <c r="A62" s="61"/>
      <c r="B62" s="5" t="s">
        <v>95</v>
      </c>
      <c r="D62" s="100" t="n">
        <v>8</v>
      </c>
      <c r="E62" s="5" t="s">
        <v>96</v>
      </c>
      <c r="H62" s="48"/>
      <c r="K62" s="134"/>
    </row>
    <row r="63" s="60" customFormat="true" ht="24.2" hidden="false" customHeight="true" outlineLevel="0" collapsed="false">
      <c r="A63" s="72"/>
      <c r="D63" s="144"/>
      <c r="H63" s="127" t="s">
        <v>97</v>
      </c>
      <c r="I63" s="136" t="n">
        <f aca="false">E64</f>
        <v>38880</v>
      </c>
      <c r="J63" s="86" t="s">
        <v>40</v>
      </c>
      <c r="K63" s="87" t="n">
        <f aca="false">I63/F7</f>
        <v>0.9</v>
      </c>
      <c r="L63" s="88" t="s">
        <v>80</v>
      </c>
    </row>
    <row r="64" s="60" customFormat="true" ht="24.2" hidden="false" customHeight="true" outlineLevel="0" collapsed="false">
      <c r="A64" s="72"/>
      <c r="B64" s="137" t="s">
        <v>98</v>
      </c>
      <c r="C64" s="138"/>
      <c r="D64" s="146"/>
      <c r="E64" s="139" t="n">
        <f aca="false">+D60*D61*D62*3600/1000</f>
        <v>38880</v>
      </c>
      <c r="F64" s="140" t="s">
        <v>40</v>
      </c>
      <c r="H64" s="132" t="s">
        <v>99</v>
      </c>
      <c r="I64" s="95" t="n">
        <f aca="false">(I63/D86)*100</f>
        <v>42.7837199826642</v>
      </c>
      <c r="J64" s="96" t="s">
        <v>48</v>
      </c>
      <c r="K64" s="97"/>
      <c r="L64" s="98"/>
      <c r="AS64" s="5" t="s">
        <v>8</v>
      </c>
      <c r="AT64" s="5" t="s">
        <v>100</v>
      </c>
      <c r="AU64" s="5"/>
    </row>
    <row r="65" s="70" customFormat="true" ht="5.65" hidden="false" customHeight="true" outlineLevel="0" collapsed="false">
      <c r="D65" s="115"/>
      <c r="H65" s="141"/>
      <c r="K65" s="71"/>
      <c r="R65" s="71"/>
      <c r="AS65" s="70" t="n">
        <v>5</v>
      </c>
      <c r="AT65" s="71" t="n">
        <v>44.4</v>
      </c>
    </row>
    <row r="66" s="60" customFormat="true" ht="18.4" hidden="false" customHeight="true" outlineLevel="0" collapsed="false">
      <c r="A66" s="55" t="s">
        <v>101</v>
      </c>
      <c r="B66" s="56"/>
      <c r="C66" s="56"/>
      <c r="D66" s="147"/>
      <c r="E66" s="56"/>
      <c r="F66" s="56"/>
      <c r="G66" s="56"/>
      <c r="H66" s="142"/>
      <c r="I66" s="56"/>
      <c r="J66" s="56"/>
      <c r="K66" s="99"/>
      <c r="L66" s="56"/>
      <c r="M66" s="56"/>
      <c r="AS66" s="60" t="n">
        <v>8.5</v>
      </c>
      <c r="AT66" s="78" t="n">
        <v>34.56</v>
      </c>
    </row>
    <row r="67" s="5" customFormat="true" ht="15.75" hidden="false" customHeight="false" outlineLevel="0" collapsed="false">
      <c r="A67" s="61"/>
      <c r="B67" s="33" t="s">
        <v>102</v>
      </c>
      <c r="C67" s="33"/>
      <c r="D67" s="148" t="n">
        <f aca="false">+F67*2</f>
        <v>51.84</v>
      </c>
      <c r="E67" s="5" t="s">
        <v>103</v>
      </c>
      <c r="F67" s="149" t="n">
        <f aca="false">LOOKUP(G4,AS65:AS84,AT65:AT84)</f>
        <v>25.92</v>
      </c>
      <c r="G67" s="5" t="s">
        <v>104</v>
      </c>
      <c r="H67" s="48"/>
      <c r="K67" s="134"/>
      <c r="R67" s="150"/>
      <c r="AS67" s="60" t="n">
        <v>10</v>
      </c>
      <c r="AT67" s="78" t="n">
        <v>29.52</v>
      </c>
      <c r="AU67" s="60"/>
    </row>
    <row r="68" s="70" customFormat="true" ht="9" hidden="false" customHeight="false" outlineLevel="0" collapsed="false">
      <c r="A68" s="69"/>
      <c r="D68" s="115"/>
      <c r="F68" s="151"/>
      <c r="H68" s="141"/>
      <c r="K68" s="71"/>
      <c r="R68" s="151"/>
      <c r="AS68" s="70" t="n">
        <v>14</v>
      </c>
      <c r="AT68" s="71" t="n">
        <v>25.92</v>
      </c>
    </row>
    <row r="69" s="60" customFormat="true" ht="24.2" hidden="false" customHeight="true" outlineLevel="0" collapsed="false">
      <c r="A69" s="72"/>
      <c r="D69" s="144"/>
      <c r="H69" s="127" t="s">
        <v>105</v>
      </c>
      <c r="I69" s="136" t="n">
        <f aca="false">+E70</f>
        <v>12188.0697926421</v>
      </c>
      <c r="J69" s="86" t="s">
        <v>40</v>
      </c>
      <c r="K69" s="87" t="n">
        <f aca="false">+I69/F7</f>
        <v>0.282131245200048</v>
      </c>
      <c r="L69" s="88" t="s">
        <v>80</v>
      </c>
      <c r="AS69" s="60" t="n">
        <v>17</v>
      </c>
      <c r="AT69" s="78" t="n">
        <v>23.04</v>
      </c>
    </row>
    <row r="70" s="60" customFormat="true" ht="24.2" hidden="false" customHeight="true" outlineLevel="0" collapsed="false">
      <c r="A70" s="72"/>
      <c r="B70" s="137" t="s">
        <v>106</v>
      </c>
      <c r="C70" s="138"/>
      <c r="D70" s="146"/>
      <c r="E70" s="139" t="n">
        <f aca="false">IF(D67="",+(G4*F67/J8)*(K6-J6),+(G4*D67/J8)*(K6-J6))</f>
        <v>12188.0697926421</v>
      </c>
      <c r="F70" s="140" t="s">
        <v>40</v>
      </c>
      <c r="H70" s="132" t="s">
        <v>107</v>
      </c>
      <c r="I70" s="95" t="n">
        <f aca="false">+(I69/D86)*100</f>
        <v>13.4118046588881</v>
      </c>
      <c r="J70" s="96" t="s">
        <v>48</v>
      </c>
      <c r="K70" s="97"/>
      <c r="L70" s="98"/>
      <c r="AS70" s="5" t="n">
        <v>28</v>
      </c>
      <c r="AT70" s="134" t="n">
        <v>17.52</v>
      </c>
      <c r="AU70" s="5"/>
    </row>
    <row r="71" s="70" customFormat="true" ht="5.65" hidden="false" customHeight="true" outlineLevel="0" collapsed="false">
      <c r="D71" s="115"/>
      <c r="H71" s="141"/>
      <c r="K71" s="71"/>
      <c r="AS71" s="5" t="n">
        <v>42</v>
      </c>
      <c r="AT71" s="134" t="n">
        <v>13.92</v>
      </c>
      <c r="AU71" s="5"/>
    </row>
    <row r="72" s="60" customFormat="true" ht="18.4" hidden="false" customHeight="true" outlineLevel="0" collapsed="false">
      <c r="A72" s="55" t="s">
        <v>108</v>
      </c>
      <c r="B72" s="56"/>
      <c r="C72" s="56"/>
      <c r="D72" s="147"/>
      <c r="E72" s="56"/>
      <c r="F72" s="56"/>
      <c r="G72" s="56"/>
      <c r="H72" s="142"/>
      <c r="I72" s="56"/>
      <c r="J72" s="56"/>
      <c r="K72" s="99"/>
      <c r="L72" s="56"/>
      <c r="M72" s="56"/>
      <c r="AS72" s="5" t="n">
        <v>56</v>
      </c>
      <c r="AT72" s="134" t="n">
        <v>12</v>
      </c>
      <c r="AU72" s="5"/>
    </row>
    <row r="73" s="5" customFormat="true" ht="15.75" hidden="false" customHeight="false" outlineLevel="0" collapsed="false">
      <c r="A73" s="61"/>
      <c r="B73" s="5" t="s">
        <v>109</v>
      </c>
      <c r="D73" s="100" t="n">
        <v>0</v>
      </c>
      <c r="H73" s="48"/>
      <c r="K73" s="134"/>
      <c r="AS73" s="60" t="n">
        <v>110</v>
      </c>
      <c r="AT73" s="78" t="n">
        <v>8.88</v>
      </c>
      <c r="AU73" s="60"/>
    </row>
    <row r="74" s="5" customFormat="true" ht="15.75" hidden="false" customHeight="false" outlineLevel="0" collapsed="false">
      <c r="A74" s="61"/>
      <c r="B74" s="5" t="s">
        <v>110</v>
      </c>
      <c r="D74" s="100" t="n">
        <v>500</v>
      </c>
      <c r="E74" s="5" t="s">
        <v>94</v>
      </c>
      <c r="H74" s="48"/>
      <c r="K74" s="134"/>
      <c r="AS74" s="60" t="n">
        <v>140</v>
      </c>
      <c r="AT74" s="78" t="n">
        <v>7.2</v>
      </c>
      <c r="AU74" s="60"/>
    </row>
    <row r="75" s="5" customFormat="true" ht="16.5" hidden="false" customHeight="false" outlineLevel="0" collapsed="false">
      <c r="A75" s="61"/>
      <c r="B75" s="5" t="s">
        <v>111</v>
      </c>
      <c r="D75" s="106"/>
      <c r="E75" s="5" t="s">
        <v>96</v>
      </c>
      <c r="G75" s="109"/>
      <c r="H75" s="48"/>
      <c r="K75" s="134"/>
      <c r="AS75" s="70" t="n">
        <v>170</v>
      </c>
      <c r="AT75" s="71" t="n">
        <v>6.48</v>
      </c>
      <c r="AU75" s="70"/>
    </row>
    <row r="76" s="60" customFormat="true" ht="24.2" hidden="false" customHeight="true" outlineLevel="0" collapsed="false">
      <c r="A76" s="72"/>
      <c r="H76" s="127" t="s">
        <v>112</v>
      </c>
      <c r="I76" s="136" t="n">
        <f aca="false">+E77</f>
        <v>0</v>
      </c>
      <c r="J76" s="86" t="s">
        <v>40</v>
      </c>
      <c r="K76" s="87" t="n">
        <f aca="false">+I76/F7</f>
        <v>0</v>
      </c>
      <c r="L76" s="88" t="s">
        <v>80</v>
      </c>
      <c r="AS76" s="60" t="n">
        <v>220</v>
      </c>
      <c r="AT76" s="78" t="n">
        <v>5.52</v>
      </c>
    </row>
    <row r="77" s="60" customFormat="true" ht="24.2" hidden="false" customHeight="true" outlineLevel="0" collapsed="false">
      <c r="A77" s="72"/>
      <c r="B77" s="137" t="s">
        <v>113</v>
      </c>
      <c r="C77" s="138"/>
      <c r="D77" s="138"/>
      <c r="E77" s="139" t="n">
        <f aca="false">+D73*D74*D75*3600/1000</f>
        <v>0</v>
      </c>
      <c r="F77" s="140" t="s">
        <v>40</v>
      </c>
      <c r="H77" s="132" t="s">
        <v>114</v>
      </c>
      <c r="I77" s="95" t="n">
        <f aca="false">+(I76/D86)*100</f>
        <v>0</v>
      </c>
      <c r="J77" s="96" t="s">
        <v>48</v>
      </c>
      <c r="K77" s="97"/>
      <c r="L77" s="98"/>
      <c r="AS77" s="5" t="n">
        <v>280</v>
      </c>
      <c r="AT77" s="134" t="n">
        <v>4.8</v>
      </c>
      <c r="AU77" s="5"/>
    </row>
    <row r="78" s="70" customFormat="true" ht="5.65" hidden="false" customHeight="true" outlineLevel="0" collapsed="false">
      <c r="H78" s="141"/>
      <c r="K78" s="71"/>
      <c r="AS78" s="60" t="n">
        <v>570</v>
      </c>
      <c r="AT78" s="78" t="n">
        <v>3.6</v>
      </c>
      <c r="AU78" s="60"/>
    </row>
    <row r="79" s="60" customFormat="true" ht="18.4" hidden="false" customHeight="true" outlineLevel="0" collapsed="false">
      <c r="A79" s="55" t="s">
        <v>115</v>
      </c>
      <c r="B79" s="56"/>
      <c r="C79" s="56"/>
      <c r="D79" s="56"/>
      <c r="E79" s="56"/>
      <c r="F79" s="56"/>
      <c r="G79" s="56"/>
      <c r="H79" s="142"/>
      <c r="I79" s="56"/>
      <c r="J79" s="56"/>
      <c r="K79" s="99"/>
      <c r="L79" s="56"/>
      <c r="M79" s="56"/>
      <c r="AS79" s="60" t="n">
        <v>700</v>
      </c>
      <c r="AT79" s="78" t="n">
        <v>3.12</v>
      </c>
    </row>
    <row r="80" s="5" customFormat="true" ht="17.25" hidden="false" customHeight="false" outlineLevel="0" collapsed="false">
      <c r="A80" s="61"/>
      <c r="B80" s="133" t="n">
        <v>10</v>
      </c>
      <c r="C80" s="5" t="s">
        <v>116</v>
      </c>
      <c r="H80" s="48"/>
      <c r="K80" s="134"/>
      <c r="AS80" s="70" t="n">
        <v>850</v>
      </c>
      <c r="AT80" s="71" t="n">
        <v>2.64</v>
      </c>
      <c r="AU80" s="70"/>
    </row>
    <row r="81" s="60" customFormat="true" ht="24.2" hidden="false" customHeight="true" outlineLevel="0" collapsed="false">
      <c r="A81" s="72"/>
      <c r="H81" s="127" t="s">
        <v>117</v>
      </c>
      <c r="I81" s="136" t="n">
        <f aca="false">+E82</f>
        <v>8261.42620599059</v>
      </c>
      <c r="J81" s="86" t="s">
        <v>40</v>
      </c>
      <c r="K81" s="87" t="n">
        <f aca="false">+I81/F7</f>
        <v>0.191236717731264</v>
      </c>
      <c r="L81" s="88" t="s">
        <v>80</v>
      </c>
      <c r="AS81" s="60" t="n">
        <v>1100</v>
      </c>
      <c r="AT81" s="78" t="n">
        <v>2.4</v>
      </c>
    </row>
    <row r="82" s="60" customFormat="true" ht="24.2" hidden="false" customHeight="true" outlineLevel="0" collapsed="false">
      <c r="A82" s="72"/>
      <c r="B82" s="137" t="s">
        <v>118</v>
      </c>
      <c r="C82" s="138"/>
      <c r="D82" s="138"/>
      <c r="E82" s="139" t="n">
        <f aca="false">+(B80/100)*(I26+I42+I50+I56+I63+I69+I76)</f>
        <v>8261.42620599059</v>
      </c>
      <c r="F82" s="140" t="s">
        <v>119</v>
      </c>
      <c r="H82" s="132" t="s">
        <v>120</v>
      </c>
      <c r="I82" s="95" t="n">
        <f aca="false">+(I81/D86)*100</f>
        <v>9.09090909090909</v>
      </c>
      <c r="J82" s="96" t="s">
        <v>48</v>
      </c>
      <c r="K82" s="97"/>
      <c r="L82" s="98"/>
      <c r="AS82" s="70" t="n">
        <v>1400</v>
      </c>
      <c r="AT82" s="71" t="n">
        <v>1.92</v>
      </c>
      <c r="AU82" s="70"/>
    </row>
    <row r="83" s="70" customFormat="true" ht="5.65" hidden="false" customHeight="true" outlineLevel="0" collapsed="false">
      <c r="K83" s="71"/>
      <c r="AS83" s="60" t="n">
        <v>2100</v>
      </c>
      <c r="AT83" s="78" t="n">
        <v>1.68</v>
      </c>
      <c r="AU83" s="60"/>
    </row>
    <row r="84" s="60" customFormat="true" ht="18.4" hidden="false" customHeight="true" outlineLevel="0" collapsed="false">
      <c r="A84" s="55" t="s">
        <v>121</v>
      </c>
      <c r="B84" s="56"/>
      <c r="C84" s="56"/>
      <c r="D84" s="56"/>
      <c r="E84" s="56"/>
      <c r="F84" s="56"/>
      <c r="G84" s="56"/>
      <c r="H84" s="56"/>
      <c r="I84" s="56"/>
      <c r="J84" s="56"/>
      <c r="K84" s="99"/>
      <c r="L84" s="56"/>
      <c r="M84" s="56"/>
      <c r="AS84" s="70" t="n">
        <v>2800</v>
      </c>
      <c r="AT84" s="71" t="n">
        <v>1.44</v>
      </c>
      <c r="AU84" s="70"/>
    </row>
    <row r="85" s="70" customFormat="true" ht="15.75" hidden="false" customHeight="false" outlineLevel="0" collapsed="false">
      <c r="A85" s="69"/>
      <c r="K85" s="71"/>
      <c r="AS85" s="60"/>
      <c r="AT85" s="78"/>
      <c r="AU85" s="60"/>
    </row>
    <row r="86" s="60" customFormat="true" ht="24.2" hidden="false" customHeight="true" outlineLevel="0" collapsed="false">
      <c r="A86" s="72"/>
      <c r="B86" s="152" t="s">
        <v>122</v>
      </c>
      <c r="C86" s="152"/>
      <c r="D86" s="153" t="n">
        <f aca="false">+(I26+I42+I50+I56+I63+I69+I76+I81)</f>
        <v>90875.6882658965</v>
      </c>
      <c r="E86" s="154" t="s">
        <v>40</v>
      </c>
      <c r="F86" s="155" t="n">
        <f aca="false">+D86/F7</f>
        <v>2.1036038950439</v>
      </c>
      <c r="G86" s="156" t="s">
        <v>44</v>
      </c>
      <c r="K86" s="78"/>
      <c r="AS86" s="70"/>
      <c r="AT86" s="71"/>
      <c r="AU86" s="70"/>
    </row>
    <row r="87" s="70" customFormat="true" ht="5.65" hidden="false" customHeight="true" outlineLevel="0" collapsed="false">
      <c r="K87" s="71"/>
      <c r="AS87" s="60" t="n">
        <v>2100</v>
      </c>
      <c r="AT87" s="78" t="n">
        <v>0</v>
      </c>
      <c r="AU87" s="60"/>
    </row>
    <row r="88" s="60" customFormat="true" ht="18.4" hidden="false" customHeight="true" outlineLevel="0" collapsed="false">
      <c r="A88" s="55" t="s">
        <v>123</v>
      </c>
      <c r="B88" s="56"/>
      <c r="C88" s="56"/>
      <c r="D88" s="56"/>
      <c r="E88" s="56"/>
      <c r="F88" s="56"/>
      <c r="G88" s="56"/>
      <c r="H88" s="56"/>
      <c r="I88" s="56"/>
      <c r="J88" s="56"/>
      <c r="K88" s="99"/>
      <c r="L88" s="56"/>
      <c r="M88" s="56"/>
      <c r="AS88" s="60" t="n">
        <v>2100</v>
      </c>
      <c r="AT88" s="78" t="n">
        <v>0</v>
      </c>
    </row>
    <row r="89" s="70" customFormat="true" ht="15.75" hidden="false" customHeight="false" outlineLevel="0" collapsed="false">
      <c r="A89" s="69"/>
      <c r="K89" s="71"/>
      <c r="AS89" s="60"/>
      <c r="AT89" s="60"/>
      <c r="AU89" s="60"/>
    </row>
    <row r="90" s="60" customFormat="true" ht="24.2" hidden="false" customHeight="true" outlineLevel="0" collapsed="false">
      <c r="A90" s="72"/>
      <c r="B90" s="152" t="s">
        <v>124</v>
      </c>
      <c r="C90" s="152"/>
      <c r="D90" s="153" t="n">
        <v>10</v>
      </c>
      <c r="E90" s="156" t="s">
        <v>48</v>
      </c>
      <c r="F90" s="157"/>
      <c r="G90" s="158"/>
      <c r="K90" s="78"/>
    </row>
    <row r="91" s="60" customFormat="true" ht="24.2" hidden="false" customHeight="true" outlineLevel="0" collapsed="false">
      <c r="A91" s="72"/>
      <c r="B91" s="152" t="s">
        <v>125</v>
      </c>
      <c r="C91" s="152"/>
      <c r="D91" s="153" t="n">
        <f aca="false">D86*(1+D90/100)</f>
        <v>99963.2570924861</v>
      </c>
      <c r="E91" s="154" t="s">
        <v>40</v>
      </c>
      <c r="F91" s="155" t="n">
        <f aca="false">D91/F7</f>
        <v>2.31396428454829</v>
      </c>
      <c r="G91" s="156" t="s">
        <v>44</v>
      </c>
      <c r="K91" s="78"/>
    </row>
    <row r="92" s="70" customFormat="true" ht="5.65" hidden="false" customHeight="true" outlineLevel="0" collapsed="false">
      <c r="K92" s="71"/>
      <c r="P92" s="71"/>
    </row>
    <row r="93" s="60" customFormat="true" ht="18.4" hidden="false" customHeight="true" outlineLevel="0" collapsed="false">
      <c r="A93" s="55" t="s">
        <v>126</v>
      </c>
      <c r="B93" s="56"/>
      <c r="C93" s="56"/>
      <c r="D93" s="56"/>
      <c r="E93" s="56"/>
      <c r="F93" s="56"/>
      <c r="G93" s="56"/>
      <c r="H93" s="56"/>
      <c r="I93" s="56"/>
      <c r="J93" s="56"/>
      <c r="K93" s="99"/>
      <c r="L93" s="56"/>
      <c r="M93" s="56"/>
    </row>
    <row r="94" s="70" customFormat="true" ht="8.25" hidden="false" customHeight="false" outlineLevel="0" collapsed="false">
      <c r="A94" s="69"/>
      <c r="K94" s="71"/>
      <c r="P94" s="71"/>
    </row>
    <row r="95" s="5" customFormat="true" ht="15.75" hidden="false" customHeight="false" outlineLevel="0" collapsed="false">
      <c r="A95" s="61"/>
      <c r="B95" s="5" t="s">
        <v>127</v>
      </c>
      <c r="F95" s="106" t="n">
        <v>8</v>
      </c>
      <c r="G95" s="5" t="s">
        <v>96</v>
      </c>
      <c r="K95" s="134"/>
      <c r="P95" s="1"/>
    </row>
    <row r="96" s="70" customFormat="true" ht="8.25" hidden="false" customHeight="false" outlineLevel="0" collapsed="false">
      <c r="A96" s="69"/>
      <c r="K96" s="71"/>
    </row>
    <row r="97" s="60" customFormat="true" ht="25.5" hidden="false" customHeight="true" outlineLevel="0" collapsed="false">
      <c r="A97" s="72"/>
      <c r="B97" s="159" t="s">
        <v>128</v>
      </c>
      <c r="C97" s="160" t="s">
        <v>129</v>
      </c>
      <c r="D97" s="161" t="n">
        <f aca="false">+D86/(F95*3600)</f>
        <v>3.15540584256585</v>
      </c>
      <c r="E97" s="162" t="s">
        <v>44</v>
      </c>
      <c r="F97" s="163" t="s">
        <v>130</v>
      </c>
      <c r="G97" s="164" t="n">
        <f aca="false">+D97*1000/G4</f>
        <v>200.343228099419</v>
      </c>
      <c r="H97" s="162" t="s">
        <v>131</v>
      </c>
      <c r="K97" s="78"/>
    </row>
    <row r="98" s="70" customFormat="true" ht="8.25" hidden="false" customHeight="false" outlineLevel="0" collapsed="false">
      <c r="K98" s="71"/>
    </row>
    <row r="101" customFormat="false" ht="19.35" hidden="false" customHeight="false" outlineLevel="0" collapsed="false">
      <c r="C101" s="51" t="s">
        <v>27</v>
      </c>
      <c r="D101" s="52" t="str">
        <f aca="true">IF(ISERROR(INDIRECT("Feuil1.H"&amp;MIN(Feuil1!I2:I47))),"Max gamme dépassé",INDIRECT("Feuil1.H"&amp;MIN(Feuil1!I2:I47)))</f>
        <v>DFC 14</v>
      </c>
      <c r="E101" s="53" t="n">
        <f aca="true">INDIRECT("Feuil1."&amp;Feuil1!K4&amp;MIN(Feuil1!I2:I47))</f>
        <v>3.48</v>
      </c>
      <c r="F101" s="54" t="n">
        <f aca="false">N(E101)/F91</f>
        <v>1.5039125812088</v>
      </c>
      <c r="H101" s="47" t="str">
        <f aca="false">HYPERLINK("#h11","choix")</f>
        <v>choix</v>
      </c>
    </row>
    <row r="103" customFormat="false" ht="13.5" hidden="false" customHeight="false" outlineLevel="0" collapsed="false"/>
    <row r="104" customFormat="false" ht="12.75" hidden="false" customHeight="true" outlineLevel="0" collapsed="false">
      <c r="D104" s="165"/>
      <c r="E104" s="165"/>
      <c r="F104" s="165"/>
      <c r="G104" s="165"/>
      <c r="H104" s="165"/>
      <c r="I104" s="165"/>
    </row>
    <row r="105" customFormat="false" ht="19.35" hidden="false" customHeight="false" outlineLevel="0" collapsed="false">
      <c r="D105" s="165"/>
      <c r="E105" s="165"/>
      <c r="F105" s="165"/>
      <c r="G105" s="165"/>
      <c r="H105" s="165"/>
      <c r="I105" s="165"/>
    </row>
    <row r="106" customFormat="false" ht="19.35" hidden="false" customHeight="false" outlineLevel="0" collapsed="false">
      <c r="D106" s="165"/>
      <c r="E106" s="165"/>
      <c r="F106" s="165"/>
      <c r="G106" s="165"/>
      <c r="H106" s="165"/>
      <c r="I106" s="165"/>
    </row>
    <row r="107" customFormat="false" ht="19.35" hidden="false" customHeight="false" outlineLevel="0" collapsed="false">
      <c r="D107" s="165"/>
      <c r="E107" s="165"/>
      <c r="F107" s="165"/>
      <c r="G107" s="165"/>
      <c r="H107" s="165"/>
      <c r="I107" s="165"/>
    </row>
    <row r="108" customFormat="false" ht="19.35" hidden="false" customHeight="false" outlineLevel="0" collapsed="false">
      <c r="D108" s="165"/>
      <c r="E108" s="165"/>
      <c r="F108" s="165"/>
      <c r="G108" s="165"/>
      <c r="H108" s="165"/>
      <c r="I108" s="165"/>
    </row>
    <row r="109" customFormat="false" ht="19.35" hidden="false" customHeight="false" outlineLevel="0" collapsed="false">
      <c r="D109" s="165"/>
      <c r="E109" s="165"/>
      <c r="F109" s="165"/>
      <c r="G109" s="165"/>
      <c r="H109" s="165"/>
      <c r="I109" s="165"/>
    </row>
    <row r="110" customFormat="false" ht="19.35" hidden="false" customHeight="false" outlineLevel="0" collapsed="false">
      <c r="D110" s="165"/>
      <c r="E110" s="165"/>
      <c r="F110" s="165"/>
      <c r="G110" s="165"/>
      <c r="H110" s="165"/>
      <c r="I110" s="165"/>
    </row>
    <row r="158" customFormat="false" ht="25.5" hidden="false" customHeight="true" outlineLevel="0" collapsed="false">
      <c r="E158" s="166" t="s">
        <v>132</v>
      </c>
      <c r="F158" s="166"/>
      <c r="G158" s="167" t="s">
        <v>133</v>
      </c>
      <c r="H158" s="167" t="s">
        <v>134</v>
      </c>
    </row>
    <row r="159" customFormat="false" ht="40.5" hidden="false" customHeight="true" outlineLevel="0" collapsed="false">
      <c r="B159" s="168"/>
      <c r="C159" s="169" t="s">
        <v>135</v>
      </c>
      <c r="D159" s="167" t="s">
        <v>136</v>
      </c>
      <c r="E159" s="167" t="s">
        <v>137</v>
      </c>
      <c r="F159" s="167" t="s">
        <v>138</v>
      </c>
      <c r="G159" s="167"/>
      <c r="H159" s="167"/>
    </row>
    <row r="160" customFormat="false" ht="18.75" hidden="false" customHeight="true" outlineLevel="0" collapsed="false">
      <c r="A160" s="1" t="n">
        <v>1</v>
      </c>
      <c r="B160" s="170"/>
      <c r="C160" s="171" t="s">
        <v>139</v>
      </c>
      <c r="D160" s="172"/>
      <c r="E160" s="173"/>
      <c r="F160" s="173"/>
      <c r="G160" s="174"/>
      <c r="H160" s="174"/>
      <c r="O160" s="175" t="n">
        <v>3167</v>
      </c>
      <c r="P160" s="176" t="n">
        <v>2.1</v>
      </c>
    </row>
    <row r="161" customFormat="false" ht="16.5" hidden="false" customHeight="false" outlineLevel="0" collapsed="false">
      <c r="A161" s="1" t="n">
        <v>2</v>
      </c>
      <c r="B161" s="177" t="s">
        <v>140</v>
      </c>
      <c r="C161" s="178" t="s">
        <v>141</v>
      </c>
      <c r="D161" s="179" t="n">
        <v>-1.7</v>
      </c>
      <c r="E161" s="180" t="n">
        <v>2.8</v>
      </c>
      <c r="F161" s="180" t="n">
        <v>1.26</v>
      </c>
      <c r="G161" s="181" t="n">
        <v>197</v>
      </c>
      <c r="H161" s="180"/>
      <c r="O161" s="175" t="s">
        <v>142</v>
      </c>
      <c r="P161" s="176" t="n">
        <v>4.2</v>
      </c>
    </row>
    <row r="162" customFormat="false" ht="16.5" hidden="false" customHeight="false" outlineLevel="0" collapsed="false">
      <c r="A162" s="1" t="n">
        <v>3</v>
      </c>
      <c r="B162" s="177"/>
      <c r="C162" s="178" t="s">
        <v>143</v>
      </c>
      <c r="D162" s="179" t="n">
        <v>-2.2</v>
      </c>
      <c r="E162" s="180" t="n">
        <v>2.51</v>
      </c>
      <c r="F162" s="180" t="n">
        <v>1.47</v>
      </c>
      <c r="G162" s="181" t="n">
        <v>184</v>
      </c>
      <c r="H162" s="180"/>
      <c r="O162" s="175" t="n">
        <v>3367</v>
      </c>
      <c r="P162" s="176" t="n">
        <v>6</v>
      </c>
    </row>
    <row r="163" customFormat="false" ht="16.5" hidden="false" customHeight="false" outlineLevel="0" collapsed="false">
      <c r="A163" s="1" t="n">
        <v>4</v>
      </c>
      <c r="B163" s="177"/>
      <c r="C163" s="178" t="s">
        <v>144</v>
      </c>
      <c r="D163" s="179" t="n">
        <v>-1.7</v>
      </c>
      <c r="E163" s="180" t="n">
        <v>3.22</v>
      </c>
      <c r="F163" s="180" t="n">
        <v>1.67</v>
      </c>
      <c r="G163" s="181" t="n">
        <v>234</v>
      </c>
      <c r="H163" s="180"/>
      <c r="O163" s="175" t="n">
        <v>3467</v>
      </c>
      <c r="P163" s="176" t="n">
        <v>8.9</v>
      </c>
    </row>
    <row r="164" customFormat="false" ht="16.5" hidden="false" customHeight="false" outlineLevel="0" collapsed="false">
      <c r="A164" s="182" t="n">
        <v>5</v>
      </c>
      <c r="B164" s="177"/>
      <c r="C164" s="178" t="s">
        <v>145</v>
      </c>
      <c r="D164" s="179" t="n">
        <v>-2.2</v>
      </c>
      <c r="E164" s="180" t="n">
        <v>2.51</v>
      </c>
      <c r="F164" s="180" t="n">
        <v>1.59</v>
      </c>
      <c r="G164" s="181" t="n">
        <v>151</v>
      </c>
      <c r="H164" s="180"/>
      <c r="O164" s="175" t="n">
        <v>3567</v>
      </c>
      <c r="P164" s="176" t="n">
        <v>10.7</v>
      </c>
    </row>
    <row r="165" customFormat="false" ht="16.5" hidden="false" customHeight="false" outlineLevel="0" collapsed="false">
      <c r="A165" s="182" t="n">
        <v>6</v>
      </c>
      <c r="B165" s="177"/>
      <c r="C165" s="178" t="s">
        <v>146</v>
      </c>
      <c r="D165" s="179" t="n">
        <v>-2.8</v>
      </c>
      <c r="E165" s="180" t="n">
        <v>3.31</v>
      </c>
      <c r="F165" s="180" t="n">
        <v>1.76</v>
      </c>
      <c r="G165" s="181" t="n">
        <v>247</v>
      </c>
      <c r="H165" s="180"/>
      <c r="O165" s="175" t="n">
        <v>3667</v>
      </c>
      <c r="P165" s="176" t="n">
        <v>13</v>
      </c>
    </row>
    <row r="166" customFormat="false" ht="16.5" hidden="false" customHeight="false" outlineLevel="0" collapsed="false">
      <c r="A166" s="182" t="n">
        <v>7</v>
      </c>
      <c r="B166" s="177"/>
      <c r="C166" s="178" t="s">
        <v>147</v>
      </c>
      <c r="D166" s="179" t="n">
        <v>-2.8</v>
      </c>
      <c r="E166" s="180" t="n">
        <v>2.85</v>
      </c>
      <c r="F166" s="180" t="n">
        <v>1.59</v>
      </c>
      <c r="G166" s="181" t="n">
        <v>201</v>
      </c>
      <c r="H166" s="180"/>
      <c r="O166" s="175" t="n">
        <v>4167</v>
      </c>
      <c r="P166" s="176" t="n">
        <v>6.2</v>
      </c>
    </row>
    <row r="167" customFormat="false" ht="16.5" hidden="false" customHeight="false" outlineLevel="0" collapsed="false">
      <c r="A167" s="1" t="n">
        <v>8</v>
      </c>
      <c r="B167" s="177"/>
      <c r="C167" s="178" t="s">
        <v>148</v>
      </c>
      <c r="D167" s="179" t="n">
        <v>-3.3</v>
      </c>
      <c r="E167" s="180" t="n">
        <v>3.73</v>
      </c>
      <c r="F167" s="180" t="n">
        <v>2.34</v>
      </c>
      <c r="G167" s="181" t="n">
        <v>218</v>
      </c>
      <c r="H167" s="180"/>
      <c r="O167" s="175" t="n">
        <v>4247</v>
      </c>
      <c r="P167" s="176" t="n">
        <v>9.6</v>
      </c>
    </row>
    <row r="168" customFormat="false" ht="16.5" hidden="false" customHeight="false" outlineLevel="0" collapsed="false">
      <c r="A168" s="1" t="n">
        <v>9</v>
      </c>
      <c r="B168" s="177"/>
      <c r="C168" s="178" t="s">
        <v>149</v>
      </c>
      <c r="D168" s="179" t="n">
        <v>-1.7</v>
      </c>
      <c r="E168" s="180" t="n">
        <v>2.97</v>
      </c>
      <c r="F168" s="180" t="n">
        <v>1.63</v>
      </c>
      <c r="G168" s="181" t="n">
        <v>213</v>
      </c>
      <c r="H168" s="180"/>
      <c r="O168" s="175" t="n">
        <v>4267</v>
      </c>
      <c r="P168" s="176" t="n">
        <v>12.5</v>
      </c>
    </row>
    <row r="169" customFormat="false" ht="16.5" hidden="false" customHeight="false" outlineLevel="0" collapsed="false">
      <c r="A169" s="182" t="n">
        <v>10</v>
      </c>
      <c r="B169" s="183" t="s">
        <v>150</v>
      </c>
      <c r="C169" s="184" t="s">
        <v>151</v>
      </c>
      <c r="D169" s="185" t="n">
        <v>-1.5</v>
      </c>
      <c r="E169" s="186" t="n">
        <v>3.77</v>
      </c>
      <c r="F169" s="186" t="n">
        <v>1.88</v>
      </c>
      <c r="G169" s="187" t="n">
        <v>285</v>
      </c>
      <c r="H169" s="186"/>
      <c r="O169" s="175" t="n">
        <v>4367</v>
      </c>
      <c r="P169" s="176" t="n">
        <v>18.4</v>
      </c>
    </row>
    <row r="170" customFormat="false" ht="16.5" hidden="false" customHeight="false" outlineLevel="0" collapsed="false">
      <c r="A170" s="1" t="n">
        <v>11</v>
      </c>
      <c r="B170" s="183"/>
      <c r="C170" s="184" t="s">
        <v>152</v>
      </c>
      <c r="D170" s="185" t="n">
        <v>-2.2</v>
      </c>
      <c r="E170" s="186" t="n">
        <v>3.77</v>
      </c>
      <c r="F170" s="186" t="n">
        <v>1.88</v>
      </c>
      <c r="G170" s="187" t="n">
        <v>293</v>
      </c>
      <c r="H170" s="186" t="n">
        <v>0.75</v>
      </c>
      <c r="O170" s="175" t="n">
        <v>4467</v>
      </c>
      <c r="P170" s="176" t="n">
        <v>24.6</v>
      </c>
    </row>
    <row r="171" customFormat="false" ht="16.5" hidden="false" customHeight="false" outlineLevel="0" collapsed="false">
      <c r="A171" s="1" t="n">
        <v>12</v>
      </c>
      <c r="B171" s="183"/>
      <c r="C171" s="184" t="s">
        <v>153</v>
      </c>
      <c r="D171" s="185" t="n">
        <v>-2.2</v>
      </c>
      <c r="E171" s="186" t="n">
        <v>3.35</v>
      </c>
      <c r="F171" s="186" t="n">
        <v>1.76</v>
      </c>
      <c r="G171" s="187" t="n">
        <v>251</v>
      </c>
      <c r="H171" s="186" t="n">
        <v>16.74</v>
      </c>
      <c r="O171" s="175" t="n">
        <v>5167</v>
      </c>
      <c r="P171" s="176" t="n">
        <v>11</v>
      </c>
    </row>
    <row r="172" customFormat="false" ht="16.5" hidden="false" customHeight="false" outlineLevel="0" collapsed="false">
      <c r="A172" s="1" t="n">
        <v>13</v>
      </c>
      <c r="B172" s="183"/>
      <c r="C172" s="184" t="s">
        <v>154</v>
      </c>
      <c r="D172" s="185" t="n">
        <v>-2.2</v>
      </c>
      <c r="E172" s="186" t="n">
        <v>3.64</v>
      </c>
      <c r="F172" s="186" t="n">
        <v>1.88</v>
      </c>
      <c r="G172" s="187" t="n">
        <v>285</v>
      </c>
      <c r="H172" s="186" t="n">
        <v>1.76</v>
      </c>
      <c r="O172" s="175" t="n">
        <v>5247</v>
      </c>
      <c r="P172" s="176" t="n">
        <v>16.9</v>
      </c>
    </row>
    <row r="173" customFormat="false" ht="16.5" hidden="false" customHeight="false" outlineLevel="0" collapsed="false">
      <c r="A173" s="1" t="n">
        <v>14</v>
      </c>
      <c r="B173" s="183"/>
      <c r="C173" s="184" t="s">
        <v>155</v>
      </c>
      <c r="D173" s="185" t="n">
        <v>-15.5</v>
      </c>
      <c r="E173" s="186" t="n">
        <v>1.51</v>
      </c>
      <c r="F173" s="186" t="n">
        <v>1.09</v>
      </c>
      <c r="G173" s="187" t="n">
        <v>67</v>
      </c>
      <c r="H173" s="186" t="n">
        <v>0</v>
      </c>
      <c r="O173" s="175" t="n">
        <v>5267</v>
      </c>
      <c r="P173" s="176" t="n">
        <v>22.3</v>
      </c>
    </row>
    <row r="174" customFormat="false" ht="16.5" hidden="false" customHeight="false" outlineLevel="0" collapsed="false">
      <c r="A174" s="182" t="n">
        <v>15</v>
      </c>
      <c r="B174" s="183"/>
      <c r="C174" s="184" t="s">
        <v>156</v>
      </c>
      <c r="D174" s="185" t="n">
        <v>-1.1</v>
      </c>
      <c r="E174" s="186" t="n">
        <v>3.85</v>
      </c>
      <c r="F174" s="186" t="n">
        <v>2.01</v>
      </c>
      <c r="G174" s="187" t="n">
        <v>301</v>
      </c>
      <c r="H174" s="186" t="n">
        <v>3.14</v>
      </c>
      <c r="O174" s="175" t="n">
        <v>5367</v>
      </c>
      <c r="P174" s="176" t="n">
        <v>33.8</v>
      </c>
    </row>
    <row r="175" customFormat="false" ht="16.5" hidden="false" customHeight="false" outlineLevel="0" collapsed="false">
      <c r="A175" s="182" t="n">
        <v>16</v>
      </c>
      <c r="B175" s="183"/>
      <c r="C175" s="184" t="s">
        <v>157</v>
      </c>
      <c r="D175" s="185" t="n">
        <v>-2.2</v>
      </c>
      <c r="E175" s="186" t="n">
        <v>3.85</v>
      </c>
      <c r="F175" s="186" t="n">
        <v>1.93</v>
      </c>
      <c r="G175" s="187" t="n">
        <v>297</v>
      </c>
      <c r="H175" s="186" t="n">
        <v>2.3</v>
      </c>
      <c r="O175" s="175" t="n">
        <v>5467</v>
      </c>
      <c r="P175" s="176" t="n">
        <v>45.5</v>
      </c>
    </row>
    <row r="176" customFormat="false" ht="16.5" hidden="false" customHeight="false" outlineLevel="0" collapsed="false">
      <c r="A176" s="182" t="n">
        <v>17</v>
      </c>
      <c r="B176" s="183"/>
      <c r="C176" s="184" t="s">
        <v>158</v>
      </c>
      <c r="D176" s="185" t="n">
        <v>-2.2</v>
      </c>
      <c r="E176" s="186" t="n">
        <v>3.98</v>
      </c>
      <c r="F176" s="186" t="n">
        <v>2.13</v>
      </c>
      <c r="G176" s="187" t="n">
        <v>293</v>
      </c>
      <c r="H176" s="186" t="n">
        <v>5.23</v>
      </c>
      <c r="O176" s="175" t="n">
        <v>5487</v>
      </c>
      <c r="P176" s="176" t="n">
        <v>52.5</v>
      </c>
    </row>
    <row r="177" customFormat="false" ht="16.5" hidden="false" customHeight="false" outlineLevel="0" collapsed="false">
      <c r="A177" s="1" t="n">
        <v>18</v>
      </c>
      <c r="B177" s="183"/>
      <c r="C177" s="184" t="s">
        <v>159</v>
      </c>
      <c r="D177" s="185" t="n">
        <v>-2</v>
      </c>
      <c r="E177" s="186" t="n">
        <v>3.6</v>
      </c>
      <c r="F177" s="186" t="n">
        <v>1.88</v>
      </c>
      <c r="G177" s="187" t="n">
        <v>280</v>
      </c>
      <c r="H177" s="186" t="n">
        <v>1.05</v>
      </c>
    </row>
    <row r="178" customFormat="false" ht="16.5" hidden="false" customHeight="false" outlineLevel="0" collapsed="false">
      <c r="A178" s="1" t="n">
        <v>19</v>
      </c>
      <c r="B178" s="183"/>
      <c r="C178" s="184" t="s">
        <v>160</v>
      </c>
      <c r="D178" s="185" t="n">
        <v>-1.4</v>
      </c>
      <c r="E178" s="186" t="n">
        <v>4.06</v>
      </c>
      <c r="F178" s="186" t="n">
        <v>2.05</v>
      </c>
      <c r="G178" s="187" t="n">
        <v>322</v>
      </c>
      <c r="H178" s="186" t="n">
        <v>3.14</v>
      </c>
    </row>
    <row r="179" customFormat="false" ht="16.5" hidden="false" customHeight="false" outlineLevel="0" collapsed="false">
      <c r="A179" s="182" t="n">
        <v>20</v>
      </c>
      <c r="B179" s="183"/>
      <c r="C179" s="184" t="s">
        <v>161</v>
      </c>
      <c r="D179" s="185" t="n">
        <v>-1.9</v>
      </c>
      <c r="E179" s="186" t="n">
        <v>3.56</v>
      </c>
      <c r="F179" s="186" t="n">
        <v>1.88</v>
      </c>
      <c r="G179" s="187" t="n">
        <v>280</v>
      </c>
      <c r="H179" s="186" t="n">
        <v>0.84</v>
      </c>
    </row>
    <row r="180" customFormat="false" ht="16.5" hidden="false" customHeight="false" outlineLevel="0" collapsed="false">
      <c r="A180" s="1" t="n">
        <v>21</v>
      </c>
      <c r="B180" s="183"/>
      <c r="C180" s="184" t="s">
        <v>162</v>
      </c>
      <c r="D180" s="185" t="n">
        <v>-1.5</v>
      </c>
      <c r="E180" s="186" t="n">
        <v>3.77</v>
      </c>
      <c r="F180" s="186" t="n">
        <v>1.88</v>
      </c>
      <c r="G180" s="187" t="n">
        <v>293</v>
      </c>
      <c r="H180" s="186" t="n">
        <v>1.26</v>
      </c>
    </row>
    <row r="181" customFormat="false" ht="16.5" hidden="false" customHeight="false" outlineLevel="0" collapsed="false">
      <c r="A181" s="1" t="n">
        <v>22</v>
      </c>
      <c r="B181" s="183"/>
      <c r="C181" s="184" t="s">
        <v>163</v>
      </c>
      <c r="D181" s="185" t="n">
        <v>-2</v>
      </c>
      <c r="E181" s="186" t="n">
        <v>3.77</v>
      </c>
      <c r="F181" s="186" t="n">
        <v>1.88</v>
      </c>
      <c r="G181" s="187" t="n">
        <v>293</v>
      </c>
      <c r="H181" s="186" t="n">
        <v>1.05</v>
      </c>
    </row>
    <row r="182" customFormat="false" ht="16.5" hidden="false" customHeight="false" outlineLevel="0" collapsed="false">
      <c r="A182" s="1" t="n">
        <v>23</v>
      </c>
      <c r="B182" s="183"/>
      <c r="C182" s="184" t="s">
        <v>164</v>
      </c>
      <c r="D182" s="185" t="n">
        <v>-2.2</v>
      </c>
      <c r="E182" s="186" t="n">
        <v>3.68</v>
      </c>
      <c r="F182" s="186" t="n">
        <v>1.88</v>
      </c>
      <c r="G182" s="187" t="n">
        <v>289</v>
      </c>
      <c r="H182" s="186" t="n">
        <v>0.59</v>
      </c>
    </row>
    <row r="183" customFormat="false" ht="16.5" hidden="false" customHeight="false" outlineLevel="0" collapsed="false">
      <c r="A183" s="1" t="n">
        <v>24</v>
      </c>
      <c r="B183" s="183"/>
      <c r="C183" s="184" t="s">
        <v>165</v>
      </c>
      <c r="D183" s="185" t="n">
        <v>-3</v>
      </c>
      <c r="E183" s="186" t="n">
        <v>3.6</v>
      </c>
      <c r="F183" s="186" t="n">
        <v>1.84</v>
      </c>
      <c r="G183" s="187" t="n">
        <v>276</v>
      </c>
      <c r="H183" s="186" t="n">
        <v>0.52</v>
      </c>
    </row>
    <row r="184" customFormat="false" ht="16.5" hidden="false" customHeight="true" outlineLevel="0" collapsed="false">
      <c r="A184" s="182" t="n">
        <v>25</v>
      </c>
      <c r="B184" s="188" t="s">
        <v>166</v>
      </c>
      <c r="C184" s="189" t="s">
        <v>167</v>
      </c>
      <c r="D184" s="190"/>
      <c r="E184" s="191" t="n">
        <v>2.68</v>
      </c>
      <c r="F184" s="191" t="n">
        <v>1.42</v>
      </c>
      <c r="G184" s="192" t="n">
        <v>54</v>
      </c>
      <c r="H184" s="191"/>
    </row>
    <row r="185" customFormat="false" ht="16.5" hidden="false" customHeight="false" outlineLevel="0" collapsed="false">
      <c r="A185" s="182" t="n">
        <v>26</v>
      </c>
      <c r="B185" s="188"/>
      <c r="C185" s="189" t="s">
        <v>168</v>
      </c>
      <c r="D185" s="190"/>
      <c r="E185" s="191" t="n">
        <v>2.51</v>
      </c>
      <c r="F185" s="191" t="n">
        <v>1.59</v>
      </c>
      <c r="G185" s="192" t="n">
        <v>167</v>
      </c>
      <c r="H185" s="191"/>
    </row>
    <row r="186" customFormat="false" ht="16.5" hidden="false" customHeight="false" outlineLevel="0" collapsed="false">
      <c r="A186" s="182" t="n">
        <v>27</v>
      </c>
      <c r="B186" s="188"/>
      <c r="C186" s="189" t="s">
        <v>169</v>
      </c>
      <c r="D186" s="190"/>
      <c r="E186" s="191"/>
      <c r="F186" s="191"/>
      <c r="G186" s="192" t="n">
        <v>293</v>
      </c>
      <c r="H186" s="191"/>
    </row>
    <row r="187" customFormat="false" ht="16.5" hidden="false" customHeight="true" outlineLevel="0" collapsed="false">
      <c r="A187" s="1" t="n">
        <v>28</v>
      </c>
      <c r="B187" s="193" t="s">
        <v>170</v>
      </c>
      <c r="C187" s="194" t="s">
        <v>171</v>
      </c>
      <c r="D187" s="195"/>
      <c r="E187" s="196" t="n">
        <v>3.18</v>
      </c>
      <c r="F187" s="196" t="n">
        <v>1.72</v>
      </c>
      <c r="G187" s="197" t="n">
        <v>230</v>
      </c>
      <c r="H187" s="196"/>
    </row>
    <row r="188" customFormat="false" ht="16.5" hidden="false" customHeight="false" outlineLevel="0" collapsed="false">
      <c r="A188" s="1" t="n">
        <v>29</v>
      </c>
      <c r="B188" s="193"/>
      <c r="C188" s="194" t="s">
        <v>172</v>
      </c>
      <c r="D188" s="195" t="n">
        <v>-2.2</v>
      </c>
      <c r="E188" s="196" t="n">
        <v>2.93</v>
      </c>
      <c r="F188" s="196" t="n">
        <v>1.59</v>
      </c>
      <c r="G188" s="197" t="n">
        <v>209</v>
      </c>
      <c r="H188" s="196"/>
    </row>
    <row r="189" customFormat="false" ht="16.5" hidden="false" customHeight="false" outlineLevel="0" collapsed="false">
      <c r="A189" s="182" t="n">
        <v>30</v>
      </c>
      <c r="B189" s="193"/>
      <c r="C189" s="194" t="s">
        <v>173</v>
      </c>
      <c r="D189" s="195" t="n">
        <v>-1.5</v>
      </c>
      <c r="E189" s="196" t="n">
        <v>3.6</v>
      </c>
      <c r="F189" s="196" t="n">
        <v>1.88</v>
      </c>
      <c r="G189" s="197" t="n">
        <v>285</v>
      </c>
      <c r="H189" s="196"/>
    </row>
    <row r="190" customFormat="false" ht="16.5" hidden="false" customHeight="false" outlineLevel="0" collapsed="false">
      <c r="A190" s="1" t="n">
        <v>31</v>
      </c>
      <c r="B190" s="193"/>
      <c r="C190" s="194" t="s">
        <v>174</v>
      </c>
      <c r="D190" s="195"/>
      <c r="E190" s="196" t="n">
        <v>2.34</v>
      </c>
      <c r="F190" s="196" t="n">
        <v>1.42</v>
      </c>
      <c r="G190" s="197" t="n">
        <v>151</v>
      </c>
      <c r="H190" s="196"/>
    </row>
    <row r="191" customFormat="false" ht="16.5" hidden="false" customHeight="false" outlineLevel="0" collapsed="false">
      <c r="A191" s="1" t="n">
        <v>32</v>
      </c>
      <c r="B191" s="193"/>
      <c r="C191" s="194" t="s">
        <v>175</v>
      </c>
      <c r="D191" s="195" t="n">
        <v>-2.2</v>
      </c>
      <c r="E191" s="196" t="n">
        <v>3.77</v>
      </c>
      <c r="F191" s="196" t="n">
        <v>1.88</v>
      </c>
      <c r="G191" s="197" t="n">
        <v>293</v>
      </c>
      <c r="H191" s="196"/>
    </row>
    <row r="192" customFormat="false" ht="16.5" hidden="false" customHeight="false" outlineLevel="0" collapsed="false">
      <c r="A192" s="1" t="n">
        <v>33</v>
      </c>
      <c r="B192" s="193"/>
      <c r="C192" s="194" t="s">
        <v>176</v>
      </c>
      <c r="D192" s="195" t="n">
        <v>-2.8</v>
      </c>
      <c r="E192" s="196" t="n">
        <v>3.47</v>
      </c>
      <c r="F192" s="196" t="n">
        <v>1.84</v>
      </c>
      <c r="G192" s="197" t="n">
        <v>268</v>
      </c>
      <c r="H192" s="196"/>
    </row>
    <row r="193" customFormat="false" ht="16.5" hidden="false" customHeight="false" outlineLevel="0" collapsed="false">
      <c r="A193" s="1" t="n">
        <v>34</v>
      </c>
      <c r="B193" s="198" t="s">
        <v>177</v>
      </c>
      <c r="C193" s="199" t="s">
        <v>178</v>
      </c>
      <c r="D193" s="200" t="n">
        <v>-1.2</v>
      </c>
      <c r="E193" s="201" t="n">
        <v>3.93</v>
      </c>
      <c r="F193" s="201" t="n">
        <v>2.01</v>
      </c>
      <c r="G193" s="202" t="n">
        <v>314</v>
      </c>
      <c r="H193" s="201" t="n">
        <v>6.28</v>
      </c>
    </row>
    <row r="194" customFormat="false" ht="16.5" hidden="false" customHeight="false" outlineLevel="0" collapsed="false">
      <c r="A194" s="182" t="n">
        <v>35</v>
      </c>
      <c r="B194" s="198"/>
      <c r="C194" s="199" t="s">
        <v>179</v>
      </c>
      <c r="D194" s="200" t="n">
        <v>-0.5</v>
      </c>
      <c r="E194" s="201" t="n">
        <v>3.6</v>
      </c>
      <c r="F194" s="201" t="n">
        <v>1.97</v>
      </c>
      <c r="G194" s="202" t="n">
        <v>301</v>
      </c>
      <c r="H194" s="201" t="n">
        <v>2.93</v>
      </c>
    </row>
    <row r="195" customFormat="false" ht="16.5" hidden="false" customHeight="false" outlineLevel="0" collapsed="false">
      <c r="A195" s="182" t="n">
        <v>36</v>
      </c>
      <c r="B195" s="198"/>
      <c r="C195" s="199" t="s">
        <v>180</v>
      </c>
      <c r="D195" s="200" t="n">
        <v>-1.6</v>
      </c>
      <c r="E195" s="201" t="n">
        <v>3.85</v>
      </c>
      <c r="F195" s="201" t="n">
        <v>1.97</v>
      </c>
      <c r="G195" s="202" t="n">
        <v>301</v>
      </c>
      <c r="H195" s="201" t="n">
        <v>7.95</v>
      </c>
    </row>
    <row r="196" customFormat="false" ht="16.5" hidden="false" customHeight="false" outlineLevel="0" collapsed="false">
      <c r="A196" s="182" t="n">
        <v>37</v>
      </c>
      <c r="B196" s="198"/>
      <c r="C196" s="199" t="s">
        <v>181</v>
      </c>
      <c r="D196" s="200" t="n">
        <v>-1.7</v>
      </c>
      <c r="E196" s="201" t="n">
        <v>3.64</v>
      </c>
      <c r="F196" s="201" t="n">
        <v>1.88</v>
      </c>
      <c r="G196" s="202" t="n">
        <v>280</v>
      </c>
      <c r="H196" s="201" t="n">
        <v>8.37</v>
      </c>
    </row>
    <row r="197" customFormat="false" ht="16.5" hidden="false" customHeight="false" outlineLevel="0" collapsed="false">
      <c r="A197" s="1" t="n">
        <v>38</v>
      </c>
      <c r="B197" s="198"/>
      <c r="C197" s="199" t="s">
        <v>182</v>
      </c>
      <c r="D197" s="200" t="n">
        <v>-1.4</v>
      </c>
      <c r="E197" s="201" t="n">
        <v>3.6</v>
      </c>
      <c r="F197" s="201" t="n">
        <v>1.88</v>
      </c>
      <c r="G197" s="202" t="n">
        <v>293</v>
      </c>
      <c r="H197" s="201" t="n">
        <v>2.09</v>
      </c>
    </row>
    <row r="198" customFormat="false" ht="16.5" hidden="false" customHeight="false" outlineLevel="0" collapsed="false">
      <c r="A198" s="1" t="n">
        <v>39</v>
      </c>
      <c r="B198" s="198"/>
      <c r="C198" s="199" t="s">
        <v>183</v>
      </c>
      <c r="D198" s="200" t="n">
        <v>-0.5</v>
      </c>
      <c r="E198" s="201" t="n">
        <v>3.93</v>
      </c>
      <c r="F198" s="201" t="n">
        <v>1.97</v>
      </c>
      <c r="G198" s="202" t="n">
        <v>310</v>
      </c>
      <c r="H198" s="201" t="n">
        <v>1.67</v>
      </c>
    </row>
    <row r="199" customFormat="false" ht="16.5" hidden="false" customHeight="false" outlineLevel="0" collapsed="false">
      <c r="A199" s="182" t="n">
        <v>40</v>
      </c>
      <c r="B199" s="198"/>
      <c r="C199" s="199" t="s">
        <v>184</v>
      </c>
      <c r="D199" s="200" t="n">
        <v>-0.8</v>
      </c>
      <c r="E199" s="201" t="n">
        <v>3.89</v>
      </c>
      <c r="F199" s="201" t="n">
        <v>1.97</v>
      </c>
      <c r="G199" s="202" t="n">
        <v>301</v>
      </c>
      <c r="H199" s="201" t="n">
        <v>2.3</v>
      </c>
    </row>
    <row r="200" customFormat="false" ht="16.5" hidden="false" customHeight="false" outlineLevel="0" collapsed="false">
      <c r="A200" s="1" t="n">
        <v>41</v>
      </c>
      <c r="B200" s="198"/>
      <c r="C200" s="199" t="s">
        <v>185</v>
      </c>
      <c r="D200" s="200" t="n">
        <v>-1.1</v>
      </c>
      <c r="E200" s="201" t="n">
        <v>3.81</v>
      </c>
      <c r="F200" s="201" t="n">
        <v>1.93</v>
      </c>
      <c r="G200" s="202" t="n">
        <v>280</v>
      </c>
      <c r="H200" s="201" t="n">
        <v>0.8</v>
      </c>
    </row>
    <row r="201" customFormat="false" ht="16.5" hidden="false" customHeight="false" outlineLevel="0" collapsed="false">
      <c r="A201" s="1" t="n">
        <v>42</v>
      </c>
      <c r="B201" s="198"/>
      <c r="C201" s="199" t="s">
        <v>186</v>
      </c>
      <c r="D201" s="200" t="n">
        <v>-1.2</v>
      </c>
      <c r="E201" s="201" t="n">
        <v>3.43</v>
      </c>
      <c r="F201" s="201" t="n">
        <v>1.97</v>
      </c>
      <c r="G201" s="202" t="n">
        <v>297</v>
      </c>
      <c r="H201" s="201" t="n">
        <v>8.37</v>
      </c>
    </row>
    <row r="202" customFormat="false" ht="16.5" hidden="false" customHeight="false" outlineLevel="0" collapsed="false">
      <c r="A202" s="1" t="n">
        <v>43</v>
      </c>
      <c r="B202" s="198"/>
      <c r="C202" s="199" t="s">
        <v>187</v>
      </c>
      <c r="D202" s="200" t="s">
        <v>188</v>
      </c>
      <c r="E202" s="201" t="n">
        <v>1.26</v>
      </c>
      <c r="F202" s="201" t="n">
        <v>1</v>
      </c>
      <c r="G202" s="202" t="n">
        <v>42</v>
      </c>
      <c r="H202" s="201"/>
    </row>
    <row r="203" customFormat="false" ht="16.5" hidden="false" customHeight="false" outlineLevel="0" collapsed="false">
      <c r="A203" s="1" t="n">
        <v>44</v>
      </c>
      <c r="B203" s="198"/>
      <c r="C203" s="199" t="s">
        <v>189</v>
      </c>
      <c r="D203" s="200" t="n">
        <v>-1</v>
      </c>
      <c r="E203" s="201" t="n">
        <v>3.89</v>
      </c>
      <c r="F203" s="201" t="n">
        <v>1.97</v>
      </c>
      <c r="G203" s="202" t="n">
        <v>301</v>
      </c>
      <c r="H203" s="201" t="n">
        <v>6.28</v>
      </c>
    </row>
    <row r="204" customFormat="false" ht="16.5" hidden="false" customHeight="false" outlineLevel="0" collapsed="false">
      <c r="A204" s="182" t="n">
        <v>45</v>
      </c>
      <c r="B204" s="198"/>
      <c r="C204" s="199" t="s">
        <v>190</v>
      </c>
      <c r="D204" s="200" t="n">
        <v>-0.5</v>
      </c>
      <c r="E204" s="201" t="n">
        <v>4.02</v>
      </c>
      <c r="F204" s="201" t="n">
        <v>2.01</v>
      </c>
      <c r="G204" s="202" t="n">
        <v>63</v>
      </c>
      <c r="H204" s="201" t="n">
        <v>3.35</v>
      </c>
    </row>
    <row r="205" customFormat="false" ht="16.5" hidden="false" customHeight="false" outlineLevel="0" collapsed="false">
      <c r="A205" s="182" t="n">
        <v>46</v>
      </c>
      <c r="B205" s="198"/>
      <c r="C205" s="199" t="s">
        <v>191</v>
      </c>
      <c r="D205" s="200" t="n">
        <v>-1.7</v>
      </c>
      <c r="E205" s="201" t="n">
        <v>3.43</v>
      </c>
      <c r="F205" s="201" t="n">
        <v>1.8</v>
      </c>
      <c r="G205" s="202" t="n">
        <v>260</v>
      </c>
      <c r="H205" s="201" t="n">
        <v>5.44</v>
      </c>
    </row>
    <row r="206" customFormat="false" ht="16.5" hidden="false" customHeight="false" outlineLevel="0" collapsed="false">
      <c r="A206" s="182" t="n">
        <v>47</v>
      </c>
      <c r="B206" s="198"/>
      <c r="C206" s="199" t="s">
        <v>192</v>
      </c>
      <c r="D206" s="200" t="n">
        <v>-1.1</v>
      </c>
      <c r="E206" s="201" t="n">
        <v>3.31</v>
      </c>
      <c r="F206" s="201" t="n">
        <v>1.76</v>
      </c>
      <c r="G206" s="202" t="n">
        <v>247</v>
      </c>
      <c r="H206" s="201" t="n">
        <v>8.37</v>
      </c>
    </row>
    <row r="207" customFormat="false" ht="16.5" hidden="false" customHeight="false" outlineLevel="0" collapsed="false">
      <c r="A207" s="1" t="n">
        <v>48</v>
      </c>
      <c r="B207" s="198"/>
      <c r="C207" s="199" t="s">
        <v>193</v>
      </c>
      <c r="D207" s="200" t="s">
        <v>188</v>
      </c>
      <c r="E207" s="201" t="n">
        <v>1.17</v>
      </c>
      <c r="F207" s="201" t="n">
        <v>0.92</v>
      </c>
      <c r="G207" s="202" t="n">
        <v>33</v>
      </c>
      <c r="H207" s="201"/>
    </row>
    <row r="208" customFormat="false" ht="16.5" hidden="false" customHeight="false" outlineLevel="0" collapsed="false">
      <c r="A208" s="1" t="n">
        <v>49</v>
      </c>
      <c r="B208" s="198"/>
      <c r="C208" s="199" t="s">
        <v>194</v>
      </c>
      <c r="D208" s="200" t="n">
        <v>-0.5</v>
      </c>
      <c r="E208" s="201" t="n">
        <v>3.98</v>
      </c>
      <c r="F208" s="201" t="n">
        <v>2.01</v>
      </c>
      <c r="G208" s="202" t="n">
        <v>314</v>
      </c>
      <c r="H208" s="201" t="n">
        <v>2.72</v>
      </c>
    </row>
    <row r="209" customFormat="false" ht="16.5" hidden="false" customHeight="false" outlineLevel="0" collapsed="false">
      <c r="A209" s="182" t="n">
        <v>50</v>
      </c>
      <c r="B209" s="198"/>
      <c r="C209" s="199" t="s">
        <v>195</v>
      </c>
      <c r="D209" s="200" t="n">
        <v>-0.5</v>
      </c>
      <c r="E209" s="201" t="n">
        <v>3.98</v>
      </c>
      <c r="F209" s="201" t="n">
        <v>2.01</v>
      </c>
      <c r="G209" s="202" t="n">
        <v>314</v>
      </c>
      <c r="H209" s="201" t="n">
        <v>4.19</v>
      </c>
    </row>
    <row r="210" customFormat="false" ht="16.5" hidden="false" customHeight="false" outlineLevel="0" collapsed="false">
      <c r="A210" s="182" t="n">
        <v>51</v>
      </c>
      <c r="B210" s="198"/>
      <c r="C210" s="199" t="s">
        <v>196</v>
      </c>
      <c r="D210" s="200" t="n">
        <v>-1.3</v>
      </c>
      <c r="E210" s="201" t="n">
        <v>3.98</v>
      </c>
      <c r="F210" s="201" t="n">
        <v>2.01</v>
      </c>
      <c r="G210" s="202" t="n">
        <v>314</v>
      </c>
      <c r="H210" s="201" t="n">
        <v>2.09</v>
      </c>
    </row>
    <row r="211" customFormat="false" ht="16.5" hidden="false" customHeight="false" outlineLevel="0" collapsed="false">
      <c r="A211" s="182" t="n">
        <v>52</v>
      </c>
      <c r="B211" s="198"/>
      <c r="C211" s="199" t="s">
        <v>197</v>
      </c>
      <c r="D211" s="200" t="n">
        <v>-0.9</v>
      </c>
      <c r="E211" s="201" t="n">
        <v>3.93</v>
      </c>
      <c r="F211" s="201" t="n">
        <v>2.01</v>
      </c>
      <c r="G211" s="202" t="n">
        <v>310</v>
      </c>
      <c r="H211" s="201" t="n">
        <v>4.6</v>
      </c>
    </row>
    <row r="212" customFormat="false" ht="16.5" hidden="false" customHeight="true" outlineLevel="0" collapsed="false">
      <c r="A212" s="182" t="n">
        <v>53</v>
      </c>
      <c r="B212" s="203" t="s">
        <v>198</v>
      </c>
      <c r="C212" s="204" t="s">
        <v>199</v>
      </c>
      <c r="D212" s="205" t="n">
        <v>-2.2</v>
      </c>
      <c r="E212" s="206" t="n">
        <v>3.85</v>
      </c>
      <c r="F212" s="206"/>
      <c r="G212" s="207"/>
      <c r="H212" s="206"/>
    </row>
    <row r="213" customFormat="false" ht="16.5" hidden="false" customHeight="false" outlineLevel="0" collapsed="false">
      <c r="A213" s="182" t="n">
        <v>54</v>
      </c>
      <c r="B213" s="203"/>
      <c r="C213" s="204" t="s">
        <v>200</v>
      </c>
      <c r="D213" s="205"/>
      <c r="E213" s="206"/>
      <c r="F213" s="206"/>
      <c r="G213" s="207"/>
      <c r="H213" s="206"/>
    </row>
    <row r="214" customFormat="false" ht="16.5" hidden="false" customHeight="false" outlineLevel="0" collapsed="false">
      <c r="A214" s="182" t="n">
        <v>55</v>
      </c>
      <c r="B214" s="203"/>
      <c r="C214" s="204" t="s">
        <v>201</v>
      </c>
      <c r="D214" s="205"/>
      <c r="E214" s="206" t="n">
        <v>2.93</v>
      </c>
      <c r="F214" s="206" t="n">
        <v>1.63</v>
      </c>
      <c r="G214" s="207" t="n">
        <v>209</v>
      </c>
      <c r="H214" s="206"/>
    </row>
    <row r="215" customFormat="false" ht="16.5" hidden="false" customHeight="false" outlineLevel="0" collapsed="false">
      <c r="A215" s="182" t="n">
        <v>56</v>
      </c>
      <c r="B215" s="203"/>
      <c r="C215" s="204" t="s">
        <v>202</v>
      </c>
      <c r="D215" s="205"/>
      <c r="E215" s="206" t="n">
        <v>1.8</v>
      </c>
      <c r="F215" s="206" t="n">
        <v>1.26</v>
      </c>
      <c r="G215" s="207" t="n">
        <v>92</v>
      </c>
      <c r="H215" s="206"/>
    </row>
    <row r="216" customFormat="false" ht="16.5" hidden="false" customHeight="false" outlineLevel="0" collapsed="false">
      <c r="A216" s="182" t="n">
        <v>57</v>
      </c>
      <c r="B216" s="203"/>
      <c r="C216" s="204" t="s">
        <v>203</v>
      </c>
      <c r="D216" s="205"/>
      <c r="E216" s="206" t="n">
        <v>3.22</v>
      </c>
      <c r="F216" s="206" t="n">
        <v>1.72</v>
      </c>
      <c r="G216" s="207" t="n">
        <v>234</v>
      </c>
      <c r="H216" s="206"/>
    </row>
    <row r="217" customFormat="false" ht="16.5" hidden="false" customHeight="false" outlineLevel="0" collapsed="false">
      <c r="A217" s="182" t="n">
        <v>58</v>
      </c>
      <c r="B217" s="203"/>
      <c r="C217" s="204" t="s">
        <v>204</v>
      </c>
      <c r="D217" s="205"/>
      <c r="E217" s="206" t="n">
        <v>1.34</v>
      </c>
      <c r="F217" s="206" t="n">
        <v>1.05</v>
      </c>
      <c r="G217" s="207" t="n">
        <v>50</v>
      </c>
      <c r="H217" s="206"/>
    </row>
    <row r="218" customFormat="false" ht="16.5" hidden="false" customHeight="false" outlineLevel="0" collapsed="false">
      <c r="A218" s="182" t="n">
        <v>59</v>
      </c>
      <c r="B218" s="203"/>
      <c r="C218" s="204" t="s">
        <v>205</v>
      </c>
      <c r="D218" s="205"/>
      <c r="E218" s="206" t="n">
        <v>1.47</v>
      </c>
      <c r="F218" s="206" t="n">
        <v>1.09</v>
      </c>
      <c r="G218" s="207" t="n">
        <v>63</v>
      </c>
      <c r="H218" s="206"/>
    </row>
    <row r="219" customFormat="false" ht="16.5" hidden="false" customHeight="false" outlineLevel="0" collapsed="false">
      <c r="A219" s="182" t="n">
        <v>60</v>
      </c>
      <c r="B219" s="203"/>
      <c r="C219" s="204" t="s">
        <v>206</v>
      </c>
      <c r="D219" s="205"/>
      <c r="E219" s="206"/>
      <c r="F219" s="206"/>
      <c r="G219" s="207"/>
      <c r="H219" s="206"/>
    </row>
    <row r="220" customFormat="false" ht="16.5" hidden="false" customHeight="false" outlineLevel="0" collapsed="false">
      <c r="A220" s="182" t="n">
        <v>61</v>
      </c>
      <c r="B220" s="203"/>
      <c r="C220" s="204" t="s">
        <v>207</v>
      </c>
      <c r="D220" s="205" t="n">
        <v>-8</v>
      </c>
      <c r="E220" s="206" t="n">
        <v>2.93</v>
      </c>
      <c r="F220" s="206" t="n">
        <v>1.42</v>
      </c>
      <c r="G220" s="207" t="n">
        <v>126</v>
      </c>
      <c r="H220" s="206"/>
    </row>
    <row r="221" customFormat="false" ht="16.5" hidden="false" customHeight="false" outlineLevel="0" collapsed="false">
      <c r="A221" s="182" t="n">
        <v>62</v>
      </c>
      <c r="B221" s="203"/>
      <c r="C221" s="204" t="s">
        <v>208</v>
      </c>
      <c r="D221" s="205"/>
      <c r="E221" s="206"/>
      <c r="F221" s="206"/>
      <c r="G221" s="207"/>
      <c r="H221" s="206"/>
    </row>
    <row r="222" customFormat="false" ht="16.5" hidden="false" customHeight="false" outlineLevel="0" collapsed="false">
      <c r="A222" s="182" t="n">
        <v>63</v>
      </c>
      <c r="B222" s="203"/>
      <c r="C222" s="204" t="s">
        <v>209</v>
      </c>
      <c r="D222" s="205"/>
      <c r="E222" s="206"/>
      <c r="F222" s="206"/>
      <c r="G222" s="207"/>
      <c r="H222" s="206"/>
    </row>
    <row r="223" customFormat="false" ht="16.5" hidden="false" customHeight="false" outlineLevel="0" collapsed="false">
      <c r="A223" s="182" t="n">
        <v>64</v>
      </c>
      <c r="B223" s="203"/>
      <c r="C223" s="204" t="s">
        <v>210</v>
      </c>
      <c r="D223" s="205" t="n">
        <v>-2.2</v>
      </c>
      <c r="E223" s="206" t="n">
        <v>3.06</v>
      </c>
      <c r="F223" s="206" t="n">
        <v>1.67</v>
      </c>
      <c r="G223" s="207" t="n">
        <v>222</v>
      </c>
      <c r="H223" s="206"/>
    </row>
    <row r="224" customFormat="false" ht="15" hidden="false" customHeight="false" outlineLevel="0" collapsed="false">
      <c r="B224" s="208"/>
      <c r="C224" s="209"/>
      <c r="D224" s="210"/>
      <c r="E224" s="211"/>
      <c r="F224" s="211"/>
      <c r="G224" s="212"/>
      <c r="H224" s="211"/>
    </row>
    <row r="225" customFormat="false" ht="15" hidden="false" customHeight="false" outlineLevel="0" collapsed="false">
      <c r="B225" s="213"/>
      <c r="C225" s="214"/>
      <c r="D225" s="215"/>
      <c r="E225" s="216"/>
      <c r="F225" s="216"/>
      <c r="G225" s="217"/>
      <c r="H225" s="216"/>
    </row>
    <row r="226" customFormat="false" ht="15" hidden="false" customHeight="false" outlineLevel="0" collapsed="false">
      <c r="B226" s="213"/>
      <c r="C226" s="214"/>
      <c r="D226" s="215"/>
      <c r="E226" s="216"/>
      <c r="F226" s="216"/>
      <c r="G226" s="217"/>
      <c r="H226" s="216"/>
    </row>
    <row r="227" customFormat="false" ht="15" hidden="false" customHeight="false" outlineLevel="0" collapsed="false">
      <c r="B227" s="213"/>
      <c r="C227" s="214"/>
      <c r="D227" s="215"/>
      <c r="E227" s="216"/>
      <c r="F227" s="216"/>
      <c r="G227" s="217"/>
      <c r="H227" s="216"/>
    </row>
    <row r="228" customFormat="false" ht="15" hidden="false" customHeight="false" outlineLevel="0" collapsed="false">
      <c r="B228" s="213"/>
      <c r="C228" s="214"/>
      <c r="D228" s="215"/>
      <c r="E228" s="216"/>
      <c r="F228" s="216"/>
      <c r="G228" s="217"/>
      <c r="H228" s="216"/>
    </row>
    <row r="229" customFormat="false" ht="15" hidden="false" customHeight="false" outlineLevel="0" collapsed="false">
      <c r="B229" s="213"/>
      <c r="C229" s="214"/>
      <c r="D229" s="215"/>
      <c r="E229" s="216"/>
      <c r="F229" s="216"/>
      <c r="G229" s="217"/>
      <c r="H229" s="216"/>
    </row>
    <row r="230" customFormat="false" ht="15" hidden="false" customHeight="false" outlineLevel="0" collapsed="false">
      <c r="B230" s="213"/>
      <c r="C230" s="214"/>
      <c r="D230" s="215"/>
      <c r="E230" s="216"/>
      <c r="F230" s="216"/>
      <c r="G230" s="217"/>
      <c r="H230" s="216"/>
    </row>
    <row r="231" customFormat="false" ht="15" hidden="false" customHeight="false" outlineLevel="0" collapsed="false">
      <c r="B231" s="213"/>
      <c r="C231" s="214"/>
      <c r="D231" s="215"/>
      <c r="E231" s="216"/>
      <c r="F231" s="216"/>
      <c r="G231" s="217"/>
      <c r="H231" s="216"/>
    </row>
    <row r="232" customFormat="false" ht="15" hidden="false" customHeight="false" outlineLevel="0" collapsed="false">
      <c r="B232" s="213"/>
      <c r="C232" s="214"/>
      <c r="D232" s="215"/>
      <c r="E232" s="216"/>
      <c r="F232" s="216"/>
      <c r="G232" s="217"/>
      <c r="H232" s="216"/>
    </row>
    <row r="233" customFormat="false" ht="15" hidden="false" customHeight="false" outlineLevel="0" collapsed="false">
      <c r="B233" s="213"/>
      <c r="C233" s="214"/>
      <c r="D233" s="215"/>
      <c r="E233" s="216"/>
      <c r="F233" s="216"/>
      <c r="G233" s="217"/>
      <c r="H233" s="216"/>
    </row>
    <row r="234" customFormat="false" ht="15" hidden="false" customHeight="false" outlineLevel="0" collapsed="false">
      <c r="B234" s="213"/>
      <c r="C234" s="214"/>
      <c r="D234" s="215"/>
      <c r="E234" s="216"/>
      <c r="F234" s="216"/>
      <c r="G234" s="217"/>
      <c r="H234" s="216"/>
    </row>
    <row r="235" customFormat="false" ht="23.25" hidden="false" customHeight="true" outlineLevel="0" collapsed="false">
      <c r="A235" s="218" t="s">
        <v>211</v>
      </c>
      <c r="B235" s="218"/>
      <c r="C235" s="218" t="s">
        <v>212</v>
      </c>
      <c r="D235" s="215"/>
      <c r="E235" s="216"/>
      <c r="F235" s="216"/>
      <c r="G235" s="217"/>
      <c r="H235" s="216"/>
    </row>
    <row r="236" customFormat="false" ht="18" hidden="false" customHeight="false" outlineLevel="0" collapsed="false">
      <c r="A236" s="1" t="n">
        <v>1</v>
      </c>
      <c r="B236" s="219" t="s">
        <v>213</v>
      </c>
      <c r="C236" s="220" t="n">
        <v>0.35</v>
      </c>
      <c r="D236" s="221" t="n">
        <v>3</v>
      </c>
      <c r="E236" s="216"/>
      <c r="F236" s="216"/>
      <c r="G236" s="217"/>
      <c r="H236" s="216"/>
    </row>
    <row r="237" customFormat="false" ht="18" hidden="false" customHeight="false" outlineLevel="0" collapsed="false">
      <c r="A237" s="1" t="n">
        <v>2</v>
      </c>
      <c r="B237" s="219" t="s">
        <v>214</v>
      </c>
      <c r="C237" s="220" t="n">
        <v>0.28</v>
      </c>
      <c r="D237" s="215"/>
      <c r="E237" s="216"/>
      <c r="F237" s="216"/>
      <c r="G237" s="217"/>
      <c r="H237" s="216"/>
    </row>
    <row r="238" customFormat="false" ht="18" hidden="false" customHeight="false" outlineLevel="0" collapsed="false">
      <c r="A238" s="1" t="n">
        <v>3</v>
      </c>
      <c r="B238" s="222" t="s">
        <v>215</v>
      </c>
      <c r="C238" s="220" t="n">
        <v>0.23</v>
      </c>
      <c r="D238" s="215"/>
      <c r="E238" s="216"/>
      <c r="F238" s="216"/>
      <c r="G238" s="217"/>
      <c r="H238" s="216"/>
    </row>
    <row r="239" customFormat="false" ht="18" hidden="false" customHeight="false" outlineLevel="0" collapsed="false">
      <c r="A239" s="1" t="n">
        <v>4</v>
      </c>
      <c r="B239" s="222" t="s">
        <v>216</v>
      </c>
      <c r="C239" s="220" t="n">
        <v>0.2</v>
      </c>
      <c r="D239" s="215"/>
      <c r="E239" s="216"/>
      <c r="F239" s="216"/>
      <c r="G239" s="217"/>
      <c r="H239" s="216"/>
    </row>
    <row r="240" customFormat="false" ht="18" hidden="false" customHeight="false" outlineLevel="0" collapsed="false">
      <c r="A240" s="1" t="n">
        <v>5</v>
      </c>
      <c r="B240" s="222" t="s">
        <v>217</v>
      </c>
      <c r="C240" s="220"/>
      <c r="D240" s="215"/>
      <c r="E240" s="216"/>
      <c r="F240" s="216"/>
      <c r="G240" s="217"/>
      <c r="H240" s="216"/>
    </row>
    <row r="241" customFormat="false" ht="18" hidden="false" customHeight="false" outlineLevel="0" collapsed="false">
      <c r="A241" s="1" t="n">
        <v>6</v>
      </c>
      <c r="B241" s="222" t="s">
        <v>218</v>
      </c>
      <c r="C241" s="220"/>
      <c r="D241" s="215"/>
      <c r="E241" s="216"/>
      <c r="F241" s="216"/>
      <c r="G241" s="217"/>
      <c r="H241" s="216"/>
    </row>
    <row r="242" customFormat="false" ht="18" hidden="false" customHeight="false" outlineLevel="0" collapsed="false">
      <c r="A242" s="1" t="n">
        <v>7</v>
      </c>
      <c r="B242" s="222" t="s">
        <v>219</v>
      </c>
      <c r="C242" s="220"/>
      <c r="D242" s="215"/>
      <c r="E242" s="216"/>
      <c r="F242" s="216"/>
      <c r="G242" s="217"/>
      <c r="H242" s="216"/>
    </row>
    <row r="243" customFormat="false" ht="18" hidden="false" customHeight="false" outlineLevel="0" collapsed="false">
      <c r="A243" s="1" t="n">
        <v>8</v>
      </c>
      <c r="B243" s="222" t="s">
        <v>220</v>
      </c>
      <c r="C243" s="220"/>
      <c r="D243" s="215"/>
      <c r="E243" s="216"/>
      <c r="F243" s="216"/>
      <c r="G243" s="217"/>
      <c r="H243" s="216"/>
    </row>
    <row r="244" customFormat="false" ht="18" hidden="false" customHeight="false" outlineLevel="0" collapsed="false">
      <c r="A244" s="1" t="n">
        <v>9</v>
      </c>
      <c r="B244" s="222" t="s">
        <v>221</v>
      </c>
      <c r="C244" s="223" t="n">
        <v>0.45</v>
      </c>
      <c r="D244" s="215"/>
      <c r="E244" s="216"/>
      <c r="F244" s="216"/>
      <c r="G244" s="217"/>
      <c r="H244" s="216"/>
    </row>
    <row r="245" customFormat="false" ht="18" hidden="false" customHeight="false" outlineLevel="0" collapsed="false">
      <c r="A245" s="1" t="n">
        <v>10</v>
      </c>
      <c r="B245" s="222" t="s">
        <v>222</v>
      </c>
      <c r="C245" s="223" t="n">
        <v>0.34</v>
      </c>
      <c r="D245" s="215"/>
      <c r="E245" s="216"/>
      <c r="F245" s="216"/>
      <c r="G245" s="217"/>
      <c r="H245" s="216"/>
    </row>
    <row r="246" customFormat="false" ht="18" hidden="false" customHeight="false" outlineLevel="0" collapsed="false">
      <c r="A246" s="1" t="n">
        <v>11</v>
      </c>
      <c r="B246" s="222" t="s">
        <v>223</v>
      </c>
      <c r="C246" s="223" t="n">
        <v>0.28</v>
      </c>
      <c r="D246" s="215"/>
      <c r="E246" s="216"/>
      <c r="F246" s="216"/>
      <c r="G246" s="217"/>
      <c r="H246" s="216"/>
    </row>
    <row r="247" customFormat="false" ht="18" hidden="false" customHeight="false" outlineLevel="0" collapsed="false">
      <c r="A247" s="1" t="n">
        <v>12</v>
      </c>
      <c r="B247" s="222" t="s">
        <v>224</v>
      </c>
      <c r="C247" s="223" t="n">
        <v>0.23</v>
      </c>
      <c r="D247" s="215"/>
      <c r="E247" s="216"/>
      <c r="F247" s="216"/>
      <c r="G247" s="217"/>
      <c r="H247" s="216"/>
    </row>
    <row r="248" customFormat="false" ht="18" hidden="false" customHeight="false" outlineLevel="0" collapsed="false">
      <c r="A248" s="1" t="n">
        <v>13</v>
      </c>
      <c r="B248" s="222" t="s">
        <v>225</v>
      </c>
      <c r="C248" s="223" t="n">
        <v>0.18</v>
      </c>
      <c r="D248" s="215"/>
      <c r="E248" s="216"/>
      <c r="F248" s="216"/>
      <c r="G248" s="217"/>
      <c r="H248" s="216"/>
    </row>
    <row r="249" customFormat="false" ht="18" hidden="false" customHeight="false" outlineLevel="0" collapsed="false">
      <c r="A249" s="1" t="n">
        <v>14</v>
      </c>
      <c r="B249" s="222" t="s">
        <v>226</v>
      </c>
      <c r="C249" s="223" t="n">
        <v>0.16</v>
      </c>
      <c r="D249" s="215"/>
      <c r="E249" s="216"/>
      <c r="F249" s="216"/>
      <c r="G249" s="217"/>
      <c r="H249" s="216"/>
    </row>
    <row r="250" customFormat="false" ht="18" hidden="false" customHeight="false" outlineLevel="0" collapsed="false">
      <c r="A250" s="1" t="n">
        <v>15</v>
      </c>
      <c r="B250" s="222" t="s">
        <v>227</v>
      </c>
      <c r="C250" s="223" t="n">
        <v>0.14</v>
      </c>
      <c r="D250" s="215"/>
      <c r="E250" s="216"/>
      <c r="F250" s="216"/>
      <c r="G250" s="217"/>
      <c r="H250" s="216"/>
    </row>
    <row r="251" customFormat="false" ht="15" hidden="false" customHeight="false" outlineLevel="0" collapsed="false"/>
    <row r="252" customFormat="false" ht="15" hidden="false" customHeight="false" outlineLevel="0" collapsed="false"/>
    <row r="253" customFormat="false" ht="15" hidden="false" customHeight="false" outlineLevel="0" collapsed="false"/>
  </sheetData>
  <mergeCells count="18">
    <mergeCell ref="B1:K1"/>
    <mergeCell ref="B2:G2"/>
    <mergeCell ref="I2:M2"/>
    <mergeCell ref="B7:C7"/>
    <mergeCell ref="B67:C67"/>
    <mergeCell ref="B86:C86"/>
    <mergeCell ref="B90:C90"/>
    <mergeCell ref="B91:C91"/>
    <mergeCell ref="E158:F158"/>
    <mergeCell ref="G158:G159"/>
    <mergeCell ref="H158:H159"/>
    <mergeCell ref="B161:B168"/>
    <mergeCell ref="B169:B183"/>
    <mergeCell ref="B184:B186"/>
    <mergeCell ref="B187:B192"/>
    <mergeCell ref="B193:B211"/>
    <mergeCell ref="B212:B223"/>
    <mergeCell ref="A235:B235"/>
  </mergeCells>
  <dataValidations count="3">
    <dataValidation allowBlank="false" operator="equal" promptTitle="Gamme" showDropDown="false" showErrorMessage="true" showInputMessage="false" sqref="C11" type="list">
      <formula1>"Positif,Négatif"</formula1>
      <formula2>0</formula2>
    </dataValidation>
    <dataValidation allowBlank="true" operator="equal" promptTitle="Type" showDropDown="false" showErrorMessage="true" showInputMessage="false" sqref="D11" type="list">
      <formula1>IF(C11="Positif",Feuil1!P1:P3,Feuil1!P1:P2)</formula1>
      <formula2>0</formula2>
    </dataValidation>
    <dataValidation allowBlank="false" operator="equal" promptTitle="DT" showDropDown="false" showErrorMessage="true" showInputMessage="false" sqref="F11" type="list">
      <formula1>Feuil1!L1:L6</formula1>
      <formula2>0</formula2>
    </dataValidation>
  </dataValidations>
  <printOptions headings="false" gridLines="false" gridLinesSet="true" horizontalCentered="false" verticalCentered="false"/>
  <pageMargins left="0.499305555555556" right="0.111805555555556" top="0.19375" bottom="0.35625" header="0.511805555555555" footer="0.511805555555555"/>
  <pageSetup paperSize="9" scale="51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61"/>
  <sheetViews>
    <sheetView showFormulas="false" showGridLines="true" showRowColHeaders="true" showZeros="true" rightToLeft="false" tabSelected="false" showOutlineSymbols="true" defaultGridColor="true" view="normal" topLeftCell="A4" colorId="64" zoomScale="85" zoomScaleNormal="85" zoomScalePageLayoutView="100" workbookViewId="0">
      <selection pane="topLeft" activeCell="C13" activeCellId="0" sqref="C13"/>
    </sheetView>
  </sheetViews>
  <sheetFormatPr defaultRowHeight="12.75" zeroHeight="false" outlineLevelRow="0" outlineLevelCol="0"/>
  <cols>
    <col collapsed="false" customWidth="true" hidden="false" outlineLevel="0" max="1025" min="1" style="0" width="11.02"/>
  </cols>
  <sheetData>
    <row r="1" customFormat="false" ht="12.75" hidden="false" customHeight="false" outlineLevel="0" collapsed="false">
      <c r="A1" s="224" t="s">
        <v>228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customFormat="false" ht="12.75" hidden="false" customHeight="false" outlineLevel="0" collapsed="false">
      <c r="A2" s="224"/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</row>
    <row r="4" customFormat="false" ht="12.75" hidden="false" customHeight="false" outlineLevel="0" collapsed="false">
      <c r="A4" s="225" t="s">
        <v>229</v>
      </c>
    </row>
    <row r="6" customFormat="false" ht="12.75" hidden="false" customHeight="false" outlineLevel="0" collapsed="false">
      <c r="A6" s="225" t="s">
        <v>230</v>
      </c>
      <c r="H6" s="225" t="s">
        <v>231</v>
      </c>
      <c r="R6" s="226" t="s">
        <v>232</v>
      </c>
    </row>
    <row r="7" customFormat="false" ht="15" hidden="false" customHeight="false" outlineLevel="0" collapsed="false">
      <c r="A7" s="227" t="s">
        <v>233</v>
      </c>
      <c r="B7" s="227"/>
      <c r="C7" s="228"/>
      <c r="D7" s="228"/>
      <c r="E7" s="228"/>
      <c r="F7" s="228"/>
      <c r="G7" s="229"/>
      <c r="H7" s="227" t="s">
        <v>233</v>
      </c>
      <c r="I7" s="227"/>
      <c r="J7" s="228"/>
      <c r="K7" s="228"/>
      <c r="L7" s="228"/>
      <c r="M7" s="228"/>
      <c r="N7" s="228"/>
    </row>
    <row r="10" customFormat="false" ht="12.75" hidden="false" customHeight="false" outlineLevel="0" collapsed="false">
      <c r="A10" s="230" t="s">
        <v>234</v>
      </c>
      <c r="B10" s="226" t="s">
        <v>235</v>
      </c>
      <c r="C10" s="226" t="s">
        <v>236</v>
      </c>
      <c r="D10" s="226" t="s">
        <v>232</v>
      </c>
      <c r="E10" s="226" t="s">
        <v>237</v>
      </c>
      <c r="F10" s="226" t="s">
        <v>238</v>
      </c>
      <c r="H10" s="231" t="s">
        <v>239</v>
      </c>
      <c r="I10" s="226" t="s">
        <v>236</v>
      </c>
      <c r="J10" s="226" t="s">
        <v>232</v>
      </c>
      <c r="K10" s="226" t="s">
        <v>237</v>
      </c>
      <c r="L10" s="226" t="s">
        <v>238</v>
      </c>
    </row>
    <row r="12" customFormat="false" ht="12.75" hidden="false" customHeight="false" outlineLevel="0" collapsed="false">
      <c r="A12" s="175" t="n">
        <v>3167</v>
      </c>
      <c r="B12" s="232" t="n">
        <f aca="false">D12/10*5.5</f>
        <v>1.155</v>
      </c>
      <c r="C12" s="176" t="n">
        <f aca="false">D12/10*7</f>
        <v>1.47</v>
      </c>
      <c r="D12" s="176" t="n">
        <v>2.1</v>
      </c>
      <c r="E12" s="176" t="n">
        <f aca="false">D12/10*15</f>
        <v>3.15</v>
      </c>
      <c r="F12" s="176" t="n">
        <f aca="false">E12/10*20</f>
        <v>6.3</v>
      </c>
      <c r="G12" s="225" t="s">
        <v>240</v>
      </c>
      <c r="H12" s="175" t="s">
        <v>241</v>
      </c>
      <c r="I12" s="176" t="n">
        <f aca="false">J12/10*7</f>
        <v>1.218</v>
      </c>
      <c r="J12" s="176" t="n">
        <v>1.74</v>
      </c>
      <c r="K12" s="176" t="n">
        <f aca="false">J12/10*15</f>
        <v>2.61</v>
      </c>
      <c r="L12" s="176" t="n">
        <f aca="false">J12/10*20</f>
        <v>3.48</v>
      </c>
      <c r="M12" s="225" t="s">
        <v>240</v>
      </c>
    </row>
    <row r="13" customFormat="false" ht="12.75" hidden="false" customHeight="false" outlineLevel="0" collapsed="false">
      <c r="A13" s="175" t="n">
        <v>3267</v>
      </c>
      <c r="B13" s="232" t="n">
        <f aca="false">D13/10*5.5</f>
        <v>2.31</v>
      </c>
      <c r="C13" s="176" t="n">
        <f aca="false">D13/10*7</f>
        <v>2.94</v>
      </c>
      <c r="D13" s="176" t="n">
        <v>4.2</v>
      </c>
      <c r="E13" s="176" t="n">
        <f aca="false">D13/10*15</f>
        <v>6.3</v>
      </c>
      <c r="F13" s="176" t="n">
        <f aca="false">E13/10*20</f>
        <v>12.6</v>
      </c>
      <c r="G13" s="225" t="s">
        <v>240</v>
      </c>
      <c r="H13" s="175" t="s">
        <v>242</v>
      </c>
      <c r="I13" s="176" t="n">
        <f aca="false">J13/10*7</f>
        <v>2.485</v>
      </c>
      <c r="J13" s="176" t="n">
        <v>3.55</v>
      </c>
      <c r="K13" s="176" t="n">
        <f aca="false">J13/10*15</f>
        <v>5.325</v>
      </c>
      <c r="L13" s="176" t="n">
        <f aca="false">J13/10*20</f>
        <v>7.1</v>
      </c>
      <c r="M13" s="225" t="s">
        <v>240</v>
      </c>
    </row>
    <row r="14" customFormat="false" ht="12.75" hidden="false" customHeight="false" outlineLevel="0" collapsed="false">
      <c r="A14" s="175" t="n">
        <v>3367</v>
      </c>
      <c r="B14" s="232" t="n">
        <f aca="false">D14/10*5.5</f>
        <v>3.3</v>
      </c>
      <c r="C14" s="176" t="n">
        <f aca="false">D14/10*7</f>
        <v>4.2</v>
      </c>
      <c r="D14" s="176" t="n">
        <v>6</v>
      </c>
      <c r="E14" s="176" t="n">
        <f aca="false">D14/10*15</f>
        <v>9</v>
      </c>
      <c r="F14" s="176" t="n">
        <f aca="false">E14/10*20</f>
        <v>18</v>
      </c>
      <c r="G14" s="225" t="s">
        <v>240</v>
      </c>
      <c r="H14" s="175" t="s">
        <v>243</v>
      </c>
      <c r="I14" s="176" t="n">
        <f aca="false">J14/10*7</f>
        <v>3.71</v>
      </c>
      <c r="J14" s="176" t="n">
        <v>5.3</v>
      </c>
      <c r="K14" s="176" t="n">
        <f aca="false">J14/10*15</f>
        <v>7.95</v>
      </c>
      <c r="L14" s="176" t="n">
        <f aca="false">J14/10*20</f>
        <v>10.6</v>
      </c>
      <c r="M14" s="225" t="s">
        <v>240</v>
      </c>
    </row>
    <row r="15" customFormat="false" ht="12.75" hidden="false" customHeight="false" outlineLevel="0" collapsed="false">
      <c r="A15" s="175" t="n">
        <v>3467</v>
      </c>
      <c r="B15" s="232" t="n">
        <f aca="false">D15/10*5.5</f>
        <v>4.895</v>
      </c>
      <c r="C15" s="176" t="n">
        <f aca="false">D15/10*7</f>
        <v>6.23</v>
      </c>
      <c r="D15" s="176" t="n">
        <v>8.9</v>
      </c>
      <c r="E15" s="176" t="n">
        <f aca="false">D15/10*15</f>
        <v>13.35</v>
      </c>
      <c r="F15" s="176" t="n">
        <f aca="false">E15/10*20</f>
        <v>26.7</v>
      </c>
      <c r="G15" s="225" t="s">
        <v>240</v>
      </c>
      <c r="H15" s="175" t="s">
        <v>244</v>
      </c>
      <c r="I15" s="176" t="n">
        <f aca="false">J15/10*7</f>
        <v>4.935</v>
      </c>
      <c r="J15" s="176" t="n">
        <v>7.05</v>
      </c>
      <c r="K15" s="176" t="n">
        <f aca="false">J15/10*15</f>
        <v>10.575</v>
      </c>
      <c r="L15" s="176" t="n">
        <f aca="false">J15/10*20</f>
        <v>14.1</v>
      </c>
      <c r="M15" s="225" t="s">
        <v>240</v>
      </c>
    </row>
    <row r="16" customFormat="false" ht="12.75" hidden="false" customHeight="false" outlineLevel="0" collapsed="false">
      <c r="A16" s="175" t="n">
        <v>3567</v>
      </c>
      <c r="B16" s="232" t="n">
        <f aca="false">D16/10*5.5</f>
        <v>5.885</v>
      </c>
      <c r="C16" s="176" t="n">
        <f aca="false">D16/10*7</f>
        <v>7.49</v>
      </c>
      <c r="D16" s="176" t="n">
        <v>10.7</v>
      </c>
      <c r="E16" s="176" t="n">
        <f aca="false">D16/10*15</f>
        <v>16.05</v>
      </c>
      <c r="F16" s="176" t="n">
        <f aca="false">E16/10*20</f>
        <v>32.1</v>
      </c>
      <c r="G16" s="225" t="s">
        <v>240</v>
      </c>
      <c r="H16" s="175" t="s">
        <v>245</v>
      </c>
      <c r="I16" s="176" t="n">
        <f aca="false">J16/10*7</f>
        <v>6.237</v>
      </c>
      <c r="J16" s="176" t="n">
        <v>8.91</v>
      </c>
      <c r="K16" s="176" t="n">
        <f aca="false">J16/10*15</f>
        <v>13.365</v>
      </c>
      <c r="L16" s="176" t="n">
        <f aca="false">J16/10*20</f>
        <v>17.82</v>
      </c>
      <c r="M16" s="225" t="s">
        <v>240</v>
      </c>
    </row>
    <row r="17" customFormat="false" ht="12.75" hidden="false" customHeight="false" outlineLevel="0" collapsed="false">
      <c r="A17" s="175" t="n">
        <v>3667</v>
      </c>
      <c r="B17" s="232" t="n">
        <f aca="false">D17/10*5.5</f>
        <v>7.15</v>
      </c>
      <c r="C17" s="176" t="n">
        <f aca="false">D17/10*7</f>
        <v>9.1</v>
      </c>
      <c r="D17" s="176" t="n">
        <v>13</v>
      </c>
      <c r="E17" s="176" t="n">
        <f aca="false">D17/10*15</f>
        <v>19.5</v>
      </c>
      <c r="F17" s="176" t="n">
        <f aca="false">E17/10*20</f>
        <v>39</v>
      </c>
      <c r="G17" s="225" t="s">
        <v>240</v>
      </c>
    </row>
    <row r="18" customFormat="false" ht="12.75" hidden="false" customHeight="false" outlineLevel="0" collapsed="false">
      <c r="A18" s="233"/>
      <c r="B18" s="234"/>
      <c r="C18" s="235"/>
      <c r="D18" s="235"/>
      <c r="E18" s="235"/>
      <c r="F18" s="235"/>
      <c r="H18" s="225" t="s">
        <v>246</v>
      </c>
    </row>
    <row r="19" customFormat="false" ht="12.75" hidden="false" customHeight="false" outlineLevel="0" collapsed="false">
      <c r="A19" s="175" t="n">
        <v>4167</v>
      </c>
      <c r="B19" s="232" t="n">
        <f aca="false">D19/10*5.5</f>
        <v>3.41</v>
      </c>
      <c r="C19" s="176" t="n">
        <f aca="false">D19/10*7</f>
        <v>4.34</v>
      </c>
      <c r="D19" s="176" t="n">
        <v>6.2</v>
      </c>
      <c r="E19" s="176" t="n">
        <f aca="false">D19/10*15</f>
        <v>9.3</v>
      </c>
      <c r="F19" s="176" t="n">
        <f aca="false">E19/10*20</f>
        <v>18.6</v>
      </c>
      <c r="G19" s="225" t="s">
        <v>240</v>
      </c>
      <c r="H19" s="228"/>
      <c r="I19" s="228"/>
      <c r="J19" s="228"/>
      <c r="K19" s="228"/>
      <c r="L19" s="228"/>
      <c r="M19" s="228"/>
    </row>
    <row r="20" customFormat="false" ht="12.75" hidden="false" customHeight="false" outlineLevel="0" collapsed="false">
      <c r="A20" s="175" t="n">
        <v>4247</v>
      </c>
      <c r="B20" s="232" t="n">
        <f aca="false">D20/10*5.5</f>
        <v>5.28</v>
      </c>
      <c r="C20" s="176" t="n">
        <f aca="false">D20/10*7</f>
        <v>6.72</v>
      </c>
      <c r="D20" s="176" t="n">
        <v>9.6</v>
      </c>
      <c r="E20" s="176" t="n">
        <f aca="false">D20/10*15</f>
        <v>14.4</v>
      </c>
      <c r="F20" s="176" t="n">
        <f aca="false">E20/10*20</f>
        <v>28.8</v>
      </c>
      <c r="G20" s="225" t="s">
        <v>240</v>
      </c>
    </row>
    <row r="21" customFormat="false" ht="12.75" hidden="false" customHeight="false" outlineLevel="0" collapsed="false">
      <c r="A21" s="175" t="n">
        <v>4267</v>
      </c>
      <c r="B21" s="232" t="n">
        <f aca="false">D21/10*5.5</f>
        <v>6.875</v>
      </c>
      <c r="C21" s="176" t="n">
        <f aca="false">D21/10*7</f>
        <v>8.75</v>
      </c>
      <c r="D21" s="176" t="n">
        <v>12.5</v>
      </c>
      <c r="E21" s="176" t="n">
        <f aca="false">D21/10*15</f>
        <v>18.75</v>
      </c>
      <c r="F21" s="176" t="n">
        <f aca="false">E21/10*20</f>
        <v>37.5</v>
      </c>
      <c r="G21" s="225" t="s">
        <v>240</v>
      </c>
    </row>
    <row r="22" customFormat="false" ht="12.75" hidden="false" customHeight="false" outlineLevel="0" collapsed="false">
      <c r="A22" s="175" t="n">
        <v>4367</v>
      </c>
      <c r="B22" s="232" t="n">
        <f aca="false">D22/10*5.5</f>
        <v>10.12</v>
      </c>
      <c r="C22" s="176" t="n">
        <f aca="false">D22/10*7</f>
        <v>12.88</v>
      </c>
      <c r="D22" s="176" t="n">
        <v>18.4</v>
      </c>
      <c r="E22" s="176" t="n">
        <f aca="false">D22/10*15</f>
        <v>27.6</v>
      </c>
      <c r="F22" s="176" t="n">
        <f aca="false">E22/10*20</f>
        <v>55.2</v>
      </c>
      <c r="G22" s="225" t="s">
        <v>240</v>
      </c>
      <c r="H22" s="225" t="s">
        <v>247</v>
      </c>
      <c r="I22" s="226" t="s">
        <v>236</v>
      </c>
      <c r="J22" s="226" t="s">
        <v>232</v>
      </c>
      <c r="K22" s="226" t="s">
        <v>248</v>
      </c>
      <c r="L22" s="226" t="s">
        <v>237</v>
      </c>
      <c r="M22" s="226" t="s">
        <v>238</v>
      </c>
    </row>
    <row r="23" customFormat="false" ht="12.75" hidden="false" customHeight="false" outlineLevel="0" collapsed="false">
      <c r="A23" s="175" t="n">
        <v>4467</v>
      </c>
      <c r="B23" s="232" t="n">
        <f aca="false">D23/10*5.5</f>
        <v>13.53</v>
      </c>
      <c r="C23" s="176" t="n">
        <f aca="false">D23/10*7</f>
        <v>17.22</v>
      </c>
      <c r="D23" s="176" t="n">
        <v>24.6</v>
      </c>
      <c r="E23" s="176" t="n">
        <f aca="false">D23/10*15</f>
        <v>36.9</v>
      </c>
      <c r="F23" s="176" t="n">
        <f aca="false">E23/10*20</f>
        <v>73.8</v>
      </c>
      <c r="G23" s="225" t="s">
        <v>240</v>
      </c>
    </row>
    <row r="24" customFormat="false" ht="12.75" hidden="false" customHeight="false" outlineLevel="0" collapsed="false">
      <c r="A24" s="233"/>
      <c r="B24" s="234"/>
      <c r="C24" s="235"/>
      <c r="D24" s="235"/>
      <c r="E24" s="235"/>
      <c r="F24" s="235"/>
      <c r="G24" s="229"/>
      <c r="H24" s="175" t="n">
        <v>70</v>
      </c>
      <c r="I24" s="176" t="n">
        <f aca="false">K24/10*7</f>
        <v>0.595</v>
      </c>
      <c r="J24" s="176" t="n">
        <f aca="false">K24/10*8</f>
        <v>0.68</v>
      </c>
      <c r="K24" s="176" t="n">
        <v>0.85</v>
      </c>
      <c r="L24" s="176" t="n">
        <f aca="false">K24/10*15</f>
        <v>1.275</v>
      </c>
      <c r="M24" s="176" t="n">
        <f aca="false">K24/10*20</f>
        <v>1.7</v>
      </c>
      <c r="N24" s="225" t="s">
        <v>240</v>
      </c>
    </row>
    <row r="25" customFormat="false" ht="12.75" hidden="false" customHeight="false" outlineLevel="0" collapsed="false">
      <c r="A25" s="175" t="n">
        <v>5167</v>
      </c>
      <c r="B25" s="232" t="n">
        <f aca="false">D25/10*5.5</f>
        <v>6.05</v>
      </c>
      <c r="C25" s="176" t="n">
        <f aca="false">D25/10*7</f>
        <v>7.7</v>
      </c>
      <c r="D25" s="176" t="n">
        <v>11</v>
      </c>
      <c r="E25" s="176" t="n">
        <f aca="false">D25/10*15</f>
        <v>16.5</v>
      </c>
      <c r="F25" s="176" t="n">
        <f aca="false">E25/10*20</f>
        <v>33</v>
      </c>
      <c r="G25" s="225" t="s">
        <v>240</v>
      </c>
      <c r="H25" s="175" t="n">
        <v>105</v>
      </c>
      <c r="I25" s="176" t="n">
        <f aca="false">K25/10*7</f>
        <v>0.938</v>
      </c>
      <c r="J25" s="176" t="n">
        <f aca="false">K25/10*8</f>
        <v>1.072</v>
      </c>
      <c r="K25" s="176" t="n">
        <v>1.34</v>
      </c>
      <c r="L25" s="176" t="n">
        <f aca="false">K25/10*15</f>
        <v>2.01</v>
      </c>
      <c r="M25" s="176" t="n">
        <f aca="false">K25/10*20</f>
        <v>2.68</v>
      </c>
      <c r="N25" s="225" t="s">
        <v>240</v>
      </c>
    </row>
    <row r="26" customFormat="false" ht="12.75" hidden="false" customHeight="false" outlineLevel="0" collapsed="false">
      <c r="A26" s="175" t="n">
        <v>5247</v>
      </c>
      <c r="B26" s="232" t="n">
        <f aca="false">D26/10*5.5</f>
        <v>9.295</v>
      </c>
      <c r="C26" s="176" t="n">
        <f aca="false">D26/10*7</f>
        <v>11.83</v>
      </c>
      <c r="D26" s="176" t="n">
        <v>16.9</v>
      </c>
      <c r="E26" s="176" t="n">
        <f aca="false">D26/10*15</f>
        <v>25.35</v>
      </c>
      <c r="F26" s="176" t="n">
        <f aca="false">E26/10*20</f>
        <v>50.7</v>
      </c>
      <c r="G26" s="225" t="s">
        <v>240</v>
      </c>
      <c r="H26" s="175" t="n">
        <v>145</v>
      </c>
      <c r="I26" s="176" t="n">
        <f aca="false">K26/10*7</f>
        <v>1.169</v>
      </c>
      <c r="J26" s="176" t="n">
        <f aca="false">K26/10*8</f>
        <v>1.336</v>
      </c>
      <c r="K26" s="176" t="n">
        <v>1.67</v>
      </c>
      <c r="L26" s="176" t="n">
        <f aca="false">K26/10*15</f>
        <v>2.505</v>
      </c>
      <c r="M26" s="176" t="n">
        <f aca="false">K26/10*20</f>
        <v>3.34</v>
      </c>
      <c r="N26" s="225" t="s">
        <v>240</v>
      </c>
    </row>
    <row r="27" customFormat="false" ht="12.75" hidden="false" customHeight="false" outlineLevel="0" collapsed="false">
      <c r="A27" s="175" t="n">
        <v>5267</v>
      </c>
      <c r="B27" s="232" t="n">
        <f aca="false">D27/10*5.5</f>
        <v>12.265</v>
      </c>
      <c r="C27" s="176" t="n">
        <f aca="false">D27/10*7</f>
        <v>15.61</v>
      </c>
      <c r="D27" s="176" t="n">
        <v>22.3</v>
      </c>
      <c r="E27" s="176" t="n">
        <f aca="false">D27/10*15</f>
        <v>33.45</v>
      </c>
      <c r="F27" s="176" t="n">
        <f aca="false">E27/10*20</f>
        <v>66.9</v>
      </c>
      <c r="G27" s="225" t="s">
        <v>240</v>
      </c>
      <c r="H27" s="175" t="n">
        <v>215</v>
      </c>
      <c r="I27" s="176" t="n">
        <f aca="false">K27/10*7</f>
        <v>1.799</v>
      </c>
      <c r="J27" s="176" t="n">
        <f aca="false">K27/10*8</f>
        <v>2.056</v>
      </c>
      <c r="K27" s="176" t="n">
        <v>2.57</v>
      </c>
      <c r="L27" s="176" t="n">
        <f aca="false">K27/10*15</f>
        <v>3.855</v>
      </c>
      <c r="M27" s="176" t="n">
        <f aca="false">K27/10*20</f>
        <v>5.14</v>
      </c>
      <c r="N27" s="225" t="s">
        <v>240</v>
      </c>
    </row>
    <row r="28" customFormat="false" ht="12.75" hidden="false" customHeight="false" outlineLevel="0" collapsed="false">
      <c r="A28" s="175" t="n">
        <v>5367</v>
      </c>
      <c r="B28" s="232" t="n">
        <f aca="false">D28/10*5.5</f>
        <v>18.59</v>
      </c>
      <c r="C28" s="176" t="n">
        <f aca="false">D28/10*7</f>
        <v>23.66</v>
      </c>
      <c r="D28" s="176" t="n">
        <v>33.8</v>
      </c>
      <c r="E28" s="176" t="n">
        <f aca="false">D28/10*15</f>
        <v>50.7</v>
      </c>
      <c r="F28" s="176" t="n">
        <f aca="false">E28/10*20</f>
        <v>101.4</v>
      </c>
      <c r="G28" s="225" t="s">
        <v>240</v>
      </c>
      <c r="H28" s="175" t="n">
        <v>290</v>
      </c>
      <c r="I28" s="176" t="n">
        <f aca="false">K28/10*7</f>
        <v>2.513</v>
      </c>
      <c r="J28" s="176" t="n">
        <f aca="false">K28/10*8</f>
        <v>2.872</v>
      </c>
      <c r="K28" s="176" t="n">
        <v>3.59</v>
      </c>
      <c r="L28" s="176" t="n">
        <f aca="false">K28/10*15</f>
        <v>5.385</v>
      </c>
      <c r="M28" s="176" t="n">
        <f aca="false">K28/10*20</f>
        <v>7.18</v>
      </c>
      <c r="N28" s="225" t="s">
        <v>240</v>
      </c>
    </row>
    <row r="29" customFormat="false" ht="12.75" hidden="false" customHeight="false" outlineLevel="0" collapsed="false">
      <c r="A29" s="175" t="n">
        <v>5467</v>
      </c>
      <c r="B29" s="232" t="n">
        <f aca="false">D29/10*5.5</f>
        <v>25.025</v>
      </c>
      <c r="C29" s="176" t="n">
        <f aca="false">D29/10*7</f>
        <v>31.85</v>
      </c>
      <c r="D29" s="176" t="n">
        <v>45.5</v>
      </c>
      <c r="E29" s="176" t="n">
        <f aca="false">D29/10*15</f>
        <v>68.25</v>
      </c>
      <c r="F29" s="176" t="n">
        <f aca="false">E29/10*20</f>
        <v>136.5</v>
      </c>
      <c r="G29" s="225" t="s">
        <v>240</v>
      </c>
      <c r="H29" s="175" t="n">
        <v>415</v>
      </c>
      <c r="I29" s="176" t="n">
        <f aca="false">K29/10*7</f>
        <v>3.864</v>
      </c>
      <c r="J29" s="176" t="n">
        <f aca="false">K29/10*8</f>
        <v>4.416</v>
      </c>
      <c r="K29" s="176" t="n">
        <v>5.52</v>
      </c>
      <c r="L29" s="176" t="n">
        <f aca="false">K29/10*15</f>
        <v>8.28</v>
      </c>
      <c r="M29" s="176" t="n">
        <f aca="false">K29/10*20</f>
        <v>11.04</v>
      </c>
      <c r="N29" s="225" t="s">
        <v>240</v>
      </c>
    </row>
    <row r="30" customFormat="false" ht="12.75" hidden="false" customHeight="false" outlineLevel="0" collapsed="false">
      <c r="A30" s="175" t="n">
        <v>5487</v>
      </c>
      <c r="B30" s="232" t="n">
        <f aca="false">D30/10*5.5</f>
        <v>28.875</v>
      </c>
      <c r="C30" s="176" t="n">
        <f aca="false">D30/10*7</f>
        <v>36.75</v>
      </c>
      <c r="D30" s="176" t="n">
        <v>52.5</v>
      </c>
      <c r="E30" s="176" t="n">
        <f aca="false">D30/10*15</f>
        <v>78.75</v>
      </c>
      <c r="F30" s="176" t="n">
        <f aca="false">E30/10*20</f>
        <v>157.5</v>
      </c>
      <c r="G30" s="225" t="s">
        <v>240</v>
      </c>
    </row>
    <row r="34" customFormat="false" ht="12.75" hidden="false" customHeight="false" outlineLevel="0" collapsed="false">
      <c r="A34" s="225" t="s">
        <v>249</v>
      </c>
    </row>
    <row r="36" customFormat="false" ht="12.75" hidden="false" customHeight="false" outlineLevel="0" collapsed="false">
      <c r="A36" s="225" t="s">
        <v>250</v>
      </c>
      <c r="G36" s="229" t="s">
        <v>251</v>
      </c>
    </row>
    <row r="37" customFormat="false" ht="15" hidden="false" customHeight="false" outlineLevel="0" collapsed="false">
      <c r="A37" s="227" t="s">
        <v>233</v>
      </c>
      <c r="B37" s="227"/>
      <c r="C37" s="228"/>
      <c r="D37" s="228"/>
      <c r="G37" s="228"/>
      <c r="H37" s="228"/>
      <c r="I37" s="228"/>
      <c r="J37" s="228"/>
      <c r="K37" s="228"/>
      <c r="L37" s="228"/>
    </row>
    <row r="39" customFormat="false" ht="12.75" hidden="false" customHeight="false" outlineLevel="0" collapsed="false">
      <c r="G39" s="225" t="s">
        <v>252</v>
      </c>
      <c r="H39" s="226" t="s">
        <v>235</v>
      </c>
      <c r="I39" s="226" t="s">
        <v>236</v>
      </c>
      <c r="J39" s="226" t="s">
        <v>232</v>
      </c>
      <c r="K39" s="226"/>
      <c r="L39" s="226"/>
    </row>
    <row r="40" customFormat="false" ht="12.75" hidden="false" customHeight="false" outlineLevel="0" collapsed="false">
      <c r="A40" s="230" t="s">
        <v>234</v>
      </c>
      <c r="B40" s="226" t="s">
        <v>235</v>
      </c>
      <c r="C40" s="226" t="s">
        <v>236</v>
      </c>
      <c r="D40" s="226"/>
      <c r="E40" s="226"/>
      <c r="F40" s="226"/>
      <c r="K40" s="229"/>
      <c r="L40" s="229"/>
    </row>
    <row r="41" customFormat="false" ht="12.75" hidden="false" customHeight="false" outlineLevel="0" collapsed="false">
      <c r="G41" s="175" t="n">
        <v>2256</v>
      </c>
      <c r="H41" s="176" t="n">
        <f aca="false">J41/10*5.5</f>
        <v>0.825</v>
      </c>
      <c r="I41" s="176" t="n">
        <f aca="false">J41/10*7</f>
        <v>1.05</v>
      </c>
      <c r="J41" s="176" t="n">
        <v>1.5</v>
      </c>
      <c r="K41" s="235" t="s">
        <v>240</v>
      </c>
      <c r="L41" s="235"/>
    </row>
    <row r="42" customFormat="false" ht="12.75" hidden="false" customHeight="false" outlineLevel="0" collapsed="false">
      <c r="A42" s="175" t="n">
        <v>3167</v>
      </c>
      <c r="B42" s="232" t="n">
        <f aca="false">C42/10*5.5</f>
        <v>0.88</v>
      </c>
      <c r="C42" s="176" t="n">
        <v>1.6</v>
      </c>
      <c r="D42" s="225" t="s">
        <v>240</v>
      </c>
      <c r="E42" s="229"/>
      <c r="F42" s="229"/>
      <c r="G42" s="175" t="n">
        <v>2356</v>
      </c>
      <c r="H42" s="176" t="n">
        <f aca="false">J42/10*5.5</f>
        <v>1.21</v>
      </c>
      <c r="I42" s="176" t="n">
        <f aca="false">J42/10*7</f>
        <v>1.54</v>
      </c>
      <c r="J42" s="176" t="n">
        <v>2.2</v>
      </c>
      <c r="K42" s="235" t="s">
        <v>240</v>
      </c>
      <c r="L42" s="235"/>
    </row>
    <row r="43" customFormat="false" ht="12.75" hidden="false" customHeight="false" outlineLevel="0" collapsed="false">
      <c r="A43" s="175" t="n">
        <v>3267</v>
      </c>
      <c r="B43" s="232" t="n">
        <f aca="false">C43/10*5.5</f>
        <v>1.76</v>
      </c>
      <c r="C43" s="176" t="n">
        <v>3.2</v>
      </c>
      <c r="D43" s="225" t="s">
        <v>240</v>
      </c>
      <c r="E43" s="229"/>
      <c r="F43" s="229"/>
    </row>
    <row r="44" customFormat="false" ht="12.75" hidden="false" customHeight="false" outlineLevel="0" collapsed="false">
      <c r="A44" s="175" t="n">
        <v>3367</v>
      </c>
      <c r="B44" s="232" t="n">
        <f aca="false">C44/10*5.5</f>
        <v>2.695</v>
      </c>
      <c r="C44" s="176" t="n">
        <v>4.9</v>
      </c>
      <c r="D44" s="225" t="s">
        <v>240</v>
      </c>
      <c r="E44" s="229"/>
      <c r="F44" s="229"/>
    </row>
    <row r="45" customFormat="false" ht="12.75" hidden="false" customHeight="false" outlineLevel="0" collapsed="false">
      <c r="A45" s="175" t="n">
        <v>3467</v>
      </c>
      <c r="B45" s="232" t="n">
        <f aca="false">C45/10*5.5</f>
        <v>3.685</v>
      </c>
      <c r="C45" s="176" t="n">
        <v>6.7</v>
      </c>
      <c r="D45" s="225" t="s">
        <v>240</v>
      </c>
      <c r="E45" s="229"/>
      <c r="F45" s="229"/>
    </row>
    <row r="46" customFormat="false" ht="12.75" hidden="false" customHeight="false" outlineLevel="0" collapsed="false">
      <c r="A46" s="175" t="n">
        <v>3567</v>
      </c>
      <c r="B46" s="232" t="n">
        <f aca="false">C46/10*5.5</f>
        <v>4.455</v>
      </c>
      <c r="C46" s="176" t="n">
        <v>8.1</v>
      </c>
      <c r="D46" s="225" t="s">
        <v>240</v>
      </c>
      <c r="E46" s="229"/>
      <c r="F46" s="229"/>
    </row>
    <row r="47" customFormat="false" ht="12.75" hidden="false" customHeight="false" outlineLevel="0" collapsed="false">
      <c r="A47" s="175" t="n">
        <v>3667</v>
      </c>
      <c r="B47" s="232" t="n">
        <f aca="false">C47/10*5.5</f>
        <v>5.225</v>
      </c>
      <c r="C47" s="176" t="n">
        <v>9.5</v>
      </c>
      <c r="D47" s="225" t="s">
        <v>240</v>
      </c>
      <c r="E47" s="229"/>
      <c r="F47" s="229"/>
    </row>
    <row r="48" customFormat="false" ht="12.75" hidden="false" customHeight="false" outlineLevel="0" collapsed="false">
      <c r="A48" s="233"/>
      <c r="B48" s="234"/>
      <c r="C48" s="235"/>
      <c r="E48" s="229"/>
      <c r="F48" s="229"/>
    </row>
    <row r="49" customFormat="false" ht="12.75" hidden="false" customHeight="false" outlineLevel="0" collapsed="false">
      <c r="A49" s="175" t="n">
        <v>4167</v>
      </c>
      <c r="B49" s="232" t="n">
        <f aca="false">C49/10*5.5</f>
        <v>2.255</v>
      </c>
      <c r="C49" s="176" t="n">
        <v>4.1</v>
      </c>
      <c r="D49" s="225" t="s">
        <v>240</v>
      </c>
      <c r="E49" s="229"/>
      <c r="F49" s="229"/>
    </row>
    <row r="50" customFormat="false" ht="12.75" hidden="false" customHeight="false" outlineLevel="0" collapsed="false">
      <c r="A50" s="175" t="n">
        <v>4247</v>
      </c>
      <c r="B50" s="232" t="n">
        <f aca="false">C50/10*5.5</f>
        <v>3.63</v>
      </c>
      <c r="C50" s="176" t="n">
        <v>6.6</v>
      </c>
      <c r="D50" s="225" t="s">
        <v>240</v>
      </c>
      <c r="E50" s="229"/>
      <c r="F50" s="229"/>
    </row>
    <row r="51" customFormat="false" ht="12.75" hidden="false" customHeight="false" outlineLevel="0" collapsed="false">
      <c r="A51" s="175" t="n">
        <v>4267</v>
      </c>
      <c r="B51" s="232" t="n">
        <f aca="false">C51/10*5.5</f>
        <v>4.73</v>
      </c>
      <c r="C51" s="176" t="n">
        <v>8.6</v>
      </c>
      <c r="D51" s="225" t="s">
        <v>240</v>
      </c>
      <c r="E51" s="229"/>
      <c r="F51" s="229"/>
    </row>
    <row r="52" customFormat="false" ht="12.75" hidden="false" customHeight="false" outlineLevel="0" collapsed="false">
      <c r="A52" s="175" t="n">
        <v>4367</v>
      </c>
      <c r="B52" s="232" t="n">
        <f aca="false">C52/10*5.5</f>
        <v>6.655</v>
      </c>
      <c r="C52" s="176" t="n">
        <v>12.1</v>
      </c>
      <c r="D52" s="225" t="s">
        <v>240</v>
      </c>
      <c r="E52" s="229"/>
      <c r="F52" s="229"/>
    </row>
    <row r="53" customFormat="false" ht="12.75" hidden="false" customHeight="false" outlineLevel="0" collapsed="false">
      <c r="A53" s="175" t="n">
        <v>4467</v>
      </c>
      <c r="B53" s="232" t="n">
        <f aca="false">C53/10*5.5</f>
        <v>9.02</v>
      </c>
      <c r="C53" s="176" t="n">
        <v>16.4</v>
      </c>
      <c r="D53" s="225" t="s">
        <v>240</v>
      </c>
      <c r="E53" s="229"/>
      <c r="F53" s="229"/>
    </row>
    <row r="54" customFormat="false" ht="12.75" hidden="false" customHeight="false" outlineLevel="0" collapsed="false">
      <c r="A54" s="233"/>
      <c r="B54" s="234"/>
      <c r="C54" s="235"/>
      <c r="D54" s="229"/>
      <c r="E54" s="229"/>
      <c r="F54" s="229"/>
      <c r="G54" s="229"/>
    </row>
    <row r="55" customFormat="false" ht="12.75" hidden="false" customHeight="false" outlineLevel="0" collapsed="false">
      <c r="A55" s="175" t="n">
        <v>5167</v>
      </c>
      <c r="B55" s="232" t="n">
        <f aca="false">C55/10*5.5</f>
        <v>4.345</v>
      </c>
      <c r="C55" s="176" t="n">
        <v>7.9</v>
      </c>
      <c r="D55" s="225" t="s">
        <v>240</v>
      </c>
      <c r="E55" s="229"/>
      <c r="F55" s="229"/>
    </row>
    <row r="56" customFormat="false" ht="12.75" hidden="false" customHeight="false" outlineLevel="0" collapsed="false">
      <c r="A56" s="175" t="n">
        <v>5247</v>
      </c>
      <c r="B56" s="232" t="n">
        <f aca="false">C56/10*5.5</f>
        <v>6.325</v>
      </c>
      <c r="C56" s="176" t="n">
        <v>11.5</v>
      </c>
      <c r="D56" s="225" t="s">
        <v>240</v>
      </c>
      <c r="E56" s="229"/>
      <c r="F56" s="229"/>
    </row>
    <row r="57" customFormat="false" ht="12.75" hidden="false" customHeight="false" outlineLevel="0" collapsed="false">
      <c r="A57" s="175" t="n">
        <v>5267</v>
      </c>
      <c r="B57" s="232" t="n">
        <f aca="false">C57/10*5.5</f>
        <v>8.415</v>
      </c>
      <c r="C57" s="176" t="n">
        <v>15.3</v>
      </c>
      <c r="D57" s="225" t="s">
        <v>240</v>
      </c>
      <c r="E57" s="229"/>
      <c r="F57" s="229"/>
    </row>
    <row r="58" customFormat="false" ht="12.75" hidden="false" customHeight="false" outlineLevel="0" collapsed="false">
      <c r="A58" s="175" t="n">
        <v>5367</v>
      </c>
      <c r="B58" s="232" t="n">
        <f aca="false">C58/10*5.5</f>
        <v>12.43</v>
      </c>
      <c r="C58" s="176" t="n">
        <v>22.6</v>
      </c>
      <c r="D58" s="225" t="s">
        <v>240</v>
      </c>
      <c r="E58" s="229"/>
      <c r="F58" s="229"/>
    </row>
    <row r="59" customFormat="false" ht="12.75" hidden="false" customHeight="false" outlineLevel="0" collapsed="false">
      <c r="A59" s="175" t="n">
        <v>5467</v>
      </c>
      <c r="B59" s="232" t="n">
        <f aca="false">C59/10*5.5</f>
        <v>16.995</v>
      </c>
      <c r="C59" s="176" t="n">
        <v>30.9</v>
      </c>
      <c r="D59" s="225" t="s">
        <v>240</v>
      </c>
      <c r="E59" s="229"/>
      <c r="F59" s="229"/>
      <c r="H59" s="233"/>
      <c r="I59" s="235"/>
      <c r="J59" s="235"/>
      <c r="K59" s="235"/>
      <c r="L59" s="235"/>
      <c r="M59" s="235"/>
    </row>
    <row r="60" customFormat="false" ht="12.75" hidden="false" customHeight="false" outlineLevel="0" collapsed="false">
      <c r="A60" s="175" t="n">
        <v>5487</v>
      </c>
      <c r="B60" s="232" t="n">
        <f aca="false">C60/10*5.5</f>
        <v>20.35</v>
      </c>
      <c r="C60" s="176" t="n">
        <v>37</v>
      </c>
      <c r="D60" s="225" t="s">
        <v>240</v>
      </c>
      <c r="E60" s="229"/>
      <c r="F60" s="229"/>
      <c r="H60" s="233"/>
      <c r="I60" s="235"/>
      <c r="J60" s="235"/>
      <c r="K60" s="235"/>
      <c r="L60" s="235"/>
      <c r="M60" s="235"/>
    </row>
    <row r="61" customFormat="false" ht="12.75" hidden="false" customHeight="false" outlineLevel="0" collapsed="false">
      <c r="H61" s="233"/>
      <c r="I61" s="235"/>
      <c r="J61" s="235"/>
      <c r="K61" s="235"/>
      <c r="L61" s="235"/>
      <c r="M61" s="235"/>
    </row>
  </sheetData>
  <mergeCells count="1">
    <mergeCell ref="A1:N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48"/>
  <sheetViews>
    <sheetView showFormulas="false" showGridLines="true" showRowColHeaders="true" showZeros="true" rightToLeft="false" tabSelected="false" showOutlineSymbols="true" defaultGridColor="true" view="normal" topLeftCell="A13" colorId="64" zoomScale="85" zoomScaleNormal="85" zoomScalePageLayoutView="100" workbookViewId="0">
      <selection pane="topLeft" activeCell="M1" activeCellId="0" sqref="M1"/>
    </sheetView>
  </sheetViews>
  <sheetFormatPr defaultRowHeight="14.65" zeroHeight="false" outlineLevelRow="0" outlineLevelCol="0"/>
  <cols>
    <col collapsed="false" customWidth="true" hidden="false" outlineLevel="0" max="1" min="1" style="236" width="16.53"/>
    <col collapsed="false" customWidth="true" hidden="false" outlineLevel="0" max="8" min="2" style="236" width="11.02"/>
    <col collapsed="false" customWidth="true" hidden="false" outlineLevel="0" max="9" min="9" style="237" width="11.02"/>
    <col collapsed="false" customWidth="true" hidden="false" outlineLevel="0" max="15" min="10" style="0" width="11.02"/>
    <col collapsed="false" customWidth="true" hidden="false" outlineLevel="0" max="16" min="16" style="0" width="13.74"/>
    <col collapsed="false" customWidth="true" hidden="false" outlineLevel="0" max="1025" min="17" style="0" width="11.02"/>
  </cols>
  <sheetData>
    <row r="1" customFormat="false" ht="14.65" hidden="false" customHeight="false" outlineLevel="0" collapsed="false">
      <c r="B1" s="236" t="n">
        <v>5.5</v>
      </c>
      <c r="C1" s="236" t="n">
        <v>7</v>
      </c>
      <c r="D1" s="236" t="n">
        <v>8</v>
      </c>
      <c r="E1" s="236" t="n">
        <v>10</v>
      </c>
      <c r="F1" s="236" t="n">
        <v>15</v>
      </c>
      <c r="G1" s="236" t="n">
        <v>20</v>
      </c>
      <c r="J1" s="238" t="n">
        <f aca="false">Modèle!F91</f>
        <v>2.31396428454829</v>
      </c>
      <c r="K1" s="0" t="str">
        <f aca="false">K2&amp;K3</f>
        <v>PD</v>
      </c>
      <c r="L1" s="0" t="str">
        <f aca="false">IF(OR(Feuil1!K1="NB",Feuil1!K1="NC",Feuil1!K1="PC"),Feuil1!B1,"")</f>
        <v/>
      </c>
      <c r="P1" s="0" t="s">
        <v>247</v>
      </c>
    </row>
    <row r="2" customFormat="false" ht="14.65" hidden="false" customHeight="false" outlineLevel="0" collapsed="false">
      <c r="A2" s="236" t="s">
        <v>253</v>
      </c>
      <c r="B2" s="236" t="n">
        <v>0.83</v>
      </c>
      <c r="C2" s="236" t="n">
        <v>1.05</v>
      </c>
      <c r="D2" s="236" t="n">
        <v>1.5</v>
      </c>
      <c r="E2" s="0" t="s">
        <v>254</v>
      </c>
      <c r="F2" s="0" t="s">
        <v>254</v>
      </c>
      <c r="G2" s="0" t="s">
        <v>254</v>
      </c>
      <c r="H2" s="175" t="n">
        <v>2256</v>
      </c>
      <c r="I2" s="239" t="str">
        <f aca="true">IF(AND(LEFT(A2,2)=$K$1,INDIRECT($K$4&amp;ROW())&gt;=$J$1),ROW(),"")</f>
        <v/>
      </c>
      <c r="J2" s="0" t="str">
        <f aca="false">Modèle!C11</f>
        <v>Positif</v>
      </c>
      <c r="K2" s="0" t="str">
        <f aca="false">IF(J2="Positif","P","N")</f>
        <v>P</v>
      </c>
      <c r="L2" s="0" t="n">
        <f aca="false">IF(OR(Feuil1!K1="NB",Feuil1!K1="NC",Feuil1!K1="PB",Feuil1!K1="PC",Feuil1!K1="PD"),Feuil1!C1)</f>
        <v>7</v>
      </c>
      <c r="P2" s="0" t="s">
        <v>255</v>
      </c>
    </row>
    <row r="3" customFormat="false" ht="14.65" hidden="false" customHeight="false" outlineLevel="0" collapsed="false">
      <c r="A3" s="236" t="s">
        <v>256</v>
      </c>
      <c r="B3" s="236" t="n">
        <v>1.21</v>
      </c>
      <c r="C3" s="236" t="n">
        <v>1.54</v>
      </c>
      <c r="D3" s="236" t="n">
        <v>2.2</v>
      </c>
      <c r="E3" s="0" t="s">
        <v>254</v>
      </c>
      <c r="F3" s="0" t="s">
        <v>254</v>
      </c>
      <c r="G3" s="0" t="s">
        <v>254</v>
      </c>
      <c r="H3" s="175" t="n">
        <v>2356</v>
      </c>
      <c r="I3" s="239" t="str">
        <f aca="true">IF(AND(LEFT(A3,2)=$K$1,INDIRECT($K$4&amp;ROW())&gt;=$J$1),ROW(),"")</f>
        <v/>
      </c>
      <c r="J3" s="0" t="str">
        <f aca="false">Modèle!D11</f>
        <v>Double flux DF</v>
      </c>
      <c r="K3" s="0" t="str">
        <f aca="false">IF(J3=P1,"B",IF(J3=P2,"C",IF(J3=P3,"D","")))</f>
        <v>D</v>
      </c>
      <c r="L3" s="240" t="n">
        <f aca="false">IF(OR(Feuil1!K1="NB",Feuil1!K1="PB",Feuil1!K1="PC",Feuil1!K1="PD"),Feuil1!D1,"")</f>
        <v>8</v>
      </c>
      <c r="P3" s="0" t="s">
        <v>26</v>
      </c>
    </row>
    <row r="4" customFormat="false" ht="14.65" hidden="false" customHeight="false" outlineLevel="0" collapsed="false">
      <c r="A4" s="236" t="s">
        <v>257</v>
      </c>
      <c r="B4" s="236" t="n">
        <v>0.88</v>
      </c>
      <c r="C4" s="236" t="n">
        <v>1.6</v>
      </c>
      <c r="D4" s="0" t="s">
        <v>254</v>
      </c>
      <c r="E4" s="0" t="s">
        <v>254</v>
      </c>
      <c r="F4" s="0" t="s">
        <v>254</v>
      </c>
      <c r="G4" s="0" t="s">
        <v>254</v>
      </c>
      <c r="H4" s="175" t="n">
        <v>3167</v>
      </c>
      <c r="I4" s="239" t="str">
        <f aca="true">IF(AND(LEFT(A4,2)=$K$1,INDIRECT($K$4&amp;ROW())&gt;=$J$1),ROW(),"")</f>
        <v/>
      </c>
      <c r="J4" s="241" t="n">
        <f aca="false">Modèle!F11</f>
        <v>20</v>
      </c>
      <c r="K4" s="0" t="str">
        <f aca="false">IF(J4=20,"G",IF(J4=15,"F",IF(J4=10,"E",IF(J4=8,"D",IF(J4=7,"C",IF(J4=5.5,"B",""))))))</f>
        <v>G</v>
      </c>
      <c r="L4" s="240" t="str">
        <f aca="false">IF(Feuil1!K1="PB",Feuil1!E1,"")</f>
        <v/>
      </c>
    </row>
    <row r="5" customFormat="false" ht="14.65" hidden="false" customHeight="false" outlineLevel="0" collapsed="false">
      <c r="A5" s="236" t="s">
        <v>258</v>
      </c>
      <c r="B5" s="236" t="n">
        <v>1.76</v>
      </c>
      <c r="C5" s="236" t="n">
        <v>3.2</v>
      </c>
      <c r="D5" s="0" t="s">
        <v>254</v>
      </c>
      <c r="E5" s="0" t="s">
        <v>254</v>
      </c>
      <c r="F5" s="0" t="s">
        <v>254</v>
      </c>
      <c r="G5" s="0" t="s">
        <v>254</v>
      </c>
      <c r="H5" s="175" t="n">
        <v>3267</v>
      </c>
      <c r="I5" s="239" t="str">
        <f aca="true">IF(AND(LEFT(A5,2)=$K$1,INDIRECT($K$4&amp;ROW())&gt;=$J$1),ROW(),"")</f>
        <v/>
      </c>
      <c r="K5" s="0" t="str">
        <f aca="false">CONCATENATE(K4,MIN(I2:I47))</f>
        <v>G44</v>
      </c>
      <c r="L5" s="240" t="n">
        <f aca="false">IF(OR(Feuil1!K1="PB",Feuil1!K1="PC",Feuil1!K1="PD"),Feuil1!F1,"")</f>
        <v>15</v>
      </c>
    </row>
    <row r="6" customFormat="false" ht="14.65" hidden="false" customHeight="false" outlineLevel="0" collapsed="false">
      <c r="A6" s="236" t="s">
        <v>259</v>
      </c>
      <c r="B6" s="236" t="n">
        <v>2.7</v>
      </c>
      <c r="C6" s="236" t="n">
        <v>4.9</v>
      </c>
      <c r="D6" s="0" t="s">
        <v>254</v>
      </c>
      <c r="E6" s="0" t="s">
        <v>254</v>
      </c>
      <c r="F6" s="0" t="s">
        <v>254</v>
      </c>
      <c r="G6" s="0" t="s">
        <v>254</v>
      </c>
      <c r="H6" s="175" t="n">
        <v>3367</v>
      </c>
      <c r="I6" s="239" t="str">
        <f aca="true">IF(AND(LEFT(A6,2)=$K$1,INDIRECT($K$4&amp;ROW())&gt;=$J$1),ROW(),"")</f>
        <v/>
      </c>
      <c r="K6" s="0" t="str">
        <f aca="false">CONCATENATE(K4,MAX(I2:I47))</f>
        <v>G47</v>
      </c>
      <c r="L6" s="240" t="n">
        <f aca="false">IF(OR(Feuil1!K1="PB",Feuil1!K1="PC",Feuil1!K1="PD"),Feuil1!G1,"")</f>
        <v>20</v>
      </c>
    </row>
    <row r="7" customFormat="false" ht="14.65" hidden="false" customHeight="false" outlineLevel="0" collapsed="false">
      <c r="A7" s="236" t="s">
        <v>260</v>
      </c>
      <c r="B7" s="236" t="n">
        <v>3.69</v>
      </c>
      <c r="C7" s="236" t="n">
        <v>6.7</v>
      </c>
      <c r="D7" s="0" t="s">
        <v>254</v>
      </c>
      <c r="E7" s="0" t="s">
        <v>254</v>
      </c>
      <c r="F7" s="0" t="s">
        <v>254</v>
      </c>
      <c r="G7" s="0" t="s">
        <v>254</v>
      </c>
      <c r="H7" s="175" t="n">
        <v>3467</v>
      </c>
      <c r="I7" s="239" t="str">
        <f aca="true">IF(AND(LEFT(A7,2)=$K$1,INDIRECT($K$4&amp;ROW())&gt;=$J$1),ROW(),"")</f>
        <v/>
      </c>
      <c r="J7" s="0" t="str">
        <f aca="true">INDIRECT("Feuil1.H"&amp;MIN(Feuil1!I2:I47))</f>
        <v>DFC 14</v>
      </c>
      <c r="K7" s="0" t="str">
        <f aca="false">CONCATENATE(K4,MIN(I2:I47),":",K4,MAX(I2:I47))</f>
        <v>G44:G47</v>
      </c>
    </row>
    <row r="8" customFormat="false" ht="14.65" hidden="false" customHeight="false" outlineLevel="0" collapsed="false">
      <c r="A8" s="236" t="s">
        <v>261</v>
      </c>
      <c r="B8" s="236" t="n">
        <v>4.46</v>
      </c>
      <c r="C8" s="236" t="n">
        <v>8.1</v>
      </c>
      <c r="D8" s="0" t="s">
        <v>254</v>
      </c>
      <c r="E8" s="0" t="s">
        <v>254</v>
      </c>
      <c r="F8" s="0" t="s">
        <v>254</v>
      </c>
      <c r="G8" s="0" t="s">
        <v>254</v>
      </c>
      <c r="H8" s="175" t="n">
        <v>3567</v>
      </c>
      <c r="I8" s="239" t="str">
        <f aca="true">IF(AND(LEFT(A8,2)=$K$1,INDIRECT($K$4&amp;ROW())&gt;=$J$1),ROW(),"")</f>
        <v/>
      </c>
      <c r="J8" s="0" t="n">
        <f aca="true">INDIRECT("Feuil1."&amp;Feuil1!K4&amp;MIN(Feuil1!I2:I47))</f>
        <v>3.48</v>
      </c>
    </row>
    <row r="9" customFormat="false" ht="14.65" hidden="false" customHeight="false" outlineLevel="0" collapsed="false">
      <c r="A9" s="236" t="s">
        <v>262</v>
      </c>
      <c r="B9" s="236" t="n">
        <v>5.23</v>
      </c>
      <c r="C9" s="236" t="n">
        <v>9.5</v>
      </c>
      <c r="D9" s="0" t="s">
        <v>254</v>
      </c>
      <c r="E9" s="0" t="s">
        <v>254</v>
      </c>
      <c r="F9" s="0" t="s">
        <v>254</v>
      </c>
      <c r="G9" s="0" t="s">
        <v>254</v>
      </c>
      <c r="H9" s="175" t="n">
        <v>3667</v>
      </c>
      <c r="I9" s="239" t="str">
        <f aca="true">IF(AND(LEFT(A9,2)=$K$1,INDIRECT($K$4&amp;ROW())&gt;=$J$1),ROW(),"")</f>
        <v/>
      </c>
    </row>
    <row r="10" customFormat="false" ht="14.65" hidden="false" customHeight="false" outlineLevel="0" collapsed="false">
      <c r="A10" s="236" t="s">
        <v>263</v>
      </c>
      <c r="B10" s="236" t="n">
        <v>2.26</v>
      </c>
      <c r="C10" s="236" t="n">
        <v>4.1</v>
      </c>
      <c r="D10" s="0" t="s">
        <v>254</v>
      </c>
      <c r="E10" s="0" t="s">
        <v>254</v>
      </c>
      <c r="F10" s="0" t="s">
        <v>254</v>
      </c>
      <c r="G10" s="0" t="s">
        <v>254</v>
      </c>
      <c r="H10" s="175" t="n">
        <v>4167</v>
      </c>
      <c r="I10" s="239" t="str">
        <f aca="true">IF(AND(LEFT(A10,2)=$K$1,INDIRECT($K$4&amp;ROW())&gt;=$J$1),ROW(),"")</f>
        <v/>
      </c>
    </row>
    <row r="11" customFormat="false" ht="14.65" hidden="false" customHeight="false" outlineLevel="0" collapsed="false">
      <c r="A11" s="236" t="s">
        <v>264</v>
      </c>
      <c r="B11" s="236" t="n">
        <v>3.63</v>
      </c>
      <c r="C11" s="236" t="n">
        <v>6.6</v>
      </c>
      <c r="D11" s="0" t="s">
        <v>254</v>
      </c>
      <c r="E11" s="0" t="s">
        <v>254</v>
      </c>
      <c r="F11" s="0" t="s">
        <v>254</v>
      </c>
      <c r="G11" s="0" t="s">
        <v>254</v>
      </c>
      <c r="H11" s="175" t="n">
        <v>4247</v>
      </c>
      <c r="I11" s="239" t="str">
        <f aca="true">IF(AND(LEFT(A11,2)=$K$1,INDIRECT($K$4&amp;ROW())&gt;=$J$1),ROW(),"")</f>
        <v/>
      </c>
    </row>
    <row r="12" customFormat="false" ht="14.65" hidden="false" customHeight="false" outlineLevel="0" collapsed="false">
      <c r="A12" s="236" t="s">
        <v>265</v>
      </c>
      <c r="B12" s="236" t="n">
        <v>4.73</v>
      </c>
      <c r="C12" s="236" t="n">
        <v>8.6</v>
      </c>
      <c r="D12" s="0" t="s">
        <v>254</v>
      </c>
      <c r="E12" s="0" t="s">
        <v>254</v>
      </c>
      <c r="F12" s="0" t="s">
        <v>254</v>
      </c>
      <c r="G12" s="0" t="s">
        <v>254</v>
      </c>
      <c r="H12" s="175" t="n">
        <v>4267</v>
      </c>
      <c r="I12" s="239" t="str">
        <f aca="true">IF(AND(LEFT(A12,2)=$K$1,INDIRECT($K$4&amp;ROW())&gt;=$J$1),ROW(),"")</f>
        <v/>
      </c>
    </row>
    <row r="13" customFormat="false" ht="14.65" hidden="false" customHeight="false" outlineLevel="0" collapsed="false">
      <c r="A13" s="236" t="s">
        <v>266</v>
      </c>
      <c r="B13" s="236" t="n">
        <v>6.66</v>
      </c>
      <c r="C13" s="236" t="n">
        <v>12.1</v>
      </c>
      <c r="D13" s="0" t="s">
        <v>254</v>
      </c>
      <c r="E13" s="0" t="s">
        <v>254</v>
      </c>
      <c r="F13" s="0" t="s">
        <v>254</v>
      </c>
      <c r="G13" s="0" t="s">
        <v>254</v>
      </c>
      <c r="H13" s="175" t="n">
        <v>4367</v>
      </c>
      <c r="I13" s="239" t="str">
        <f aca="true">IF(AND(LEFT(A13,2)=$K$1,INDIRECT($K$4&amp;ROW())&gt;=$J$1),ROW(),"")</f>
        <v/>
      </c>
    </row>
    <row r="14" customFormat="false" ht="14.65" hidden="false" customHeight="false" outlineLevel="0" collapsed="false">
      <c r="A14" s="236" t="s">
        <v>267</v>
      </c>
      <c r="B14" s="236" t="n">
        <v>9.02</v>
      </c>
      <c r="C14" s="236" t="n">
        <v>16.4</v>
      </c>
      <c r="D14" s="0" t="s">
        <v>254</v>
      </c>
      <c r="E14" s="0" t="s">
        <v>254</v>
      </c>
      <c r="F14" s="0" t="s">
        <v>254</v>
      </c>
      <c r="G14" s="0" t="s">
        <v>254</v>
      </c>
      <c r="H14" s="175" t="n">
        <v>4467</v>
      </c>
      <c r="I14" s="239" t="str">
        <f aca="true">IF(AND(LEFT(A14,2)=$K$1,INDIRECT($K$4&amp;ROW())&gt;=$J$1),ROW(),"")</f>
        <v/>
      </c>
    </row>
    <row r="15" customFormat="false" ht="14.65" hidden="false" customHeight="false" outlineLevel="0" collapsed="false">
      <c r="A15" s="236" t="s">
        <v>268</v>
      </c>
      <c r="B15" s="236" t="n">
        <v>4.35</v>
      </c>
      <c r="C15" s="236" t="n">
        <v>7.9</v>
      </c>
      <c r="D15" s="0" t="s">
        <v>254</v>
      </c>
      <c r="E15" s="0" t="s">
        <v>254</v>
      </c>
      <c r="F15" s="0" t="s">
        <v>254</v>
      </c>
      <c r="G15" s="0" t="s">
        <v>254</v>
      </c>
      <c r="H15" s="175" t="n">
        <v>5167</v>
      </c>
      <c r="I15" s="239" t="str">
        <f aca="true">IF(AND(LEFT(A15,2)=$K$1,INDIRECT($K$4&amp;ROW())&gt;=$J$1),ROW(),"")</f>
        <v/>
      </c>
    </row>
    <row r="16" customFormat="false" ht="14.65" hidden="false" customHeight="false" outlineLevel="0" collapsed="false">
      <c r="A16" s="236" t="s">
        <v>269</v>
      </c>
      <c r="B16" s="236" t="n">
        <v>6.33</v>
      </c>
      <c r="C16" s="236" t="n">
        <v>11.5</v>
      </c>
      <c r="D16" s="0" t="s">
        <v>254</v>
      </c>
      <c r="E16" s="0" t="s">
        <v>254</v>
      </c>
      <c r="F16" s="0" t="s">
        <v>254</v>
      </c>
      <c r="G16" s="0" t="s">
        <v>254</v>
      </c>
      <c r="H16" s="175" t="n">
        <v>5247</v>
      </c>
      <c r="I16" s="239" t="str">
        <f aca="true">IF(AND(LEFT(A16,2)=$K$1,INDIRECT($K$4&amp;ROW())&gt;=$J$1),ROW(),"")</f>
        <v/>
      </c>
    </row>
    <row r="17" customFormat="false" ht="14.65" hidden="false" customHeight="false" outlineLevel="0" collapsed="false">
      <c r="A17" s="236" t="s">
        <v>270</v>
      </c>
      <c r="B17" s="236" t="n">
        <v>8.42</v>
      </c>
      <c r="C17" s="236" t="n">
        <v>15.3</v>
      </c>
      <c r="D17" s="0" t="s">
        <v>254</v>
      </c>
      <c r="E17" s="0" t="s">
        <v>254</v>
      </c>
      <c r="F17" s="0" t="s">
        <v>254</v>
      </c>
      <c r="G17" s="0" t="s">
        <v>254</v>
      </c>
      <c r="H17" s="175" t="n">
        <v>5267</v>
      </c>
      <c r="I17" s="239" t="str">
        <f aca="true">IF(AND(LEFT(A17,2)=$K$1,INDIRECT($K$4&amp;ROW())&gt;=$J$1),ROW(),"")</f>
        <v/>
      </c>
    </row>
    <row r="18" customFormat="false" ht="14.65" hidden="false" customHeight="false" outlineLevel="0" collapsed="false">
      <c r="A18" s="236" t="s">
        <v>271</v>
      </c>
      <c r="B18" s="236" t="n">
        <v>12.43</v>
      </c>
      <c r="C18" s="236" t="n">
        <v>22.6</v>
      </c>
      <c r="D18" s="0" t="s">
        <v>254</v>
      </c>
      <c r="E18" s="0" t="s">
        <v>254</v>
      </c>
      <c r="F18" s="0" t="s">
        <v>254</v>
      </c>
      <c r="G18" s="0" t="s">
        <v>254</v>
      </c>
      <c r="H18" s="175" t="n">
        <v>5367</v>
      </c>
      <c r="I18" s="239" t="str">
        <f aca="true">IF(AND(LEFT(A18,2)=$K$1,INDIRECT($K$4&amp;ROW())&gt;=$J$1),ROW(),"")</f>
        <v/>
      </c>
    </row>
    <row r="19" customFormat="false" ht="14.65" hidden="false" customHeight="false" outlineLevel="0" collapsed="false">
      <c r="A19" s="236" t="s">
        <v>272</v>
      </c>
      <c r="B19" s="236" t="n">
        <v>17</v>
      </c>
      <c r="C19" s="236" t="n">
        <v>30.9</v>
      </c>
      <c r="D19" s="0" t="s">
        <v>254</v>
      </c>
      <c r="E19" s="0" t="s">
        <v>254</v>
      </c>
      <c r="F19" s="0" t="s">
        <v>254</v>
      </c>
      <c r="G19" s="0" t="s">
        <v>254</v>
      </c>
      <c r="H19" s="175" t="n">
        <v>5467</v>
      </c>
      <c r="I19" s="239" t="str">
        <f aca="true">IF(AND(LEFT(A19,2)=$K$1,INDIRECT($K$4&amp;ROW())&gt;=$J$1),ROW(),"")</f>
        <v/>
      </c>
    </row>
    <row r="20" customFormat="false" ht="14.65" hidden="false" customHeight="false" outlineLevel="0" collapsed="false">
      <c r="A20" s="236" t="s">
        <v>273</v>
      </c>
      <c r="B20" s="236" t="n">
        <v>20.35</v>
      </c>
      <c r="C20" s="236" t="n">
        <v>37</v>
      </c>
      <c r="D20" s="0" t="s">
        <v>254</v>
      </c>
      <c r="E20" s="0" t="s">
        <v>254</v>
      </c>
      <c r="F20" s="0" t="s">
        <v>254</v>
      </c>
      <c r="G20" s="0" t="s">
        <v>254</v>
      </c>
      <c r="H20" s="175" t="n">
        <v>5487</v>
      </c>
      <c r="I20" s="239" t="str">
        <f aca="true">IF(AND(LEFT(A20,2)=$K$1,INDIRECT($K$4&amp;ROW())&gt;=$J$1),ROW(),"")</f>
        <v/>
      </c>
    </row>
    <row r="21" customFormat="false" ht="14.65" hidden="false" customHeight="false" outlineLevel="0" collapsed="false">
      <c r="A21" s="236" t="s">
        <v>274</v>
      </c>
      <c r="B21" s="236" t="s">
        <v>275</v>
      </c>
      <c r="C21" s="236" t="n">
        <v>0.94</v>
      </c>
      <c r="D21" s="236" t="n">
        <v>1.07</v>
      </c>
      <c r="E21" s="236" t="n">
        <v>1.34</v>
      </c>
      <c r="F21" s="236" t="n">
        <v>2.01</v>
      </c>
      <c r="G21" s="236" t="n">
        <v>2.68</v>
      </c>
      <c r="H21" s="175" t="n">
        <v>105</v>
      </c>
      <c r="I21" s="239" t="str">
        <f aca="true">IF(AND(LEFT(A21,2)=$K$1,INDIRECT($K$4&amp;ROW())&gt;=$J$1),ROW(),"")</f>
        <v/>
      </c>
    </row>
    <row r="22" customFormat="false" ht="14.65" hidden="false" customHeight="false" outlineLevel="0" collapsed="false">
      <c r="A22" s="236" t="s">
        <v>276</v>
      </c>
      <c r="B22" s="236" t="s">
        <v>275</v>
      </c>
      <c r="C22" s="236" t="n">
        <v>1.17</v>
      </c>
      <c r="D22" s="236" t="n">
        <v>1.34</v>
      </c>
      <c r="E22" s="236" t="n">
        <v>1.67</v>
      </c>
      <c r="F22" s="236" t="n">
        <v>2.51</v>
      </c>
      <c r="G22" s="236" t="n">
        <v>3.34</v>
      </c>
      <c r="H22" s="175" t="n">
        <v>145</v>
      </c>
      <c r="I22" s="239" t="str">
        <f aca="true">IF(AND(LEFT(A22,2)=$K$1,INDIRECT($K$4&amp;ROW())&gt;=$J$1),ROW(),"")</f>
        <v/>
      </c>
    </row>
    <row r="23" customFormat="false" ht="14.65" hidden="false" customHeight="false" outlineLevel="0" collapsed="false">
      <c r="A23" s="236" t="s">
        <v>277</v>
      </c>
      <c r="B23" s="236" t="s">
        <v>275</v>
      </c>
      <c r="C23" s="236" t="n">
        <v>1.8</v>
      </c>
      <c r="D23" s="236" t="n">
        <v>2.06</v>
      </c>
      <c r="E23" s="236" t="n">
        <v>2.57</v>
      </c>
      <c r="F23" s="236" t="n">
        <v>3.86</v>
      </c>
      <c r="G23" s="236" t="n">
        <v>5.14</v>
      </c>
      <c r="H23" s="175" t="n">
        <v>215</v>
      </c>
      <c r="I23" s="239" t="str">
        <f aca="true">IF(AND(LEFT(A23,2)=$K$1,INDIRECT($K$4&amp;ROW())&gt;=$J$1),ROW(),"")</f>
        <v/>
      </c>
    </row>
    <row r="24" customFormat="false" ht="14.65" hidden="false" customHeight="false" outlineLevel="0" collapsed="false">
      <c r="A24" s="236" t="s">
        <v>278</v>
      </c>
      <c r="B24" s="236" t="s">
        <v>275</v>
      </c>
      <c r="C24" s="236" t="n">
        <v>2.51</v>
      </c>
      <c r="D24" s="236" t="n">
        <v>2.87</v>
      </c>
      <c r="E24" s="236" t="n">
        <v>3.59</v>
      </c>
      <c r="F24" s="236" t="n">
        <v>5.39</v>
      </c>
      <c r="G24" s="236" t="n">
        <v>7.18</v>
      </c>
      <c r="H24" s="175" t="n">
        <v>290</v>
      </c>
      <c r="I24" s="239" t="str">
        <f aca="true">IF(AND(LEFT(A24,2)=$K$1,INDIRECT($K$4&amp;ROW())&gt;=$J$1),ROW(),"")</f>
        <v/>
      </c>
      <c r="L24" s="233"/>
    </row>
    <row r="25" customFormat="false" ht="14.65" hidden="false" customHeight="false" outlineLevel="0" collapsed="false">
      <c r="A25" s="236" t="s">
        <v>279</v>
      </c>
      <c r="B25" s="236" t="s">
        <v>275</v>
      </c>
      <c r="C25" s="236" t="n">
        <v>3.86</v>
      </c>
      <c r="D25" s="236" t="n">
        <v>4.42</v>
      </c>
      <c r="E25" s="236" t="n">
        <v>5.52</v>
      </c>
      <c r="F25" s="236" t="n">
        <v>8.28</v>
      </c>
      <c r="G25" s="236" t="n">
        <v>11.04</v>
      </c>
      <c r="H25" s="175" t="n">
        <v>415</v>
      </c>
      <c r="I25" s="239" t="str">
        <f aca="true">IF(AND(LEFT(A25,2)=$K$1,INDIRECT($K$4&amp;ROW())&gt;=$J$1),ROW(),"")</f>
        <v/>
      </c>
      <c r="L25" s="233"/>
    </row>
    <row r="26" customFormat="false" ht="14.65" hidden="false" customHeight="false" outlineLevel="0" collapsed="false">
      <c r="A26" s="236" t="s">
        <v>280</v>
      </c>
      <c r="B26" s="236" t="s">
        <v>275</v>
      </c>
      <c r="C26" s="236" t="n">
        <v>0.6</v>
      </c>
      <c r="D26" s="236" t="n">
        <v>0.68</v>
      </c>
      <c r="E26" s="236" t="n">
        <v>0.85</v>
      </c>
      <c r="F26" s="236" t="n">
        <v>1.28</v>
      </c>
      <c r="G26" s="236" t="n">
        <v>1.7</v>
      </c>
      <c r="H26" s="175" t="n">
        <v>70</v>
      </c>
      <c r="I26" s="239" t="str">
        <f aca="true">IF(AND(LEFT(A26,2)=$K$1,INDIRECT($K$4&amp;ROW())&gt;=$J$1),ROW(),"")</f>
        <v/>
      </c>
    </row>
    <row r="27" customFormat="false" ht="14.65" hidden="false" customHeight="false" outlineLevel="0" collapsed="false">
      <c r="A27" s="236" t="s">
        <v>281</v>
      </c>
      <c r="B27" s="236" t="n">
        <v>1.16</v>
      </c>
      <c r="C27" s="236" t="n">
        <v>1.47</v>
      </c>
      <c r="D27" s="236" t="n">
        <v>2.1</v>
      </c>
      <c r="E27" s="236" t="s">
        <v>282</v>
      </c>
      <c r="F27" s="236" t="n">
        <v>3.15</v>
      </c>
      <c r="G27" s="236" t="n">
        <v>6.3</v>
      </c>
      <c r="H27" s="175" t="n">
        <v>3167</v>
      </c>
      <c r="I27" s="239" t="str">
        <f aca="true">IF(AND(LEFT(A27,2)=$K$1,INDIRECT($K$4&amp;ROW())&gt;=$J$1),ROW(),"")</f>
        <v/>
      </c>
    </row>
    <row r="28" customFormat="false" ht="14.65" hidden="false" customHeight="false" outlineLevel="0" collapsed="false">
      <c r="A28" s="236" t="s">
        <v>283</v>
      </c>
      <c r="B28" s="236" t="n">
        <v>2.31</v>
      </c>
      <c r="C28" s="236" t="n">
        <v>2.94</v>
      </c>
      <c r="D28" s="236" t="n">
        <v>4.2</v>
      </c>
      <c r="E28" s="236" t="s">
        <v>282</v>
      </c>
      <c r="F28" s="236" t="n">
        <v>6.3</v>
      </c>
      <c r="G28" s="236" t="n">
        <v>12.6</v>
      </c>
      <c r="H28" s="175" t="n">
        <v>3267</v>
      </c>
      <c r="I28" s="239" t="str">
        <f aca="true">IF(AND(LEFT(A28,2)=$K$1,INDIRECT($K$4&amp;ROW())&gt;=$J$1),ROW(),"")</f>
        <v/>
      </c>
    </row>
    <row r="29" customFormat="false" ht="14.65" hidden="false" customHeight="false" outlineLevel="0" collapsed="false">
      <c r="A29" s="236" t="s">
        <v>284</v>
      </c>
      <c r="B29" s="236" t="n">
        <v>3.3</v>
      </c>
      <c r="C29" s="236" t="n">
        <v>4.2</v>
      </c>
      <c r="D29" s="236" t="n">
        <v>6</v>
      </c>
      <c r="E29" s="236" t="s">
        <v>282</v>
      </c>
      <c r="F29" s="236" t="n">
        <v>9</v>
      </c>
      <c r="G29" s="236" t="n">
        <v>18</v>
      </c>
      <c r="H29" s="175" t="n">
        <v>3367</v>
      </c>
      <c r="I29" s="239" t="str">
        <f aca="true">IF(AND(LEFT(A29,2)=$K$1,INDIRECT($K$4&amp;ROW())&gt;=$J$1),ROW(),"")</f>
        <v/>
      </c>
    </row>
    <row r="30" customFormat="false" ht="14.65" hidden="false" customHeight="false" outlineLevel="0" collapsed="false">
      <c r="A30" s="236" t="s">
        <v>285</v>
      </c>
      <c r="B30" s="236" t="n">
        <v>4.9</v>
      </c>
      <c r="C30" s="236" t="n">
        <v>6.23</v>
      </c>
      <c r="D30" s="236" t="n">
        <v>8.9</v>
      </c>
      <c r="E30" s="236" t="s">
        <v>282</v>
      </c>
      <c r="F30" s="236" t="n">
        <v>13.35</v>
      </c>
      <c r="G30" s="236" t="n">
        <v>26.7</v>
      </c>
      <c r="H30" s="175" t="n">
        <v>3467</v>
      </c>
      <c r="I30" s="239" t="str">
        <f aca="true">IF(AND(LEFT(A30,2)=$K$1,INDIRECT($K$4&amp;ROW())&gt;=$J$1),ROW(),"")</f>
        <v/>
      </c>
    </row>
    <row r="31" customFormat="false" ht="14.65" hidden="false" customHeight="false" outlineLevel="0" collapsed="false">
      <c r="A31" s="236" t="s">
        <v>286</v>
      </c>
      <c r="B31" s="236" t="n">
        <v>5.89</v>
      </c>
      <c r="C31" s="236" t="n">
        <v>7.49</v>
      </c>
      <c r="D31" s="236" t="n">
        <v>10.7</v>
      </c>
      <c r="E31" s="236" t="s">
        <v>282</v>
      </c>
      <c r="F31" s="236" t="n">
        <v>16.05</v>
      </c>
      <c r="G31" s="236" t="n">
        <v>32.1</v>
      </c>
      <c r="H31" s="175" t="n">
        <v>3567</v>
      </c>
      <c r="I31" s="239" t="str">
        <f aca="true">IF(AND(LEFT(A31,2)=$K$1,INDIRECT($K$4&amp;ROW())&gt;=$J$1),ROW(),"")</f>
        <v/>
      </c>
    </row>
    <row r="32" customFormat="false" ht="14.65" hidden="false" customHeight="false" outlineLevel="0" collapsed="false">
      <c r="A32" s="236" t="s">
        <v>287</v>
      </c>
      <c r="B32" s="236" t="n">
        <v>7.15</v>
      </c>
      <c r="C32" s="236" t="n">
        <v>9.1</v>
      </c>
      <c r="D32" s="236" t="n">
        <v>13</v>
      </c>
      <c r="E32" s="236" t="s">
        <v>282</v>
      </c>
      <c r="F32" s="236" t="n">
        <v>19.5</v>
      </c>
      <c r="G32" s="236" t="n">
        <v>39</v>
      </c>
      <c r="H32" s="175" t="n">
        <v>3667</v>
      </c>
      <c r="I32" s="239" t="str">
        <f aca="true">IF(AND(LEFT(A32,2)=$K$1,INDIRECT($K$4&amp;ROW())&gt;=$J$1),ROW(),"")</f>
        <v/>
      </c>
    </row>
    <row r="33" customFormat="false" ht="14.65" hidden="false" customHeight="false" outlineLevel="0" collapsed="false">
      <c r="A33" s="236" t="s">
        <v>288</v>
      </c>
      <c r="B33" s="236" t="n">
        <v>3.41</v>
      </c>
      <c r="C33" s="236" t="n">
        <v>4.34</v>
      </c>
      <c r="D33" s="236" t="n">
        <v>6.2</v>
      </c>
      <c r="E33" s="236" t="s">
        <v>282</v>
      </c>
      <c r="F33" s="236" t="n">
        <v>9.3</v>
      </c>
      <c r="G33" s="236" t="n">
        <v>18.6</v>
      </c>
      <c r="H33" s="175" t="n">
        <v>4167</v>
      </c>
      <c r="I33" s="239" t="str">
        <f aca="true">IF(AND(LEFT(A33,2)=$K$1,INDIRECT($K$4&amp;ROW())&gt;=$J$1),ROW(),"")</f>
        <v/>
      </c>
    </row>
    <row r="34" customFormat="false" ht="14.65" hidden="false" customHeight="false" outlineLevel="0" collapsed="false">
      <c r="A34" s="236" t="s">
        <v>289</v>
      </c>
      <c r="B34" s="236" t="n">
        <v>5.28</v>
      </c>
      <c r="C34" s="236" t="n">
        <v>6.72</v>
      </c>
      <c r="D34" s="236" t="n">
        <v>9.6</v>
      </c>
      <c r="E34" s="236" t="s">
        <v>282</v>
      </c>
      <c r="F34" s="236" t="n">
        <v>14.4</v>
      </c>
      <c r="G34" s="236" t="n">
        <v>28.8</v>
      </c>
      <c r="H34" s="175" t="n">
        <v>4247</v>
      </c>
      <c r="I34" s="239" t="str">
        <f aca="true">IF(AND(LEFT(A34,2)=$K$1,INDIRECT($K$4&amp;ROW())&gt;=$J$1),ROW(),"")</f>
        <v/>
      </c>
    </row>
    <row r="35" customFormat="false" ht="14.65" hidden="false" customHeight="false" outlineLevel="0" collapsed="false">
      <c r="A35" s="236" t="s">
        <v>290</v>
      </c>
      <c r="B35" s="236" t="n">
        <v>6.88</v>
      </c>
      <c r="C35" s="236" t="n">
        <v>8.75</v>
      </c>
      <c r="D35" s="236" t="n">
        <v>12.5</v>
      </c>
      <c r="E35" s="236" t="s">
        <v>282</v>
      </c>
      <c r="F35" s="236" t="n">
        <v>18.75</v>
      </c>
      <c r="G35" s="236" t="n">
        <v>37.5</v>
      </c>
      <c r="H35" s="175" t="n">
        <v>4267</v>
      </c>
      <c r="I35" s="239" t="str">
        <f aca="true">IF(AND(LEFT(A35,2)=$K$1,INDIRECT($K$4&amp;ROW())&gt;=$J$1),ROW(),"")</f>
        <v/>
      </c>
    </row>
    <row r="36" customFormat="false" ht="14.65" hidden="false" customHeight="false" outlineLevel="0" collapsed="false">
      <c r="A36" s="236" t="s">
        <v>291</v>
      </c>
      <c r="B36" s="236" t="n">
        <v>10.12</v>
      </c>
      <c r="C36" s="236" t="n">
        <v>12.88</v>
      </c>
      <c r="D36" s="236" t="n">
        <v>18.4</v>
      </c>
      <c r="E36" s="236" t="s">
        <v>282</v>
      </c>
      <c r="F36" s="236" t="n">
        <v>27.6</v>
      </c>
      <c r="G36" s="236" t="n">
        <v>55.2</v>
      </c>
      <c r="H36" s="175" t="n">
        <v>4367</v>
      </c>
      <c r="I36" s="239" t="str">
        <f aca="true">IF(AND(LEFT(A36,2)=$K$1,INDIRECT($K$4&amp;ROW())&gt;=$J$1),ROW(),"")</f>
        <v/>
      </c>
    </row>
    <row r="37" customFormat="false" ht="14.65" hidden="false" customHeight="false" outlineLevel="0" collapsed="false">
      <c r="A37" s="236" t="s">
        <v>292</v>
      </c>
      <c r="B37" s="236" t="n">
        <v>13.53</v>
      </c>
      <c r="C37" s="236" t="n">
        <v>17.22</v>
      </c>
      <c r="D37" s="236" t="n">
        <v>24.6</v>
      </c>
      <c r="E37" s="236" t="s">
        <v>282</v>
      </c>
      <c r="F37" s="236" t="n">
        <v>36.9</v>
      </c>
      <c r="G37" s="236" t="n">
        <v>73.8</v>
      </c>
      <c r="H37" s="175" t="n">
        <v>4467</v>
      </c>
      <c r="I37" s="239" t="str">
        <f aca="true">IF(AND(LEFT(A37,2)=$K$1,INDIRECT($K$4&amp;ROW())&gt;=$J$1),ROW(),"")</f>
        <v/>
      </c>
    </row>
    <row r="38" customFormat="false" ht="14.65" hidden="false" customHeight="false" outlineLevel="0" collapsed="false">
      <c r="A38" s="236" t="s">
        <v>293</v>
      </c>
      <c r="B38" s="236" t="n">
        <v>6.05</v>
      </c>
      <c r="C38" s="236" t="n">
        <v>7.7</v>
      </c>
      <c r="D38" s="236" t="n">
        <v>11</v>
      </c>
      <c r="E38" s="236" t="s">
        <v>282</v>
      </c>
      <c r="F38" s="236" t="n">
        <v>16.5</v>
      </c>
      <c r="G38" s="236" t="n">
        <v>33</v>
      </c>
      <c r="H38" s="175" t="n">
        <v>5167</v>
      </c>
      <c r="I38" s="239" t="str">
        <f aca="true">IF(AND(LEFT(A38,2)=$K$1,INDIRECT($K$4&amp;ROW())&gt;=$J$1),ROW(),"")</f>
        <v/>
      </c>
    </row>
    <row r="39" customFormat="false" ht="14.65" hidden="false" customHeight="false" outlineLevel="0" collapsed="false">
      <c r="A39" s="236" t="s">
        <v>294</v>
      </c>
      <c r="B39" s="236" t="n">
        <v>9.3</v>
      </c>
      <c r="C39" s="236" t="n">
        <v>11.83</v>
      </c>
      <c r="D39" s="236" t="n">
        <v>16.9</v>
      </c>
      <c r="E39" s="236" t="s">
        <v>282</v>
      </c>
      <c r="F39" s="236" t="n">
        <v>25.35</v>
      </c>
      <c r="G39" s="236" t="n">
        <v>50.7</v>
      </c>
      <c r="H39" s="175" t="n">
        <v>5247</v>
      </c>
      <c r="I39" s="239" t="str">
        <f aca="true">IF(AND(LEFT(A39,2)=$K$1,INDIRECT($K$4&amp;ROW())&gt;=$J$1),ROW(),"")</f>
        <v/>
      </c>
    </row>
    <row r="40" customFormat="false" ht="14.65" hidden="false" customHeight="false" outlineLevel="0" collapsed="false">
      <c r="A40" s="236" t="s">
        <v>295</v>
      </c>
      <c r="B40" s="236" t="n">
        <v>12.27</v>
      </c>
      <c r="C40" s="236" t="n">
        <v>15.61</v>
      </c>
      <c r="D40" s="236" t="n">
        <v>22.3</v>
      </c>
      <c r="E40" s="236" t="s">
        <v>282</v>
      </c>
      <c r="F40" s="236" t="n">
        <v>33.45</v>
      </c>
      <c r="G40" s="236" t="n">
        <v>66.9</v>
      </c>
      <c r="H40" s="175" t="n">
        <v>5267</v>
      </c>
      <c r="I40" s="239" t="str">
        <f aca="true">IF(AND(LEFT(A40,2)=$K$1,INDIRECT($K$4&amp;ROW())&gt;=$J$1),ROW(),"")</f>
        <v/>
      </c>
    </row>
    <row r="41" customFormat="false" ht="14.65" hidden="false" customHeight="false" outlineLevel="0" collapsed="false">
      <c r="A41" s="236" t="s">
        <v>296</v>
      </c>
      <c r="B41" s="236" t="n">
        <v>18.59</v>
      </c>
      <c r="C41" s="236" t="n">
        <v>23.66</v>
      </c>
      <c r="D41" s="236" t="n">
        <v>33.8</v>
      </c>
      <c r="E41" s="236" t="s">
        <v>282</v>
      </c>
      <c r="F41" s="236" t="n">
        <v>50.7</v>
      </c>
      <c r="G41" s="236" t="n">
        <v>101.4</v>
      </c>
      <c r="H41" s="175" t="n">
        <v>5367</v>
      </c>
      <c r="I41" s="239" t="str">
        <f aca="true">IF(AND(LEFT(A41,2)=$K$1,INDIRECT($K$4&amp;ROW())&gt;=$J$1),ROW(),"")</f>
        <v/>
      </c>
    </row>
    <row r="42" customFormat="false" ht="14.65" hidden="false" customHeight="false" outlineLevel="0" collapsed="false">
      <c r="A42" s="236" t="s">
        <v>297</v>
      </c>
      <c r="B42" s="236" t="n">
        <v>25.03</v>
      </c>
      <c r="C42" s="236" t="n">
        <v>31.85</v>
      </c>
      <c r="D42" s="236" t="n">
        <v>45.5</v>
      </c>
      <c r="E42" s="236" t="s">
        <v>282</v>
      </c>
      <c r="F42" s="236" t="n">
        <v>68.25</v>
      </c>
      <c r="G42" s="236" t="n">
        <v>136.5</v>
      </c>
      <c r="H42" s="175" t="n">
        <v>5467</v>
      </c>
      <c r="I42" s="239" t="str">
        <f aca="true">IF(AND(LEFT(A42,2)=$K$1,INDIRECT($K$4&amp;ROW())&gt;=$J$1),ROW(),"")</f>
        <v/>
      </c>
    </row>
    <row r="43" customFormat="false" ht="14.65" hidden="false" customHeight="false" outlineLevel="0" collapsed="false">
      <c r="A43" s="236" t="s">
        <v>298</v>
      </c>
      <c r="B43" s="236" t="n">
        <v>28.88</v>
      </c>
      <c r="C43" s="236" t="n">
        <v>36.75</v>
      </c>
      <c r="D43" s="236" t="n">
        <v>52.5</v>
      </c>
      <c r="E43" s="236" t="s">
        <v>282</v>
      </c>
      <c r="F43" s="236" t="n">
        <v>78.75</v>
      </c>
      <c r="G43" s="236" t="n">
        <v>157.5</v>
      </c>
      <c r="H43" s="175" t="n">
        <v>5487</v>
      </c>
      <c r="I43" s="239" t="str">
        <f aca="true">IF(AND(LEFT(A43,2)=$K$1,INDIRECT($K$4&amp;ROW())&gt;=$J$1),ROW(),"")</f>
        <v/>
      </c>
      <c r="L43" s="233"/>
    </row>
    <row r="44" customFormat="false" ht="14.65" hidden="false" customHeight="false" outlineLevel="0" collapsed="false">
      <c r="A44" s="236" t="s">
        <v>299</v>
      </c>
      <c r="B44" s="236" t="s">
        <v>275</v>
      </c>
      <c r="C44" s="236" t="n">
        <v>1.22</v>
      </c>
      <c r="D44" s="236" t="n">
        <v>1.74</v>
      </c>
      <c r="E44" s="236" t="s">
        <v>282</v>
      </c>
      <c r="F44" s="236" t="n">
        <v>2.61</v>
      </c>
      <c r="G44" s="236" t="n">
        <v>3.48</v>
      </c>
      <c r="H44" s="175" t="s">
        <v>241</v>
      </c>
      <c r="I44" s="239" t="n">
        <f aca="true">IF(AND(LEFT(A44,2)=$K$1,INDIRECT($K$4&amp;ROW())&gt;=$J$1),ROW(),"")</f>
        <v>44</v>
      </c>
      <c r="L44" s="233"/>
    </row>
    <row r="45" customFormat="false" ht="14.65" hidden="false" customHeight="false" outlineLevel="0" collapsed="false">
      <c r="A45" s="236" t="s">
        <v>300</v>
      </c>
      <c r="B45" s="236" t="s">
        <v>275</v>
      </c>
      <c r="C45" s="236" t="n">
        <v>2.49</v>
      </c>
      <c r="D45" s="236" t="n">
        <v>3.55</v>
      </c>
      <c r="E45" s="236" t="s">
        <v>282</v>
      </c>
      <c r="F45" s="236" t="n">
        <v>5.33</v>
      </c>
      <c r="G45" s="236" t="n">
        <v>7.1</v>
      </c>
      <c r="H45" s="175" t="s">
        <v>242</v>
      </c>
      <c r="I45" s="239" t="n">
        <f aca="true">IF(AND(LEFT(A45,2)=$K$1,INDIRECT($K$4&amp;ROW())&gt;=$J$1),ROW(),"")</f>
        <v>45</v>
      </c>
    </row>
    <row r="46" customFormat="false" ht="14.65" hidden="false" customHeight="false" outlineLevel="0" collapsed="false">
      <c r="A46" s="236" t="s">
        <v>301</v>
      </c>
      <c r="B46" s="236" t="s">
        <v>275</v>
      </c>
      <c r="C46" s="236" t="n">
        <v>3.71</v>
      </c>
      <c r="D46" s="236" t="n">
        <v>5.3</v>
      </c>
      <c r="E46" s="236" t="s">
        <v>282</v>
      </c>
      <c r="F46" s="236" t="n">
        <v>7.95</v>
      </c>
      <c r="G46" s="236" t="n">
        <v>10.6</v>
      </c>
      <c r="H46" s="175" t="s">
        <v>243</v>
      </c>
      <c r="I46" s="239" t="n">
        <f aca="true">IF(AND(LEFT(A46,2)=$K$1,INDIRECT($K$4&amp;ROW())&gt;=$J$1),ROW(),"")</f>
        <v>46</v>
      </c>
    </row>
    <row r="47" customFormat="false" ht="14.65" hidden="false" customHeight="false" outlineLevel="0" collapsed="false">
      <c r="A47" s="236" t="s">
        <v>302</v>
      </c>
      <c r="B47" s="236" t="s">
        <v>275</v>
      </c>
      <c r="C47" s="236" t="n">
        <v>4.94</v>
      </c>
      <c r="D47" s="236" t="n">
        <v>7.05</v>
      </c>
      <c r="E47" s="236" t="s">
        <v>282</v>
      </c>
      <c r="F47" s="236" t="n">
        <v>10.58</v>
      </c>
      <c r="G47" s="236" t="n">
        <v>14.1</v>
      </c>
      <c r="H47" s="175" t="s">
        <v>244</v>
      </c>
      <c r="I47" s="239" t="n">
        <f aca="true">IF(AND(LEFT(A47,2)=$K$1,INDIRECT($K$4&amp;ROW())&gt;=$J$1),ROW(),"")</f>
        <v>47</v>
      </c>
    </row>
    <row r="48" customFormat="false" ht="14.65" hidden="false" customHeight="false" outlineLevel="0" collapsed="false">
      <c r="A48" s="236" t="s">
        <v>303</v>
      </c>
      <c r="B48" s="236" t="s">
        <v>275</v>
      </c>
      <c r="C48" s="236" t="n">
        <v>6.24</v>
      </c>
      <c r="D48" s="236" t="n">
        <v>8.91</v>
      </c>
      <c r="E48" s="236" t="s">
        <v>282</v>
      </c>
      <c r="F48" s="236" t="n">
        <v>13.37</v>
      </c>
      <c r="G48" s="236" t="n">
        <v>17.82</v>
      </c>
      <c r="H48" s="175" t="s">
        <v>245</v>
      </c>
      <c r="I48" s="239" t="n">
        <f aca="true">IF(AND(LEFT(A48,2)=$K$1,INDIRECT($K$4&amp;ROW())&gt;=$J$1),ROW(),"")</f>
        <v>48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2009-08-28T14:02:05Z</dcterms:created>
  <dc:creator>louisbelle</dc:creator>
  <dc:description/>
  <cp:keywords>bilan thermique de chambre froide</cp:keywords>
  <dc:language>fr-FR</dc:language>
  <cp:lastModifiedBy/>
  <cp:lastPrinted>2014-12-16T15:18:39Z</cp:lastPrinted>
  <dcterms:modified xsi:type="dcterms:W3CDTF">2017-09-26T18:48:54Z</dcterms:modified>
  <cp:revision>28</cp:revision>
  <dc:subject>Thermodynamique</dc:subject>
  <dc:title>Bilan thermique de chambre froide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URL">
    <vt:lpwstr>www.phpage.fr</vt:lpwstr>
  </property>
</Properties>
</file>