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_rels/sheet1.xml.rels" ContentType="application/vnd.openxmlformats-package.relationships+xml"/>
  <Override PartName="/xl/worksheets/_rels/sheet3.xml.rels" ContentType="application/vnd.openxmlformats-package.relationships+xml"/>
  <Override PartName="/xl/worksheets/_rels/sheet5.xml.rels" ContentType="application/vnd.openxmlformats-package.relationships+xml"/>
  <Override PartName="/xl/worksheets/_rels/sheet7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media/image57.png" ContentType="image/png"/>
  <Override PartName="/xl/media/image58.png" ContentType="image/png"/>
  <Override PartName="/xl/media/image59.png" ContentType="image/png"/>
  <Override PartName="/xl/media/image60.png" ContentType="image/png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_rels/drawing1.xml.rels" ContentType="application/vnd.openxmlformats-package.relationships+xml"/>
  <Override PartName="/xl/drawings/_rels/drawing2.xml.rels" ContentType="application/vnd.openxmlformats-package.relationships+xml"/>
  <Override PartName="/xl/drawings/_rels/drawing3.xml.rels" ContentType="application/vnd.openxmlformats-package.relationships+xml"/>
  <Override PartName="/xl/drawings/_rels/drawing4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MODELE" sheetId="1" state="visible" r:id="rId2"/>
    <sheet name="Pieces" sheetId="2" state="visible" r:id="rId3"/>
    <sheet name="ChoixJour" sheetId="3" state="visible" r:id="rId4"/>
    <sheet name="bd" sheetId="4" state="visible" r:id="rId5"/>
    <sheet name="ChoixRJ" sheetId="5" state="visible" r:id="rId6"/>
    <sheet name="RJ" sheetId="6" state="visible" r:id="rId7"/>
    <sheet name="TNC2020" sheetId="7" state="visible" r:id="rId8"/>
  </sheets>
  <definedNames>
    <definedName function="false" hidden="false" localSheetId="0" name="_xlnm.Print_Area" vbProcedure="false">MODELE!$A$1:$AE$63</definedName>
    <definedName function="false" hidden="false" localSheetId="1" name="_xlnm.Print_Area" vbProcedure="false">Pieces!$A$1:$C$31</definedName>
    <definedName function="false" hidden="false" name="kk" vbProcedure="false">#REF!</definedName>
    <definedName function="false" hidden="false" name="ll" vbProcedure="false">#REF!</definedName>
    <definedName function="false" hidden="false" name="lllllll" vbProcedure="false">OFFSET(#REF!,,,COUNTA(#REF!))</definedName>
    <definedName function="false" hidden="false" name="maya" vbProcedure="false">#REF!</definedName>
    <definedName function="false" hidden="false" name="mayaaa" vbProcedure="false">#REF!</definedName>
    <definedName function="false" hidden="false" name="ouv" vbProcedure="false">#REF!</definedName>
    <definedName function="false" hidden="false" name="ouvriers" vbProcedure="false">#REF!</definedName>
    <definedName function="false" hidden="false" name="pieces" vbProcedure="false">OFFSET(#REF!,,,COUNTA(#REF!))</definedName>
    <definedName function="false" hidden="false" name="rim" vbProcedure="false">OFFSET(#REF!,,,COUNTA(#REF!))</definedName>
    <definedName function="false" hidden="false" name="tt" vbProcedure="false">OFFSET(#REF!,,,COUNTA(#REF!))</definedName>
    <definedName function="false" hidden="false" name="vierose" vbProcedure="false">#REF!</definedName>
    <definedName function="false" hidden="false" localSheetId="1" name="kk" vbProcedure="false">#REF!</definedName>
    <definedName function="false" hidden="false" localSheetId="1" name="ll" vbProcedure="false">#REF!</definedName>
    <definedName function="false" hidden="false" localSheetId="1" name="lllllll" vbProcedure="false">OFFSET(pieces!#ref!,,,COUNTA(Pieces!$A:$A))</definedName>
    <definedName function="false" hidden="false" localSheetId="1" name="maya" vbProcedure="false">#REF!</definedName>
    <definedName function="false" hidden="false" localSheetId="1" name="mayaaa" vbProcedure="false">#REF!</definedName>
    <definedName function="false" hidden="false" localSheetId="1" name="ouv" vbProcedure="false">#REF!</definedName>
    <definedName function="false" hidden="false" localSheetId="1" name="ouvriers" vbProcedure="false">#REF!</definedName>
    <definedName function="false" hidden="false" localSheetId="1" name="pieces" vbProcedure="false">OFFSET(pieces!#ref!,,,COUNTA(Pieces!$A:$A))</definedName>
    <definedName function="false" hidden="false" localSheetId="1" name="plage" vbProcedure="false">#REF!</definedName>
    <definedName function="false" hidden="false" localSheetId="1" name="rim" vbProcedure="false">OFFSET(pieces!#ref!,,,COUNTA(Pieces!$A:$A))</definedName>
    <definedName function="false" hidden="false" localSheetId="1" name="tt" vbProcedure="false">OFFSET(pieces!#ref!,,,COUNTA(Pieces!$A:$A))</definedName>
    <definedName function="false" hidden="false" localSheetId="1" name="vierose" vbProcedure="false">#REF!</definedName>
    <definedName function="false" hidden="false" localSheetId="2" name="kk" vbProcedure="false">#REF!</definedName>
    <definedName function="false" hidden="false" localSheetId="2" name="ll" vbProcedure="false">#REF!</definedName>
    <definedName function="false" hidden="false" localSheetId="2" name="lllllll" vbProcedure="false">OFFSET(#REF!,,,COUNTA(#REF!))</definedName>
    <definedName function="false" hidden="false" localSheetId="2" name="maya" vbProcedure="false">#REF!</definedName>
    <definedName function="false" hidden="false" localSheetId="2" name="mayaaa" vbProcedure="false">#REF!</definedName>
    <definedName function="false" hidden="false" localSheetId="2" name="ouv" vbProcedure="false">#REF!</definedName>
    <definedName function="false" hidden="false" localSheetId="2" name="ouvriers" vbProcedure="false">#REF!</definedName>
    <definedName function="false" hidden="false" localSheetId="2" name="pieces" vbProcedure="false">OFFSET(#REF!,,,COUNTA(#REF!))</definedName>
    <definedName function="false" hidden="false" localSheetId="2" name="rim" vbProcedure="false">OFFSET(#REF!,,,COUNTA(#REF!))</definedName>
    <definedName function="false" hidden="false" localSheetId="2" name="tt" vbProcedure="false">OFFSET(#REF!,,,COUNTA(#REF!))</definedName>
    <definedName function="false" hidden="false" localSheetId="2" name="vierose" vbProcedure="false">#REF!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<sst xmlns="http://schemas.openxmlformats.org/spreadsheetml/2006/main" count="3004" uniqueCount="1147">
  <si>
    <t xml:space="preserve">Tableau de production journalière</t>
  </si>
  <si>
    <t xml:space="preserve">CODE: DAS-PRO-16</t>
  </si>
  <si>
    <t xml:space="preserve">DATE:30/08/2019</t>
  </si>
  <si>
    <t xml:space="preserve">VERSION:07</t>
  </si>
  <si>
    <t xml:space="preserve">PAGE:1</t>
  </si>
  <si>
    <t xml:space="preserve">SYMBOLE</t>
  </si>
  <si>
    <t xml:space="preserve">MACHINE</t>
  </si>
  <si>
    <t xml:space="preserve">REF ARTICLE</t>
  </si>
  <si>
    <t xml:space="preserve">DESIGNATION </t>
  </si>
  <si>
    <t xml:space="preserve">COMPTEUR HIER à8H</t>
  </si>
  <si>
    <t xml:space="preserve">COMPTEUR HIER à 17H</t>
  </si>
  <si>
    <t xml:space="preserve">COMPTEUR HIER à 21H</t>
  </si>
  <si>
    <t xml:space="preserve">COMPTEUR AUJOURD’HUI à 8h</t>
  </si>
  <si>
    <t xml:space="preserve">CADENCE</t>
  </si>
  <si>
    <t xml:space="preserve">NOMBRE DE PIECES FINIS PAR CYCLE</t>
  </si>
  <si>
    <t xml:space="preserve">PIECES SUIVANT COMPTEU 8h--&gt;17h</t>
  </si>
  <si>
    <t xml:space="preserve">PIECES SUIVANT COMPTEUR 17H--&gt;21H</t>
  </si>
  <si>
    <t xml:space="preserve">PIECES SUIVANT COMPTEUR 5h--&gt;8h</t>
  </si>
  <si>
    <t xml:space="preserve">NOMBRE D'HEURES DE TRAVAIL    8h--&gt;17h</t>
  </si>
  <si>
    <t xml:space="preserve">NOMBRE D'HEURES DE TRAVAIL  17H--&gt;21H</t>
  </si>
  <si>
    <t xml:space="preserve">NOMBRE D'HEURES DE TRAVAIL 5h--&gt;8h</t>
  </si>
  <si>
    <t xml:space="preserve">NOMBRE D'HEURES DE TRAVAIL</t>
  </si>
  <si>
    <t xml:space="preserve">OBSERVATIONS</t>
  </si>
  <si>
    <t xml:space="preserve">Pieces manquantes</t>
  </si>
  <si>
    <t xml:space="preserve"> PIECES NC</t>
  </si>
  <si>
    <t xml:space="preserve">Pieces REELLES</t>
  </si>
  <si>
    <t xml:space="preserve">Nombre des pieces à retoucher</t>
  </si>
  <si>
    <t xml:space="preserve">Cause de la non-conformité</t>
  </si>
  <si>
    <t xml:space="preserve">Effet de la non-conformité</t>
  </si>
  <si>
    <t xml:space="preserve">Valeur de l'effet</t>
  </si>
  <si>
    <t xml:space="preserve">NOMBRES D'HEURES SUIVANT LES PIECES REELLES</t>
  </si>
  <si>
    <t xml:space="preserve">RENDEMENT</t>
  </si>
  <si>
    <t xml:space="preserve">Fiche de contrôle qualité début de serie</t>
  </si>
  <si>
    <t xml:space="preserve">Affutage</t>
  </si>
  <si>
    <t xml:space="preserve">Gamme d'usingae</t>
  </si>
  <si>
    <t xml:space="preserve">ALERTES</t>
  </si>
  <si>
    <t xml:space="preserve">A</t>
  </si>
  <si>
    <t xml:space="preserve">PF25 N°21</t>
  </si>
  <si>
    <t xml:space="preserve">B</t>
  </si>
  <si>
    <t xml:space="preserve">PF25 N°22</t>
  </si>
  <si>
    <t xml:space="preserve">C</t>
  </si>
  <si>
    <t xml:space="preserve">PF25 N°23</t>
  </si>
  <si>
    <t xml:space="preserve">D</t>
  </si>
  <si>
    <t xml:space="preserve">PF25 N°24</t>
  </si>
  <si>
    <t xml:space="preserve">E</t>
  </si>
  <si>
    <t xml:space="preserve">PF25 N°25</t>
  </si>
  <si>
    <t xml:space="preserve">F</t>
  </si>
  <si>
    <t xml:space="preserve">PF25 N°26</t>
  </si>
  <si>
    <t xml:space="preserve">R</t>
  </si>
  <si>
    <t xml:space="preserve">PF21 N°27</t>
  </si>
  <si>
    <t xml:space="preserve">S</t>
  </si>
  <si>
    <t xml:space="preserve">PF42 N°20</t>
  </si>
  <si>
    <t xml:space="preserve">SST16</t>
  </si>
  <si>
    <t xml:space="preserve">SB16</t>
  </si>
  <si>
    <t xml:space="preserve">BIGLIA 301 SM</t>
  </si>
  <si>
    <t xml:space="preserve">BIGLIA 42 S2M</t>
  </si>
  <si>
    <t xml:space="preserve">L32</t>
  </si>
  <si>
    <t xml:space="preserve">MULTI BROCHE</t>
  </si>
  <si>
    <t xml:space="preserve">G</t>
  </si>
  <si>
    <t xml:space="preserve">MORI SEIKI 3 axes</t>
  </si>
  <si>
    <t xml:space="preserve">H</t>
  </si>
  <si>
    <t xml:space="preserve">MORI SEIKI 5 axes</t>
  </si>
  <si>
    <t xml:space="preserve">I</t>
  </si>
  <si>
    <t xml:space="preserve">TSUGAMI</t>
  </si>
  <si>
    <t xml:space="preserve">J</t>
  </si>
  <si>
    <t xml:space="preserve">NAKAMURA</t>
  </si>
  <si>
    <t xml:space="preserve">K</t>
  </si>
  <si>
    <t xml:space="preserve">KITAMURA</t>
  </si>
  <si>
    <t xml:space="preserve">L</t>
  </si>
  <si>
    <t xml:space="preserve">HARDING</t>
  </si>
  <si>
    <t xml:space="preserve">Q</t>
  </si>
  <si>
    <t xml:space="preserve">TOUR WEILER</t>
  </si>
  <si>
    <t xml:space="preserve">suivi de rentabilité des ouvriers</t>
  </si>
  <si>
    <t xml:space="preserve">BIGLIA 1</t>
  </si>
  <si>
    <t xml:space="preserve">machine</t>
  </si>
  <si>
    <t xml:space="preserve">designation article</t>
  </si>
  <si>
    <t xml:space="preserve">opération</t>
  </si>
  <si>
    <t xml:space="preserve">ouvriers</t>
  </si>
  <si>
    <t xml:space="preserve">cadence</t>
  </si>
  <si>
    <t xml:space="preserve">nombre d'heures de production</t>
  </si>
  <si>
    <t xml:space="preserve">nbre de pieces reelles</t>
  </si>
  <si>
    <t xml:space="preserve">autre</t>
  </si>
  <si>
    <t xml:space="preserve">BIGLIA 2</t>
  </si>
  <si>
    <t xml:space="preserve">tour précis 1</t>
  </si>
  <si>
    <t xml:space="preserve">tour précis 2</t>
  </si>
  <si>
    <t xml:space="preserve">tour précis 3</t>
  </si>
  <si>
    <t xml:space="preserve">taraudeuse automatique 1</t>
  </si>
  <si>
    <t xml:space="preserve">Nakamura</t>
  </si>
  <si>
    <t xml:space="preserve">taraudeuse automatique 2</t>
  </si>
  <si>
    <t xml:space="preserve">transfert</t>
  </si>
  <si>
    <t xml:space="preserve">P</t>
  </si>
  <si>
    <t xml:space="preserve">fraiseuse</t>
  </si>
  <si>
    <t xml:space="preserve">rectifieuse</t>
  </si>
  <si>
    <t xml:space="preserve">perceuse</t>
  </si>
  <si>
    <t xml:space="preserve">centre</t>
  </si>
  <si>
    <t xml:space="preserve">nakamurha</t>
  </si>
  <si>
    <t xml:space="preserve">M</t>
  </si>
  <si>
    <t xml:space="preserve">9h JOUR                               3h NUIT</t>
  </si>
  <si>
    <t xml:space="preserve">Rédacteur </t>
  </si>
  <si>
    <t xml:space="preserve">Approbateur:</t>
  </si>
  <si>
    <t xml:space="preserve">Date</t>
  </si>
  <si>
    <t xml:space="preserve">Date:</t>
  </si>
  <si>
    <t xml:space="preserve">Visa</t>
  </si>
  <si>
    <t xml:space="preserve">Visa:</t>
  </si>
  <si>
    <t xml:space="preserve">desgination </t>
  </si>
  <si>
    <t xml:space="preserve">reference </t>
  </si>
  <si>
    <t xml:space="preserve">Cadence réelle</t>
  </si>
  <si>
    <t xml:space="preserve">machine </t>
  </si>
  <si>
    <t xml:space="preserve"> BUSS. DIS. 14-3003 1320X28.7 AVP CARB </t>
  </si>
  <si>
    <t xml:space="preserve">ANNEAU 25.2*32*29</t>
  </si>
  <si>
    <t xml:space="preserve">4-7611</t>
  </si>
  <si>
    <t xml:space="preserve">Anneau 30*38*23</t>
  </si>
  <si>
    <t xml:space="preserve">0-4599</t>
  </si>
  <si>
    <t xml:space="preserve">Anneau BN 25.2*32*31.5</t>
  </si>
  <si>
    <t xml:space="preserve">0-3863</t>
  </si>
  <si>
    <t xml:space="preserve">Anneau brut 30*28*27</t>
  </si>
  <si>
    <t xml:space="preserve">0-4965</t>
  </si>
  <si>
    <t xml:space="preserve">Anneau Brute 28*38*40</t>
  </si>
  <si>
    <t xml:space="preserve">0-3879</t>
  </si>
  <si>
    <t xml:space="preserve">anneau brute 30*38*21</t>
  </si>
  <si>
    <t xml:space="preserve">0-4457</t>
  </si>
  <si>
    <t xml:space="preserve">Anneau Brute 30*38*25</t>
  </si>
  <si>
    <t xml:space="preserve">0-3883</t>
  </si>
  <si>
    <t xml:space="preserve">Anneau Brute 30*38*27</t>
  </si>
  <si>
    <t xml:space="preserve">Anneau Brute 30*38*33</t>
  </si>
  <si>
    <t xml:space="preserve">0-3864</t>
  </si>
  <si>
    <t xml:space="preserve">Anneau FX 25.2*32*21</t>
  </si>
  <si>
    <t xml:space="preserve">0-4180</t>
  </si>
  <si>
    <t xml:space="preserve">AOE 950 12 BOX SPINA INOX</t>
  </si>
  <si>
    <t xml:space="preserve">SPINA00010</t>
  </si>
  <si>
    <t xml:space="preserve">AOE 950/12/9.5 SPINA INOX</t>
  </si>
  <si>
    <t xml:space="preserve">SPINA00009</t>
  </si>
  <si>
    <t xml:space="preserve">AOE 956/14/40 SPINA INOX</t>
  </si>
  <si>
    <t xml:space="preserve">SPINA00011</t>
  </si>
  <si>
    <t xml:space="preserve">armature intérieure-MULTI</t>
  </si>
  <si>
    <t xml:space="preserve">E355306</t>
  </si>
  <si>
    <t xml:space="preserve">Arrêt</t>
  </si>
  <si>
    <t xml:space="preserve"> - </t>
  </si>
  <si>
    <t xml:space="preserve">AXE</t>
  </si>
  <si>
    <t xml:space="preserve">2018012-01</t>
  </si>
  <si>
    <t xml:space="preserve">AXE 100x8-M4</t>
  </si>
  <si>
    <t xml:space="preserve">AXE 140 INOX D8 L66 140/76</t>
  </si>
  <si>
    <t xml:space="preserve">AXE-IN-D8-L66</t>
  </si>
  <si>
    <t xml:space="preserve">AXE 90 INOX D7</t>
  </si>
  <si>
    <t xml:space="preserve">AXE-IN-D7</t>
  </si>
  <si>
    <t xml:space="preserve">AXE AVEC INSERT INTEGRES</t>
  </si>
  <si>
    <t xml:space="preserve">2018110-01</t>
  </si>
  <si>
    <t xml:space="preserve">AXE BOITIER TFR+KB</t>
  </si>
  <si>
    <t xml:space="preserve">I081-95-CP8</t>
  </si>
  <si>
    <t xml:space="preserve">BIGLIA MIM</t>
  </si>
  <si>
    <t xml:space="preserve">AXE D15-M11x100</t>
  </si>
  <si>
    <t xml:space="preserve">G022-CP1</t>
  </si>
  <si>
    <t xml:space="preserve">AXE D'ARTICULATION </t>
  </si>
  <si>
    <t xml:space="preserve">AXE DE FREIN OM40 PROD</t>
  </si>
  <si>
    <t xml:space="preserve">M030-PROD</t>
  </si>
  <si>
    <t xml:space="preserve">AXE DIRECTION ISUZU</t>
  </si>
  <si>
    <t xml:space="preserve">I059</t>
  </si>
  <si>
    <t xml:space="preserve">AXE ETRIER FORD RANGER-PROD</t>
  </si>
  <si>
    <t xml:space="preserve">FO011-PROD</t>
  </si>
  <si>
    <t xml:space="preserve">AXE ETRIER MITSUBISHI D21.2 PROD</t>
  </si>
  <si>
    <t xml:space="preserve">MI029-CP1-PROD</t>
  </si>
  <si>
    <t xml:space="preserve">AXE ETRIER MITSUBISHI D21.9 AVEC SOUFFLET-CP1 PROD</t>
  </si>
  <si>
    <t xml:space="preserve">MI030-CP1-PROD</t>
  </si>
  <si>
    <t xml:space="preserve">AXE ETRIER SUP MITSUBISHI L200(536)</t>
  </si>
  <si>
    <t xml:space="preserve">MI029</t>
  </si>
  <si>
    <t xml:space="preserve">AXE FEMELLE</t>
  </si>
  <si>
    <t xml:space="preserve">AXE FEMELLE-D16</t>
  </si>
  <si>
    <t xml:space="preserve">AXE FEMELLE </t>
  </si>
  <si>
    <t xml:space="preserve">2018051-01</t>
  </si>
  <si>
    <t xml:space="preserve">AXE FEMELLE M8X55</t>
  </si>
  <si>
    <t xml:space="preserve">2018106-02-02</t>
  </si>
  <si>
    <t xml:space="preserve">AXE FOURCHETTE</t>
  </si>
  <si>
    <t xml:space="preserve">19037-1</t>
  </si>
  <si>
    <t xml:space="preserve">AXE FOURCHETTE SIMPLE</t>
  </si>
  <si>
    <t xml:space="preserve">2018013-01</t>
  </si>
  <si>
    <t xml:space="preserve">AXE GM JUMELLE MITSUBITCHI </t>
  </si>
  <si>
    <t xml:space="preserve">MI013-CP1</t>
  </si>
  <si>
    <t xml:space="preserve">AXE INOX 303</t>
  </si>
  <si>
    <t xml:space="preserve">500-1-46933</t>
  </si>
  <si>
    <t xml:space="preserve">axe jumelle ISUZU</t>
  </si>
  <si>
    <t xml:space="preserve">TF57-CP2</t>
  </si>
  <si>
    <t xml:space="preserve">AXE L=124mm JEMELLE FORD PROD</t>
  </si>
  <si>
    <t xml:space="preserve">FO021-CP2</t>
  </si>
  <si>
    <t xml:space="preserve">AXE LAITON Ø10.2*41.3</t>
  </si>
  <si>
    <t xml:space="preserve">AXE-LAIT 10.2X41.3</t>
  </si>
  <si>
    <t xml:space="preserve">AXE LEVIER PORTE </t>
  </si>
  <si>
    <t xml:space="preserve">P210203</t>
  </si>
  <si>
    <t xml:space="preserve">AXE LISSE D8</t>
  </si>
  <si>
    <t xml:space="preserve">Tz36000005388</t>
  </si>
  <si>
    <t xml:space="preserve">AXE MALE AVEC TROU</t>
  </si>
  <si>
    <t xml:space="preserve">AXE MALE A-T D16</t>
  </si>
  <si>
    <t xml:space="preserve">AXE MALE EN I</t>
  </si>
  <si>
    <t xml:space="preserve">2018146-02</t>
  </si>
  <si>
    <t xml:space="preserve">AXE MALE L=100</t>
  </si>
  <si>
    <t xml:space="preserve">l32</t>
  </si>
  <si>
    <t xml:space="preserve">AXE MALE SANS TROU</t>
  </si>
  <si>
    <t xml:space="preserve">AXE MALE S-T D16</t>
  </si>
  <si>
    <t xml:space="preserve">AXE MALE V02</t>
  </si>
  <si>
    <t xml:space="preserve">2018106-02-01</t>
  </si>
  <si>
    <t xml:space="preserve">AXE MALE-001</t>
  </si>
  <si>
    <t xml:space="preserve">2018122-03</t>
  </si>
  <si>
    <t xml:space="preserve">AXE PORTE TURBINE D10</t>
  </si>
  <si>
    <t xml:space="preserve">A001</t>
  </si>
  <si>
    <t xml:space="preserve">Axe tendeur de 10</t>
  </si>
  <si>
    <t xml:space="preserve">AXE - T - D10</t>
  </si>
  <si>
    <t xml:space="preserve">AXE TENDEUR DE 11 </t>
  </si>
  <si>
    <t xml:space="preserve">AXE-T- D11</t>
  </si>
  <si>
    <t xml:space="preserve">AXE TRIANGLE SUSPENSION-CP1 PROD</t>
  </si>
  <si>
    <t xml:space="preserve">I094-CP1-PROD</t>
  </si>
  <si>
    <t xml:space="preserve">BAGUE  GALVANISEE 16X11X4</t>
  </si>
  <si>
    <t xml:space="preserve">G022-CP5</t>
  </si>
  <si>
    <t xml:space="preserve">Bague 10.5x25x75</t>
  </si>
  <si>
    <t xml:space="preserve">BAGUE 12*22*56.2</t>
  </si>
  <si>
    <t xml:space="preserve">12x22x56.2</t>
  </si>
  <si>
    <t xml:space="preserve">BAGUE 12*22*65</t>
  </si>
  <si>
    <t xml:space="preserve">12x22x65</t>
  </si>
  <si>
    <t xml:space="preserve">BAGUE 12*25*60.5</t>
  </si>
  <si>
    <t xml:space="preserve">BAGUE 18*14.5*68</t>
  </si>
  <si>
    <t xml:space="preserve">BAG 18x14.5</t>
  </si>
  <si>
    <t xml:space="preserve">Bague acier 10x14x102</t>
  </si>
  <si>
    <t xml:space="preserve">10x14x102</t>
  </si>
  <si>
    <t xml:space="preserve">BAGUE ACIER 12*9*11</t>
  </si>
  <si>
    <t xml:space="preserve">12x9x11</t>
  </si>
  <si>
    <t xml:space="preserve">Bague acier 12x11x9.5(4g)</t>
  </si>
  <si>
    <t xml:space="preserve">12*11*9,5</t>
  </si>
  <si>
    <t xml:space="preserve">bague acier 14*20*48</t>
  </si>
  <si>
    <t xml:space="preserve">14*20*48</t>
  </si>
  <si>
    <t xml:space="preserve">pf42 ebauche </t>
  </si>
  <si>
    <t xml:space="preserve">BAGUE ACIER 8.5x6.5x10</t>
  </si>
  <si>
    <t xml:space="preserve">8.5x6.5x10</t>
  </si>
  <si>
    <t xml:space="preserve">BAGUE ACIER 8.5x6.5x5.8</t>
  </si>
  <si>
    <t xml:space="preserve">8.5x6.5x5.8</t>
  </si>
  <si>
    <t xml:space="preserve">bague acier galvanisée 10x14x112</t>
  </si>
  <si>
    <t xml:space="preserve">10x14x112</t>
  </si>
  <si>
    <t xml:space="preserve">BAGUE ACIER GALVANISEE 14*10*102</t>
  </si>
  <si>
    <t xml:space="preserve">14X10X102</t>
  </si>
  <si>
    <t xml:space="preserve">BAGUE ACIER GALVANISEE 14*10*112</t>
  </si>
  <si>
    <t xml:space="preserve">Bague acier nécessaire OM40</t>
  </si>
  <si>
    <t xml:space="preserve">M018-CP1</t>
  </si>
  <si>
    <t xml:space="preserve">BAGUE ACIER NECESSAIRE-CP1 PROD</t>
  </si>
  <si>
    <t xml:space="preserve">m020-cp1</t>
  </si>
  <si>
    <t xml:space="preserve">Bague acier Ø13</t>
  </si>
  <si>
    <t xml:space="preserve">12.75x28.2x8.5</t>
  </si>
  <si>
    <t xml:space="preserve">bague allu 27*14.5*55</t>
  </si>
  <si>
    <t xml:space="preserve">14,5x27x55</t>
  </si>
  <si>
    <t xml:space="preserve">BAGUE ALU 14.5*27*42</t>
  </si>
  <si>
    <t xml:space="preserve">14.5x27x42</t>
  </si>
  <si>
    <t xml:space="preserve">BAGUE ALU 18*27*43</t>
  </si>
  <si>
    <t xml:space="preserve">18X27X43</t>
  </si>
  <si>
    <t xml:space="preserve">bague aluminium 14,5x27x45</t>
  </si>
  <si>
    <t xml:space="preserve">4 - 78 36</t>
  </si>
  <si>
    <t xml:space="preserve">Bague aluminium 14.4*24*40</t>
  </si>
  <si>
    <t xml:space="preserve">4-7828</t>
  </si>
  <si>
    <t xml:space="preserve">Bague aluminium 14.4*24*40 biglia</t>
  </si>
  <si>
    <t xml:space="preserve">Bague aluminium 14.4*27*42</t>
  </si>
  <si>
    <t xml:space="preserve">4-7971</t>
  </si>
  <si>
    <t xml:space="preserve">Bague aluminium 14.4*27*54</t>
  </si>
  <si>
    <t xml:space="preserve">4-8407</t>
  </si>
  <si>
    <t xml:space="preserve">Bague aluminium 14.4*27*58.6</t>
  </si>
  <si>
    <t xml:space="preserve">4-8109</t>
  </si>
  <si>
    <t xml:space="preserve">Bague aluminium 14.4x25x40</t>
  </si>
  <si>
    <t xml:space="preserve">4-7989</t>
  </si>
  <si>
    <t xml:space="preserve">Bague aluminium 14.4x27x54</t>
  </si>
  <si>
    <t xml:space="preserve">Bague aluminium 16*27*64</t>
  </si>
  <si>
    <t xml:space="preserve">4-7135</t>
  </si>
  <si>
    <t xml:space="preserve">Bague Aluminium 16x27x43</t>
  </si>
  <si>
    <t xml:space="preserve">4-84 05</t>
  </si>
  <si>
    <t xml:space="preserve">Bague aluminium epaulee 14.4*27*55</t>
  </si>
  <si>
    <t xml:space="preserve">4-7329A</t>
  </si>
  <si>
    <t xml:space="preserve">bague aluminum lg30</t>
  </si>
  <si>
    <t xml:space="preserve">-</t>
  </si>
  <si>
    <t xml:space="preserve">BAGUE BOUGIE CULASSE</t>
  </si>
  <si>
    <t xml:space="preserve">D001</t>
  </si>
  <si>
    <t xml:space="preserve">Bague Brute  10*16*5</t>
  </si>
  <si>
    <t xml:space="preserve">0-3737</t>
  </si>
  <si>
    <t xml:space="preserve">Bague Brute  10*16*7</t>
  </si>
  <si>
    <t xml:space="preserve">0-3738</t>
  </si>
  <si>
    <t xml:space="preserve">Bague Brute  14*20*75</t>
  </si>
  <si>
    <t xml:space="preserve">0-5615</t>
  </si>
  <si>
    <t xml:space="preserve">Bague brute 10x14x10</t>
  </si>
  <si>
    <t xml:space="preserve">0-5579</t>
  </si>
  <si>
    <t xml:space="preserve">BAGUE BRUTE 12x20x14,5</t>
  </si>
  <si>
    <t xml:space="preserve">4-8661</t>
  </si>
  <si>
    <t xml:space="preserve">bague brute 14x20x8</t>
  </si>
  <si>
    <t xml:space="preserve">4-7862</t>
  </si>
  <si>
    <t xml:space="preserve">Bague Brute 16*28*62</t>
  </si>
  <si>
    <t xml:space="preserve">4-7863</t>
  </si>
  <si>
    <t xml:space="preserve">Bague brute 20x28x43</t>
  </si>
  <si>
    <t xml:space="preserve">4-76 86</t>
  </si>
  <si>
    <t xml:space="preserve">Bague Brute 25.2*32*23</t>
  </si>
  <si>
    <t xml:space="preserve">4-7659</t>
  </si>
  <si>
    <t xml:space="preserve">Bague Brute 25.2*32*24.8</t>
  </si>
  <si>
    <t xml:space="preserve">4-7575</t>
  </si>
  <si>
    <t xml:space="preserve">bague butée</t>
  </si>
  <si>
    <t xml:space="preserve">7171-N</t>
  </si>
  <si>
    <t xml:space="preserve">BAGUE BUTEE INTERNE 12</t>
  </si>
  <si>
    <t xml:space="preserve">4-7171</t>
  </si>
  <si>
    <t xml:space="preserve">bague butée interne Ø25</t>
  </si>
  <si>
    <t xml:space="preserve">BAGUE D12*D8.3*10.4</t>
  </si>
  <si>
    <t xml:space="preserve">T1201-1000-040</t>
  </si>
  <si>
    <t xml:space="preserve">BAGUE D12*D8.3*D3.6</t>
  </si>
  <si>
    <t xml:space="preserve">T1201-1000-030</t>
  </si>
  <si>
    <t xml:space="preserve">BAGUE D32*22 L=21</t>
  </si>
  <si>
    <t xml:space="preserve">G011</t>
  </si>
  <si>
    <t xml:space="preserve">BAGUE DE CENTRAGE D20</t>
  </si>
  <si>
    <t xml:space="preserve">bague decolletée 7009</t>
  </si>
  <si>
    <t xml:space="preserve">BAGUE DU FIXATION  D25 PROD</t>
  </si>
  <si>
    <t xml:space="preserve">895700-D25-PROD</t>
  </si>
  <si>
    <t xml:space="preserve">BAGUE ECHAPPEMENT ISUZU</t>
  </si>
  <si>
    <t xml:space="preserve">I056</t>
  </si>
  <si>
    <t xml:space="preserve">BAGUE EN ACIER AXE RESSORT NM+AM OM40</t>
  </si>
  <si>
    <t xml:space="preserve">M018-28-29-32-CP1</t>
  </si>
  <si>
    <t xml:space="preserve">BAGUE EN LAITON AXE RESSORT NM+AM OM40</t>
  </si>
  <si>
    <t xml:space="preserve">M018-28-29-32-CP2</t>
  </si>
  <si>
    <t xml:space="preserve">bague épaulée 12*25*41</t>
  </si>
  <si>
    <t xml:space="preserve">BAGUE EPAULEE 14*20*60</t>
  </si>
  <si>
    <t xml:space="preserve">bague epaulee 14*30*66,5</t>
  </si>
  <si>
    <t xml:space="preserve">4-8209</t>
  </si>
  <si>
    <t xml:space="preserve">BAGUE EXT SILENT BLOC FORD BT50</t>
  </si>
  <si>
    <t xml:space="preserve">FO020-CP1</t>
  </si>
  <si>
    <t xml:space="preserve">bague galnanisee 10*14*10</t>
  </si>
  <si>
    <t xml:space="preserve">0-5579-1</t>
  </si>
  <si>
    <t xml:space="preserve">bague galnanisee 16*12*32</t>
  </si>
  <si>
    <t xml:space="preserve">0-3773-1-R</t>
  </si>
  <si>
    <t xml:space="preserve">Bague Galvaniée 12.2*20*50</t>
  </si>
  <si>
    <t xml:space="preserve">0-5191A</t>
  </si>
  <si>
    <t xml:space="preserve">bague galvanisé 12*18*38</t>
  </si>
  <si>
    <t xml:space="preserve">0-5255-1</t>
  </si>
  <si>
    <t xml:space="preserve">bague galvanise 12*20*50</t>
  </si>
  <si>
    <t xml:space="preserve">0-5191-1</t>
  </si>
  <si>
    <t xml:space="preserve">bague galvanise 14*18*32</t>
  </si>
  <si>
    <t xml:space="preserve">Bague Galvanisée  10*14*5</t>
  </si>
  <si>
    <t xml:space="preserve">0-6323-1</t>
  </si>
  <si>
    <t xml:space="preserve">Bague Galvanisée  10*16*25</t>
  </si>
  <si>
    <t xml:space="preserve">4-8809-1</t>
  </si>
  <si>
    <t xml:space="preserve">Bague Galvanisée  14*22.9*54.2</t>
  </si>
  <si>
    <t xml:space="preserve">0-5928A-1</t>
  </si>
  <si>
    <t xml:space="preserve">Bague Galvanisée 10*12*31</t>
  </si>
  <si>
    <t xml:space="preserve">4-8776-1</t>
  </si>
  <si>
    <t xml:space="preserve">bague galvanisée 10*14*10</t>
  </si>
  <si>
    <t xml:space="preserve">Bague Galvanisée 10*16*102</t>
  </si>
  <si>
    <t xml:space="preserve">0-3762-1</t>
  </si>
  <si>
    <t xml:space="preserve">Bague Galvanisée 10*16*18</t>
  </si>
  <si>
    <t xml:space="preserve">0-6258-1</t>
  </si>
  <si>
    <t xml:space="preserve">Bague Galvanisée 10*16*32</t>
  </si>
  <si>
    <t xml:space="preserve">0-3743-1</t>
  </si>
  <si>
    <t xml:space="preserve">Bague Galvanisée 10*16*35</t>
  </si>
  <si>
    <t xml:space="preserve">0-3745-1</t>
  </si>
  <si>
    <t xml:space="preserve">Bague Galvanisée 10*16*36</t>
  </si>
  <si>
    <t xml:space="preserve">0-3746-1</t>
  </si>
  <si>
    <t xml:space="preserve">Bague Galvanisée 10*16*45</t>
  </si>
  <si>
    <t xml:space="preserve">0-5557-1</t>
  </si>
  <si>
    <t xml:space="preserve">BAGUE GALVANISEE 10*16*80</t>
  </si>
  <si>
    <t xml:space="preserve">tour weiler</t>
  </si>
  <si>
    <t xml:space="preserve">Bague Galvanisée 10*18*32</t>
  </si>
  <si>
    <t xml:space="preserve">4-7423-1</t>
  </si>
  <si>
    <t xml:space="preserve">Bague Galvanisée 10*18*45</t>
  </si>
  <si>
    <t xml:space="preserve">0-6009-1</t>
  </si>
  <si>
    <t xml:space="preserve">Bague Galvanisée 10*18*50</t>
  </si>
  <si>
    <t xml:space="preserve">0-5177-1</t>
  </si>
  <si>
    <t xml:space="preserve">Bague Galvanisée 10*18*6</t>
  </si>
  <si>
    <t xml:space="preserve">0-5454-1</t>
  </si>
  <si>
    <t xml:space="preserve">Bague Galvanisée 10*18*60</t>
  </si>
  <si>
    <t xml:space="preserve">0-5332-1</t>
  </si>
  <si>
    <t xml:space="preserve">bague galvanisée 10x12x50</t>
  </si>
  <si>
    <t xml:space="preserve">4-7608-1</t>
  </si>
  <si>
    <t xml:space="preserve">Bague galvanisée 10x16x32</t>
  </si>
  <si>
    <t xml:space="preserve">0-3735-1</t>
  </si>
  <si>
    <t xml:space="preserve">Bague galvanisée 10x16x50</t>
  </si>
  <si>
    <t xml:space="preserve">0-3748-1</t>
  </si>
  <si>
    <t xml:space="preserve">CHUTTE NAK</t>
  </si>
  <si>
    <t xml:space="preserve">Bague galvanisée 10x16x80</t>
  </si>
  <si>
    <t xml:space="preserve">0-4258-1</t>
  </si>
  <si>
    <t xml:space="preserve">Bague galvanisée 10x18x38</t>
  </si>
  <si>
    <t xml:space="preserve">0-5177</t>
  </si>
  <si>
    <t xml:space="preserve">Bague galvanisée 10x18x40</t>
  </si>
  <si>
    <t xml:space="preserve">4-8052-1</t>
  </si>
  <si>
    <t xml:space="preserve">Bague galvanisée 10x18x55</t>
  </si>
  <si>
    <t xml:space="preserve">0-5329-1</t>
  </si>
  <si>
    <t xml:space="preserve">Bague Galvanisée 12*16*36</t>
  </si>
  <si>
    <t xml:space="preserve">4-7935-1</t>
  </si>
  <si>
    <t xml:space="preserve">chutte</t>
  </si>
  <si>
    <t xml:space="preserve">Bague Galvanisée 12*18*32</t>
  </si>
  <si>
    <t xml:space="preserve">0-3777-1</t>
  </si>
  <si>
    <t xml:space="preserve">Bague Galvanisée 12*18*35</t>
  </si>
  <si>
    <t xml:space="preserve">0-4252-1</t>
  </si>
  <si>
    <t xml:space="preserve">Bague Galvanisée 12*18*44</t>
  </si>
  <si>
    <t xml:space="preserve">0-6128-1</t>
  </si>
  <si>
    <t xml:space="preserve">Bague Galvanisée 12*20*38</t>
  </si>
  <si>
    <t xml:space="preserve">4-7029-1</t>
  </si>
  <si>
    <t xml:space="preserve">Bague Galvanisée 12*20*38-weiller </t>
  </si>
  <si>
    <t xml:space="preserve">Bague Galvanisée 12*20*41</t>
  </si>
  <si>
    <t xml:space="preserve">0-5254-1</t>
  </si>
  <si>
    <t xml:space="preserve">Bague Galvanisée 12*20*45,5</t>
  </si>
  <si>
    <t xml:space="preserve">0-5940-1</t>
  </si>
  <si>
    <t xml:space="preserve">Bague Galvanisée 12*20*46</t>
  </si>
  <si>
    <t xml:space="preserve">4-7676-1</t>
  </si>
  <si>
    <t xml:space="preserve">bague galvanisee 12*20*48</t>
  </si>
  <si>
    <t xml:space="preserve">0-6281-1</t>
  </si>
  <si>
    <t xml:space="preserve">bague galvanisee 12*20*50</t>
  </si>
  <si>
    <t xml:space="preserve">4-7219-1</t>
  </si>
  <si>
    <t xml:space="preserve">bague galvanisee 12*20*52</t>
  </si>
  <si>
    <t xml:space="preserve">0-5192-1</t>
  </si>
  <si>
    <t xml:space="preserve">Bague Galvanisée 12*22*53</t>
  </si>
  <si>
    <t xml:space="preserve">4-8136-1</t>
  </si>
  <si>
    <t xml:space="preserve">pf25</t>
  </si>
  <si>
    <t xml:space="preserve">Bague Galvanisée 12*22*60,5</t>
  </si>
  <si>
    <t xml:space="preserve">4-7137-1</t>
  </si>
  <si>
    <t xml:space="preserve">bague galvanisee 12*22*60.5</t>
  </si>
  <si>
    <t xml:space="preserve">Bague Galvanisée 12*22*69</t>
  </si>
  <si>
    <t xml:space="preserve">4-7062-1</t>
  </si>
  <si>
    <t xml:space="preserve">Bague Galvanisée 12*22*69 - WEILLER </t>
  </si>
  <si>
    <t xml:space="preserve">Bague galvanisée 12x16x32</t>
  </si>
  <si>
    <t xml:space="preserve">4-7002</t>
  </si>
  <si>
    <t xml:space="preserve">Bague galvanisée 12x16x32- weiller </t>
  </si>
  <si>
    <t xml:space="preserve">Bague Galvanisée 12x16x34</t>
  </si>
  <si>
    <t xml:space="preserve">0-3773-1</t>
  </si>
  <si>
    <t xml:space="preserve">Bague galvanisée 12x16x38</t>
  </si>
  <si>
    <t xml:space="preserve">0-3775-1</t>
  </si>
  <si>
    <t xml:space="preserve">Bague galvanisée 12x16x39</t>
  </si>
  <si>
    <t xml:space="preserve">0-5173-1</t>
  </si>
  <si>
    <t xml:space="preserve">Bague galvanisée 12x16x40</t>
  </si>
  <si>
    <t xml:space="preserve">4-7697-1</t>
  </si>
  <si>
    <t xml:space="preserve">bague galvanisée 12x16x73.5</t>
  </si>
  <si>
    <t xml:space="preserve">0-3779-1</t>
  </si>
  <si>
    <t xml:space="preserve">Bague galvanisée 12x18x34</t>
  </si>
  <si>
    <t xml:space="preserve">0-3791-1</t>
  </si>
  <si>
    <t xml:space="preserve">bague galvanisée 12x18x35</t>
  </si>
  <si>
    <t xml:space="preserve">0-5423-1</t>
  </si>
  <si>
    <t xml:space="preserve">bague galvanisée 12x18x36</t>
  </si>
  <si>
    <t xml:space="preserve">0 - 4252 - 1</t>
  </si>
  <si>
    <t xml:space="preserve">Bague galvanisée 12x18x38</t>
  </si>
  <si>
    <t xml:space="preserve">0 - 50 44 - 1</t>
  </si>
  <si>
    <t xml:space="preserve">bague galvanisée 12x18x40</t>
  </si>
  <si>
    <t xml:space="preserve">bague galvanisée 12x18x47.5</t>
  </si>
  <si>
    <t xml:space="preserve">0-3795-1</t>
  </si>
  <si>
    <t xml:space="preserve">Bague galvanisée 12x18x69,5</t>
  </si>
  <si>
    <t xml:space="preserve">0-5799-1</t>
  </si>
  <si>
    <t xml:space="preserve">bague galvanisée 12x18x7</t>
  </si>
  <si>
    <t xml:space="preserve">0-5790-1</t>
  </si>
  <si>
    <t xml:space="preserve">Bague galvanisée 12x20x34</t>
  </si>
  <si>
    <t xml:space="preserve">0-7016</t>
  </si>
  <si>
    <t xml:space="preserve">bague galvanisée 12x20x40</t>
  </si>
  <si>
    <t xml:space="preserve">4-7634-1</t>
  </si>
  <si>
    <t xml:space="preserve">bague galvanisée 12x20x40-chutte nak</t>
  </si>
  <si>
    <t xml:space="preserve">bague galvanisée 12X20X45</t>
  </si>
  <si>
    <t xml:space="preserve">0-5280-1</t>
  </si>
  <si>
    <t xml:space="preserve">Bague galvanisée 12x20x52</t>
  </si>
  <si>
    <t xml:space="preserve">0-5213-1</t>
  </si>
  <si>
    <t xml:space="preserve">Bague galvanisée 12x22x42</t>
  </si>
  <si>
    <t xml:space="preserve">Bague galvanisée 12x22x65</t>
  </si>
  <si>
    <t xml:space="preserve">12*22*42</t>
  </si>
  <si>
    <t xml:space="preserve">travail de chutte sur weileur </t>
  </si>
  <si>
    <t xml:space="preserve">Bague Galvanisée 14*20*36</t>
  </si>
  <si>
    <t xml:space="preserve">4-7070-1</t>
  </si>
  <si>
    <t xml:space="preserve">Bague Galvanisée 14*20*38</t>
  </si>
  <si>
    <t xml:space="preserve">0-5524-1</t>
  </si>
  <si>
    <t xml:space="preserve">Bague Galvanisée 14*20*45</t>
  </si>
  <si>
    <t xml:space="preserve">0-5223-1</t>
  </si>
  <si>
    <t xml:space="preserve">Bague Galvanisée 14*20*5</t>
  </si>
  <si>
    <t xml:space="preserve">4-8788-1</t>
  </si>
  <si>
    <t xml:space="preserve">Bague Galvanisée 14*20*62</t>
  </si>
  <si>
    <t xml:space="preserve">0-5594-1</t>
  </si>
  <si>
    <t xml:space="preserve">bague galvanisée 14x16x30</t>
  </si>
  <si>
    <t xml:space="preserve">0-5734-1</t>
  </si>
  <si>
    <t xml:space="preserve">bague galvanisée 14x16x32</t>
  </si>
  <si>
    <t xml:space="preserve">0-4225-1</t>
  </si>
  <si>
    <t xml:space="preserve">bague galvanisée 14x16x36</t>
  </si>
  <si>
    <t xml:space="preserve">0-4226-1</t>
  </si>
  <si>
    <t xml:space="preserve">bague galvanisée 14x16x40</t>
  </si>
  <si>
    <t xml:space="preserve">0-4227-1</t>
  </si>
  <si>
    <t xml:space="preserve">bague galvanisée 14x16x45</t>
  </si>
  <si>
    <t xml:space="preserve">0-4228-1</t>
  </si>
  <si>
    <t xml:space="preserve">bague galvanisée 14x18x40</t>
  </si>
  <si>
    <t xml:space="preserve">4-7082-1</t>
  </si>
  <si>
    <t xml:space="preserve">bague galvanisée 14x18x44</t>
  </si>
  <si>
    <t xml:space="preserve">0-4229-1</t>
  </si>
  <si>
    <t xml:space="preserve">Bague galvanisée 14x18x45</t>
  </si>
  <si>
    <t xml:space="preserve">0-4230-1</t>
  </si>
  <si>
    <t xml:space="preserve">Bague galvanisée 14x18x50</t>
  </si>
  <si>
    <t xml:space="preserve">0-4231-1</t>
  </si>
  <si>
    <t xml:space="preserve">bague galvanisée 14x20x40</t>
  </si>
  <si>
    <t xml:space="preserve">0-4232-1</t>
  </si>
  <si>
    <t xml:space="preserve">bague galvanisée 14x20x42</t>
  </si>
  <si>
    <t xml:space="preserve">0-5202-1</t>
  </si>
  <si>
    <t xml:space="preserve">bague galvanisée 14x20x45</t>
  </si>
  <si>
    <t xml:space="preserve">0-5442-1</t>
  </si>
  <si>
    <t xml:space="preserve">bague galvanisée 14x20x48</t>
  </si>
  <si>
    <t xml:space="preserve">bague galvanisée 14x20x50</t>
  </si>
  <si>
    <t xml:space="preserve">4-7613-1</t>
  </si>
  <si>
    <t xml:space="preserve">bague galvanisée 14x20x52</t>
  </si>
  <si>
    <t xml:space="preserve">4- 72 83 </t>
  </si>
  <si>
    <t xml:space="preserve">percage sur nak apres decoupage sur pf25</t>
  </si>
  <si>
    <t xml:space="preserve">bague galvanisée 14x20x62</t>
  </si>
  <si>
    <t xml:space="preserve">0 - 57 40 - 1</t>
  </si>
  <si>
    <t xml:space="preserve">bague galvanisée 14x22x40</t>
  </si>
  <si>
    <t xml:space="preserve">Bague Galvanisée 16*20*38</t>
  </si>
  <si>
    <t xml:space="preserve">0-4236-1</t>
  </si>
  <si>
    <t xml:space="preserve">Bague Galvanisée 16*20*38 - weiller </t>
  </si>
  <si>
    <t xml:space="preserve">Bague Galvanisée 16*20*50</t>
  </si>
  <si>
    <t xml:space="preserve">4-8142-1</t>
  </si>
  <si>
    <t xml:space="preserve">Bague Galvanisée 16*22*38</t>
  </si>
  <si>
    <t xml:space="preserve">0-4238-1</t>
  </si>
  <si>
    <t xml:space="preserve">Bague Galvanisée 16*22*38- weiller </t>
  </si>
  <si>
    <t xml:space="preserve">Bague Galvanisée 16*22*40</t>
  </si>
  <si>
    <t xml:space="preserve">4-7494-1</t>
  </si>
  <si>
    <t xml:space="preserve">Bague Galvanisée 16*22*41</t>
  </si>
  <si>
    <t xml:space="preserve">4-8449-1</t>
  </si>
  <si>
    <t xml:space="preserve">Bague Galvanisée 16*22*44</t>
  </si>
  <si>
    <t xml:space="preserve">0-5899-1</t>
  </si>
  <si>
    <t xml:space="preserve">Bague Galvanisée 16*28*100</t>
  </si>
  <si>
    <t xml:space="preserve">4-7002-1</t>
  </si>
  <si>
    <t xml:space="preserve">Bague Galvanisée 16*28*62</t>
  </si>
  <si>
    <t xml:space="preserve">4-8591-1</t>
  </si>
  <si>
    <t xml:space="preserve">Bague Galvanisée 16*28*66</t>
  </si>
  <si>
    <t xml:space="preserve">4-7003-1</t>
  </si>
  <si>
    <t xml:space="preserve">bague galvanisée 16x20x45</t>
  </si>
  <si>
    <t xml:space="preserve">4-7003</t>
  </si>
  <si>
    <t xml:space="preserve">bague galvanisée 16x22x50</t>
  </si>
  <si>
    <t xml:space="preserve">0-4998-1</t>
  </si>
  <si>
    <t xml:space="preserve">Bague galvanisée 16x28x100</t>
  </si>
  <si>
    <t xml:space="preserve">0-5477-1</t>
  </si>
  <si>
    <t xml:space="preserve">bague galvanisee 18*12*40</t>
  </si>
  <si>
    <t xml:space="preserve">bague galvanisée 18x22x33</t>
  </si>
  <si>
    <t xml:space="preserve">Bague galvanisée 18x22x42</t>
  </si>
  <si>
    <t xml:space="preserve">4-7235-1</t>
  </si>
  <si>
    <t xml:space="preserve">Bague galvanisée 18x22x42-WEILLER </t>
  </si>
  <si>
    <t xml:space="preserve">bague galvanisée 20*26*45</t>
  </si>
  <si>
    <t xml:space="preserve">0-4989-1</t>
  </si>
  <si>
    <t xml:space="preserve">Bague Galvanisée 20*26*55</t>
  </si>
  <si>
    <t xml:space="preserve">4-7882-1</t>
  </si>
  <si>
    <t xml:space="preserve">Bague Galvanisée 20*26*62</t>
  </si>
  <si>
    <t xml:space="preserve">0-4894-1</t>
  </si>
  <si>
    <t xml:space="preserve">Bague Galvanisée 20*28*105</t>
  </si>
  <si>
    <t xml:space="preserve">4-7564-1</t>
  </si>
  <si>
    <t xml:space="preserve">bague galvanisée 20x26x150</t>
  </si>
  <si>
    <t xml:space="preserve">4-8483-1</t>
  </si>
  <si>
    <t xml:space="preserve">Bague galvanisée 20x26x46</t>
  </si>
  <si>
    <t xml:space="preserve">4-8489-1</t>
  </si>
  <si>
    <t xml:space="preserve">bague galvanisée 20x26x50</t>
  </si>
  <si>
    <t xml:space="preserve">0-5023-1</t>
  </si>
  <si>
    <t xml:space="preserve">bague galvanisée 20x26x50- weiller </t>
  </si>
  <si>
    <t xml:space="preserve">Bague Galvanisée 20x26x7</t>
  </si>
  <si>
    <t xml:space="preserve">4- 8362-1</t>
  </si>
  <si>
    <t xml:space="preserve">Bague Galvanisée 24*30*55</t>
  </si>
  <si>
    <t xml:space="preserve">0-6249-1</t>
  </si>
  <si>
    <t xml:space="preserve">4-7561-1</t>
  </si>
  <si>
    <t xml:space="preserve">Bague Galvanisée 25,2*32*40</t>
  </si>
  <si>
    <t xml:space="preserve">4-7791-1</t>
  </si>
  <si>
    <t xml:space="preserve">bague galvanisée 9x12x30.5</t>
  </si>
  <si>
    <t xml:space="preserve">0-3724-1</t>
  </si>
  <si>
    <t xml:space="preserve">BAGUE HEXAGONE TARAUDEE M16*150</t>
  </si>
  <si>
    <t xml:space="preserve">4-7986-1</t>
  </si>
  <si>
    <t xml:space="preserve">bague int silent bloc 18-14-68.8</t>
  </si>
  <si>
    <t xml:space="preserve">Bague Int silent bloc canter</t>
  </si>
  <si>
    <t xml:space="preserve">I043</t>
  </si>
  <si>
    <t xml:space="preserve">BAGUE INT SILENT BLOC FORD BT50</t>
  </si>
  <si>
    <t xml:space="preserve">FO020-CP2</t>
  </si>
  <si>
    <t xml:space="preserve">BAGUE INT SILENT BLOC INF-CP2 PROD</t>
  </si>
  <si>
    <t xml:space="preserve">I016-CP1-PROD</t>
  </si>
  <si>
    <t xml:space="preserve">BAGUE INT SILENT BLOC MIT </t>
  </si>
  <si>
    <t xml:space="preserve">MI23-CP2</t>
  </si>
  <si>
    <t xml:space="preserve">BAGUE INT SILENT BLOC MITSUBISHI PROD</t>
  </si>
  <si>
    <t xml:space="preserve">I044-CP2-PROD</t>
  </si>
  <si>
    <t xml:space="preserve">BAGUE INT SILENT BLOC RESSORT-CP2 PROD</t>
  </si>
  <si>
    <t xml:space="preserve">MI031-CP1-PROD</t>
  </si>
  <si>
    <t xml:space="preserve">BAGUE L=62mm SUPPORT CABINE TFR</t>
  </si>
  <si>
    <t xml:space="preserve">TF62-CP4</t>
  </si>
  <si>
    <t xml:space="preserve">BAGUE L=78 SUPP CABINE D'MAX</t>
  </si>
  <si>
    <t xml:space="preserve">I164-CP6</t>
  </si>
  <si>
    <t xml:space="preserve">BAGUE LAITON 10,2*12,7</t>
  </si>
  <si>
    <t xml:space="preserve">I043-CP2-PROD</t>
  </si>
  <si>
    <t xml:space="preserve">BAGUE LAITON 13*8.5*12</t>
  </si>
  <si>
    <t xml:space="preserve">13x8.5x12</t>
  </si>
  <si>
    <t xml:space="preserve">Bague laiton necessaire axe ressort</t>
  </si>
  <si>
    <t xml:space="preserve">12.7x7.3x10.4</t>
  </si>
  <si>
    <t xml:space="preserve">BAGUE LAITON NECESSAIRE AXE RESSORT AR F110</t>
  </si>
  <si>
    <t xml:space="preserve">F042-CP1</t>
  </si>
  <si>
    <t xml:space="preserve">BAGUE LAITON NECESSAIRE AXE RESSORT AV F110</t>
  </si>
  <si>
    <t xml:space="preserve">F043-cp1</t>
  </si>
  <si>
    <t xml:space="preserve">BAGUE RIVET COUVERCLE T80</t>
  </si>
  <si>
    <t xml:space="preserve">BAG-T80</t>
  </si>
  <si>
    <t xml:space="preserve">Bague tarraudée</t>
  </si>
  <si>
    <t xml:space="preserve">BAGUE TUBE DEAU FORD PROD</t>
  </si>
  <si>
    <t xml:space="preserve">FO012-CP1-PROD</t>
  </si>
  <si>
    <t xml:space="preserve">bielle direction</t>
  </si>
  <si>
    <t xml:space="preserve">36X40X28</t>
  </si>
  <si>
    <t xml:space="preserve">bossage purge M6</t>
  </si>
  <si>
    <t xml:space="preserve">ALBS06100L08</t>
  </si>
  <si>
    <t xml:space="preserve">BOUCHON ALUMINIUM D38</t>
  </si>
  <si>
    <t xml:space="preserve">BOUCH-ALU-D38</t>
  </si>
  <si>
    <t xml:space="preserve">Bouchon carter</t>
  </si>
  <si>
    <t xml:space="preserve">I009</t>
  </si>
  <si>
    <t xml:space="preserve">bouchon Fan out 72</t>
  </si>
  <si>
    <t xml:space="preserve">Part C</t>
  </si>
  <si>
    <t xml:space="preserve">BOUCHON INOX D12-7.1</t>
  </si>
  <si>
    <t xml:space="preserve">BCH-IN-D12-7.1</t>
  </si>
  <si>
    <t xml:space="preserve">BOUCHON INOX D14</t>
  </si>
  <si>
    <t xml:space="preserve">BOUCH-IN-D14</t>
  </si>
  <si>
    <t xml:space="preserve">BOUCHON INOX D7.9 140X76X3</t>
  </si>
  <si>
    <t xml:space="preserve">BCH-IN-D7.9</t>
  </si>
  <si>
    <t xml:space="preserve">BOUCHON INOX D8.1 140X76X3</t>
  </si>
  <si>
    <t xml:space="preserve">BCH-IN-D8.1</t>
  </si>
  <si>
    <t xml:space="preserve">BOULON AXE RESSORT NM OM40</t>
  </si>
  <si>
    <t xml:space="preserve">M018-29-CP3</t>
  </si>
  <si>
    <t xml:space="preserve">BOULON D'ASSEMBLAGE PROD</t>
  </si>
  <si>
    <t xml:space="preserve">B001-CP1</t>
  </si>
  <si>
    <t xml:space="preserve">Boulon support moteur Ford</t>
  </si>
  <si>
    <t xml:space="preserve">FO008-cp3</t>
  </si>
  <si>
    <t xml:space="preserve">Boulon support moteur Ford GM</t>
  </si>
  <si>
    <t xml:space="preserve">BRIDE TDW200</t>
  </si>
  <si>
    <t xml:space="preserve">99MATBRIDE200</t>
  </si>
  <si>
    <t xml:space="preserve">BROCHE ACIER D13 ZINGUE L180</t>
  </si>
  <si>
    <t xml:space="preserve">BROCH L 180</t>
  </si>
  <si>
    <t xml:space="preserve">BROCHE ACIER D13 ZINGUE L230</t>
  </si>
  <si>
    <t xml:space="preserve">BROCH L 230</t>
  </si>
  <si>
    <t xml:space="preserve">Bronzina 16/18*10.3</t>
  </si>
  <si>
    <t xml:space="preserve">BUSS D13/20X18,2 AVP CARB-BAGUE ACIER D20</t>
  </si>
  <si>
    <t xml:space="preserve">BUSS DIS 14-3003 1320x28.7 AVP CARB </t>
  </si>
  <si>
    <t xml:space="preserve">BUTEE INTERNE METALLIQUE</t>
  </si>
  <si>
    <t xml:space="preserve">Butée interne métallique</t>
  </si>
  <si>
    <t xml:space="preserve">CAL ACIER SUSPENSION TOYOTA</t>
  </si>
  <si>
    <t xml:space="preserve">I090-CP3</t>
  </si>
  <si>
    <t xml:space="preserve">CAL SUSPENSION PM ISUZU</t>
  </si>
  <si>
    <t xml:space="preserve">I006</t>
  </si>
  <si>
    <t xml:space="preserve">CAL SUSPENSION PM ISUZU-fraisage +  percage sur centre </t>
  </si>
  <si>
    <t xml:space="preserve">CHARNIERE DE PORTE ISUZU D/B NON COUPEE - 894155315</t>
  </si>
  <si>
    <t xml:space="preserve">I078</t>
  </si>
  <si>
    <t xml:space="preserve">CHEMISE 440 DIN</t>
  </si>
  <si>
    <t xml:space="preserve">040DECO0032</t>
  </si>
  <si>
    <t xml:space="preserve">CHEMISE 82US-43BUS PF01245B- biglia mjm</t>
  </si>
  <si>
    <t xml:space="preserve">040DECO0009</t>
  </si>
  <si>
    <t xml:space="preserve">CHEMISE 840-450 DIN</t>
  </si>
  <si>
    <t xml:space="preserve">040DECO0015- nak </t>
  </si>
  <si>
    <t xml:space="preserve">Chemise Fan out 72</t>
  </si>
  <si>
    <t xml:space="preserve">Clamping ring 240Fo </t>
  </si>
  <si>
    <t xml:space="preserve">OTT-171-TSUGAMI</t>
  </si>
  <si>
    <t xml:space="preserve">chq 20 min / 40pcs</t>
  </si>
  <si>
    <t xml:space="preserve">clamping ring 240fo </t>
  </si>
  <si>
    <t xml:space="preserve">OTT-171-L32</t>
  </si>
  <si>
    <t xml:space="preserve">Clamping ring 360FO</t>
  </si>
  <si>
    <t xml:space="preserve">OTT-172-TSUGAMI</t>
  </si>
  <si>
    <t xml:space="preserve">CORDGRIP M20 FOR PRIMARY FANOUT biglia</t>
  </si>
  <si>
    <t xml:space="preserve">301-601-002</t>
  </si>
  <si>
    <t xml:space="preserve">CORDGRIP M20 FOR PRIMARY FANOUT L32</t>
  </si>
  <si>
    <t xml:space="preserve">CRIMP BODY FOR SECONDARY FAN OUT </t>
  </si>
  <si>
    <t xml:space="preserve">OPE-047</t>
  </si>
  <si>
    <t xml:space="preserve">Culot bougie GM Culasse</t>
  </si>
  <si>
    <t xml:space="preserve">D002</t>
  </si>
  <si>
    <t xml:space="preserve">CULOT BOUGIE GM EN ACIER PROD</t>
  </si>
  <si>
    <t xml:space="preserve">D002-AC-PROD</t>
  </si>
  <si>
    <t xml:space="preserve">Culot Bougie PM Culasse</t>
  </si>
  <si>
    <t xml:space="preserve">D003</t>
  </si>
  <si>
    <t xml:space="preserve">DECOUPAGE AXE 100 INOX D8 L60</t>
  </si>
  <si>
    <t xml:space="preserve">AXE-IN-D8-L60</t>
  </si>
  <si>
    <t xml:space="preserve">douille carre 24</t>
  </si>
  <si>
    <t xml:space="preserve">douille Ø4</t>
  </si>
  <si>
    <t xml:space="preserve">15-0795</t>
  </si>
  <si>
    <t xml:space="preserve">ECROU 430-440 DECOLLETE- nak </t>
  </si>
  <si>
    <t xml:space="preserve">020DECO0004</t>
  </si>
  <si>
    <t xml:space="preserve">ECROU 430-440 DECOLLETE- nak PH2</t>
  </si>
  <si>
    <t xml:space="preserve">ECROU 6.5X10</t>
  </si>
  <si>
    <t xml:space="preserve">ECR-6.5X10</t>
  </si>
  <si>
    <t xml:space="preserve">ECROU 85-85B reprise</t>
  </si>
  <si>
    <t xml:space="preserve">020DECO0006</t>
  </si>
  <si>
    <t xml:space="preserve">ECROU 85-85B reprise chanfrien </t>
  </si>
  <si>
    <t xml:space="preserve">020DECO0006- chanfrien</t>
  </si>
  <si>
    <t xml:space="preserve">ecrou acier hex 10</t>
  </si>
  <si>
    <t xml:space="preserve">ECROU h10</t>
  </si>
  <si>
    <t xml:space="preserve">Ecrou alu D38-JAMEL</t>
  </si>
  <si>
    <t xml:space="preserve">Ecrou M27</t>
  </si>
  <si>
    <t xml:space="preserve">ECROU BIELLE DIRECTION DROITE</t>
  </si>
  <si>
    <t xml:space="preserve">I113</t>
  </si>
  <si>
    <t xml:space="preserve">ECROU BIELLE DROITE</t>
  </si>
  <si>
    <t xml:space="preserve">I113-CP1</t>
  </si>
  <si>
    <t xml:space="preserve">ECROU BRIDE HEX 22 M14*1.5 </t>
  </si>
  <si>
    <t xml:space="preserve">ECR BRIDE HEX 22</t>
  </si>
  <si>
    <t xml:space="preserve">ECROU BRIDE HEX 24 PROD</t>
  </si>
  <si>
    <t xml:space="preserve">ECROU-H24-PROD</t>
  </si>
  <si>
    <t xml:space="preserve">Ecrou bride M14*1.5</t>
  </si>
  <si>
    <t xml:space="preserve">Ecrou collier ISUZU TFR</t>
  </si>
  <si>
    <t xml:space="preserve">I138-cp</t>
  </si>
  <si>
    <t xml:space="preserve">chanfrein sur NAKAMURA</t>
  </si>
  <si>
    <t xml:space="preserve">ECROU DE BLOC</t>
  </si>
  <si>
    <t xml:space="preserve">4-7326</t>
  </si>
  <si>
    <t xml:space="preserve">CARRE SUR CENTRE </t>
  </si>
  <si>
    <t xml:space="preserve">ECROU DE FUSEE</t>
  </si>
  <si>
    <t xml:space="preserve">reprise taraudage sur nak </t>
  </si>
  <si>
    <t xml:space="preserve">ecrou de fusée</t>
  </si>
  <si>
    <t xml:space="preserve">601130-NAK</t>
  </si>
  <si>
    <t xml:space="preserve">ECROU DE FUSEE- HARDING </t>
  </si>
  <si>
    <t xml:space="preserve">Ecrou de roue Mitsubitchi PM</t>
  </si>
  <si>
    <t xml:space="preserve">MI08-cp1</t>
  </si>
  <si>
    <t xml:space="preserve">ECROU DE ROUE NISSAN PM</t>
  </si>
  <si>
    <t xml:space="preserve">NIS001</t>
  </si>
  <si>
    <t xml:space="preserve">Ecrou de roue origine</t>
  </si>
  <si>
    <t xml:space="preserve">I143</t>
  </si>
  <si>
    <t xml:space="preserve">Ecrou de roue TFR ISUZU</t>
  </si>
  <si>
    <t xml:space="preserve">I025</t>
  </si>
  <si>
    <t xml:space="preserve">ECROU DE ROUE TFR ISUZU -nak</t>
  </si>
  <si>
    <t xml:space="preserve">I143-CP1</t>
  </si>
  <si>
    <t xml:space="preserve">ECROU DEMI CARTER ISUZU</t>
  </si>
  <si>
    <t xml:space="preserve">I096-CP2</t>
  </si>
  <si>
    <t xml:space="preserve">ecrou frein</t>
  </si>
  <si>
    <t xml:space="preserve">ecrou frein M12x150</t>
  </si>
  <si>
    <t xml:space="preserve">ECROU FUSEE 404 PROD</t>
  </si>
  <si>
    <t xml:space="preserve">B012-PROD</t>
  </si>
  <si>
    <t xml:space="preserve">ECROU FUSEE OM40</t>
  </si>
  <si>
    <t xml:space="preserve">M023</t>
  </si>
  <si>
    <t xml:space="preserve">Ecrou goujon de 14 NM</t>
  </si>
  <si>
    <t xml:space="preserve">G002-CP2</t>
  </si>
  <si>
    <t xml:space="preserve">ECROU HEX 17</t>
  </si>
  <si>
    <t xml:space="preserve">ECROU HEX 19 LG16.4</t>
  </si>
  <si>
    <t xml:space="preserve">G022-CP4</t>
  </si>
  <si>
    <t xml:space="preserve">ecrou hex 8 Acier</t>
  </si>
  <si>
    <t xml:space="preserve">ECROU HEXAGON</t>
  </si>
  <si>
    <t xml:space="preserve">Ecrou hex8</t>
  </si>
  <si>
    <t xml:space="preserve">ECROU HEXAGON+MULTI</t>
  </si>
  <si>
    <t xml:space="preserve">ECROU JUMELLE SIMLPE MIT AM </t>
  </si>
  <si>
    <t xml:space="preserve">MI11-CP3</t>
  </si>
  <si>
    <t xml:space="preserve">ECROU M12x1,25</t>
  </si>
  <si>
    <t xml:space="preserve">I066-I098-CP5</t>
  </si>
  <si>
    <t xml:space="preserve">ECROU M12x125 ROULEMENT CENTRE FASTER 10 CV </t>
  </si>
  <si>
    <t xml:space="preserve">I158-CP7</t>
  </si>
  <si>
    <t xml:space="preserve">Ecrou M16x1.50 lg18 HEX19</t>
  </si>
  <si>
    <t xml:space="preserve">ECM16L18HEX19</t>
  </si>
  <si>
    <t xml:space="preserve">ECROU Ø   10 LG10</t>
  </si>
  <si>
    <t xml:space="preserve">ecrou R5/R4 RENAULT</t>
  </si>
  <si>
    <t xml:space="preserve">R006-CP1</t>
  </si>
  <si>
    <t xml:space="preserve">ECROU semi arbre isuzu</t>
  </si>
  <si>
    <t xml:space="preserve">I007</t>
  </si>
  <si>
    <t xml:space="preserve">Ecrou suspension</t>
  </si>
  <si>
    <t xml:space="preserve">I004</t>
  </si>
  <si>
    <t xml:space="preserve">apartir de carre 6</t>
  </si>
  <si>
    <t xml:space="preserve">ECROU SUSPENSION PROD</t>
  </si>
  <si>
    <t xml:space="preserve">I004-PROD</t>
  </si>
  <si>
    <t xml:space="preserve">Ecrou taraudée de tête pompête</t>
  </si>
  <si>
    <t xml:space="preserve">B041-cp4</t>
  </si>
  <si>
    <t xml:space="preserve">ecrou tige embrayage F110</t>
  </si>
  <si>
    <t xml:space="preserve">F110</t>
  </si>
  <si>
    <t xml:space="preserve">ecrou trompête 404</t>
  </si>
  <si>
    <t xml:space="preserve">B006</t>
  </si>
  <si>
    <t xml:space="preserve">ECROU VIS PONT AR OM40 nakamurah</t>
  </si>
  <si>
    <t xml:space="preserve">M024</t>
  </si>
  <si>
    <t xml:space="preserve">ECROU.ROUE TFR CHR-CP1 PRO</t>
  </si>
  <si>
    <t xml:space="preserve">I137-CP1-PROD</t>
  </si>
  <si>
    <t xml:space="preserve">Embout H10</t>
  </si>
  <si>
    <t xml:space="preserve">LE1PM2118S112250-B</t>
  </si>
  <si>
    <t xml:space="preserve">EMBOUT H11.5</t>
  </si>
  <si>
    <t xml:space="preserve">LE1PM2118S112249-A</t>
  </si>
  <si>
    <t xml:space="preserve">embout porte rotule</t>
  </si>
  <si>
    <t xml:space="preserve">embout tige piston</t>
  </si>
  <si>
    <t xml:space="preserve">Entretoise de serrage TDW</t>
  </si>
  <si>
    <t xml:space="preserve">PPMATBRIDE200</t>
  </si>
  <si>
    <t xml:space="preserve">entretoise hex11</t>
  </si>
  <si>
    <t xml:space="preserve">SUR MORI SEIKI </t>
  </si>
  <si>
    <t xml:space="preserve">Entretoise Hex11 </t>
  </si>
  <si>
    <t xml:space="preserve">Entretoise hexagonal Hex15</t>
  </si>
  <si>
    <t xml:space="preserve">EVACUATION 2/3G X-ONE</t>
  </si>
  <si>
    <t xml:space="preserve">EVACUATION 2/3G X-ONE carre l32 </t>
  </si>
  <si>
    <t xml:space="preserve">FAN OUT JENOPTEC 12FO</t>
  </si>
  <si>
    <t xml:space="preserve">301-603-009</t>
  </si>
  <si>
    <t xml:space="preserve">FANOUT 72FO POM C NOIR</t>
  </si>
  <si>
    <t xml:space="preserve">901-609-001</t>
  </si>
  <si>
    <t xml:space="preserve">FANOUT FOR 36FO JENOPTEC-CP1</t>
  </si>
  <si>
    <t xml:space="preserve">301-603-011-CP1</t>
  </si>
  <si>
    <t xml:space="preserve">FANOUT FOR 36FO JENOPTEC-CP2</t>
  </si>
  <si>
    <t xml:space="preserve">301-603-011-CP2</t>
  </si>
  <si>
    <t xml:space="preserve">FANOUT FOR 36FO JENOPTEC-CP3</t>
  </si>
  <si>
    <t xml:space="preserve">301-603-011-CP3</t>
  </si>
  <si>
    <t xml:space="preserve">FANOUT FOR 36FO JENOPTEC-CP3 Biglia</t>
  </si>
  <si>
    <t xml:space="preserve">901-609-001-CP3</t>
  </si>
  <si>
    <t xml:space="preserve">FANOUT FOR 72FO JENOPTEC-CP2</t>
  </si>
  <si>
    <t xml:space="preserve">301-603-CP2</t>
  </si>
  <si>
    <t xml:space="preserve">FANOUT FOR 72FO JENOPTEC-CP3</t>
  </si>
  <si>
    <t xml:space="preserve">FC FOURCHETTE </t>
  </si>
  <si>
    <t xml:space="preserve">19087-1-1</t>
  </si>
  <si>
    <t xml:space="preserve">fileté</t>
  </si>
  <si>
    <t xml:space="preserve">part A</t>
  </si>
  <si>
    <t xml:space="preserve">FIXATION SUPERIEUR VIS</t>
  </si>
  <si>
    <t xml:space="preserve">flasque</t>
  </si>
  <si>
    <t xml:space="preserve">FORME D 30</t>
  </si>
  <si>
    <t xml:space="preserve">2018021-01-30</t>
  </si>
  <si>
    <t xml:space="preserve">FORME D 40</t>
  </si>
  <si>
    <t xml:space="preserve">2018021-01-40</t>
  </si>
  <si>
    <t xml:space="preserve">FUHRUNGSSAULE-D8-90-M4-i-i</t>
  </si>
  <si>
    <t xml:space="preserve">SAP NR 5-001-46857</t>
  </si>
  <si>
    <t xml:space="preserve">Gewindeeinsatz Ensat M4*5</t>
  </si>
  <si>
    <t xml:space="preserve">200505-0-F</t>
  </si>
  <si>
    <t xml:space="preserve">gojon LG 51.5 Ø19.7</t>
  </si>
  <si>
    <t xml:space="preserve">GOUJON COLLECTEUR 404</t>
  </si>
  <si>
    <t xml:space="preserve">B016</t>
  </si>
  <si>
    <t xml:space="preserve">GOUJON DE 10 AR</t>
  </si>
  <si>
    <t xml:space="preserve">G001-CP1</t>
  </si>
  <si>
    <t xml:space="preserve">GOUJON DE 11 LG 160</t>
  </si>
  <si>
    <t xml:space="preserve">GOUJON DE 11 LG180</t>
  </si>
  <si>
    <t xml:space="preserve">Goujon de 12 L = 183 mm</t>
  </si>
  <si>
    <t xml:space="preserve">G003</t>
  </si>
  <si>
    <t xml:space="preserve">goujon de 12 l160</t>
  </si>
  <si>
    <t xml:space="preserve">goujon de 12 l180</t>
  </si>
  <si>
    <t xml:space="preserve">fraisage sur centre </t>
  </si>
  <si>
    <t xml:space="preserve">Goujon de 15 NM </t>
  </si>
  <si>
    <t xml:space="preserve">G022-cp1</t>
  </si>
  <si>
    <t xml:space="preserve">goujon de roue</t>
  </si>
  <si>
    <t xml:space="preserve">GOUJON DE ROUE AR OM40 PROD</t>
  </si>
  <si>
    <t xml:space="preserve">M034-PROD</t>
  </si>
  <si>
    <t xml:space="preserve">GOUJON de roue AR ZEHO NM</t>
  </si>
  <si>
    <t xml:space="preserve">GOUJON DE ROUE AV</t>
  </si>
  <si>
    <t xml:space="preserve">M033</t>
  </si>
  <si>
    <t xml:space="preserve">GOUJON DE ROUE ISUZU</t>
  </si>
  <si>
    <t xml:space="preserve">I039</t>
  </si>
  <si>
    <t xml:space="preserve">Goujon de roue ISUZU</t>
  </si>
  <si>
    <t xml:space="preserve">GOUJON DE ROUE MAZDA</t>
  </si>
  <si>
    <t xml:space="preserve">fo014-NAK</t>
  </si>
  <si>
    <t xml:space="preserve">sb16</t>
  </si>
  <si>
    <t xml:space="preserve">goujon de roue MI PM av</t>
  </si>
  <si>
    <t xml:space="preserve">MI19</t>
  </si>
  <si>
    <t xml:space="preserve">sur tsughami </t>
  </si>
  <si>
    <t xml:space="preserve">Goujon de roue Mit GM MB 584750 VT</t>
  </si>
  <si>
    <t xml:space="preserve">MI18</t>
  </si>
  <si>
    <t xml:space="preserve">sst </t>
  </si>
  <si>
    <t xml:space="preserve">Goujon de roue Mit GMB584750V T</t>
  </si>
  <si>
    <t xml:space="preserve">MI018</t>
  </si>
  <si>
    <t xml:space="preserve">mori seki </t>
  </si>
  <si>
    <t xml:space="preserve">GOUJON DE ROUE NISSAN D22 PATROL</t>
  </si>
  <si>
    <t xml:space="preserve">NIS004</t>
  </si>
  <si>
    <t xml:space="preserve">GOUJON DE ROUE NISSAN URVAN LOUAGE</t>
  </si>
  <si>
    <t xml:space="preserve">NIS003</t>
  </si>
  <si>
    <t xml:space="preserve">goujon de roue OM grand model</t>
  </si>
  <si>
    <t xml:space="preserve">OM40</t>
  </si>
  <si>
    <t xml:space="preserve">GOUJON HILUX-PROD</t>
  </si>
  <si>
    <t xml:space="preserve">TO008-PROD</t>
  </si>
  <si>
    <t xml:space="preserve">GOUJON HUTCHINSON</t>
  </si>
  <si>
    <t xml:space="preserve">LC1327C200</t>
  </si>
  <si>
    <t xml:space="preserve">goujon IVECO GM</t>
  </si>
  <si>
    <t xml:space="preserve">goujon l 180.5</t>
  </si>
  <si>
    <t xml:space="preserve">GOUJON LONCLUSER AV ET AR-PROD</t>
  </si>
  <si>
    <t xml:space="preserve">TO009-PROD</t>
  </si>
  <si>
    <t xml:space="preserve">GOUJON M12*1.5 L=50</t>
  </si>
  <si>
    <t xml:space="preserve">G018</t>
  </si>
  <si>
    <t xml:space="preserve">Weiler</t>
  </si>
  <si>
    <t xml:space="preserve">GOUJON M12*1.5 L=56</t>
  </si>
  <si>
    <t xml:space="preserve">G017</t>
  </si>
  <si>
    <t xml:space="preserve">GOUJON M12*1.5 L=56 PROD</t>
  </si>
  <si>
    <t xml:space="preserve">G017-PROD</t>
  </si>
  <si>
    <t xml:space="preserve">GOUJON M14*1.5 L=52 </t>
  </si>
  <si>
    <t xml:space="preserve">G021-CP2</t>
  </si>
  <si>
    <t xml:space="preserve">GOUJON M14*1.5 L=52 fraisé</t>
  </si>
  <si>
    <t xml:space="preserve">G026-cp2</t>
  </si>
  <si>
    <t xml:space="preserve">GOUJON M14*1.5 L=52 NON FRAISEE PROD</t>
  </si>
  <si>
    <t xml:space="preserve">G028-PROD</t>
  </si>
  <si>
    <t xml:space="preserve">GOUJON M4</t>
  </si>
  <si>
    <t xml:space="preserve">Goujon Ø 18 lg 5 0</t>
  </si>
  <si>
    <t xml:space="preserve">G018-L32</t>
  </si>
  <si>
    <t xml:space="preserve">Goujon Ø 18 lg 50</t>
  </si>
  <si>
    <t xml:space="preserve">GOUJON Ø 28</t>
  </si>
  <si>
    <t xml:space="preserve">B003-PROD</t>
  </si>
  <si>
    <t xml:space="preserve">GOUJON TREMPETTE 404 PROD</t>
  </si>
  <si>
    <t xml:space="preserve">TRM200</t>
  </si>
  <si>
    <t xml:space="preserve">GOUPILLE LAITON D6</t>
  </si>
  <si>
    <t xml:space="preserve">GOUPILLE D6</t>
  </si>
  <si>
    <t xml:space="preserve">GOUPILLE TUBE D'EAU PUNTO 2-CP5 PROD</t>
  </si>
  <si>
    <t xml:space="preserve">F029-CP5</t>
  </si>
  <si>
    <t xml:space="preserve">INSERT  MOLETE LAITON D6-90-CP1</t>
  </si>
  <si>
    <t xml:space="preserve">INSERT D6-90-CP1</t>
  </si>
  <si>
    <t xml:space="preserve">insert Hex 8 laiton</t>
  </si>
  <si>
    <t xml:space="preserve">decoltage a partir de chuttes d50 sue nak </t>
  </si>
  <si>
    <t xml:space="preserve">Insert Inox M8</t>
  </si>
  <si>
    <t xml:space="preserve">insert laiton D6</t>
  </si>
  <si>
    <t xml:space="preserve">insert D6</t>
  </si>
  <si>
    <t xml:space="preserve">INSERT LAITON D6-120-CP1</t>
  </si>
  <si>
    <t xml:space="preserve">INSERT D6-120-CP1</t>
  </si>
  <si>
    <t xml:space="preserve">INSERT LAITON D8</t>
  </si>
  <si>
    <t xml:space="preserve">INSERT D8</t>
  </si>
  <si>
    <t xml:space="preserve">INSERT LAITON D9  à120°</t>
  </si>
  <si>
    <t xml:space="preserve">INSERT D9 à120°</t>
  </si>
  <si>
    <t xml:space="preserve">INSERT LAITON D9 à 90°</t>
  </si>
  <si>
    <t xml:space="preserve">INSERT D9 à 90°</t>
  </si>
  <si>
    <t xml:space="preserve">INSERT LEVIER </t>
  </si>
  <si>
    <t xml:space="preserve">I110-01-004-PROD</t>
  </si>
  <si>
    <t xml:space="preserve">INSERT LEVIER PROD charioté</t>
  </si>
  <si>
    <t xml:space="preserve">INSERT LEVIER SURMOULEE 345833-01 </t>
  </si>
  <si>
    <t xml:space="preserve">I110-01-004</t>
  </si>
  <si>
    <t xml:space="preserve">INSERT LEVIER SURMOULEE 345833-01 - fraisage </t>
  </si>
  <si>
    <t xml:space="preserve">insert M10</t>
  </si>
  <si>
    <t xml:space="preserve">INSERT métalique</t>
  </si>
  <si>
    <t xml:space="preserve">8087-1</t>
  </si>
  <si>
    <t xml:space="preserve">INSERT POUR FOURCHETTE FORME D</t>
  </si>
  <si>
    <t xml:space="preserve">insert R171</t>
  </si>
  <si>
    <t xml:space="preserve">DE-10048</t>
  </si>
  <si>
    <t xml:space="preserve">insert W164 court</t>
  </si>
  <si>
    <t xml:space="preserve">DE 10144</t>
  </si>
  <si>
    <t xml:space="preserve">Insert Zinguée 14.2*20*48.5</t>
  </si>
  <si>
    <t xml:space="preserve">14.2x20x48.5</t>
  </si>
  <si>
    <t xml:space="preserve">Inserto Esag M8 12x12</t>
  </si>
  <si>
    <t xml:space="preserve">INSERTO ESAG.M6 8*6</t>
  </si>
  <si>
    <t xml:space="preserve">INSERTO MANOPOLA  INOX M8</t>
  </si>
  <si>
    <t xml:space="preserve">BIGLIA MJM</t>
  </si>
  <si>
    <t xml:space="preserve">Main Body for secondary fan out </t>
  </si>
  <si>
    <t xml:space="preserve">OTT-169</t>
  </si>
  <si>
    <t xml:space="preserve">MAIN BODY PRIMARY FAN OUT  </t>
  </si>
  <si>
    <t xml:space="preserve">IC5253</t>
  </si>
  <si>
    <t xml:space="preserve">Perno  AGGANCIO</t>
  </si>
  <si>
    <t xml:space="preserve">Perno 510530</t>
  </si>
  <si>
    <t xml:space="preserve">perno 6-30</t>
  </si>
  <si>
    <t xml:space="preserve">perno 6-62</t>
  </si>
  <si>
    <t xml:space="preserve">PERNO AGGANCIO-RULLO S-SC </t>
  </si>
  <si>
    <t xml:space="preserve">PERNO DISINNESTO RULLO</t>
  </si>
  <si>
    <t xml:space="preserve">G16922290</t>
  </si>
  <si>
    <t xml:space="preserve">PERNO DISINNESTO RULLO G16922290 laiton d7</t>
  </si>
  <si>
    <t xml:space="preserve">PIECE CARRE DE 7</t>
  </si>
  <si>
    <t xml:space="preserve">PIECE-CARRE-7</t>
  </si>
  <si>
    <t xml:space="preserve">PIECE DECOLLETE TUBE DEAU MIT PROD</t>
  </si>
  <si>
    <t xml:space="preserve">MI022-CP3-PROD</t>
  </si>
  <si>
    <t xml:space="preserve">piece decolte tube d'eau d38 -cp1</t>
  </si>
  <si>
    <t xml:space="preserve">H003-CP1</t>
  </si>
  <si>
    <t xml:space="preserve">piece decolte tube d'eau d50</t>
  </si>
  <si>
    <t xml:space="preserve">h001-CP1</t>
  </si>
  <si>
    <t xml:space="preserve">PIECE IMPEREMERIE CAP BON </t>
  </si>
  <si>
    <t xml:space="preserve">PIECE INOX </t>
  </si>
  <si>
    <t xml:space="preserve">PIECE MOULEE V02</t>
  </si>
  <si>
    <t xml:space="preserve">19097-2-1</t>
  </si>
  <si>
    <t xml:space="preserve">Pignon 28 dent  L=234</t>
  </si>
  <si>
    <t xml:space="preserve">PIG-28D-L234-SG</t>
  </si>
  <si>
    <t xml:space="preserve">Pignon 28 dent BRAVO L=255</t>
  </si>
  <si>
    <t xml:space="preserve">PIG-28D-L255-SG</t>
  </si>
  <si>
    <t xml:space="preserve">Pignon 28 dent CIAO L=245</t>
  </si>
  <si>
    <t xml:space="preserve">PIG-28D-L245-SG</t>
  </si>
  <si>
    <t xml:space="preserve">PIGNON PLATEAU SIMPLE ETAGE D50 - contournage dents </t>
  </si>
  <si>
    <t xml:space="preserve">PIG 50 SE- harding </t>
  </si>
  <si>
    <t xml:space="preserve">pignon simple etage</t>
  </si>
  <si>
    <t xml:space="preserve">PIG 50 SE</t>
  </si>
  <si>
    <t xml:space="preserve">pignon simple etage fraisage</t>
  </si>
  <si>
    <t xml:space="preserve">PIG 50 SE-mori seiki </t>
  </si>
  <si>
    <t xml:space="preserve">PIGNON SOUDE L=236-24DENTS avec graisseur</t>
  </si>
  <si>
    <t xml:space="preserve">PIG-L236-24D-G</t>
  </si>
  <si>
    <t xml:space="preserve">Pignon soudé lg=216 -28 dents avec graisseur</t>
  </si>
  <si>
    <t xml:space="preserve">PIG-L216-28D-G</t>
  </si>
  <si>
    <t xml:space="preserve">pion</t>
  </si>
  <si>
    <t xml:space="preserve">piston</t>
  </si>
  <si>
    <t xml:space="preserve">plot nez de marche</t>
  </si>
  <si>
    <t xml:space="preserve">outi-plot</t>
  </si>
  <si>
    <t xml:space="preserve">poigné aluminum</t>
  </si>
  <si>
    <t xml:space="preserve">porta valvola </t>
  </si>
  <si>
    <t xml:space="preserve">SH42Z1</t>
  </si>
  <si>
    <t xml:space="preserve">Porta valvola </t>
  </si>
  <si>
    <t xml:space="preserve">SH42Z1-Fraiseuse</t>
  </si>
  <si>
    <t xml:space="preserve">PORTE ROTULE </t>
  </si>
  <si>
    <t xml:space="preserve">QAB 14*18-D16 NLD</t>
  </si>
  <si>
    <t xml:space="preserve">QUADRO 10</t>
  </si>
  <si>
    <t xml:space="preserve">AVP60</t>
  </si>
  <si>
    <t xml:space="preserve">QUADRO 10*60 AVP</t>
  </si>
  <si>
    <t xml:space="preserve">QUADRO 10*60 AVP-AXE ACIER</t>
  </si>
  <si>
    <t xml:space="preserve">raccord 504</t>
  </si>
  <si>
    <t xml:space="preserve">RACCORD F110 PROD</t>
  </si>
  <si>
    <t xml:space="preserve">RAC-F110</t>
  </si>
  <si>
    <t xml:space="preserve">RACCORD FIAT 113 PROD</t>
  </si>
  <si>
    <t xml:space="preserve">F100/13</t>
  </si>
  <si>
    <t xml:space="preserve">raccord HEX 17</t>
  </si>
  <si>
    <t xml:space="preserve">MPS000300</t>
  </si>
  <si>
    <t xml:space="preserve">RACCORD ISUZU PROD</t>
  </si>
  <si>
    <t xml:space="preserve">RAC-ISUZU</t>
  </si>
  <si>
    <t xml:space="preserve">raccord OM 40</t>
  </si>
  <si>
    <t xml:space="preserve">RAC-OM40</t>
  </si>
  <si>
    <t xml:space="preserve">raccord pompe a l'eau</t>
  </si>
  <si>
    <t xml:space="preserve">I071</t>
  </si>
  <si>
    <t xml:space="preserve">Raccord refroidisseur ISUZU</t>
  </si>
  <si>
    <t xml:space="preserve">I070-cp1</t>
  </si>
  <si>
    <t xml:space="preserve">Rehausse-NAKAMURHA</t>
  </si>
  <si>
    <t xml:space="preserve">PT8666</t>
  </si>
  <si>
    <t xml:space="preserve">rewinder axis Ø 14 inox</t>
  </si>
  <si>
    <t xml:space="preserve">300035-5-f</t>
  </si>
  <si>
    <t xml:space="preserve">rivet laiton D6</t>
  </si>
  <si>
    <t xml:space="preserve">6.2-9</t>
  </si>
  <si>
    <t xml:space="preserve">rivet laiton D6-fraiseuse</t>
  </si>
  <si>
    <t xml:space="preserve">RIVET MECANISME D6</t>
  </si>
  <si>
    <t xml:space="preserve">T-RM200</t>
  </si>
  <si>
    <t xml:space="preserve">rivet Ø15</t>
  </si>
  <si>
    <t xml:space="preserve">TVRC100</t>
  </si>
  <si>
    <t xml:space="preserve">rivet tarraudé T80</t>
  </si>
  <si>
    <t xml:space="preserve">R-T80</t>
  </si>
  <si>
    <t xml:space="preserve">rivet tarraudée B55</t>
  </si>
  <si>
    <t xml:space="preserve">B55 6*14,8</t>
  </si>
  <si>
    <t xml:space="preserve">RIVET TRB400</t>
  </si>
  <si>
    <t xml:space="preserve">T-RB400</t>
  </si>
  <si>
    <t xml:space="preserve">Rivet TRC300</t>
  </si>
  <si>
    <t xml:space="preserve">T-RC300</t>
  </si>
  <si>
    <t xml:space="preserve">RIVET TVRC 100</t>
  </si>
  <si>
    <t xml:space="preserve">RIVET TVRC 100-Multibroche</t>
  </si>
  <si>
    <t xml:space="preserve">Rondelle axe etirée de frein ISUZU</t>
  </si>
  <si>
    <t xml:space="preserve">I100-CP2</t>
  </si>
  <si>
    <t xml:space="preserve">RONDELLE BOUCHON CARTER PROD</t>
  </si>
  <si>
    <t xml:space="preserve">ROND-IN-D12</t>
  </si>
  <si>
    <t xml:space="preserve">RONDELLE INOX 304 D12</t>
  </si>
  <si>
    <t xml:space="preserve">ROND-IN-D14</t>
  </si>
  <si>
    <t xml:space="preserve">RONDELLE INOX 304 D14</t>
  </si>
  <si>
    <t xml:space="preserve">IN-304-D14</t>
  </si>
  <si>
    <t xml:space="preserve">Rouleau contacteur</t>
  </si>
  <si>
    <t xml:space="preserve">SEAL RING STRAIN RELIEF</t>
  </si>
  <si>
    <t xml:space="preserve">DPA-00369114</t>
  </si>
  <si>
    <t xml:space="preserve">Serrure encastrée B55</t>
  </si>
  <si>
    <t xml:space="preserve">B55-5*13</t>
  </si>
  <si>
    <t xml:space="preserve">Siege JCU</t>
  </si>
  <si>
    <t xml:space="preserve">ChSIEGE-JCN</t>
  </si>
  <si>
    <t xml:space="preserve">signalisation d'intégrateur</t>
  </si>
  <si>
    <t xml:space="preserve">SPINA GRIGIA INOX</t>
  </si>
  <si>
    <t xml:space="preserve">PI50V0</t>
  </si>
  <si>
    <t xml:space="preserve">SUPPORT VENTOUSE L75</t>
  </si>
  <si>
    <t xml:space="preserve">SUPPORT-VENT-L75</t>
  </si>
  <si>
    <t xml:space="preserve">teton</t>
  </si>
  <si>
    <t xml:space="preserve">T8/12</t>
  </si>
  <si>
    <t xml:space="preserve">TIGE D8-M6</t>
  </si>
  <si>
    <t xml:space="preserve">2018069-01</t>
  </si>
  <si>
    <t xml:space="preserve">TIGE DE PISTON</t>
  </si>
  <si>
    <t xml:space="preserve">tige d'embrayage</t>
  </si>
  <si>
    <t xml:space="preserve">TIGE INOX 303</t>
  </si>
  <si>
    <t xml:space="preserve">5001-46933</t>
  </si>
  <si>
    <t xml:space="preserve">TIGE M4 AVEC ECROU</t>
  </si>
  <si>
    <t xml:space="preserve">TIGE M4</t>
  </si>
  <si>
    <t xml:space="preserve">TIGE M6 AVEC ECROU</t>
  </si>
  <si>
    <t xml:space="preserve">TIGE M6</t>
  </si>
  <si>
    <t xml:space="preserve">TIGE-D10-M8</t>
  </si>
  <si>
    <t xml:space="preserve">2018021-01-01</t>
  </si>
  <si>
    <t xml:space="preserve">TIGED8-M6</t>
  </si>
  <si>
    <t xml:space="preserve">TIRANT ACIER D6</t>
  </si>
  <si>
    <t xml:space="preserve">sur sb16</t>
  </si>
  <si>
    <t xml:space="preserve">tube d'eau fiat tupo</t>
  </si>
  <si>
    <t xml:space="preserve">F044</t>
  </si>
  <si>
    <t xml:space="preserve">TUBE PM TUBE D'EAU 404</t>
  </si>
  <si>
    <t xml:space="preserve">B070-CP2</t>
  </si>
  <si>
    <t xml:space="preserve">VIS DE MOTORISATION FENTS</t>
  </si>
  <si>
    <t xml:space="preserve">0203-0015</t>
  </si>
  <si>
    <t xml:space="preserve">VIS DE PLOMBAGE --D</t>
  </si>
  <si>
    <t xml:space="preserve">vis DEC inox M2.5</t>
  </si>
  <si>
    <t xml:space="preserve">Vis imperdable</t>
  </si>
  <si>
    <t xml:space="preserve">Vis-imperdable</t>
  </si>
  <si>
    <t xml:space="preserve">VIS M6 LG 20</t>
  </si>
  <si>
    <t xml:space="preserve">VIS-M6-LG20</t>
  </si>
  <si>
    <t xml:space="preserve">VIS PM SUP MOTEUR FORD RANGER</t>
  </si>
  <si>
    <t xml:space="preserve">FO008-CP3</t>
  </si>
  <si>
    <t xml:space="preserve">Vis ressort</t>
  </si>
  <si>
    <t xml:space="preserve">M018-BIGLIA</t>
  </si>
  <si>
    <t xml:space="preserve">GOUJON DE ROUE HONDA PROD</t>
  </si>
  <si>
    <t xml:space="preserve">H001-PROD</t>
  </si>
  <si>
    <t xml:space="preserve">PIGNON PLATEAU SIMPLE ETAGE D50 - contournage dents +CLAMPING RING 360Fo)</t>
  </si>
  <si>
    <t xml:space="preserve">BAGUE DECOLLETEE TUBE D'EAU UNO DISEL -CP2</t>
  </si>
  <si>
    <t xml:space="preserve">F045-CP2</t>
  </si>
  <si>
    <t xml:space="preserve">EMBOUT DE TIGE</t>
  </si>
  <si>
    <t xml:space="preserve">18x27x43</t>
  </si>
  <si>
    <t xml:space="preserve">BAGUE DECOLLETEE TUBE D'EAU PALIO -CP2</t>
  </si>
  <si>
    <t xml:space="preserve">F046-CP2</t>
  </si>
  <si>
    <t xml:space="preserve">COMPTEUR HIER à 19H</t>
  </si>
  <si>
    <t xml:space="preserve">PIECES SUIVANT COMPTEUR 17H--&gt;19H</t>
  </si>
  <si>
    <t xml:space="preserve">PIECES SUIVANT COMPTEUR 6h--&gt;8h</t>
  </si>
  <si>
    <t xml:space="preserve">NOMBRE D'HEURES DE TRAVAIL  17H--&gt;19H</t>
  </si>
  <si>
    <t xml:space="preserve">NOMBRE D'HEURES DE TRAVAIL 6h--&gt;8h</t>
  </si>
  <si>
    <t xml:space="preserve">demarrage 12:30pm</t>
  </si>
  <si>
    <t xml:space="preserve">FS(g018) + ds (H001)</t>
  </si>
  <si>
    <t xml:space="preserve">FS(G011)+ ds (INSERTO MANOPOLA  INOX M8)</t>
  </si>
  <si>
    <t xml:space="preserve">fs (I143-CP1)+ ds (H001)</t>
  </si>
  <si>
    <t xml:space="preserve">PIGNON PLATEAU SIMPLE ETAGE D50 - contournage dents + CLAMPING RING 360Fo)</t>
  </si>
  <si>
    <t xml:space="preserve">fs(INSERTO MANOPOLA  INOX M8)+ds (BAGUE DECOLLETEE TUBE D'EAU UNO DISEL -CP2) </t>
  </si>
  <si>
    <t xml:space="preserve">fs (EVACUATION 2/3G X-ONE) + ds (EMBOUT DE TIGE)</t>
  </si>
  <si>
    <t xml:space="preserve">ds (ECROU DE ROUE TFR ISUZU -nak) + ds (16*27*64)</t>
  </si>
  <si>
    <t xml:space="preserve">FS 5F045-CP2° + DS 5F046-CP2)</t>
  </si>
  <si>
    <t xml:space="preserve">R+ DS </t>
  </si>
  <si>
    <t xml:space="preserve">REGLAGE</t>
  </si>
  <si>
    <t xml:space="preserve">EN PANNE </t>
  </si>
  <si>
    <t xml:space="preserve">Rapport journalier</t>
  </si>
  <si>
    <t xml:space="preserve">Code:DAS-SMQ-24</t>
  </si>
  <si>
    <t xml:space="preserve">Date: 27/12/2019</t>
  </si>
  <si>
    <t xml:space="preserve">Version:01</t>
  </si>
  <si>
    <t xml:space="preserve">Page:1</t>
  </si>
  <si>
    <t xml:space="preserve">Machine</t>
  </si>
  <si>
    <t xml:space="preserve">Clients</t>
  </si>
  <si>
    <t xml:space="preserve">Audit</t>
  </si>
  <si>
    <t xml:space="preserve">Réclamation</t>
  </si>
  <si>
    <t xml:space="preserve">Avoir</t>
  </si>
  <si>
    <t xml:space="preserve">Fournisseurs/ sous-traitants</t>
  </si>
  <si>
    <t xml:space="preserve">Réception de matiere</t>
  </si>
  <si>
    <t xml:space="preserve">Probleme qualité</t>
  </si>
  <si>
    <t xml:space="preserve">Les formations professionnelles</t>
  </si>
  <si>
    <t xml:space="preserve">Cout</t>
  </si>
  <si>
    <t xml:space="preserve">Chiffrage décliné</t>
  </si>
  <si>
    <t xml:space="preserve">Article qui a subit un tri</t>
  </si>
  <si>
    <t xml:space="preserve">durée du tri</t>
  </si>
  <si>
    <t xml:space="preserve">Nombre des pieces non-conformes</t>
  </si>
  <si>
    <t xml:space="preserve">Référence</t>
  </si>
  <si>
    <t xml:space="preserve">OUTI-PLOT</t>
  </si>
  <si>
    <t xml:space="preserve">PIG-50-SE-11D</t>
  </si>
  <si>
    <t xml:space="preserve">18*27*43</t>
  </si>
  <si>
    <t xml:space="preserve">H001-PRO</t>
  </si>
  <si>
    <t xml:space="preserve">Désignation</t>
  </si>
  <si>
    <t xml:space="preserve">PLOT NEZ DE MARCHE</t>
  </si>
  <si>
    <t xml:space="preserve">INSERTO INOX M6</t>
  </si>
  <si>
    <t xml:space="preserve">AXE DU BOITIER TFR+KB</t>
  </si>
  <si>
    <t xml:space="preserve">EVACUATION 2 ET 3 GROUPES X ETAPE 3 </t>
  </si>
  <si>
    <t xml:space="preserve">EVACUATION 2 ET 3 GROUPES X ETAPE 4</t>
  </si>
  <si>
    <t xml:space="preserve">PIGNON PLATEAU SIMPLE ETAGE D50 11DENTS</t>
  </si>
  <si>
    <t xml:space="preserve">Bague ALU 18*27*43</t>
  </si>
  <si>
    <t xml:space="preserve">GOUJON DE ROUE HONDAI PRO</t>
  </si>
  <si>
    <t xml:space="preserve">Compteur 8h </t>
  </si>
  <si>
    <t xml:space="preserve">Compteur 17h</t>
  </si>
  <si>
    <t xml:space="preserve">Enregistrement</t>
  </si>
  <si>
    <t xml:space="preserve">9h</t>
  </si>
  <si>
    <t xml:space="preserve">OK</t>
  </si>
  <si>
    <t xml:space="preserve">NOK</t>
  </si>
  <si>
    <t xml:space="preserve">16h</t>
  </si>
  <si>
    <t xml:space="preserve">Identification</t>
  </si>
  <si>
    <t xml:space="preserve">Propreté des tables de contrôle</t>
  </si>
  <si>
    <t xml:space="preserve">Rangement des outils de contrôle</t>
  </si>
  <si>
    <t xml:space="preserve">Existance de l'OF</t>
  </si>
  <si>
    <t xml:space="preserve">OK ( rapport de contrôle qualité début de serie n'est pas rempli)</t>
  </si>
  <si>
    <t xml:space="preserve">Maintenance</t>
  </si>
  <si>
    <t xml:space="preserve">Nombre des NC poubelle </t>
  </si>
  <si>
    <t xml:space="preserve">Nombre des NC à retoucher</t>
  </si>
  <si>
    <t xml:space="preserve">Machine pour retouche</t>
  </si>
  <si>
    <t xml:space="preserve">Panne</t>
  </si>
  <si>
    <t xml:space="preserve">OK </t>
  </si>
  <si>
    <t xml:space="preserve">                                  </t>
  </si>
  <si>
    <r>
      <rPr>
        <sz val="12"/>
        <color rgb="FFFF0000"/>
        <rFont val="Times New Roman"/>
        <family val="1"/>
        <charset val="1"/>
      </rPr>
      <t xml:space="preserve">PIG-50-SE-11D</t>
    </r>
    <r>
      <rPr>
        <sz val="12"/>
        <color rgb="FF000000"/>
        <rFont val="Times New Roman"/>
        <family val="1"/>
        <charset val="1"/>
      </rPr>
      <t xml:space="preserve">+ OTT-172</t>
    </r>
  </si>
  <si>
    <t xml:space="preserve">18*27*64</t>
  </si>
  <si>
    <t xml:space="preserve">Embout de tige</t>
  </si>
  <si>
    <r>
      <rPr>
        <sz val="11"/>
        <color rgb="FFFF0000"/>
        <rFont val="Calibri"/>
        <family val="2"/>
        <charset val="1"/>
      </rPr>
      <t xml:space="preserve">PIGNON PLATEAU SIMPLE ETAGE D50 11DENTS</t>
    </r>
    <r>
      <rPr>
        <sz val="11"/>
        <color rgb="FF000000"/>
        <rFont val="Calibri"/>
        <family val="2"/>
        <charset val="1"/>
      </rPr>
      <t xml:space="preserve">+ Clamping  ring 360 FO</t>
    </r>
  </si>
  <si>
    <t xml:space="preserve">Bague ALU 18*27*64</t>
  </si>
  <si>
    <r>
      <rPr>
        <sz val="11"/>
        <color rgb="FF000000"/>
        <rFont val="Calibri"/>
        <family val="2"/>
        <charset val="1"/>
      </rPr>
      <t xml:space="preserve">NOK+</t>
    </r>
    <r>
      <rPr>
        <sz val="12"/>
        <color rgb="FF000000"/>
        <rFont val="Times New Roman"/>
        <family val="1"/>
        <charset val="1"/>
      </rPr>
      <t xml:space="preserve">OK</t>
    </r>
  </si>
  <si>
    <r>
      <rPr>
        <sz val="11"/>
        <color rgb="FF000000"/>
        <rFont val="Calibri"/>
        <family val="2"/>
        <charset val="1"/>
      </rPr>
      <t xml:space="preserve">NOK</t>
    </r>
    <r>
      <rPr>
        <sz val="12"/>
        <color rgb="FF000000"/>
        <rFont val="Times New Roman"/>
        <family val="1"/>
        <charset val="1"/>
      </rPr>
      <t xml:space="preserve">+OK</t>
    </r>
  </si>
  <si>
    <r>
      <rPr>
        <sz val="11"/>
        <color rgb="FF000000"/>
        <rFont val="Calibri"/>
        <family val="2"/>
        <charset val="1"/>
      </rPr>
      <t xml:space="preserve">OK+ </t>
    </r>
    <r>
      <rPr>
        <sz val="12"/>
        <color rgb="FF000000"/>
        <rFont val="Times New Roman"/>
        <family val="1"/>
        <charset val="1"/>
      </rPr>
      <t xml:space="preserve">OK</t>
    </r>
  </si>
  <si>
    <t xml:space="preserve">INSERT LEVIER SURMOULEE 345833-01</t>
  </si>
  <si>
    <t xml:space="preserve">BROCHE L180</t>
  </si>
  <si>
    <t xml:space="preserve">SE89O0</t>
  </si>
  <si>
    <t xml:space="preserve">Raccord hex 17</t>
  </si>
  <si>
    <t xml:space="preserve">Tour précis 1</t>
  </si>
  <si>
    <r>
      <rPr>
        <sz val="11"/>
        <color rgb="FF000000"/>
        <rFont val="Calibri"/>
        <family val="2"/>
        <charset val="1"/>
      </rPr>
      <t xml:space="preserve">OK+</t>
    </r>
    <r>
      <rPr>
        <sz val="12"/>
        <color rgb="FF000000"/>
        <rFont val="Times New Roman"/>
        <family val="1"/>
        <charset val="1"/>
      </rPr>
      <t xml:space="preserve">OK</t>
    </r>
  </si>
  <si>
    <r>
      <rPr>
        <sz val="11"/>
        <color rgb="FF000000"/>
        <rFont val="Calibri"/>
        <family val="2"/>
        <charset val="1"/>
      </rPr>
      <t xml:space="preserve">OK</t>
    </r>
    <r>
      <rPr>
        <sz val="12"/>
        <color rgb="FF000000"/>
        <rFont val="Times New Roman"/>
        <family val="1"/>
        <charset val="1"/>
      </rPr>
      <t xml:space="preserve">+OK</t>
    </r>
  </si>
  <si>
    <t xml:space="preserve">Calcul de taux de la non-conformité</t>
  </si>
  <si>
    <t xml:space="preserve">Code</t>
  </si>
  <si>
    <t xml:space="preserve">: DAS-PRO-27</t>
  </si>
  <si>
    <t xml:space="preserve">: 30/10/2019</t>
  </si>
  <si>
    <t xml:space="preserve">Version</t>
  </si>
  <si>
    <t xml:space="preserve">: 02</t>
  </si>
  <si>
    <t xml:space="preserve">Page</t>
  </si>
  <si>
    <t xml:space="preserve">: 1/1</t>
  </si>
  <si>
    <t xml:space="preserve">Nombre totale des pièces usinées </t>
  </si>
  <si>
    <t xml:space="preserve">Nombre des pièces non conformes</t>
  </si>
  <si>
    <t xml:space="preserve">Taux de la non-conformité</t>
  </si>
  <si>
    <t xml:space="preserve">Zone cible</t>
  </si>
</sst>
</file>

<file path=xl/styles.xml><?xml version="1.0" encoding="utf-8"?>
<styleSheet xmlns="http://schemas.openxmlformats.org/spreadsheetml/2006/main">
  <numFmts count="12">
    <numFmt numFmtId="164" formatCode="General"/>
    <numFmt numFmtId="165" formatCode="[$-40C]DD/MM/YYYY"/>
    <numFmt numFmtId="166" formatCode="General"/>
    <numFmt numFmtId="167" formatCode="#,##0.00"/>
    <numFmt numFmtId="168" formatCode="0.00"/>
    <numFmt numFmtId="169" formatCode="@"/>
    <numFmt numFmtId="170" formatCode="[$-40C]MMM\-YY"/>
    <numFmt numFmtId="171" formatCode="DD/MM/YY"/>
    <numFmt numFmtId="172" formatCode="MMM"/>
    <numFmt numFmtId="173" formatCode="#,##0"/>
    <numFmt numFmtId="174" formatCode="0.00\ %"/>
    <numFmt numFmtId="175" formatCode="0\ %"/>
  </numFmts>
  <fonts count="3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48"/>
      <color rgb="FF000000"/>
      <name val="Calibri"/>
      <family val="2"/>
      <charset val="1"/>
    </font>
    <font>
      <b val="true"/>
      <u val="single"/>
      <sz val="24"/>
      <color rgb="FFFF0000"/>
      <name val="Calibri"/>
      <family val="2"/>
      <charset val="1"/>
    </font>
    <font>
      <b val="true"/>
      <sz val="16"/>
      <color rgb="FF000000"/>
      <name val="Arial"/>
      <family val="2"/>
      <charset val="1"/>
    </font>
    <font>
      <b val="true"/>
      <sz val="16"/>
      <color rgb="FF00B050"/>
      <name val="Arial"/>
      <family val="2"/>
      <charset val="1"/>
    </font>
    <font>
      <sz val="16"/>
      <name val="Arial"/>
      <family val="2"/>
      <charset val="1"/>
    </font>
    <font>
      <sz val="16"/>
      <color rgb="FF000000"/>
      <name val="Arial"/>
      <family val="2"/>
      <charset val="1"/>
    </font>
    <font>
      <sz val="16"/>
      <color rgb="FFED7D31"/>
      <name val="Arial"/>
      <family val="2"/>
      <charset val="1"/>
    </font>
    <font>
      <sz val="16"/>
      <color rgb="FFC55A11"/>
      <name val="Arial"/>
      <family val="2"/>
      <charset val="1"/>
    </font>
    <font>
      <sz val="16"/>
      <color rgb="FFFF0000"/>
      <name val="Arial"/>
      <family val="2"/>
      <charset val="1"/>
    </font>
    <font>
      <sz val="16"/>
      <color rgb="FF548235"/>
      <name val="Arial"/>
      <family val="2"/>
      <charset val="1"/>
    </font>
    <font>
      <sz val="16"/>
      <color rgb="FF000000"/>
      <name val="Calibri"/>
      <family val="2"/>
      <charset val="1"/>
    </font>
    <font>
      <b val="true"/>
      <sz val="8"/>
      <color rgb="FF000000"/>
      <name val="Calibri Light"/>
      <family val="1"/>
      <charset val="1"/>
    </font>
    <font>
      <b val="true"/>
      <sz val="9"/>
      <color rgb="FF000000"/>
      <name val="Perpetua Titling MT"/>
      <family val="1"/>
      <charset val="1"/>
    </font>
    <font>
      <sz val="12"/>
      <color rgb="FF000000"/>
      <name val="Times New Roman"/>
      <family val="1"/>
      <charset val="1"/>
    </font>
    <font>
      <sz val="11"/>
      <name val="Calibri"/>
      <family val="2"/>
      <charset val="1"/>
    </font>
    <font>
      <sz val="11"/>
      <color rgb="FFFF0000"/>
      <name val="Calibri"/>
      <family val="2"/>
      <charset val="1"/>
    </font>
    <font>
      <sz val="8"/>
      <color rgb="FF000000"/>
      <name val="Calibri"/>
      <family val="2"/>
      <charset val="1"/>
    </font>
    <font>
      <sz val="26"/>
      <color rgb="FFFF0000"/>
      <name val="Calibri"/>
      <family val="2"/>
      <charset val="1"/>
    </font>
    <font>
      <b val="true"/>
      <sz val="16"/>
      <color rgb="FFFF0000"/>
      <name val="Arial"/>
      <family val="2"/>
      <charset val="1"/>
    </font>
    <font>
      <b val="true"/>
      <sz val="20"/>
      <name val="Arial"/>
      <family val="2"/>
      <charset val="1"/>
    </font>
    <font>
      <b val="true"/>
      <sz val="16"/>
      <name val="Arial"/>
      <family val="2"/>
      <charset val="1"/>
    </font>
    <font>
      <b val="true"/>
      <i val="true"/>
      <sz val="36"/>
      <color rgb="FF000000"/>
      <name val="Times New Roman"/>
      <family val="1"/>
      <charset val="1"/>
    </font>
    <font>
      <b val="true"/>
      <sz val="36"/>
      <color rgb="FF000000"/>
      <name val="Times New Roman"/>
      <family val="1"/>
      <charset val="1"/>
    </font>
    <font>
      <b val="true"/>
      <sz val="16"/>
      <color rgb="FF000000"/>
      <name val="Calibri"/>
      <family val="2"/>
      <charset val="1"/>
    </font>
    <font>
      <b val="true"/>
      <sz val="18"/>
      <color rgb="FF000000"/>
      <name val="Times New Roman"/>
      <family val="1"/>
      <charset val="1"/>
    </font>
    <font>
      <b val="true"/>
      <sz val="18"/>
      <color rgb="FF000000"/>
      <name val="Calibri"/>
      <family val="2"/>
      <charset val="1"/>
    </font>
    <font>
      <b val="true"/>
      <sz val="12"/>
      <color rgb="FF000000"/>
      <name val="Times New Roman"/>
      <family val="1"/>
      <charset val="1"/>
    </font>
    <font>
      <b val="true"/>
      <sz val="32"/>
      <color rgb="FF000000"/>
      <name val="Calibri"/>
      <family val="0"/>
    </font>
    <font>
      <sz val="12"/>
      <color rgb="FFFF0000"/>
      <name val="Times New Roman"/>
      <family val="1"/>
      <charset val="1"/>
    </font>
    <font>
      <sz val="9"/>
      <color rgb="FF000000"/>
      <name val="Calibri"/>
      <family val="2"/>
      <charset val="1"/>
    </font>
  </fonts>
  <fills count="9">
    <fill>
      <patternFill patternType="none"/>
    </fill>
    <fill>
      <patternFill patternType="gray125"/>
    </fill>
    <fill>
      <patternFill patternType="solid">
        <fgColor rgb="FFD6DCE5"/>
        <bgColor rgb="FFE7E6E6"/>
      </patternFill>
    </fill>
    <fill>
      <patternFill patternType="solid">
        <fgColor rgb="FFE7E6E6"/>
        <bgColor rgb="FFD6DCE5"/>
      </patternFill>
    </fill>
    <fill>
      <patternFill patternType="solid">
        <fgColor rgb="FFFFFFFF"/>
        <bgColor rgb="FFE7E6E6"/>
      </patternFill>
    </fill>
    <fill>
      <patternFill patternType="solid">
        <fgColor rgb="FF8FAADC"/>
        <bgColor rgb="FF99CCFF"/>
      </patternFill>
    </fill>
    <fill>
      <patternFill patternType="solid">
        <fgColor rgb="FFBDD7EE"/>
        <bgColor rgb="FFD6DCE5"/>
      </patternFill>
    </fill>
    <fill>
      <patternFill patternType="solid">
        <fgColor rgb="FFFFFF00"/>
        <bgColor rgb="FFFFFF00"/>
      </patternFill>
    </fill>
    <fill>
      <patternFill patternType="solid">
        <fgColor rgb="FF70AD47"/>
        <bgColor rgb="FF548235"/>
      </patternFill>
    </fill>
  </fills>
  <borders count="3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/>
      <top/>
      <bottom/>
      <diagonal/>
    </border>
    <border diagonalUp="false" diagonalDown="false">
      <left style="medium"/>
      <right style="medium"/>
      <top style="medium"/>
      <bottom style="thin"/>
      <diagonal/>
    </border>
    <border diagonalUp="false" diagonalDown="false">
      <left style="medium"/>
      <right style="medium"/>
      <top style="thin"/>
      <bottom style="thin"/>
      <diagonal/>
    </border>
    <border diagonalUp="false" diagonalDown="false">
      <left style="medium"/>
      <right style="medium"/>
      <top style="thin"/>
      <bottom style="medium"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 style="medium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/>
      <right style="medium"/>
      <top style="medium"/>
      <bottom/>
      <diagonal/>
    </border>
    <border diagonalUp="false" diagonalDown="false">
      <left style="hair"/>
      <right style="hair"/>
      <top style="hair"/>
      <bottom style="hair"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/>
      <right style="medium"/>
      <top/>
      <bottom style="medium"/>
      <diagonal/>
    </border>
    <border diagonalUp="false" diagonalDown="false">
      <left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4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0" borderId="0" xfId="0" applyFont="true" applyBorder="true" applyAlignment="true" applyProtection="false">
      <alignment horizontal="right" vertical="bottom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8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10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8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11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3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9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3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12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4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3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3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4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4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12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13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4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9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7" fillId="3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5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0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7" fillId="4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9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9" fillId="0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1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6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6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0" borderId="0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15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0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6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7" fillId="0" borderId="0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1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4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8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8" fillId="0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0" fillId="0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18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9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70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71" fontId="0" fillId="7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21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2" fillId="8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6" fontId="23" fillId="8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24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4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1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71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8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5" fillId="0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25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top" textRotation="0" wrapText="false" indent="0" shrinkToFit="false"/>
      <protection locked="true" hidden="false"/>
    </xf>
    <xf numFmtId="164" fontId="0" fillId="0" borderId="12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0" fillId="0" borderId="13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26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27" fillId="5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7" fillId="5" borderId="1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7" fillId="5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7" fillId="5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8" fillId="0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7" fillId="0" borderId="1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28" fillId="0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9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7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0" fillId="5" borderId="1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0" fillId="5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0" fillId="5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0" fillId="5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0" fillId="5" borderId="2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30" fillId="5" borderId="2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0" fillId="5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0" fillId="5" borderId="1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30" fillId="5" borderId="2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30" fillId="5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2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3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3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27" fillId="5" borderId="3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0" fillId="0" borderId="3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32" fillId="0" borderId="3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9" fillId="0" borderId="3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8" xfId="0" applyFont="false" applyBorder="true" applyAlignment="true" applyProtection="false">
      <alignment horizontal="general" vertical="center" textRotation="0" wrapText="true" indent="0" shrinkToFit="false"/>
      <protection locked="true" hidden="false"/>
    </xf>
    <xf numFmtId="172" fontId="0" fillId="0" borderId="8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0" fillId="0" borderId="34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73" fontId="0" fillId="0" borderId="35" xfId="0" applyFont="false" applyBorder="true" applyAlignment="true" applyProtection="false">
      <alignment horizontal="left" vertical="center" textRotation="0" wrapText="true" indent="2" shrinkToFit="false"/>
      <protection locked="true" hidden="false"/>
    </xf>
    <xf numFmtId="164" fontId="20" fillId="0" borderId="8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73" fontId="0" fillId="0" borderId="8" xfId="0" applyFont="false" applyBorder="true" applyAlignment="true" applyProtection="false">
      <alignment horizontal="left" vertical="center" textRotation="0" wrapText="true" indent="2" shrinkToFit="false"/>
      <protection locked="true" hidden="false"/>
    </xf>
    <xf numFmtId="174" fontId="0" fillId="0" borderId="8" xfId="0" applyFont="false" applyBorder="true" applyAlignment="true" applyProtection="false">
      <alignment horizontal="left" vertical="center" textRotation="0" wrapText="true" indent="2" shrinkToFit="false"/>
      <protection locked="true" hidden="false"/>
    </xf>
    <xf numFmtId="164" fontId="33" fillId="0" borderId="0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75" fontId="0" fillId="0" borderId="0" xfId="0" applyFont="fals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33" fillId="0" borderId="8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75" fontId="0" fillId="0" borderId="36" xfId="0" applyFont="false" applyBorder="true" applyAlignment="true" applyProtection="false">
      <alignment horizontal="general" vertical="center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1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CCC"/>
        </patternFill>
      </fill>
    </dxf>
    <dxf>
      <fill>
        <patternFill>
          <bgColor rgb="FFF8CBAD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9C0006"/>
      <rgbColor rgb="FF008000"/>
      <rgbColor rgb="FF000080"/>
      <rgbColor rgb="FF808000"/>
      <rgbColor rgb="FF800080"/>
      <rgbColor rgb="FF00B050"/>
      <rgbColor rgb="FFD6DCE5"/>
      <rgbColor rgb="FF808080"/>
      <rgbColor rgb="FF8FAADC"/>
      <rgbColor rgb="FF993366"/>
      <rgbColor rgb="FFE7E6E6"/>
      <rgbColor rgb="FFAFEEEE"/>
      <rgbColor rgb="FF660066"/>
      <rgbColor rgb="FFFF8080"/>
      <rgbColor rgb="FF0066CC"/>
      <rgbColor rgb="FFBDD7EE"/>
      <rgbColor rgb="FF000080"/>
      <rgbColor rgb="FFFF00FF"/>
      <rgbColor rgb="FFFFFF00"/>
      <rgbColor rgb="FF00FFFF"/>
      <rgbColor rgb="FF800080"/>
      <rgbColor rgb="FFC00000"/>
      <rgbColor rgb="FF008080"/>
      <rgbColor rgb="FF0000FF"/>
      <rgbColor rgb="FF00CCFF"/>
      <rgbColor rgb="FFCCFFFF"/>
      <rgbColor rgb="FFCCFFCC"/>
      <rgbColor rgb="FFFFCCCC"/>
      <rgbColor rgb="FF99CCFF"/>
      <rgbColor rgb="FFFFC7CE"/>
      <rgbColor rgb="FFCC99FF"/>
      <rgbColor rgb="FFF8CBAD"/>
      <rgbColor rgb="FF3366FF"/>
      <rgbColor rgb="FF33CCCC"/>
      <rgbColor rgb="FF99CC00"/>
      <rgbColor rgb="FFFFCC00"/>
      <rgbColor rgb="FFFF9900"/>
      <rgbColor rgb="FFED7D31"/>
      <rgbColor rgb="FF666699"/>
      <rgbColor rgb="FF70AD47"/>
      <rgbColor rgb="FF003366"/>
      <rgbColor rgb="FF548235"/>
      <rgbColor rgb="FF003300"/>
      <rgbColor rgb="FF333300"/>
      <rgbColor rgb="FFC55A11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sharedStrings" Target="sharedStrings.xml"/>
</Relationships>
</file>

<file path=xl/drawings/_rels/drawing1.xml.rels><?xml version="1.0" encoding="UTF-8"?>
<Relationships xmlns="http://schemas.openxmlformats.org/package/2006/relationships"><Relationship Id="rId1" Type="http://schemas.openxmlformats.org/officeDocument/2006/relationships/image" Target="../media/image57.png"/>
</Relationships>
</file>

<file path=xl/drawings/_rels/drawing2.xml.rels><?xml version="1.0" encoding="UTF-8"?>
<Relationships xmlns="http://schemas.openxmlformats.org/package/2006/relationships"><Relationship Id="rId1" Type="http://schemas.openxmlformats.org/officeDocument/2006/relationships/image" Target="../media/image58.png"/>
</Relationships>
</file>

<file path=xl/drawings/_rels/drawing3.xml.rels><?xml version="1.0" encoding="UTF-8"?>
<Relationships xmlns="http://schemas.openxmlformats.org/package/2006/relationships"><Relationship Id="rId1" Type="http://schemas.openxmlformats.org/officeDocument/2006/relationships/image" Target="../media/image59.png"/>
</Relationships>
</file>

<file path=xl/drawings/_rels/drawing4.xml.rels><?xml version="1.0" encoding="UTF-8"?>
<Relationships xmlns="http://schemas.openxmlformats.org/package/2006/relationships"><Relationship Id="rId1" Type="http://schemas.openxmlformats.org/officeDocument/2006/relationships/image" Target="../media/image60.png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twoCell">
    <xdr:from>
      <xdr:col>0</xdr:col>
      <xdr:colOff>151560</xdr:colOff>
      <xdr:row>0</xdr:row>
      <xdr:rowOff>129960</xdr:rowOff>
    </xdr:from>
    <xdr:to>
      <xdr:col>1</xdr:col>
      <xdr:colOff>1788120</xdr:colOff>
      <xdr:row>3</xdr:row>
      <xdr:rowOff>162720</xdr:rowOff>
    </xdr:to>
    <xdr:pic>
      <xdr:nvPicPr>
        <xdr:cNvPr id="0" name="Picture 2" descr=""/>
        <xdr:cNvPicPr/>
      </xdr:nvPicPr>
      <xdr:blipFill>
        <a:blip r:embed="rId1"/>
        <a:stretch/>
      </xdr:blipFill>
      <xdr:spPr>
        <a:xfrm>
          <a:off x="151560" y="129960"/>
          <a:ext cx="2603520" cy="1175760"/>
        </a:xfrm>
        <a:prstGeom prst="rect">
          <a:avLst/>
        </a:prstGeom>
        <a:ln w="9360"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twoCell">
    <xdr:from>
      <xdr:col>0</xdr:col>
      <xdr:colOff>151560</xdr:colOff>
      <xdr:row>0</xdr:row>
      <xdr:rowOff>129960</xdr:rowOff>
    </xdr:from>
    <xdr:to>
      <xdr:col>1</xdr:col>
      <xdr:colOff>1788120</xdr:colOff>
      <xdr:row>3</xdr:row>
      <xdr:rowOff>162720</xdr:rowOff>
    </xdr:to>
    <xdr:pic>
      <xdr:nvPicPr>
        <xdr:cNvPr id="1" name="Picture 2" descr=""/>
        <xdr:cNvPicPr/>
      </xdr:nvPicPr>
      <xdr:blipFill>
        <a:blip r:embed="rId1"/>
        <a:stretch/>
      </xdr:blipFill>
      <xdr:spPr>
        <a:xfrm>
          <a:off x="151560" y="129960"/>
          <a:ext cx="2603520" cy="1175760"/>
        </a:xfrm>
        <a:prstGeom prst="rect">
          <a:avLst/>
        </a:prstGeom>
        <a:ln w="9360"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twoCell">
    <xdr:from>
      <xdr:col>1</xdr:col>
      <xdr:colOff>439560</xdr:colOff>
      <xdr:row>7</xdr:row>
      <xdr:rowOff>138240</xdr:rowOff>
    </xdr:from>
    <xdr:to>
      <xdr:col>3</xdr:col>
      <xdr:colOff>966960</xdr:colOff>
      <xdr:row>11</xdr:row>
      <xdr:rowOff>176400</xdr:rowOff>
    </xdr:to>
    <xdr:sp>
      <xdr:nvSpPr>
        <xdr:cNvPr id="2" name="CustomShape 1"/>
        <xdr:cNvSpPr/>
      </xdr:nvSpPr>
      <xdr:spPr>
        <a:xfrm>
          <a:off x="708480" y="1465920"/>
          <a:ext cx="5096880" cy="784800"/>
        </a:xfrm>
        <a:prstGeom prst="roundRect">
          <a:avLst>
            <a:gd name="adj" fmla="val 0"/>
          </a:avLst>
        </a:prstGeom>
        <a:ln/>
        <a:scene3d>
          <a:camera prst="orthographicFront"/>
          <a:lightRig dir="t" rig="threePt"/>
        </a:scene3d>
        <a:sp3d>
          <a:bevelT prst="coolSlant" w="165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lIns="90000" rIns="90000" tIns="45000" bIns="45000">
          <a:noAutofit/>
        </a:bodyPr>
        <a:p>
          <a:pPr algn="ctr">
            <a:lnSpc>
              <a:spcPct val="100000"/>
            </a:lnSpc>
          </a:pPr>
          <a:r>
            <a:rPr b="1" lang="fr-FR" sz="3200" spc="-1" strike="noStrike">
              <a:solidFill>
                <a:srgbClr val="000000"/>
              </a:solidFill>
              <a:latin typeface="Calibri"/>
            </a:rPr>
            <a:t>Atelier</a:t>
          </a:r>
          <a:endParaRPr b="0" lang="fr-FR" sz="3200" spc="-1" strike="noStrike">
            <a:latin typeface="Times New Roman"/>
          </a:endParaRPr>
        </a:p>
      </xdr:txBody>
    </xdr:sp>
    <xdr:clientData/>
  </xdr:twoCellAnchor>
  <xdr:twoCellAnchor editAs="twoCell">
    <xdr:from>
      <xdr:col>2</xdr:col>
      <xdr:colOff>1445400</xdr:colOff>
      <xdr:row>32</xdr:row>
      <xdr:rowOff>-360</xdr:rowOff>
    </xdr:from>
    <xdr:to>
      <xdr:col>4</xdr:col>
      <xdr:colOff>1454400</xdr:colOff>
      <xdr:row>36</xdr:row>
      <xdr:rowOff>34560</xdr:rowOff>
    </xdr:to>
    <xdr:sp>
      <xdr:nvSpPr>
        <xdr:cNvPr id="3" name="CustomShape 1"/>
        <xdr:cNvSpPr/>
      </xdr:nvSpPr>
      <xdr:spPr>
        <a:xfrm>
          <a:off x="3999240" y="11155320"/>
          <a:ext cx="4578480" cy="735840"/>
        </a:xfrm>
        <a:prstGeom prst="roundRect">
          <a:avLst>
            <a:gd name="adj" fmla="val 16667"/>
          </a:avLst>
        </a:prstGeom>
        <a:ln/>
        <a:scene3d>
          <a:camera prst="orthographicFront"/>
          <a:lightRig dir="t" rig="threePt"/>
        </a:scene3d>
        <a:sp3d>
          <a:bevelT prst="coolSlant" w="165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lIns="90000" rIns="90000" tIns="45000" bIns="45000">
          <a:noAutofit/>
        </a:bodyPr>
        <a:p>
          <a:pPr algn="ctr">
            <a:lnSpc>
              <a:spcPct val="100000"/>
            </a:lnSpc>
          </a:pPr>
          <a:r>
            <a:rPr b="1" lang="fr-FR" sz="3200" spc="-1" strike="noStrike">
              <a:solidFill>
                <a:srgbClr val="000000"/>
              </a:solidFill>
              <a:latin typeface="Calibri"/>
            </a:rPr>
            <a:t>Clients</a:t>
          </a:r>
          <a:endParaRPr b="0" lang="fr-FR" sz="3200" spc="-1" strike="noStrike">
            <a:latin typeface="Times New Roman"/>
          </a:endParaRPr>
        </a:p>
      </xdr:txBody>
    </xdr:sp>
    <xdr:clientData/>
  </xdr:twoCellAnchor>
  <xdr:twoCellAnchor editAs="twoCell">
    <xdr:from>
      <xdr:col>7</xdr:col>
      <xdr:colOff>216720</xdr:colOff>
      <xdr:row>30</xdr:row>
      <xdr:rowOff>362520</xdr:rowOff>
    </xdr:from>
    <xdr:to>
      <xdr:col>9</xdr:col>
      <xdr:colOff>1940040</xdr:colOff>
      <xdr:row>37</xdr:row>
      <xdr:rowOff>118440</xdr:rowOff>
    </xdr:to>
    <xdr:sp>
      <xdr:nvSpPr>
        <xdr:cNvPr id="4" name="CustomShape 1"/>
        <xdr:cNvSpPr/>
      </xdr:nvSpPr>
      <xdr:spPr>
        <a:xfrm>
          <a:off x="14194080" y="10961640"/>
          <a:ext cx="6292800" cy="1188720"/>
        </a:xfrm>
        <a:prstGeom prst="roundRect">
          <a:avLst>
            <a:gd name="adj" fmla="val 16667"/>
          </a:avLst>
        </a:prstGeom>
        <a:ln/>
        <a:scene3d>
          <a:camera prst="orthographicFront"/>
          <a:lightRig dir="t" rig="threePt"/>
        </a:scene3d>
        <a:sp3d>
          <a:bevelT prst="coolSlant" w="165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lIns="90000" rIns="90000" tIns="45000" bIns="45000">
          <a:noAutofit/>
        </a:bodyPr>
        <a:p>
          <a:pPr algn="ctr">
            <a:lnSpc>
              <a:spcPct val="100000"/>
            </a:lnSpc>
          </a:pPr>
          <a:r>
            <a:rPr b="1" lang="fr-FR" sz="3200" spc="-1" strike="noStrike">
              <a:solidFill>
                <a:srgbClr val="000000"/>
              </a:solidFill>
              <a:latin typeface="Calibri"/>
            </a:rPr>
            <a:t>Fournisseurs/sous-traitants</a:t>
          </a:r>
          <a:endParaRPr b="0" lang="fr-FR" sz="3200" spc="-1" strike="noStrike">
            <a:latin typeface="Times New Roman"/>
          </a:endParaRPr>
        </a:p>
      </xdr:txBody>
    </xdr:sp>
    <xdr:clientData/>
  </xdr:twoCellAnchor>
  <xdr:twoCellAnchor editAs="twoCell">
    <xdr:from>
      <xdr:col>10</xdr:col>
      <xdr:colOff>1636560</xdr:colOff>
      <xdr:row>30</xdr:row>
      <xdr:rowOff>371880</xdr:rowOff>
    </xdr:from>
    <xdr:to>
      <xdr:col>14</xdr:col>
      <xdr:colOff>618120</xdr:colOff>
      <xdr:row>35</xdr:row>
      <xdr:rowOff>69120</xdr:rowOff>
    </xdr:to>
    <xdr:sp>
      <xdr:nvSpPr>
        <xdr:cNvPr id="5" name="CustomShape 1"/>
        <xdr:cNvSpPr/>
      </xdr:nvSpPr>
      <xdr:spPr>
        <a:xfrm>
          <a:off x="22468320" y="10971000"/>
          <a:ext cx="8120520" cy="779400"/>
        </a:xfrm>
        <a:prstGeom prst="roundRect">
          <a:avLst>
            <a:gd name="adj" fmla="val 16667"/>
          </a:avLst>
        </a:prstGeom>
        <a:ln/>
        <a:scene3d>
          <a:camera prst="orthographicFront"/>
          <a:lightRig dir="t" rig="threePt"/>
        </a:scene3d>
        <a:sp3d>
          <a:bevelT prst="coolSlant" w="165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lIns="90000" rIns="90000" tIns="45000" bIns="45000">
          <a:noAutofit/>
        </a:bodyPr>
        <a:p>
          <a:pPr algn="ctr">
            <a:lnSpc>
              <a:spcPct val="100000"/>
            </a:lnSpc>
          </a:pPr>
          <a:r>
            <a:rPr b="1" lang="fr-FR" sz="3200" spc="-1" strike="noStrike">
              <a:solidFill>
                <a:srgbClr val="000000"/>
              </a:solidFill>
              <a:latin typeface="Calibri"/>
            </a:rPr>
            <a:t>Administration</a:t>
          </a:r>
          <a:endParaRPr b="0" lang="fr-FR" sz="3200" spc="-1" strike="noStrike">
            <a:latin typeface="Times New Roman"/>
          </a:endParaRPr>
        </a:p>
      </xdr:txBody>
    </xdr:sp>
    <xdr:clientData/>
  </xdr:twoCellAnchor>
  <xdr:twoCellAnchor editAs="twoCell">
    <xdr:from>
      <xdr:col>2</xdr:col>
      <xdr:colOff>13320</xdr:colOff>
      <xdr:row>1</xdr:row>
      <xdr:rowOff>33480</xdr:rowOff>
    </xdr:from>
    <xdr:to>
      <xdr:col>3</xdr:col>
      <xdr:colOff>423000</xdr:colOff>
      <xdr:row>4</xdr:row>
      <xdr:rowOff>172800</xdr:rowOff>
    </xdr:to>
    <xdr:pic>
      <xdr:nvPicPr>
        <xdr:cNvPr id="6" name="Image 5" descr=""/>
        <xdr:cNvPicPr/>
      </xdr:nvPicPr>
      <xdr:blipFill>
        <a:blip r:embed="rId1"/>
        <a:stretch/>
      </xdr:blipFill>
      <xdr:spPr>
        <a:xfrm>
          <a:off x="2567160" y="208440"/>
          <a:ext cx="2694240" cy="711000"/>
        </a:xfrm>
        <a:prstGeom prst="rect">
          <a:avLst/>
        </a:prstGeom>
        <a:ln>
          <a:noFill/>
        </a:ln>
      </xdr:spPr>
    </xdr:pic>
    <xdr:clientData/>
  </xdr:twoCellAnchor>
  <xdr:twoCellAnchor editAs="twoCell">
    <xdr:from>
      <xdr:col>14</xdr:col>
      <xdr:colOff>1514160</xdr:colOff>
      <xdr:row>31</xdr:row>
      <xdr:rowOff>122040</xdr:rowOff>
    </xdr:from>
    <xdr:to>
      <xdr:col>18</xdr:col>
      <xdr:colOff>9360</xdr:colOff>
      <xdr:row>35</xdr:row>
      <xdr:rowOff>160200</xdr:rowOff>
    </xdr:to>
    <xdr:sp>
      <xdr:nvSpPr>
        <xdr:cNvPr id="7" name="CustomShape 1"/>
        <xdr:cNvSpPr/>
      </xdr:nvSpPr>
      <xdr:spPr>
        <a:xfrm>
          <a:off x="31484880" y="11102400"/>
          <a:ext cx="5127480" cy="739080"/>
        </a:xfrm>
        <a:prstGeom prst="roundRect">
          <a:avLst>
            <a:gd name="adj" fmla="val 16667"/>
          </a:avLst>
        </a:prstGeom>
        <a:ln/>
        <a:scene3d>
          <a:camera prst="orthographicFront"/>
          <a:lightRig dir="t" rig="threePt"/>
        </a:scene3d>
        <a:sp3d>
          <a:bevelT prst="coolSlant" w="165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lIns="90000" rIns="90000" tIns="45000" bIns="45000">
          <a:noAutofit/>
        </a:bodyPr>
        <a:p>
          <a:pPr algn="ctr">
            <a:lnSpc>
              <a:spcPct val="100000"/>
            </a:lnSpc>
          </a:pPr>
          <a:r>
            <a:rPr b="1" lang="fr-FR" sz="3200" spc="-1" strike="noStrike">
              <a:solidFill>
                <a:srgbClr val="000000"/>
              </a:solidFill>
              <a:latin typeface="Calibri"/>
            </a:rPr>
            <a:t>EMBALLAGE</a:t>
          </a:r>
          <a:endParaRPr b="0" lang="fr-FR" sz="3200" spc="-1" strike="noStrike">
            <a:latin typeface="Times New Roman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twoCell">
    <xdr:from>
      <xdr:col>0</xdr:col>
      <xdr:colOff>104760</xdr:colOff>
      <xdr:row>0</xdr:row>
      <xdr:rowOff>41760</xdr:rowOff>
    </xdr:from>
    <xdr:to>
      <xdr:col>1</xdr:col>
      <xdr:colOff>485640</xdr:colOff>
      <xdr:row>3</xdr:row>
      <xdr:rowOff>142920</xdr:rowOff>
    </xdr:to>
    <xdr:pic>
      <xdr:nvPicPr>
        <xdr:cNvPr id="8" name="Image 1" descr=""/>
        <xdr:cNvPicPr/>
      </xdr:nvPicPr>
      <xdr:blipFill>
        <a:blip r:embed="rId1"/>
        <a:stretch/>
      </xdr:blipFill>
      <xdr:spPr>
        <a:xfrm>
          <a:off x="104760" y="41760"/>
          <a:ext cx="1018800" cy="672480"/>
        </a:xfrm>
        <a:prstGeom prst="rect">
          <a:avLst/>
        </a:prstGeom>
        <a:ln>
          <a:noFill/>
        </a:ln>
      </xdr:spPr>
    </xdr:pic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_rels/sheet3.xml.rels><?xml version="1.0" encoding="UTF-8"?>
<Relationships xmlns="http://schemas.openxmlformats.org/package/2006/relationships"><Relationship Id="rId1" Type="http://schemas.openxmlformats.org/officeDocument/2006/relationships/drawing" Target="../drawings/drawing2.xml"/>
</Relationships>
</file>

<file path=xl/worksheets/_rels/sheet5.xml.rels><?xml version="1.0" encoding="UTF-8"?>
<Relationships xmlns="http://schemas.openxmlformats.org/package/2006/relationships"><Relationship Id="rId1" Type="http://schemas.openxmlformats.org/officeDocument/2006/relationships/drawing" Target="../drawings/drawing3.xml"/>
</Relationships>
</file>

<file path=xl/worksheets/_rels/sheet7.xml.rels><?xml version="1.0" encoding="UTF-8"?>
<Relationships xmlns="http://schemas.openxmlformats.org/package/2006/relationships"><Relationship Id="rId1" Type="http://schemas.openxmlformats.org/officeDocument/2006/relationships/drawing" Target="../drawings/drawing4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C00000"/>
    <pageSetUpPr fitToPage="false"/>
  </sheetPr>
  <dimension ref="A1:AE6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46" activeCellId="0" sqref="C46"/>
    </sheetView>
  </sheetViews>
  <sheetFormatPr defaultRowHeight="15" zeroHeight="false" outlineLevelRow="0" outlineLevelCol="0"/>
  <cols>
    <col collapsed="false" customWidth="true" hidden="false" outlineLevel="0" max="1" min="1" style="0" width="13.57"/>
    <col collapsed="false" customWidth="true" hidden="false" outlineLevel="0" max="2" min="2" style="0" width="27.3"/>
    <col collapsed="false" customWidth="true" hidden="false" outlineLevel="0" max="3" min="3" style="0" width="100.94"/>
    <col collapsed="false" customWidth="true" hidden="false" outlineLevel="0" max="4" min="4" style="0" width="26.74"/>
    <col collapsed="false" customWidth="true" hidden="false" outlineLevel="0" max="5" min="5" style="0" width="23.45"/>
    <col collapsed="false" customWidth="true" hidden="false" outlineLevel="0" max="7" min="6" style="0" width="20.71"/>
    <col collapsed="false" customWidth="true" hidden="false" outlineLevel="0" max="8" min="8" style="0" width="22.21"/>
    <col collapsed="false" customWidth="true" hidden="false" outlineLevel="0" max="9" min="9" style="0" width="20.84"/>
    <col collapsed="false" customWidth="true" hidden="false" outlineLevel="0" max="11" min="10" style="0" width="18.37"/>
    <col collapsed="false" customWidth="true" hidden="false" outlineLevel="0" max="12" min="12" style="0" width="25.52"/>
    <col collapsed="false" customWidth="true" hidden="false" outlineLevel="0" max="13" min="13" style="0" width="25.23"/>
    <col collapsed="false" customWidth="true" hidden="false" outlineLevel="0" max="14" min="14" style="0" width="19.62"/>
    <col collapsed="false" customWidth="true" hidden="false" outlineLevel="0" max="17" min="15" style="0" width="19.75"/>
    <col collapsed="false" customWidth="true" hidden="false" outlineLevel="0" max="18" min="18" style="0" width="31.14"/>
    <col collapsed="false" customWidth="true" hidden="false" outlineLevel="0" max="19" min="19" style="0" width="25.52"/>
    <col collapsed="false" customWidth="true" hidden="false" outlineLevel="0" max="25" min="20" style="0" width="22.09"/>
    <col collapsed="false" customWidth="true" hidden="false" outlineLevel="0" max="30" min="26" style="0" width="23.6"/>
    <col collapsed="false" customWidth="true" hidden="false" outlineLevel="0" max="31" min="31" style="0" width="21.94"/>
    <col collapsed="false" customWidth="true" hidden="false" outlineLevel="0" max="1025" min="32" style="0" width="10.25"/>
  </cols>
  <sheetData>
    <row r="1" customFormat="false" ht="30" hidden="false" customHeight="true" outlineLevel="0" collapsed="false">
      <c r="A1" s="1"/>
      <c r="B1" s="1"/>
      <c r="C1" s="2" t="s">
        <v>0</v>
      </c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3" t="s">
        <v>1</v>
      </c>
      <c r="AA1" s="3"/>
      <c r="AB1" s="3"/>
      <c r="AC1" s="3"/>
      <c r="AD1" s="3"/>
      <c r="AE1" s="3"/>
    </row>
    <row r="2" customFormat="false" ht="30" hidden="false" customHeight="true" outlineLevel="0" collapsed="false">
      <c r="A2" s="1"/>
      <c r="B2" s="1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3" t="s">
        <v>2</v>
      </c>
      <c r="AA2" s="3"/>
      <c r="AB2" s="3"/>
      <c r="AC2" s="3"/>
      <c r="AD2" s="3"/>
      <c r="AE2" s="3"/>
    </row>
    <row r="3" customFormat="false" ht="30" hidden="false" customHeight="true" outlineLevel="0" collapsed="false">
      <c r="A3" s="1"/>
      <c r="B3" s="1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3" t="s">
        <v>3</v>
      </c>
      <c r="AA3" s="3"/>
      <c r="AB3" s="3"/>
      <c r="AC3" s="3"/>
      <c r="AD3" s="3"/>
      <c r="AE3" s="3"/>
    </row>
    <row r="4" customFormat="false" ht="30" hidden="false" customHeight="true" outlineLevel="0" collapsed="false">
      <c r="A4" s="1"/>
      <c r="B4" s="1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3" t="s">
        <v>4</v>
      </c>
      <c r="AA4" s="3"/>
      <c r="AB4" s="3"/>
      <c r="AC4" s="3"/>
      <c r="AD4" s="3"/>
      <c r="AE4" s="3"/>
    </row>
    <row r="7" customFormat="false" ht="31.5" hidden="false" customHeight="false" outlineLevel="0" collapsed="false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5"/>
      <c r="AA7" s="5"/>
      <c r="AB7" s="5"/>
      <c r="AC7" s="5"/>
      <c r="AD7" s="5"/>
      <c r="AE7" s="5"/>
    </row>
    <row r="8" customFormat="false" ht="168" hidden="false" customHeight="true" outlineLevel="0" collapsed="false">
      <c r="A8" s="6" t="s">
        <v>5</v>
      </c>
      <c r="B8" s="6" t="s">
        <v>6</v>
      </c>
      <c r="C8" s="6" t="s">
        <v>7</v>
      </c>
      <c r="D8" s="6" t="s">
        <v>8</v>
      </c>
      <c r="E8" s="6" t="s">
        <v>9</v>
      </c>
      <c r="F8" s="6" t="s">
        <v>10</v>
      </c>
      <c r="G8" s="6" t="s">
        <v>11</v>
      </c>
      <c r="H8" s="6" t="s">
        <v>12</v>
      </c>
      <c r="I8" s="6" t="s">
        <v>13</v>
      </c>
      <c r="J8" s="6" t="s">
        <v>14</v>
      </c>
      <c r="K8" s="6" t="s">
        <v>15</v>
      </c>
      <c r="L8" s="6" t="s">
        <v>16</v>
      </c>
      <c r="M8" s="6" t="s">
        <v>17</v>
      </c>
      <c r="N8" s="6" t="s">
        <v>18</v>
      </c>
      <c r="O8" s="6" t="s">
        <v>19</v>
      </c>
      <c r="P8" s="6" t="s">
        <v>20</v>
      </c>
      <c r="Q8" s="6" t="s">
        <v>21</v>
      </c>
      <c r="R8" s="6" t="s">
        <v>22</v>
      </c>
      <c r="S8" s="6" t="s">
        <v>23</v>
      </c>
      <c r="T8" s="6" t="s">
        <v>24</v>
      </c>
      <c r="U8" s="6" t="s">
        <v>25</v>
      </c>
      <c r="V8" s="6" t="s">
        <v>26</v>
      </c>
      <c r="W8" s="6" t="s">
        <v>27</v>
      </c>
      <c r="X8" s="6" t="s">
        <v>28</v>
      </c>
      <c r="Y8" s="6" t="s">
        <v>29</v>
      </c>
      <c r="Z8" s="6" t="s">
        <v>30</v>
      </c>
      <c r="AA8" s="6" t="s">
        <v>31</v>
      </c>
      <c r="AB8" s="6" t="s">
        <v>32</v>
      </c>
      <c r="AC8" s="6" t="s">
        <v>33</v>
      </c>
      <c r="AD8" s="6" t="s">
        <v>34</v>
      </c>
      <c r="AE8" s="6" t="s">
        <v>35</v>
      </c>
    </row>
    <row r="9" customFormat="false" ht="43.5" hidden="true" customHeight="true" outlineLevel="0" collapsed="false">
      <c r="A9" s="7" t="s">
        <v>36</v>
      </c>
      <c r="B9" s="8" t="s">
        <v>37</v>
      </c>
      <c r="C9" s="9" t="str">
        <f aca="false">IFERROR(VLOOKUP(D9,#REF!,2,0)," ")</f>
        <v> </v>
      </c>
      <c r="D9" s="10"/>
      <c r="E9" s="11"/>
      <c r="F9" s="11"/>
      <c r="G9" s="11"/>
      <c r="H9" s="11"/>
      <c r="I9" s="10"/>
      <c r="J9" s="11"/>
      <c r="K9" s="11" t="n">
        <f aca="false">(F9-E9)*J9</f>
        <v>0</v>
      </c>
      <c r="L9" s="10" t="n">
        <f aca="false">(G9-F9)*J9</f>
        <v>0</v>
      </c>
      <c r="M9" s="10" t="e">
        <f aca="false">(#REF!-H9)*J9</f>
        <v>#REF!</v>
      </c>
      <c r="N9" s="12" t="n">
        <f aca="false">IF(I9=0,0,K9/I9)</f>
        <v>0</v>
      </c>
      <c r="O9" s="12" t="n">
        <f aca="false">IF(I9=0,0,L9/I9)</f>
        <v>0</v>
      </c>
      <c r="P9" s="12" t="n">
        <f aca="false">IF(I9=0,0,M9/I9)</f>
        <v>0</v>
      </c>
      <c r="Q9" s="13" t="n">
        <v>24</v>
      </c>
      <c r="R9" s="10"/>
      <c r="S9" s="10"/>
      <c r="T9" s="10"/>
      <c r="U9" s="10"/>
      <c r="V9" s="10"/>
      <c r="W9" s="10"/>
      <c r="X9" s="10"/>
      <c r="Y9" s="10"/>
      <c r="Z9" s="12" t="n">
        <f aca="false">IF(I9=0,0,(#REF!+T9)/I9)</f>
        <v>0</v>
      </c>
      <c r="AA9" s="14" t="str">
        <f aca="false">IF(OR(Q9=0,I9=0),"",Z9/Q9*100)</f>
        <v/>
      </c>
      <c r="AB9" s="14"/>
      <c r="AC9" s="14"/>
      <c r="AD9" s="14"/>
      <c r="AE9" s="13" t="str">
        <f aca="false">IF(AA9&gt;85," ","WARNING")</f>
        <v> </v>
      </c>
    </row>
    <row r="10" customFormat="false" ht="42" hidden="true" customHeight="true" outlineLevel="0" collapsed="false">
      <c r="A10" s="7" t="s">
        <v>38</v>
      </c>
      <c r="B10" s="8" t="s">
        <v>39</v>
      </c>
      <c r="C10" s="9" t="str">
        <f aca="false">IFERROR(VLOOKUP(D10,#REF!,2,0)," ")</f>
        <v> </v>
      </c>
      <c r="D10" s="10"/>
      <c r="E10" s="11"/>
      <c r="F10" s="11"/>
      <c r="G10" s="11"/>
      <c r="H10" s="11"/>
      <c r="I10" s="10"/>
      <c r="J10" s="11"/>
      <c r="K10" s="11" t="n">
        <f aca="false">(F10-E10)*J10</f>
        <v>0</v>
      </c>
      <c r="L10" s="10" t="n">
        <f aca="false">(G10-F10)*J10</f>
        <v>0</v>
      </c>
      <c r="M10" s="10" t="e">
        <f aca="false">(#REF!-H10)*J10</f>
        <v>#REF!</v>
      </c>
      <c r="N10" s="12" t="n">
        <f aca="false">IF(I10=0,0,K10/I10)</f>
        <v>0</v>
      </c>
      <c r="O10" s="12" t="n">
        <f aca="false">IF(I10=0,0,L10/I10)</f>
        <v>0</v>
      </c>
      <c r="P10" s="12" t="n">
        <f aca="false">IF(I10=0,0,M10/I10)</f>
        <v>0</v>
      </c>
      <c r="Q10" s="13" t="n">
        <v>24</v>
      </c>
      <c r="R10" s="10"/>
      <c r="S10" s="10"/>
      <c r="T10" s="10"/>
      <c r="U10" s="10"/>
      <c r="V10" s="10"/>
      <c r="W10" s="10"/>
      <c r="X10" s="10"/>
      <c r="Y10" s="10"/>
      <c r="Z10" s="12" t="n">
        <f aca="false">IF(I10=0,0,(#REF!+T10)/I10)</f>
        <v>0</v>
      </c>
      <c r="AA10" s="14" t="str">
        <f aca="false">IF(OR(Q10=0,I10=0),"",Z10/Q10*100)</f>
        <v/>
      </c>
      <c r="AB10" s="14"/>
      <c r="AC10" s="14"/>
      <c r="AD10" s="14"/>
      <c r="AE10" s="13" t="str">
        <f aca="false">IF(AA10&gt;85," ","WARNING")</f>
        <v> </v>
      </c>
    </row>
    <row r="11" customFormat="false" ht="50.25" hidden="true" customHeight="true" outlineLevel="0" collapsed="false">
      <c r="A11" s="7" t="s">
        <v>40</v>
      </c>
      <c r="B11" s="8" t="s">
        <v>41</v>
      </c>
      <c r="C11" s="9" t="str">
        <f aca="false">IFERROR(VLOOKUP(D11,#REF!,2,0)," ")</f>
        <v> </v>
      </c>
      <c r="D11" s="10"/>
      <c r="E11" s="11"/>
      <c r="F11" s="11"/>
      <c r="G11" s="11"/>
      <c r="H11" s="11"/>
      <c r="I11" s="10"/>
      <c r="J11" s="11"/>
      <c r="K11" s="11" t="n">
        <f aca="false">(F11-E11)*J11</f>
        <v>0</v>
      </c>
      <c r="L11" s="10" t="n">
        <f aca="false">(G11-F11)*J11</f>
        <v>0</v>
      </c>
      <c r="M11" s="10" t="e">
        <f aca="false">(#REF!-H11)*J11</f>
        <v>#REF!</v>
      </c>
      <c r="N11" s="12" t="n">
        <f aca="false">IF(I11=0,0,K11/I11)</f>
        <v>0</v>
      </c>
      <c r="O11" s="12" t="n">
        <f aca="false">IF(I11=0,0,L11/I11)</f>
        <v>0</v>
      </c>
      <c r="P11" s="12" t="n">
        <f aca="false">IF(I11=0,0,M11/I11)</f>
        <v>0</v>
      </c>
      <c r="Q11" s="13" t="n">
        <v>24</v>
      </c>
      <c r="R11" s="10"/>
      <c r="S11" s="10"/>
      <c r="T11" s="10"/>
      <c r="U11" s="10"/>
      <c r="V11" s="10"/>
      <c r="W11" s="10"/>
      <c r="X11" s="10"/>
      <c r="Y11" s="10"/>
      <c r="Z11" s="12" t="n">
        <f aca="false">IF(I11=0,0,(#REF!+T11)/I11)</f>
        <v>0</v>
      </c>
      <c r="AA11" s="14" t="str">
        <f aca="false">IF(OR(Q11=0,I11=0),"",Z11/Q11*100)</f>
        <v/>
      </c>
      <c r="AB11" s="14"/>
      <c r="AC11" s="14"/>
      <c r="AD11" s="14"/>
      <c r="AE11" s="13" t="str">
        <f aca="false">IF(AA11&gt;85," ","WARNING")</f>
        <v> </v>
      </c>
    </row>
    <row r="12" customFormat="false" ht="39.75" hidden="true" customHeight="true" outlineLevel="0" collapsed="false">
      <c r="A12" s="7" t="s">
        <v>42</v>
      </c>
      <c r="B12" s="8" t="s">
        <v>43</v>
      </c>
      <c r="C12" s="9" t="str">
        <f aca="false">IFERROR(VLOOKUP(D12,#REF!,2,0)," ")</f>
        <v> </v>
      </c>
      <c r="D12" s="10"/>
      <c r="E12" s="11"/>
      <c r="F12" s="11"/>
      <c r="G12" s="11"/>
      <c r="H12" s="11"/>
      <c r="I12" s="10"/>
      <c r="J12" s="11"/>
      <c r="K12" s="11" t="n">
        <f aca="false">(F12-E12)*J12</f>
        <v>0</v>
      </c>
      <c r="L12" s="10" t="n">
        <f aca="false">(G12-F12)*J12</f>
        <v>0</v>
      </c>
      <c r="M12" s="10" t="e">
        <f aca="false">(#REF!-H12)*J12</f>
        <v>#REF!</v>
      </c>
      <c r="N12" s="12" t="n">
        <f aca="false">IF(I12=0,0,K12/I12)</f>
        <v>0</v>
      </c>
      <c r="O12" s="12" t="n">
        <f aca="false">IF(I12=0,0,L12/I12)</f>
        <v>0</v>
      </c>
      <c r="P12" s="12" t="n">
        <f aca="false">IF(I12=0,0,M12/I12)</f>
        <v>0</v>
      </c>
      <c r="Q12" s="13" t="n">
        <v>24</v>
      </c>
      <c r="R12" s="10"/>
      <c r="S12" s="10"/>
      <c r="T12" s="10"/>
      <c r="U12" s="10"/>
      <c r="V12" s="10"/>
      <c r="W12" s="10"/>
      <c r="X12" s="10"/>
      <c r="Y12" s="10"/>
      <c r="Z12" s="12" t="n">
        <f aca="false">IF(I12=0,0,(#REF!+T12)/I12)</f>
        <v>0</v>
      </c>
      <c r="AA12" s="14" t="str">
        <f aca="false">IF(OR(Q12=0,I12=0),"",Z12/Q12*100)</f>
        <v/>
      </c>
      <c r="AB12" s="14"/>
      <c r="AC12" s="14"/>
      <c r="AD12" s="14"/>
      <c r="AE12" s="13" t="str">
        <f aca="false">IF(AA12&gt;85," ","WARNING")</f>
        <v> </v>
      </c>
    </row>
    <row r="13" customFormat="false" ht="42.75" hidden="true" customHeight="true" outlineLevel="0" collapsed="false">
      <c r="A13" s="7" t="s">
        <v>44</v>
      </c>
      <c r="B13" s="8" t="s">
        <v>45</v>
      </c>
      <c r="C13" s="9" t="str">
        <f aca="false">IFERROR(VLOOKUP(D13,#REF!,2,0)," ")</f>
        <v> </v>
      </c>
      <c r="D13" s="10"/>
      <c r="E13" s="11"/>
      <c r="F13" s="11"/>
      <c r="G13" s="11"/>
      <c r="H13" s="11"/>
      <c r="I13" s="10"/>
      <c r="J13" s="11"/>
      <c r="K13" s="11" t="n">
        <f aca="false">(F13-E13)*J13</f>
        <v>0</v>
      </c>
      <c r="L13" s="10" t="n">
        <f aca="false">(G13-F13)*J13</f>
        <v>0</v>
      </c>
      <c r="M13" s="10" t="e">
        <f aca="false">(#REF!-H13)*J13</f>
        <v>#REF!</v>
      </c>
      <c r="N13" s="12" t="n">
        <f aca="false">IF(I13=0,0,K13/I13)</f>
        <v>0</v>
      </c>
      <c r="O13" s="12" t="n">
        <f aca="false">IF(I13=0,0,L13/I13)</f>
        <v>0</v>
      </c>
      <c r="P13" s="12" t="n">
        <f aca="false">IF(I13=0,0,M13/I13)</f>
        <v>0</v>
      </c>
      <c r="Q13" s="13" t="n">
        <v>24</v>
      </c>
      <c r="R13" s="10"/>
      <c r="S13" s="10"/>
      <c r="T13" s="10"/>
      <c r="U13" s="10"/>
      <c r="V13" s="10"/>
      <c r="W13" s="10"/>
      <c r="X13" s="10"/>
      <c r="Y13" s="10"/>
      <c r="Z13" s="12" t="n">
        <f aca="false">IF(I13=0,0,(#REF!+T13)/I13)</f>
        <v>0</v>
      </c>
      <c r="AA13" s="14" t="str">
        <f aca="false">IF(OR(Q13=0,I13=0),"",Z13/Q13*100)</f>
        <v/>
      </c>
      <c r="AB13" s="14"/>
      <c r="AC13" s="14"/>
      <c r="AD13" s="14"/>
      <c r="AE13" s="13" t="str">
        <f aca="false">IF(AA13&gt;85," ","WARNING")</f>
        <v> </v>
      </c>
    </row>
    <row r="14" customFormat="false" ht="42.75" hidden="true" customHeight="true" outlineLevel="0" collapsed="false">
      <c r="A14" s="7" t="s">
        <v>46</v>
      </c>
      <c r="B14" s="8" t="s">
        <v>47</v>
      </c>
      <c r="C14" s="9"/>
      <c r="D14" s="10"/>
      <c r="E14" s="11"/>
      <c r="F14" s="11"/>
      <c r="G14" s="11"/>
      <c r="H14" s="11"/>
      <c r="I14" s="10"/>
      <c r="J14" s="11"/>
      <c r="K14" s="11"/>
      <c r="L14" s="10"/>
      <c r="M14" s="10"/>
      <c r="N14" s="12"/>
      <c r="O14" s="12"/>
      <c r="P14" s="12"/>
      <c r="Q14" s="13"/>
      <c r="R14" s="10"/>
      <c r="S14" s="10"/>
      <c r="T14" s="10"/>
      <c r="U14" s="10"/>
      <c r="V14" s="10"/>
      <c r="W14" s="10"/>
      <c r="X14" s="10"/>
      <c r="Y14" s="10"/>
      <c r="Z14" s="12"/>
      <c r="AA14" s="14"/>
      <c r="AB14" s="14"/>
      <c r="AC14" s="14"/>
      <c r="AD14" s="14"/>
      <c r="AE14" s="13"/>
    </row>
    <row r="15" customFormat="false" ht="42.75" hidden="true" customHeight="true" outlineLevel="0" collapsed="false">
      <c r="A15" s="7" t="s">
        <v>48</v>
      </c>
      <c r="B15" s="8" t="s">
        <v>49</v>
      </c>
      <c r="C15" s="9"/>
      <c r="D15" s="10"/>
      <c r="E15" s="11"/>
      <c r="F15" s="11"/>
      <c r="G15" s="11"/>
      <c r="H15" s="11"/>
      <c r="I15" s="10"/>
      <c r="J15" s="11"/>
      <c r="K15" s="11"/>
      <c r="L15" s="10"/>
      <c r="M15" s="10"/>
      <c r="N15" s="12"/>
      <c r="O15" s="12"/>
      <c r="P15" s="12"/>
      <c r="Q15" s="13"/>
      <c r="R15" s="10"/>
      <c r="S15" s="10"/>
      <c r="T15" s="10"/>
      <c r="U15" s="10"/>
      <c r="V15" s="10"/>
      <c r="W15" s="10"/>
      <c r="X15" s="10"/>
      <c r="Y15" s="10"/>
      <c r="Z15" s="12"/>
      <c r="AA15" s="14"/>
      <c r="AB15" s="14"/>
      <c r="AC15" s="14"/>
      <c r="AD15" s="14"/>
      <c r="AE15" s="13"/>
    </row>
    <row r="16" customFormat="false" ht="57" hidden="true" customHeight="true" outlineLevel="0" collapsed="false">
      <c r="A16" s="7" t="s">
        <v>50</v>
      </c>
      <c r="B16" s="8" t="s">
        <v>51</v>
      </c>
      <c r="C16" s="9" t="str">
        <f aca="false">IFERROR(VLOOKUP(D16,#REF!,2,0)," ")</f>
        <v> </v>
      </c>
      <c r="D16" s="10"/>
      <c r="E16" s="11"/>
      <c r="F16" s="11"/>
      <c r="G16" s="11"/>
      <c r="H16" s="11"/>
      <c r="I16" s="10"/>
      <c r="J16" s="11"/>
      <c r="K16" s="11" t="n">
        <f aca="false">(F16-E16)*J16</f>
        <v>0</v>
      </c>
      <c r="L16" s="10" t="n">
        <f aca="false">(G16-F16)*J16</f>
        <v>0</v>
      </c>
      <c r="M16" s="10" t="e">
        <f aca="false">(#REF!-H16)*J16</f>
        <v>#REF!</v>
      </c>
      <c r="N16" s="12" t="n">
        <f aca="false">IF(I16=0,0,K16/I16)</f>
        <v>0</v>
      </c>
      <c r="O16" s="12" t="n">
        <f aca="false">IF(I16=0,0,L16/I16)</f>
        <v>0</v>
      </c>
      <c r="P16" s="12" t="n">
        <f aca="false">IF(I16=0,0,M16/I16)</f>
        <v>0</v>
      </c>
      <c r="Q16" s="13" t="n">
        <v>24</v>
      </c>
      <c r="R16" s="10"/>
      <c r="S16" s="10"/>
      <c r="T16" s="10"/>
      <c r="U16" s="10"/>
      <c r="V16" s="10"/>
      <c r="W16" s="10"/>
      <c r="X16" s="10"/>
      <c r="Y16" s="10"/>
      <c r="Z16" s="12" t="n">
        <f aca="false">IF(I16=0,0,(#REF!+T16)/I16)</f>
        <v>0</v>
      </c>
      <c r="AA16" s="14" t="str">
        <f aca="false">IF(OR(Q16=0,I16=0),"",Z16/Q16*100)</f>
        <v/>
      </c>
      <c r="AB16" s="14"/>
      <c r="AC16" s="14"/>
      <c r="AD16" s="14"/>
      <c r="AE16" s="13" t="str">
        <f aca="false">IF(AA16&gt;85," ","WARNING")</f>
        <v> </v>
      </c>
    </row>
    <row r="17" customFormat="false" ht="17.25" hidden="true" customHeight="true" outlineLevel="0" collapsed="false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</row>
    <row r="18" customFormat="false" ht="54" hidden="false" customHeight="true" outlineLevel="0" collapsed="false">
      <c r="A18" s="7" t="s">
        <v>36</v>
      </c>
      <c r="B18" s="16" t="s">
        <v>52</v>
      </c>
      <c r="C18" s="17" t="str">
        <f aca="false">IFERROR(VLOOKUP(D18,#REF!,2,0)," ")</f>
        <v> </v>
      </c>
      <c r="D18" s="10"/>
      <c r="E18" s="18"/>
      <c r="F18" s="10"/>
      <c r="G18" s="10"/>
      <c r="H18" s="10"/>
      <c r="I18" s="9" t="str">
        <f aca="false">IFERROR(VLOOKUP(D18,#REF!,3,0),"Entrer la cadence")</f>
        <v>Entrer la cadence</v>
      </c>
      <c r="J18" s="10"/>
      <c r="K18" s="10" t="n">
        <f aca="false">(F18-E18)*J18</f>
        <v>0</v>
      </c>
      <c r="L18" s="10" t="n">
        <f aca="false">(G18-F18)*J18</f>
        <v>0</v>
      </c>
      <c r="M18" s="10" t="n">
        <f aca="false">(H18-G18)*J18</f>
        <v>0</v>
      </c>
      <c r="N18" s="19" t="e">
        <f aca="false">IF(I18=0,0,K18/I18)</f>
        <v>#VALUE!</v>
      </c>
      <c r="O18" s="19" t="e">
        <f aca="false">IF(I18=0,0,L18/I18)</f>
        <v>#VALUE!</v>
      </c>
      <c r="P18" s="19" t="e">
        <f aca="false">IF(I18=0,0,M18/I18)</f>
        <v>#VALUE!</v>
      </c>
      <c r="Q18" s="13"/>
      <c r="R18" s="10"/>
      <c r="S18" s="10" t="n">
        <f aca="false">U18+T18-K18-L18-M18</f>
        <v>0</v>
      </c>
      <c r="T18" s="10"/>
      <c r="U18" s="10"/>
      <c r="V18" s="10"/>
      <c r="W18" s="10"/>
      <c r="X18" s="10"/>
      <c r="Y18" s="10"/>
      <c r="Z18" s="12" t="e">
        <f aca="false">IF(I18=0,0,(U18+T18)/I18)</f>
        <v>#VALUE!</v>
      </c>
      <c r="AA18" s="14" t="str">
        <f aca="false">IF(OR(Q18=0,I18=0),"",Z18/Q18*100)</f>
        <v/>
      </c>
      <c r="AB18" s="14"/>
      <c r="AC18" s="14"/>
      <c r="AD18" s="14"/>
      <c r="AE18" s="13" t="str">
        <f aca="false">IF(AA18&gt;85," ","WARNING")</f>
        <v> </v>
      </c>
    </row>
    <row r="19" customFormat="false" ht="43.5" hidden="false" customHeight="true" outlineLevel="0" collapsed="false">
      <c r="A19" s="7" t="s">
        <v>38</v>
      </c>
      <c r="B19" s="20" t="s">
        <v>53</v>
      </c>
      <c r="C19" s="17" t="str">
        <f aca="false">IFERROR(VLOOKUP(D19,#REF!,2,0)," ")</f>
        <v> </v>
      </c>
      <c r="D19" s="10"/>
      <c r="E19" s="10"/>
      <c r="F19" s="10"/>
      <c r="G19" s="10"/>
      <c r="H19" s="10"/>
      <c r="I19" s="9" t="str">
        <f aca="false">IFERROR(VLOOKUP(D19,#REF!,3,0),"Entrer la cadence")</f>
        <v>Entrer la cadence</v>
      </c>
      <c r="J19" s="10"/>
      <c r="K19" s="10" t="n">
        <f aca="false">(F19-E19)*J19</f>
        <v>0</v>
      </c>
      <c r="L19" s="10" t="n">
        <f aca="false">(G19-F19)*J19</f>
        <v>0</v>
      </c>
      <c r="M19" s="10" t="n">
        <f aca="false">(G19-H19)*J19</f>
        <v>0</v>
      </c>
      <c r="N19" s="19" t="e">
        <f aca="false">IF(I19=0,0,K19/I19)</f>
        <v>#VALUE!</v>
      </c>
      <c r="O19" s="19" t="e">
        <f aca="false">IF(I19=0,0,L19/I19)</f>
        <v>#VALUE!</v>
      </c>
      <c r="P19" s="19" t="e">
        <f aca="false">IF(I19=0,0,M19/I19)</f>
        <v>#VALUE!</v>
      </c>
      <c r="Q19" s="13"/>
      <c r="R19" s="10"/>
      <c r="S19" s="10" t="n">
        <f aca="false">U19+T19-K19-L19-M19</f>
        <v>0</v>
      </c>
      <c r="T19" s="10"/>
      <c r="U19" s="10"/>
      <c r="V19" s="10"/>
      <c r="W19" s="10"/>
      <c r="X19" s="10"/>
      <c r="Y19" s="10"/>
      <c r="Z19" s="12" t="e">
        <f aca="false">IF(I19=0,0,(U19+T19)/I19)</f>
        <v>#VALUE!</v>
      </c>
      <c r="AA19" s="14" t="str">
        <f aca="false">IF(OR(Q19=0,I19=0),"",Z19/Q19*100)</f>
        <v/>
      </c>
      <c r="AB19" s="14"/>
      <c r="AC19" s="14"/>
      <c r="AD19" s="14"/>
      <c r="AE19" s="13" t="str">
        <f aca="false">IF(AA19&gt;85," ","WARNING")</f>
        <v> </v>
      </c>
    </row>
    <row r="20" customFormat="false" ht="43.5" hidden="false" customHeight="true" outlineLevel="0" collapsed="false">
      <c r="A20" s="7" t="s">
        <v>40</v>
      </c>
      <c r="B20" s="21" t="s">
        <v>54</v>
      </c>
      <c r="C20" s="17" t="str">
        <f aca="false">IFERROR(VLOOKUP(D20,#REF!,2,0)," ")</f>
        <v> </v>
      </c>
      <c r="D20" s="10"/>
      <c r="E20" s="9"/>
      <c r="F20" s="9"/>
      <c r="G20" s="9"/>
      <c r="H20" s="9"/>
      <c r="I20" s="9" t="str">
        <f aca="false">IFERROR(VLOOKUP(D20,#REF!,3,0),"Entrer la cadence")</f>
        <v>Entrer la cadence</v>
      </c>
      <c r="J20" s="9"/>
      <c r="K20" s="10" t="n">
        <f aca="false">(F20-E20)*J20</f>
        <v>0</v>
      </c>
      <c r="L20" s="10" t="n">
        <f aca="false">(G20-F20)*J20</f>
        <v>0</v>
      </c>
      <c r="M20" s="10" t="n">
        <f aca="false">(G20-H20)*J20</f>
        <v>0</v>
      </c>
      <c r="N20" s="19" t="e">
        <f aca="false">IF(I20=0,0,K20/I20)</f>
        <v>#VALUE!</v>
      </c>
      <c r="O20" s="19" t="e">
        <f aca="false">IF(I20=0,0,L20/I20)</f>
        <v>#VALUE!</v>
      </c>
      <c r="P20" s="19" t="e">
        <f aca="false">IF(I20=0,0,M20/I20)</f>
        <v>#VALUE!</v>
      </c>
      <c r="Q20" s="13"/>
      <c r="R20" s="10"/>
      <c r="S20" s="10" t="n">
        <f aca="false">U20+T20-K20-L20-M20</f>
        <v>0</v>
      </c>
      <c r="T20" s="10"/>
      <c r="U20" s="10"/>
      <c r="V20" s="10"/>
      <c r="W20" s="10"/>
      <c r="X20" s="10"/>
      <c r="Y20" s="10"/>
      <c r="Z20" s="12" t="e">
        <f aca="false">IF(I20=0,0,(U20+T20)/I20)</f>
        <v>#VALUE!</v>
      </c>
      <c r="AA20" s="14" t="str">
        <f aca="false">IF(OR(Q20=0,I20=0),"",Z20/Q20*100)</f>
        <v/>
      </c>
      <c r="AB20" s="14"/>
      <c r="AC20" s="14"/>
      <c r="AD20" s="14"/>
      <c r="AE20" s="13" t="str">
        <f aca="false">IF(AA20&gt;85," ","WARNING")</f>
        <v> </v>
      </c>
    </row>
    <row r="21" customFormat="false" ht="41.25" hidden="false" customHeight="true" outlineLevel="0" collapsed="false">
      <c r="A21" s="7" t="s">
        <v>42</v>
      </c>
      <c r="B21" s="21" t="s">
        <v>55</v>
      </c>
      <c r="C21" s="17" t="str">
        <f aca="false">IFERROR(VLOOKUP(D21,#REF!,2,0)," ")</f>
        <v> </v>
      </c>
      <c r="D21" s="10"/>
      <c r="E21" s="10"/>
      <c r="F21" s="10"/>
      <c r="G21" s="10"/>
      <c r="H21" s="10"/>
      <c r="I21" s="9" t="str">
        <f aca="false">IFERROR(VLOOKUP(D21,#REF!,3,0),"Entrer la cadence")</f>
        <v>Entrer la cadence</v>
      </c>
      <c r="J21" s="10"/>
      <c r="K21" s="10" t="n">
        <f aca="false">(F21-E21)*J21</f>
        <v>0</v>
      </c>
      <c r="L21" s="10" t="n">
        <f aca="false">(G21-F21)*J21</f>
        <v>0</v>
      </c>
      <c r="M21" s="10" t="n">
        <f aca="false">(G21-H21)*J21</f>
        <v>0</v>
      </c>
      <c r="N21" s="19" t="e">
        <f aca="false">IF(I21=0,0,K21/I21)</f>
        <v>#VALUE!</v>
      </c>
      <c r="O21" s="19" t="e">
        <f aca="false">IF(I21=0,0,L21/I21)</f>
        <v>#VALUE!</v>
      </c>
      <c r="P21" s="19" t="e">
        <f aca="false">IF(I21=0,0,M21/I21)</f>
        <v>#VALUE!</v>
      </c>
      <c r="Q21" s="13"/>
      <c r="R21" s="10"/>
      <c r="S21" s="10" t="n">
        <f aca="false">U21+T21-K21-L21-M21</f>
        <v>0</v>
      </c>
      <c r="T21" s="10"/>
      <c r="U21" s="10"/>
      <c r="V21" s="10"/>
      <c r="W21" s="10"/>
      <c r="X21" s="10"/>
      <c r="Y21" s="10"/>
      <c r="Z21" s="12" t="e">
        <f aca="false">IF(I21=0,0,(U21+T21)/I21)</f>
        <v>#VALUE!</v>
      </c>
      <c r="AA21" s="14" t="str">
        <f aca="false">IF(OR(Q21=0,I21=0),"",Z21/Q21*100)</f>
        <v/>
      </c>
      <c r="AB21" s="14"/>
      <c r="AC21" s="14"/>
      <c r="AD21" s="14"/>
      <c r="AE21" s="13" t="str">
        <f aca="false">IF(AA21&gt;85," ","WARNING")</f>
        <v> </v>
      </c>
    </row>
    <row r="22" customFormat="false" ht="51" hidden="false" customHeight="true" outlineLevel="0" collapsed="false">
      <c r="A22" s="7" t="s">
        <v>44</v>
      </c>
      <c r="B22" s="22" t="s">
        <v>56</v>
      </c>
      <c r="C22" s="17" t="str">
        <f aca="false">IFERROR(VLOOKUP(D22,#REF!,2,0)," ")</f>
        <v> </v>
      </c>
      <c r="D22" s="10"/>
      <c r="E22" s="18"/>
      <c r="F22" s="10"/>
      <c r="G22" s="10"/>
      <c r="H22" s="10"/>
      <c r="I22" s="9" t="str">
        <f aca="false">IFERROR(VLOOKUP(D22,#REF!,3,0),"Entrer la cadence")</f>
        <v>Entrer la cadence</v>
      </c>
      <c r="J22" s="10"/>
      <c r="K22" s="10" t="n">
        <f aca="false">(F22-E22)*J22</f>
        <v>0</v>
      </c>
      <c r="L22" s="10" t="n">
        <f aca="false">(G22-F22)*J22</f>
        <v>0</v>
      </c>
      <c r="M22" s="10" t="n">
        <f aca="false">(G22-H22)*J22</f>
        <v>0</v>
      </c>
      <c r="N22" s="19" t="e">
        <f aca="false">IF(I22=0,0,K22/I22)</f>
        <v>#VALUE!</v>
      </c>
      <c r="O22" s="19" t="e">
        <f aca="false">IF(I22=0,0,L22/I22)</f>
        <v>#VALUE!</v>
      </c>
      <c r="P22" s="19" t="e">
        <f aca="false">IF(I22=0,0,M22/I22)</f>
        <v>#VALUE!</v>
      </c>
      <c r="Q22" s="13"/>
      <c r="R22" s="10"/>
      <c r="S22" s="10" t="n">
        <f aca="false">U22+T22-K22-L22-M22</f>
        <v>0</v>
      </c>
      <c r="T22" s="10"/>
      <c r="U22" s="10"/>
      <c r="V22" s="10"/>
      <c r="W22" s="10"/>
      <c r="X22" s="10"/>
      <c r="Y22" s="10"/>
      <c r="Z22" s="12" t="e">
        <f aca="false">IF(I22=0,0,(U22+T22)/I22)</f>
        <v>#VALUE!</v>
      </c>
      <c r="AA22" s="14" t="str">
        <f aca="false">IF(OR(Q22=0,I22=0),"",Z22/Q22*100)</f>
        <v/>
      </c>
      <c r="AB22" s="14"/>
      <c r="AC22" s="14"/>
      <c r="AD22" s="14"/>
      <c r="AE22" s="13" t="str">
        <f aca="false">IF(AA22&gt;85," ","WARNING")</f>
        <v> </v>
      </c>
    </row>
    <row r="23" customFormat="false" ht="39.95" hidden="false" customHeight="true" outlineLevel="0" collapsed="false">
      <c r="A23" s="7" t="s">
        <v>46</v>
      </c>
      <c r="B23" s="16" t="s">
        <v>57</v>
      </c>
      <c r="C23" s="17" t="str">
        <f aca="false">IFERROR(VLOOKUP(D23,#REF!,2,0)," ")</f>
        <v> </v>
      </c>
      <c r="D23" s="10"/>
      <c r="E23" s="18"/>
      <c r="F23" s="10"/>
      <c r="G23" s="10"/>
      <c r="H23" s="10"/>
      <c r="I23" s="9" t="str">
        <f aca="false">IFERROR(VLOOKUP(D23,#REF!,3,0),"Entrer la cadence")</f>
        <v>Entrer la cadence</v>
      </c>
      <c r="J23" s="10"/>
      <c r="K23" s="10" t="n">
        <f aca="false">(F23-E23)*J23</f>
        <v>0</v>
      </c>
      <c r="L23" s="10" t="n">
        <f aca="false">(G23-F23)*J23</f>
        <v>0</v>
      </c>
      <c r="M23" s="10" t="n">
        <f aca="false">(G23-H23)*J23</f>
        <v>0</v>
      </c>
      <c r="N23" s="19" t="e">
        <f aca="false">IF(I23=0,0,K23/I23)</f>
        <v>#VALUE!</v>
      </c>
      <c r="O23" s="19" t="e">
        <f aca="false">IF(I23=0,0,L23/I23)</f>
        <v>#VALUE!</v>
      </c>
      <c r="P23" s="19" t="e">
        <f aca="false">IF(I23=0,0,M23/I23)</f>
        <v>#VALUE!</v>
      </c>
      <c r="Q23" s="12"/>
      <c r="R23" s="10"/>
      <c r="S23" s="10" t="n">
        <f aca="false">U23+T23-K23-L23-M23</f>
        <v>0</v>
      </c>
      <c r="T23" s="10"/>
      <c r="U23" s="10"/>
      <c r="V23" s="10"/>
      <c r="W23" s="10"/>
      <c r="X23" s="10"/>
      <c r="Y23" s="10"/>
      <c r="Z23" s="12" t="e">
        <f aca="false">IF(I23=0,0,(U23+T23)/I23)</f>
        <v>#VALUE!</v>
      </c>
      <c r="AA23" s="14" t="str">
        <f aca="false">IF(OR(Q23=0,I23=0),"",Z23/Q23*100)</f>
        <v/>
      </c>
      <c r="AB23" s="14"/>
      <c r="AC23" s="14"/>
      <c r="AD23" s="14"/>
      <c r="AE23" s="13" t="str">
        <f aca="false">IF(AA23&gt;85," ","WARNING")</f>
        <v> </v>
      </c>
    </row>
    <row r="24" customFormat="false" ht="44.25" hidden="false" customHeight="true" outlineLevel="0" collapsed="false">
      <c r="A24" s="7" t="s">
        <v>58</v>
      </c>
      <c r="B24" s="20" t="s">
        <v>59</v>
      </c>
      <c r="C24" s="17" t="str">
        <f aca="false">IFERROR(VLOOKUP(D24,#REF!,2,0)," ")</f>
        <v> </v>
      </c>
      <c r="D24" s="10"/>
      <c r="E24" s="10"/>
      <c r="F24" s="10"/>
      <c r="G24" s="10"/>
      <c r="H24" s="10"/>
      <c r="I24" s="9" t="str">
        <f aca="false">IFERROR(VLOOKUP(D24,#REF!,3,0),"Entrer la cadence")</f>
        <v>Entrer la cadence</v>
      </c>
      <c r="J24" s="10"/>
      <c r="K24" s="10" t="n">
        <f aca="false">(F24-E24)*J24</f>
        <v>0</v>
      </c>
      <c r="L24" s="10" t="n">
        <f aca="false">(G24-F24)*J24</f>
        <v>0</v>
      </c>
      <c r="M24" s="10" t="n">
        <f aca="false">(G24-H24)*J24</f>
        <v>0</v>
      </c>
      <c r="N24" s="19" t="e">
        <f aca="false">IF(I24=0,0,K24/I24)</f>
        <v>#VALUE!</v>
      </c>
      <c r="O24" s="19" t="e">
        <f aca="false">IF(I24=0,0,L24/I24)</f>
        <v>#VALUE!</v>
      </c>
      <c r="P24" s="19" t="e">
        <f aca="false">IF(I24=0,0,M24/I24)</f>
        <v>#VALUE!</v>
      </c>
      <c r="Q24" s="12"/>
      <c r="R24" s="10"/>
      <c r="S24" s="10" t="n">
        <f aca="false">U24+T24-K24-L24-M24</f>
        <v>0</v>
      </c>
      <c r="T24" s="10"/>
      <c r="U24" s="10"/>
      <c r="V24" s="10"/>
      <c r="W24" s="10"/>
      <c r="X24" s="10"/>
      <c r="Y24" s="10"/>
      <c r="Z24" s="12" t="e">
        <f aca="false">IF(I24=0,0,(U24+T24)/I24)</f>
        <v>#VALUE!</v>
      </c>
      <c r="AA24" s="14" t="str">
        <f aca="false">IF(OR(Q24=0,I24=0),"",Z24/Q24*100)</f>
        <v/>
      </c>
      <c r="AB24" s="14"/>
      <c r="AC24" s="14"/>
      <c r="AD24" s="14"/>
      <c r="AE24" s="13" t="str">
        <f aca="false">IF(AA24&gt;85," ","WARNING")</f>
        <v> </v>
      </c>
    </row>
    <row r="25" customFormat="false" ht="40.5" hidden="false" customHeight="true" outlineLevel="0" collapsed="false">
      <c r="A25" s="7" t="s">
        <v>60</v>
      </c>
      <c r="B25" s="20" t="s">
        <v>61</v>
      </c>
      <c r="C25" s="17" t="str">
        <f aca="false">IFERROR(VLOOKUP(D25,#REF!,2,0)," ")</f>
        <v> </v>
      </c>
      <c r="D25" s="10"/>
      <c r="E25" s="10"/>
      <c r="F25" s="10"/>
      <c r="G25" s="10"/>
      <c r="H25" s="10"/>
      <c r="I25" s="9" t="str">
        <f aca="false">IFERROR(VLOOKUP(D25,#REF!,3,0),"Entrer la cadence")</f>
        <v>Entrer la cadence</v>
      </c>
      <c r="J25" s="10"/>
      <c r="K25" s="10" t="n">
        <f aca="false">(F25-E25)*J25</f>
        <v>0</v>
      </c>
      <c r="L25" s="10" t="n">
        <f aca="false">(G25-F25)*J25</f>
        <v>0</v>
      </c>
      <c r="M25" s="10" t="n">
        <f aca="false">(G25-H25)*J25</f>
        <v>0</v>
      </c>
      <c r="N25" s="19" t="e">
        <f aca="false">IF(I25=0,0,K25/I25)</f>
        <v>#VALUE!</v>
      </c>
      <c r="O25" s="19" t="e">
        <f aca="false">IF(I25=0,0,L25/I25)</f>
        <v>#VALUE!</v>
      </c>
      <c r="P25" s="19" t="e">
        <f aca="false">IF(I25=0,0,M25/I25)</f>
        <v>#VALUE!</v>
      </c>
      <c r="Q25" s="12"/>
      <c r="R25" s="10"/>
      <c r="S25" s="10" t="n">
        <f aca="false">U25+T25-K25-L25-M25</f>
        <v>0</v>
      </c>
      <c r="T25" s="10"/>
      <c r="U25" s="10"/>
      <c r="V25" s="10"/>
      <c r="W25" s="10"/>
      <c r="X25" s="10"/>
      <c r="Y25" s="10"/>
      <c r="Z25" s="12" t="e">
        <f aca="false">IF(I25=0,0,(U25+T25)/I25)</f>
        <v>#VALUE!</v>
      </c>
      <c r="AA25" s="14" t="str">
        <f aca="false">IF(OR(Q25=0,I25=0),"",Z25/Q25*100)</f>
        <v/>
      </c>
      <c r="AB25" s="14"/>
      <c r="AC25" s="14"/>
      <c r="AD25" s="14"/>
      <c r="AE25" s="13" t="str">
        <f aca="false">IF(AA25&gt;85," ","WARNING")</f>
        <v> </v>
      </c>
    </row>
    <row r="26" customFormat="false" ht="40.5" hidden="false" customHeight="true" outlineLevel="0" collapsed="false">
      <c r="A26" s="7" t="s">
        <v>62</v>
      </c>
      <c r="B26" s="20" t="s">
        <v>63</v>
      </c>
      <c r="C26" s="17" t="str">
        <f aca="false">IFERROR(VLOOKUP(D26,#REF!,2,0)," ")</f>
        <v> </v>
      </c>
      <c r="D26" s="10"/>
      <c r="E26" s="10"/>
      <c r="F26" s="10"/>
      <c r="G26" s="10"/>
      <c r="H26" s="10"/>
      <c r="I26" s="9" t="str">
        <f aca="false">IFERROR(VLOOKUP(D26,#REF!,3,0),"Entrer la cadence")</f>
        <v>Entrer la cadence</v>
      </c>
      <c r="J26" s="10"/>
      <c r="K26" s="10" t="n">
        <f aca="false">(F26-E26)*J26</f>
        <v>0</v>
      </c>
      <c r="L26" s="10" t="n">
        <f aca="false">(G26-F26)*J26</f>
        <v>0</v>
      </c>
      <c r="M26" s="10" t="n">
        <f aca="false">(G26-H26)*J26</f>
        <v>0</v>
      </c>
      <c r="N26" s="19" t="e">
        <f aca="false">IF(I26=0,0,K26/I26)</f>
        <v>#VALUE!</v>
      </c>
      <c r="O26" s="19" t="e">
        <f aca="false">IF(I26=0,0,L26/I26)</f>
        <v>#VALUE!</v>
      </c>
      <c r="P26" s="19" t="e">
        <f aca="false">IF(I26=0,0,M26/I26)</f>
        <v>#VALUE!</v>
      </c>
      <c r="Q26" s="12"/>
      <c r="R26" s="10"/>
      <c r="S26" s="10" t="n">
        <f aca="false">U26+T26-K26-L26-M26</f>
        <v>0</v>
      </c>
      <c r="T26" s="10"/>
      <c r="U26" s="10"/>
      <c r="V26" s="10"/>
      <c r="W26" s="10"/>
      <c r="X26" s="10"/>
      <c r="Y26" s="10"/>
      <c r="Z26" s="12" t="e">
        <f aca="false">IF(I26=0,0,(U26+T26)/I26)</f>
        <v>#VALUE!</v>
      </c>
      <c r="AA26" s="14" t="str">
        <f aca="false">IF(OR(Q26=0,I26=0),"",Z26/Q26*100)</f>
        <v/>
      </c>
      <c r="AB26" s="14"/>
      <c r="AC26" s="14"/>
      <c r="AD26" s="14"/>
      <c r="AE26" s="13" t="str">
        <f aca="false">IF(AA26&gt;85," ","WARNING")</f>
        <v> </v>
      </c>
    </row>
    <row r="27" customFormat="false" ht="42" hidden="false" customHeight="true" outlineLevel="0" collapsed="false">
      <c r="A27" s="7" t="s">
        <v>64</v>
      </c>
      <c r="B27" s="20" t="s">
        <v>65</v>
      </c>
      <c r="C27" s="17" t="str">
        <f aca="false">IFERROR(VLOOKUP(D27,#REF!,2,0)," ")</f>
        <v> </v>
      </c>
      <c r="D27" s="10"/>
      <c r="E27" s="23"/>
      <c r="F27" s="10"/>
      <c r="G27" s="10"/>
      <c r="H27" s="10"/>
      <c r="I27" s="9" t="str">
        <f aca="false">IFERROR(VLOOKUP(D27,#REF!,3,0),"Entrer la cadence")</f>
        <v>Entrer la cadence</v>
      </c>
      <c r="J27" s="10"/>
      <c r="K27" s="10" t="n">
        <f aca="false">(F27-E27)*J27</f>
        <v>0</v>
      </c>
      <c r="L27" s="10" t="n">
        <f aca="false">(G27-F27)*J27</f>
        <v>0</v>
      </c>
      <c r="M27" s="10" t="n">
        <f aca="false">(G27-H27)*J27</f>
        <v>0</v>
      </c>
      <c r="N27" s="19" t="e">
        <f aca="false">IF(I27=0,0,K27/I27)</f>
        <v>#VALUE!</v>
      </c>
      <c r="O27" s="19" t="e">
        <f aca="false">IF(I27=0,0,L27/I27)</f>
        <v>#VALUE!</v>
      </c>
      <c r="P27" s="19" t="e">
        <f aca="false">IF(I27=0,0,M27/I27)</f>
        <v>#VALUE!</v>
      </c>
      <c r="Q27" s="12"/>
      <c r="R27" s="10"/>
      <c r="S27" s="10" t="n">
        <f aca="false">U27+T27-K27-L27-M27</f>
        <v>0</v>
      </c>
      <c r="T27" s="10"/>
      <c r="U27" s="10"/>
      <c r="V27" s="10"/>
      <c r="W27" s="10"/>
      <c r="X27" s="10"/>
      <c r="Y27" s="10"/>
      <c r="Z27" s="12" t="e">
        <f aca="false">IF(I27=0,0,(U27+T27)/I27)</f>
        <v>#VALUE!</v>
      </c>
      <c r="AA27" s="14" t="str">
        <f aca="false">IF(OR(Q27=0,I27=0),"",Z27/Q27*100)</f>
        <v/>
      </c>
      <c r="AB27" s="14"/>
      <c r="AC27" s="14"/>
      <c r="AD27" s="14"/>
      <c r="AE27" s="13" t="str">
        <f aca="false">IF(AA27&gt;85," ","WARNING")</f>
        <v> </v>
      </c>
    </row>
    <row r="28" customFormat="false" ht="42" hidden="false" customHeight="true" outlineLevel="0" collapsed="false">
      <c r="A28" s="24" t="s">
        <v>66</v>
      </c>
      <c r="B28" s="25" t="s">
        <v>67</v>
      </c>
      <c r="C28" s="17"/>
      <c r="D28" s="10"/>
      <c r="E28" s="10"/>
      <c r="F28" s="10"/>
      <c r="G28" s="10"/>
      <c r="H28" s="10"/>
      <c r="I28" s="9" t="str">
        <f aca="false">IFERROR(VLOOKUP(D28,#REF!,3,0),"Entrer la cadence")</f>
        <v>Entrer la cadence</v>
      </c>
      <c r="J28" s="10"/>
      <c r="K28" s="10" t="n">
        <f aca="false">(F28-E28)*J28</f>
        <v>0</v>
      </c>
      <c r="L28" s="10" t="n">
        <f aca="false">(G28-F28)*J28</f>
        <v>0</v>
      </c>
      <c r="M28" s="10" t="n">
        <f aca="false">(G28-H28)*J28</f>
        <v>0</v>
      </c>
      <c r="N28" s="19" t="e">
        <f aca="false">IF(I28=0,0,K28/I28)</f>
        <v>#VALUE!</v>
      </c>
      <c r="O28" s="19" t="e">
        <f aca="false">IF(I28=0,0,L28/I28)</f>
        <v>#VALUE!</v>
      </c>
      <c r="P28" s="19" t="e">
        <f aca="false">IF(I28=0,0,M28/I28)</f>
        <v>#VALUE!</v>
      </c>
      <c r="Q28" s="12"/>
      <c r="R28" s="10"/>
      <c r="S28" s="10" t="n">
        <f aca="false">U28+T28-K28-L28-M28</f>
        <v>0</v>
      </c>
      <c r="T28" s="10"/>
      <c r="U28" s="10"/>
      <c r="V28" s="10"/>
      <c r="W28" s="10"/>
      <c r="X28" s="10"/>
      <c r="Y28" s="10"/>
      <c r="Z28" s="12" t="e">
        <f aca="false">IF(I28=0,0,(U28+T28)/I28)</f>
        <v>#VALUE!</v>
      </c>
      <c r="AA28" s="14" t="str">
        <f aca="false">IF(OR(Q28=0,I28=0),"",Z28/Q28*100)</f>
        <v/>
      </c>
      <c r="AB28" s="14"/>
      <c r="AC28" s="14"/>
      <c r="AD28" s="14"/>
      <c r="AE28" s="13"/>
    </row>
    <row r="29" customFormat="false" ht="47.25" hidden="false" customHeight="true" outlineLevel="0" collapsed="false">
      <c r="A29" s="24" t="s">
        <v>68</v>
      </c>
      <c r="B29" s="25" t="s">
        <v>69</v>
      </c>
      <c r="C29" s="10"/>
      <c r="D29" s="10"/>
      <c r="E29" s="26"/>
      <c r="F29" s="27"/>
      <c r="G29" s="27"/>
      <c r="H29" s="27"/>
      <c r="I29" s="9" t="str">
        <f aca="false">IFERROR(VLOOKUP(D29,#REF!,3,0),"Entrer la cadence")</f>
        <v>Entrer la cadence</v>
      </c>
      <c r="J29" s="10"/>
      <c r="K29" s="10" t="n">
        <f aca="false">(F29-E29)*J29</f>
        <v>0</v>
      </c>
      <c r="L29" s="10" t="n">
        <f aca="false">(G29-F29)*J29</f>
        <v>0</v>
      </c>
      <c r="M29" s="10" t="n">
        <f aca="false">(G29-H29)*J29</f>
        <v>0</v>
      </c>
      <c r="N29" s="28" t="e">
        <f aca="false">IF(I29=0,0,K29/I29)</f>
        <v>#VALUE!</v>
      </c>
      <c r="O29" s="19" t="e">
        <f aca="false">IF(I29=0,0,L29/I29)</f>
        <v>#VALUE!</v>
      </c>
      <c r="P29" s="19" t="e">
        <f aca="false">IF(I29=0,0,M29/I29)</f>
        <v>#VALUE!</v>
      </c>
      <c r="Q29" s="29"/>
      <c r="R29" s="30"/>
      <c r="S29" s="10" t="n">
        <f aca="false">U29+T29-K29-L29-M29</f>
        <v>0</v>
      </c>
      <c r="T29" s="10"/>
      <c r="U29" s="10"/>
      <c r="V29" s="10"/>
      <c r="W29" s="10"/>
      <c r="X29" s="10"/>
      <c r="Y29" s="10"/>
      <c r="Z29" s="12" t="e">
        <f aca="false">IF(I29=0,0,(U29+T29)/I29)</f>
        <v>#VALUE!</v>
      </c>
      <c r="AA29" s="14" t="str">
        <f aca="false">IF(OR(Q29=0,I29=0),"",Z29/Q29*100)</f>
        <v/>
      </c>
      <c r="AB29" s="11"/>
      <c r="AC29" s="11"/>
      <c r="AD29" s="11"/>
      <c r="AE29" s="31"/>
    </row>
    <row r="30" customFormat="false" ht="54" hidden="true" customHeight="true" outlineLevel="0" collapsed="false">
      <c r="A30" s="24" t="s">
        <v>70</v>
      </c>
      <c r="B30" s="16" t="s">
        <v>71</v>
      </c>
      <c r="C30" s="32" t="s">
        <v>72</v>
      </c>
      <c r="D30" s="32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2"/>
      <c r="P30" s="32"/>
      <c r="Q30" s="32"/>
      <c r="R30" s="32"/>
      <c r="S30" s="10" t="n">
        <f aca="false">U30+T30-K30-L30-M30</f>
        <v>0</v>
      </c>
      <c r="T30" s="33"/>
      <c r="U30" s="33"/>
      <c r="V30" s="33"/>
      <c r="W30" s="33"/>
      <c r="X30" s="33"/>
      <c r="Y30" s="33"/>
      <c r="Z30" s="12" t="n">
        <f aca="false">IF(I30=0,0,(U30+T30)/I30)</f>
        <v>0</v>
      </c>
      <c r="AA30" s="14" t="str">
        <f aca="false">IF(OR(Q30=0,I30=0),"",Z30/Q30*100)</f>
        <v/>
      </c>
      <c r="AB30" s="11"/>
      <c r="AC30" s="11"/>
      <c r="AD30" s="11"/>
      <c r="AE30" s="31"/>
    </row>
    <row r="31" customFormat="false" ht="57" hidden="true" customHeight="true" outlineLevel="0" collapsed="false">
      <c r="A31" s="24" t="s">
        <v>40</v>
      </c>
      <c r="B31" s="34" t="s">
        <v>73</v>
      </c>
      <c r="C31" s="35" t="s">
        <v>74</v>
      </c>
      <c r="D31" s="35" t="s">
        <v>75</v>
      </c>
      <c r="E31" s="35" t="s">
        <v>76</v>
      </c>
      <c r="F31" s="35" t="s">
        <v>77</v>
      </c>
      <c r="G31" s="35" t="s">
        <v>78</v>
      </c>
      <c r="H31" s="35"/>
      <c r="I31" s="35" t="s">
        <v>79</v>
      </c>
      <c r="J31" s="35" t="s">
        <v>80</v>
      </c>
      <c r="K31" s="35"/>
      <c r="L31" s="35"/>
      <c r="M31" s="35"/>
      <c r="N31" s="35"/>
      <c r="O31" s="35"/>
      <c r="P31" s="35" t="s">
        <v>81</v>
      </c>
      <c r="Q31" s="35"/>
      <c r="R31" s="35"/>
      <c r="S31" s="10" t="n">
        <f aca="false">U31+T31-K31-L31-M31</f>
        <v>0</v>
      </c>
      <c r="T31" s="36"/>
      <c r="U31" s="36"/>
      <c r="V31" s="36"/>
      <c r="W31" s="36"/>
      <c r="X31" s="36"/>
      <c r="Y31" s="36"/>
      <c r="Z31" s="12" t="e">
        <f aca="false">IF(I31=0,0,(U31+T31)/I31)</f>
        <v>#VALUE!</v>
      </c>
      <c r="AA31" s="14" t="str">
        <f aca="false">IF(OR(Q31=0,I31=0),"",Z31/Q31*100)</f>
        <v/>
      </c>
      <c r="AB31" s="11"/>
      <c r="AC31" s="11"/>
      <c r="AD31" s="11"/>
      <c r="AE31" s="31"/>
    </row>
    <row r="32" customFormat="false" ht="32.25" hidden="true" customHeight="true" outlineLevel="0" collapsed="false">
      <c r="A32" s="24" t="s">
        <v>42</v>
      </c>
      <c r="B32" s="34" t="s">
        <v>82</v>
      </c>
      <c r="C32" s="35"/>
      <c r="D32" s="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10" t="n">
        <f aca="false">U32+T32-K32-L32-M32</f>
        <v>0</v>
      </c>
      <c r="T32" s="36"/>
      <c r="U32" s="36"/>
      <c r="V32" s="36"/>
      <c r="W32" s="36"/>
      <c r="X32" s="36"/>
      <c r="Y32" s="36"/>
      <c r="Z32" s="12" t="n">
        <f aca="false">IF(I32=0,0,(U32+T32)/I32)</f>
        <v>0</v>
      </c>
      <c r="AA32" s="14" t="str">
        <f aca="false">IF(OR(Q32=0,I32=0),"",Z32/Q32*100)</f>
        <v/>
      </c>
      <c r="AB32" s="11"/>
      <c r="AC32" s="11"/>
      <c r="AD32" s="11"/>
      <c r="AE32" s="31"/>
    </row>
    <row r="33" customFormat="false" ht="42" hidden="true" customHeight="true" outlineLevel="0" collapsed="false">
      <c r="A33" s="24" t="s">
        <v>44</v>
      </c>
      <c r="B33" s="8" t="s">
        <v>56</v>
      </c>
      <c r="C33" s="10" t="s">
        <v>83</v>
      </c>
      <c r="D33" s="10"/>
      <c r="E33" s="10"/>
      <c r="F33" s="10"/>
      <c r="G33" s="10"/>
      <c r="H33" s="10"/>
      <c r="I33" s="10" t="n">
        <f aca="false">IFERROR(L33/#REF!,0)</f>
        <v>0</v>
      </c>
      <c r="J33" s="10"/>
      <c r="K33" s="10"/>
      <c r="L33" s="10"/>
      <c r="M33" s="10"/>
      <c r="N33" s="10"/>
      <c r="O33" s="10"/>
      <c r="P33" s="11"/>
      <c r="Q33" s="11"/>
      <c r="R33" s="11"/>
      <c r="S33" s="10" t="n">
        <f aca="false">U33+T33-K33-L33-M33</f>
        <v>0</v>
      </c>
      <c r="T33" s="33"/>
      <c r="U33" s="33"/>
      <c r="V33" s="33"/>
      <c r="W33" s="33"/>
      <c r="X33" s="33"/>
      <c r="Y33" s="33"/>
      <c r="Z33" s="12" t="n">
        <f aca="false">IF(I33=0,0,(U33+T33)/I33)</f>
        <v>0</v>
      </c>
      <c r="AA33" s="14" t="str">
        <f aca="false">IF(OR(Q33=0,I33=0),"",Z33/Q33*100)</f>
        <v/>
      </c>
      <c r="AB33" s="11"/>
      <c r="AC33" s="11"/>
      <c r="AD33" s="11"/>
      <c r="AE33" s="31"/>
    </row>
    <row r="34" customFormat="false" ht="39.75" hidden="true" customHeight="true" outlineLevel="0" collapsed="false">
      <c r="A34" s="24" t="s">
        <v>46</v>
      </c>
      <c r="B34" s="34" t="s">
        <v>57</v>
      </c>
      <c r="C34" s="10" t="s">
        <v>84</v>
      </c>
      <c r="D34" s="10"/>
      <c r="E34" s="10"/>
      <c r="F34" s="10"/>
      <c r="G34" s="10"/>
      <c r="H34" s="10"/>
      <c r="I34" s="10" t="n">
        <f aca="false">IFERROR(L34/#REF!,0)</f>
        <v>0</v>
      </c>
      <c r="J34" s="10"/>
      <c r="K34" s="10"/>
      <c r="L34" s="10"/>
      <c r="M34" s="10"/>
      <c r="N34" s="10"/>
      <c r="O34" s="10"/>
      <c r="P34" s="11"/>
      <c r="Q34" s="11"/>
      <c r="R34" s="11"/>
      <c r="S34" s="10" t="n">
        <f aca="false">U34+T34-K34-L34-M34</f>
        <v>0</v>
      </c>
      <c r="T34" s="33"/>
      <c r="U34" s="33"/>
      <c r="V34" s="33"/>
      <c r="W34" s="33"/>
      <c r="X34" s="33"/>
      <c r="Y34" s="33"/>
      <c r="Z34" s="12" t="n">
        <f aca="false">IF(I34=0,0,(U34+T34)/I34)</f>
        <v>0</v>
      </c>
      <c r="AA34" s="14" t="str">
        <f aca="false">IF(OR(Q34=0,I34=0),"",Z34/Q34*100)</f>
        <v/>
      </c>
      <c r="AB34" s="11"/>
      <c r="AC34" s="11"/>
      <c r="AD34" s="11"/>
      <c r="AE34" s="31"/>
    </row>
    <row r="35" customFormat="false" ht="38.25" hidden="true" customHeight="true" outlineLevel="0" collapsed="false">
      <c r="A35" s="24" t="s">
        <v>58</v>
      </c>
      <c r="B35" s="37" t="s">
        <v>59</v>
      </c>
      <c r="C35" s="10" t="s">
        <v>85</v>
      </c>
      <c r="D35" s="10"/>
      <c r="E35" s="10"/>
      <c r="F35" s="10"/>
      <c r="G35" s="10"/>
      <c r="H35" s="10"/>
      <c r="I35" s="10" t="n">
        <f aca="false">IFERROR(L35/#REF!,0)</f>
        <v>0</v>
      </c>
      <c r="J35" s="10"/>
      <c r="K35" s="10"/>
      <c r="L35" s="10"/>
      <c r="M35" s="10"/>
      <c r="N35" s="10"/>
      <c r="O35" s="10"/>
      <c r="P35" s="11"/>
      <c r="Q35" s="11"/>
      <c r="R35" s="11"/>
      <c r="S35" s="10" t="n">
        <f aca="false">U35+T35-K35-L35-M35</f>
        <v>0</v>
      </c>
      <c r="T35" s="33"/>
      <c r="U35" s="33"/>
      <c r="V35" s="33"/>
      <c r="W35" s="33"/>
      <c r="X35" s="33"/>
      <c r="Y35" s="33"/>
      <c r="Z35" s="12" t="n">
        <f aca="false">IF(I35=0,0,(U35+T35)/I35)</f>
        <v>0</v>
      </c>
      <c r="AA35" s="14" t="str">
        <f aca="false">IF(OR(Q35=0,I35=0),"",Z35/Q35*100)</f>
        <v/>
      </c>
      <c r="AB35" s="11"/>
      <c r="AC35" s="11"/>
      <c r="AD35" s="11"/>
      <c r="AE35" s="31"/>
    </row>
    <row r="36" customFormat="false" ht="42.75" hidden="true" customHeight="true" outlineLevel="0" collapsed="false">
      <c r="A36" s="24" t="s">
        <v>60</v>
      </c>
      <c r="B36" s="37" t="s">
        <v>61</v>
      </c>
      <c r="C36" s="36"/>
      <c r="D36" s="10"/>
      <c r="E36" s="10"/>
      <c r="F36" s="10"/>
      <c r="G36" s="10"/>
      <c r="H36" s="10"/>
      <c r="I36" s="10" t="n">
        <f aca="false">IFERROR(L36/#REF!,0)</f>
        <v>0</v>
      </c>
      <c r="J36" s="10"/>
      <c r="K36" s="10"/>
      <c r="L36" s="10"/>
      <c r="M36" s="10"/>
      <c r="N36" s="10"/>
      <c r="O36" s="10"/>
      <c r="P36" s="10"/>
      <c r="Q36" s="10"/>
      <c r="R36" s="10"/>
      <c r="S36" s="10" t="n">
        <f aca="false">U36+T36-K36-L36-M36</f>
        <v>0</v>
      </c>
      <c r="T36" s="36"/>
      <c r="U36" s="36"/>
      <c r="V36" s="36"/>
      <c r="W36" s="36"/>
      <c r="X36" s="36"/>
      <c r="Y36" s="36"/>
      <c r="Z36" s="12" t="n">
        <f aca="false">IF(I36=0,0,(U36+T36)/I36)</f>
        <v>0</v>
      </c>
      <c r="AA36" s="14" t="str">
        <f aca="false">IF(OR(Q36=0,I36=0),"",Z36/Q36*100)</f>
        <v/>
      </c>
      <c r="AB36" s="11"/>
      <c r="AC36" s="11"/>
      <c r="AD36" s="11"/>
      <c r="AE36" s="31"/>
    </row>
    <row r="37" customFormat="false" ht="48.75" hidden="true" customHeight="true" outlineLevel="0" collapsed="false">
      <c r="A37" s="24" t="s">
        <v>62</v>
      </c>
      <c r="B37" s="37" t="s">
        <v>63</v>
      </c>
      <c r="C37" s="10" t="s">
        <v>86</v>
      </c>
      <c r="D37" s="10"/>
      <c r="E37" s="10"/>
      <c r="F37" s="10"/>
      <c r="G37" s="10"/>
      <c r="H37" s="10"/>
      <c r="I37" s="10" t="n">
        <f aca="false">IFERROR(L37/#REF!,0)</f>
        <v>0</v>
      </c>
      <c r="J37" s="10"/>
      <c r="K37" s="10"/>
      <c r="L37" s="10"/>
      <c r="M37" s="10"/>
      <c r="N37" s="10"/>
      <c r="O37" s="10"/>
      <c r="P37" s="11"/>
      <c r="Q37" s="11"/>
      <c r="R37" s="11"/>
      <c r="S37" s="10" t="n">
        <f aca="false">U37+T37-K37-L37-M37</f>
        <v>0</v>
      </c>
      <c r="T37" s="33"/>
      <c r="U37" s="33"/>
      <c r="V37" s="33"/>
      <c r="W37" s="33"/>
      <c r="X37" s="33"/>
      <c r="Y37" s="33"/>
      <c r="Z37" s="12" t="n">
        <f aca="false">IF(I37=0,0,(U37+T37)/I37)</f>
        <v>0</v>
      </c>
      <c r="AA37" s="14" t="str">
        <f aca="false">IF(OR(Q37=0,I37=0),"",Z37/Q37*100)</f>
        <v/>
      </c>
      <c r="AB37" s="11"/>
      <c r="AC37" s="11"/>
      <c r="AD37" s="11"/>
      <c r="AE37" s="31"/>
    </row>
    <row r="38" customFormat="false" ht="52.5" hidden="true" customHeight="true" outlineLevel="0" collapsed="false">
      <c r="A38" s="24" t="s">
        <v>64</v>
      </c>
      <c r="B38" s="37" t="s">
        <v>87</v>
      </c>
      <c r="C38" s="10" t="s">
        <v>88</v>
      </c>
      <c r="D38" s="10"/>
      <c r="E38" s="10"/>
      <c r="F38" s="10"/>
      <c r="G38" s="10"/>
      <c r="H38" s="10"/>
      <c r="I38" s="10" t="n">
        <f aca="false">IFERROR(L38/#REF!,0)</f>
        <v>0</v>
      </c>
      <c r="J38" s="10"/>
      <c r="K38" s="10"/>
      <c r="L38" s="10"/>
      <c r="M38" s="10"/>
      <c r="N38" s="10"/>
      <c r="O38" s="10"/>
      <c r="P38" s="10"/>
      <c r="Q38" s="10"/>
      <c r="R38" s="10"/>
      <c r="S38" s="10" t="n">
        <f aca="false">U38+T38-K38-L38-M38</f>
        <v>0</v>
      </c>
      <c r="T38" s="36"/>
      <c r="U38" s="36"/>
      <c r="V38" s="36"/>
      <c r="W38" s="36"/>
      <c r="X38" s="36"/>
      <c r="Y38" s="36"/>
      <c r="Z38" s="12" t="n">
        <f aca="false">IF(I38=0,0,(U38+T38)/I38)</f>
        <v>0</v>
      </c>
      <c r="AA38" s="14" t="str">
        <f aca="false">IF(OR(Q38=0,I38=0),"",Z38/Q38*100)</f>
        <v/>
      </c>
      <c r="AB38" s="11"/>
      <c r="AC38" s="11"/>
      <c r="AD38" s="11"/>
      <c r="AE38" s="31"/>
    </row>
    <row r="39" customFormat="false" ht="39.75" hidden="true" customHeight="true" outlineLevel="0" collapsed="false">
      <c r="A39" s="24" t="s">
        <v>66</v>
      </c>
      <c r="B39" s="34" t="s">
        <v>67</v>
      </c>
      <c r="C39" s="10" t="s">
        <v>89</v>
      </c>
      <c r="D39" s="10"/>
      <c r="E39" s="10"/>
      <c r="F39" s="10"/>
      <c r="G39" s="10"/>
      <c r="H39" s="10"/>
      <c r="I39" s="10" t="n">
        <f aca="false">IFERROR(L39/#REF!,0)</f>
        <v>0</v>
      </c>
      <c r="J39" s="10"/>
      <c r="K39" s="10"/>
      <c r="L39" s="10"/>
      <c r="M39" s="10"/>
      <c r="N39" s="10"/>
      <c r="O39" s="10"/>
      <c r="P39" s="38"/>
      <c r="Q39" s="38"/>
      <c r="R39" s="38"/>
      <c r="S39" s="10" t="n">
        <f aca="false">U39+T39-K39-L39-M39</f>
        <v>0</v>
      </c>
      <c r="T39" s="39"/>
      <c r="U39" s="39"/>
      <c r="V39" s="39"/>
      <c r="W39" s="39"/>
      <c r="X39" s="39"/>
      <c r="Y39" s="39"/>
      <c r="Z39" s="12" t="n">
        <f aca="false">IF(I39=0,0,(U39+T39)/I39)</f>
        <v>0</v>
      </c>
      <c r="AA39" s="14" t="str">
        <f aca="false">IF(OR(Q39=0,I39=0),"",Z39/Q39*100)</f>
        <v/>
      </c>
      <c r="AB39" s="11"/>
      <c r="AC39" s="11"/>
      <c r="AD39" s="11"/>
      <c r="AE39" s="31"/>
    </row>
    <row r="40" customFormat="false" ht="31.5" hidden="true" customHeight="true" outlineLevel="0" collapsed="false">
      <c r="A40" s="24" t="s">
        <v>90</v>
      </c>
      <c r="B40" s="37" t="s">
        <v>69</v>
      </c>
      <c r="C40" s="10"/>
      <c r="D40" s="10"/>
      <c r="E40" s="10"/>
      <c r="F40" s="10"/>
      <c r="G40" s="10"/>
      <c r="H40" s="10"/>
      <c r="I40" s="10" t="n">
        <f aca="false">IFERROR(L40/#REF!,0)</f>
        <v>0</v>
      </c>
      <c r="J40" s="10"/>
      <c r="K40" s="10"/>
      <c r="L40" s="10"/>
      <c r="M40" s="10"/>
      <c r="N40" s="10"/>
      <c r="O40" s="10"/>
      <c r="P40" s="38"/>
      <c r="Q40" s="38"/>
      <c r="R40" s="38"/>
      <c r="S40" s="10" t="n">
        <f aca="false">U40+T40-K40-L40-M40</f>
        <v>0</v>
      </c>
      <c r="T40" s="39"/>
      <c r="U40" s="39"/>
      <c r="V40" s="39"/>
      <c r="W40" s="39"/>
      <c r="X40" s="39"/>
      <c r="Y40" s="39"/>
      <c r="Z40" s="12" t="n">
        <f aca="false">IF(I40=0,0,(U40+T40)/I40)</f>
        <v>0</v>
      </c>
      <c r="AA40" s="14" t="str">
        <f aca="false">IF(OR(Q40=0,I40=0),"",Z40/Q40*100)</f>
        <v/>
      </c>
      <c r="AB40" s="11"/>
      <c r="AC40" s="11"/>
      <c r="AD40" s="11"/>
      <c r="AE40" s="31"/>
    </row>
    <row r="41" customFormat="false" ht="36" hidden="true" customHeight="true" outlineLevel="0" collapsed="false">
      <c r="A41" s="24" t="s">
        <v>70</v>
      </c>
      <c r="B41" s="34" t="s">
        <v>71</v>
      </c>
      <c r="C41" s="10" t="s">
        <v>91</v>
      </c>
      <c r="D41" s="10"/>
      <c r="E41" s="10"/>
      <c r="F41" s="10"/>
      <c r="G41" s="10"/>
      <c r="H41" s="10"/>
      <c r="I41" s="10" t="n">
        <f aca="false">IFERROR(L41/#REF!,0)</f>
        <v>0</v>
      </c>
      <c r="J41" s="10"/>
      <c r="K41" s="10"/>
      <c r="L41" s="10"/>
      <c r="M41" s="10"/>
      <c r="N41" s="10"/>
      <c r="O41" s="10"/>
      <c r="P41" s="10"/>
      <c r="Q41" s="10"/>
      <c r="R41" s="10"/>
      <c r="S41" s="10" t="n">
        <f aca="false">U41+T41-K41-L41-M41</f>
        <v>0</v>
      </c>
      <c r="T41" s="36"/>
      <c r="U41" s="36"/>
      <c r="V41" s="36"/>
      <c r="W41" s="36"/>
      <c r="X41" s="36"/>
      <c r="Y41" s="36"/>
      <c r="Z41" s="12" t="n">
        <f aca="false">IF(I41=0,0,(U41+T41)/I41)</f>
        <v>0</v>
      </c>
      <c r="AA41" s="14" t="str">
        <f aca="false">IF(OR(Q41=0,I41=0),"",Z41/Q41*100)</f>
        <v/>
      </c>
      <c r="AB41" s="40"/>
      <c r="AC41" s="40"/>
      <c r="AD41" s="40"/>
      <c r="AE41" s="31"/>
    </row>
    <row r="42" customFormat="false" ht="39.75" hidden="true" customHeight="true" outlineLevel="0" collapsed="false">
      <c r="A42" s="15"/>
      <c r="B42" s="7"/>
      <c r="C42" s="10" t="s">
        <v>92</v>
      </c>
      <c r="D42" s="10"/>
      <c r="E42" s="10"/>
      <c r="F42" s="10"/>
      <c r="G42" s="10"/>
      <c r="H42" s="10"/>
      <c r="I42" s="10" t="n">
        <f aca="false">IFERROR(L42/#REF!,0)</f>
        <v>0</v>
      </c>
      <c r="J42" s="10"/>
      <c r="K42" s="10"/>
      <c r="L42" s="10"/>
      <c r="M42" s="10"/>
      <c r="N42" s="10"/>
      <c r="O42" s="10"/>
      <c r="P42" s="10"/>
      <c r="Q42" s="10"/>
      <c r="R42" s="10"/>
      <c r="S42" s="10" t="n">
        <f aca="false">U42+T42-K42-L42-M42</f>
        <v>0</v>
      </c>
      <c r="T42" s="36"/>
      <c r="U42" s="36"/>
      <c r="V42" s="36"/>
      <c r="W42" s="36"/>
      <c r="X42" s="36"/>
      <c r="Y42" s="36"/>
      <c r="Z42" s="12" t="n">
        <f aca="false">IF(I42=0,0,(U42+T42)/I42)</f>
        <v>0</v>
      </c>
      <c r="AA42" s="14" t="str">
        <f aca="false">IF(OR(Q42=0,I42=0),"",Z42/Q42*100)</f>
        <v/>
      </c>
      <c r="AB42" s="40"/>
      <c r="AC42" s="40"/>
      <c r="AD42" s="40"/>
      <c r="AE42" s="31"/>
    </row>
    <row r="43" customFormat="false" ht="46.5" hidden="true" customHeight="true" outlineLevel="0" collapsed="false">
      <c r="A43" s="15"/>
      <c r="B43" s="7"/>
      <c r="C43" s="11" t="s">
        <v>93</v>
      </c>
      <c r="D43" s="10"/>
      <c r="E43" s="10"/>
      <c r="F43" s="10"/>
      <c r="G43" s="10"/>
      <c r="H43" s="10"/>
      <c r="I43" s="10" t="n">
        <f aca="false">IFERROR(L43/#REF!,0)</f>
        <v>0</v>
      </c>
      <c r="J43" s="10"/>
      <c r="K43" s="10"/>
      <c r="L43" s="10"/>
      <c r="M43" s="10"/>
      <c r="N43" s="10"/>
      <c r="O43" s="10"/>
      <c r="P43" s="11"/>
      <c r="Q43" s="11"/>
      <c r="R43" s="11"/>
      <c r="S43" s="10" t="n">
        <f aca="false">U43+T43-K43-L43-M43</f>
        <v>0</v>
      </c>
      <c r="T43" s="33"/>
      <c r="U43" s="33"/>
      <c r="V43" s="33"/>
      <c r="W43" s="33"/>
      <c r="X43" s="33"/>
      <c r="Y43" s="33"/>
      <c r="Z43" s="12" t="n">
        <f aca="false">IF(I43=0,0,(U43+T43)/I43)</f>
        <v>0</v>
      </c>
      <c r="AA43" s="14" t="str">
        <f aca="false">IF(OR(Q43=0,I43=0),"",Z43/Q43*100)</f>
        <v/>
      </c>
      <c r="AB43" s="31"/>
      <c r="AC43" s="31"/>
      <c r="AD43" s="31"/>
      <c r="AE43" s="31"/>
    </row>
    <row r="44" customFormat="false" ht="46.5" hidden="true" customHeight="true" outlineLevel="0" collapsed="false">
      <c r="A44" s="15"/>
      <c r="B44" s="7"/>
      <c r="C44" s="11" t="s">
        <v>94</v>
      </c>
      <c r="D44" s="10"/>
      <c r="E44" s="10"/>
      <c r="F44" s="10"/>
      <c r="G44" s="10"/>
      <c r="H44" s="10"/>
      <c r="I44" s="10" t="n">
        <f aca="false">IFERROR(L44/#REF!,0)</f>
        <v>0</v>
      </c>
      <c r="J44" s="10"/>
      <c r="K44" s="10"/>
      <c r="L44" s="10"/>
      <c r="M44" s="10"/>
      <c r="N44" s="10"/>
      <c r="O44" s="10"/>
      <c r="P44" s="10"/>
      <c r="Q44" s="10"/>
      <c r="R44" s="10"/>
      <c r="S44" s="10" t="n">
        <f aca="false">U44+T44-K44-L44-M44</f>
        <v>0</v>
      </c>
      <c r="T44" s="36"/>
      <c r="U44" s="36"/>
      <c r="V44" s="36"/>
      <c r="W44" s="36"/>
      <c r="X44" s="36"/>
      <c r="Y44" s="36"/>
      <c r="Z44" s="12" t="n">
        <f aca="false">IF(I44=0,0,(U44+T44)/I44)</f>
        <v>0</v>
      </c>
      <c r="AA44" s="14" t="str">
        <f aca="false">IF(OR(Q44=0,I44=0),"",Z44/Q44*100)</f>
        <v/>
      </c>
      <c r="AB44" s="31"/>
      <c r="AC44" s="31"/>
      <c r="AD44" s="31"/>
      <c r="AE44" s="31"/>
    </row>
    <row r="45" customFormat="false" ht="39" hidden="true" customHeight="true" outlineLevel="0" collapsed="false">
      <c r="A45" s="41"/>
      <c r="B45" s="11"/>
      <c r="C45" s="11" t="s">
        <v>95</v>
      </c>
      <c r="D45" s="10"/>
      <c r="E45" s="10"/>
      <c r="F45" s="10"/>
      <c r="G45" s="10"/>
      <c r="H45" s="10"/>
      <c r="I45" s="10" t="n">
        <f aca="false">IFERROR(L45/#REF!,0)</f>
        <v>0</v>
      </c>
      <c r="J45" s="10"/>
      <c r="K45" s="10"/>
      <c r="L45" s="10"/>
      <c r="M45" s="10"/>
      <c r="N45" s="10"/>
      <c r="O45" s="10"/>
      <c r="P45" s="10"/>
      <c r="Q45" s="10"/>
      <c r="R45" s="10"/>
      <c r="S45" s="10" t="n">
        <f aca="false">U45+T45-K45-L45-M45</f>
        <v>0</v>
      </c>
      <c r="T45" s="36"/>
      <c r="U45" s="36"/>
      <c r="V45" s="36"/>
      <c r="W45" s="36"/>
      <c r="X45" s="36"/>
      <c r="Y45" s="36"/>
      <c r="Z45" s="12" t="n">
        <f aca="false">IF(I45=0,0,(U45+T45)/I45)</f>
        <v>0</v>
      </c>
      <c r="AA45" s="14" t="str">
        <f aca="false">IF(OR(Q45=0,I45=0),"",Z45/Q45*100)</f>
        <v/>
      </c>
      <c r="AB45" s="31"/>
      <c r="AC45" s="31"/>
      <c r="AD45" s="31"/>
      <c r="AE45" s="31"/>
    </row>
    <row r="46" customFormat="false" ht="39" hidden="false" customHeight="true" outlineLevel="0" collapsed="false">
      <c r="A46" s="42" t="s">
        <v>96</v>
      </c>
      <c r="B46" s="37" t="s">
        <v>71</v>
      </c>
      <c r="C46" s="11"/>
      <c r="D46" s="10"/>
      <c r="E46" s="10"/>
      <c r="F46" s="10"/>
      <c r="G46" s="10"/>
      <c r="H46" s="10"/>
      <c r="I46" s="10" t="str">
        <f aca="false">IFERROR(VLOOKUP(D46,#REF!,3,0),"Entrer la cadence")</f>
        <v>Entrer la cadence</v>
      </c>
      <c r="J46" s="10"/>
      <c r="K46" s="10" t="n">
        <f aca="false">(F46-E46)*J46</f>
        <v>0</v>
      </c>
      <c r="L46" s="10" t="n">
        <f aca="false">(G46-F46)*J46</f>
        <v>0</v>
      </c>
      <c r="M46" s="10" t="n">
        <f aca="false">(H46-G46)*J46</f>
        <v>0</v>
      </c>
      <c r="N46" s="28" t="e">
        <f aca="false">IF(I46=0,0,K46/I46)</f>
        <v>#VALUE!</v>
      </c>
      <c r="O46" s="28" t="e">
        <f aca="false">IF(I46=0,0,L46/I46)</f>
        <v>#VALUE!</v>
      </c>
      <c r="P46" s="28" t="e">
        <f aca="false">IF(I46=0,0,M46/I46)</f>
        <v>#VALUE!</v>
      </c>
      <c r="Q46" s="10"/>
      <c r="R46" s="10"/>
      <c r="S46" s="10" t="n">
        <f aca="false">U46+T46-K46-L46-M46</f>
        <v>0</v>
      </c>
      <c r="T46" s="36"/>
      <c r="U46" s="36"/>
      <c r="V46" s="36"/>
      <c r="W46" s="36"/>
      <c r="X46" s="36"/>
      <c r="Y46" s="36"/>
      <c r="Z46" s="12" t="e">
        <f aca="false">IF(I46=0,0,(U46+T46)/I46)</f>
        <v>#VALUE!</v>
      </c>
      <c r="AA46" s="14" t="str">
        <f aca="false">IF(OR(Q46=0,I46=0),"",Z46/Q46*100)</f>
        <v/>
      </c>
      <c r="AB46" s="31"/>
      <c r="AC46" s="31"/>
      <c r="AD46" s="31"/>
      <c r="AE46" s="31"/>
    </row>
    <row r="47" customFormat="false" ht="39" hidden="false" customHeight="true" outlineLevel="0" collapsed="false">
      <c r="A47" s="41"/>
      <c r="B47" s="41"/>
      <c r="C47" s="43"/>
      <c r="D47" s="44"/>
      <c r="E47" s="44"/>
      <c r="F47" s="44"/>
      <c r="G47" s="44"/>
      <c r="H47" s="44"/>
      <c r="I47" s="44"/>
      <c r="J47" s="44"/>
      <c r="K47" s="44"/>
      <c r="L47" s="44"/>
      <c r="M47" s="44"/>
      <c r="N47" s="44"/>
      <c r="O47" s="44"/>
      <c r="P47" s="44"/>
      <c r="Q47" s="44"/>
      <c r="R47" s="45" t="s">
        <v>97</v>
      </c>
      <c r="S47" s="46"/>
      <c r="T47" s="47"/>
      <c r="U47" s="47"/>
      <c r="V47" s="47"/>
      <c r="W47" s="47"/>
      <c r="X47" s="47"/>
      <c r="Y47" s="47"/>
      <c r="Z47" s="4"/>
      <c r="AA47" s="4"/>
      <c r="AB47" s="4"/>
      <c r="AC47" s="4"/>
      <c r="AD47" s="4"/>
      <c r="AE47" s="4"/>
    </row>
    <row r="48" customFormat="false" ht="39" hidden="false" customHeight="true" outlineLevel="0" collapsed="false">
      <c r="A48" s="41"/>
      <c r="B48" s="41"/>
      <c r="C48" s="43"/>
      <c r="D48" s="44"/>
      <c r="E48" s="44"/>
      <c r="F48" s="44"/>
      <c r="G48" s="44"/>
      <c r="H48" s="44"/>
      <c r="I48" s="44"/>
      <c r="J48" s="44"/>
      <c r="K48" s="44"/>
      <c r="L48" s="44"/>
      <c r="M48" s="44"/>
      <c r="N48" s="44"/>
      <c r="O48" s="44"/>
      <c r="P48" s="44"/>
      <c r="Q48" s="44"/>
      <c r="R48" s="44"/>
      <c r="S48" s="44"/>
      <c r="T48" s="47"/>
      <c r="U48" s="47"/>
      <c r="V48" s="47"/>
      <c r="W48" s="47"/>
      <c r="X48" s="47"/>
      <c r="Y48" s="47"/>
      <c r="Z48" s="4"/>
      <c r="AA48" s="4"/>
      <c r="AB48" s="4"/>
      <c r="AC48" s="4"/>
      <c r="AD48" s="4"/>
      <c r="AE48" s="4"/>
    </row>
    <row r="49" customFormat="false" ht="39" hidden="false" customHeight="true" outlineLevel="0" collapsed="false">
      <c r="A49" s="41"/>
      <c r="B49" s="41"/>
      <c r="C49" s="43"/>
      <c r="D49" s="44"/>
      <c r="E49" s="44"/>
      <c r="F49" s="44"/>
      <c r="G49" s="44"/>
      <c r="H49" s="44"/>
      <c r="I49" s="44"/>
      <c r="J49" s="44"/>
      <c r="K49" s="44"/>
      <c r="L49" s="44"/>
      <c r="M49" s="44"/>
      <c r="N49" s="44"/>
      <c r="O49" s="44"/>
      <c r="P49" s="44"/>
      <c r="Q49" s="44"/>
      <c r="R49" s="44"/>
      <c r="S49" s="44"/>
      <c r="T49" s="47"/>
      <c r="U49" s="47"/>
      <c r="V49" s="47"/>
      <c r="W49" s="47"/>
      <c r="X49" s="47"/>
      <c r="Y49" s="47"/>
      <c r="Z49" s="4"/>
      <c r="AA49" s="4"/>
      <c r="AB49" s="4"/>
      <c r="AC49" s="4"/>
      <c r="AD49" s="4"/>
      <c r="AE49" s="4"/>
    </row>
    <row r="50" customFormat="false" ht="39" hidden="false" customHeight="true" outlineLevel="0" collapsed="false">
      <c r="A50" s="41"/>
      <c r="B50" s="41"/>
      <c r="C50" s="43"/>
      <c r="D50" s="44"/>
      <c r="E50" s="44"/>
      <c r="F50" s="44"/>
      <c r="G50" s="44"/>
      <c r="H50" s="44"/>
      <c r="I50" s="44"/>
      <c r="J50" s="44"/>
      <c r="K50" s="44"/>
      <c r="L50" s="44"/>
      <c r="M50" s="44"/>
      <c r="N50" s="44"/>
      <c r="O50" s="44"/>
      <c r="P50" s="44"/>
      <c r="Q50" s="44"/>
      <c r="R50" s="44"/>
      <c r="S50" s="44"/>
      <c r="T50" s="47"/>
      <c r="U50" s="47"/>
      <c r="V50" s="47"/>
      <c r="W50" s="47"/>
      <c r="X50" s="47"/>
      <c r="Y50" s="47"/>
      <c r="Z50" s="4"/>
      <c r="AA50" s="4"/>
      <c r="AB50" s="4"/>
      <c r="AC50" s="4"/>
      <c r="AD50" s="4"/>
      <c r="AE50" s="4"/>
    </row>
    <row r="51" customFormat="false" ht="20.25" hidden="false" customHeight="false" outlineLevel="0" collapsed="false">
      <c r="A51" s="15"/>
      <c r="B51" s="15"/>
      <c r="D51" s="48"/>
      <c r="Z51" s="4"/>
    </row>
    <row r="52" customFormat="false" ht="20.25" hidden="false" customHeight="false" outlineLevel="0" collapsed="false">
      <c r="A52" s="15"/>
      <c r="B52" s="15"/>
      <c r="D52" s="48"/>
      <c r="Z52" s="4"/>
    </row>
    <row r="53" customFormat="false" ht="20.25" hidden="false" customHeight="true" outlineLevel="0" collapsed="false">
      <c r="A53" s="15"/>
      <c r="B53" s="15"/>
      <c r="C53" s="49" t="s">
        <v>98</v>
      </c>
      <c r="D53" s="49"/>
      <c r="E53" s="49"/>
      <c r="F53" s="49"/>
      <c r="G53" s="49"/>
      <c r="H53" s="49"/>
      <c r="I53" s="49"/>
      <c r="J53" s="49" t="s">
        <v>99</v>
      </c>
      <c r="K53" s="49"/>
      <c r="L53" s="49"/>
      <c r="M53" s="49"/>
      <c r="N53" s="49"/>
      <c r="O53" s="49"/>
      <c r="P53" s="49"/>
      <c r="Z53" s="4"/>
    </row>
    <row r="54" customFormat="false" ht="20.25" hidden="false" customHeight="true" outlineLevel="0" collapsed="false">
      <c r="A54" s="15"/>
      <c r="B54" s="15"/>
      <c r="C54" s="49" t="s">
        <v>100</v>
      </c>
      <c r="D54" s="49"/>
      <c r="E54" s="49"/>
      <c r="F54" s="49"/>
      <c r="G54" s="49"/>
      <c r="H54" s="49"/>
      <c r="I54" s="49"/>
      <c r="J54" s="49" t="s">
        <v>101</v>
      </c>
      <c r="K54" s="49"/>
      <c r="L54" s="49"/>
      <c r="M54" s="49"/>
      <c r="N54" s="49"/>
      <c r="O54" s="49"/>
      <c r="P54" s="49"/>
      <c r="Z54" s="4"/>
    </row>
    <row r="55" customFormat="false" ht="20.25" hidden="false" customHeight="true" outlineLevel="0" collapsed="false">
      <c r="A55" s="15"/>
      <c r="B55" s="15"/>
      <c r="C55" s="49" t="s">
        <v>102</v>
      </c>
      <c r="D55" s="49"/>
      <c r="E55" s="49"/>
      <c r="F55" s="49"/>
      <c r="G55" s="49"/>
      <c r="H55" s="49"/>
      <c r="I55" s="49"/>
      <c r="J55" s="49" t="s">
        <v>103</v>
      </c>
      <c r="K55" s="49"/>
      <c r="L55" s="49"/>
      <c r="M55" s="49"/>
      <c r="N55" s="49"/>
      <c r="O55" s="49"/>
      <c r="P55" s="49"/>
      <c r="Z55" s="4"/>
    </row>
    <row r="56" customFormat="false" ht="20.25" hidden="false" customHeight="false" outlineLevel="0" collapsed="false">
      <c r="A56" s="43"/>
      <c r="B56" s="43"/>
      <c r="D56" s="50"/>
      <c r="Z56" s="4"/>
    </row>
    <row r="57" customFormat="false" ht="20.25" hidden="false" customHeight="false" outlineLevel="0" collapsed="false">
      <c r="A57" s="43"/>
      <c r="B57" s="43"/>
      <c r="D57" s="50"/>
      <c r="Z57" s="4"/>
    </row>
    <row r="58" customFormat="false" ht="20.25" hidden="false" customHeight="false" outlineLevel="0" collapsed="false">
      <c r="A58" s="43"/>
      <c r="B58" s="43"/>
      <c r="D58" s="51"/>
      <c r="Z58" s="4"/>
    </row>
    <row r="59" customFormat="false" ht="20.25" hidden="false" customHeight="false" outlineLevel="0" collapsed="false">
      <c r="A59" s="43"/>
      <c r="B59" s="43"/>
      <c r="D59" s="4"/>
      <c r="Z59" s="4"/>
    </row>
    <row r="60" customFormat="false" ht="21" hidden="false" customHeight="false" outlineLevel="0" collapsed="false">
      <c r="A60" s="52"/>
      <c r="B60" s="52"/>
    </row>
    <row r="61" customFormat="false" ht="21" hidden="false" customHeight="false" outlineLevel="0" collapsed="false">
      <c r="A61" s="53"/>
      <c r="B61" s="53"/>
    </row>
    <row r="62" customFormat="false" ht="21" hidden="false" customHeight="false" outlineLevel="0" collapsed="false">
      <c r="A62" s="53"/>
      <c r="B62" s="53"/>
    </row>
    <row r="63" customFormat="false" ht="21" hidden="false" customHeight="false" outlineLevel="0" collapsed="false">
      <c r="A63" s="53"/>
      <c r="B63" s="53"/>
    </row>
  </sheetData>
  <mergeCells count="49">
    <mergeCell ref="A1:B4"/>
    <mergeCell ref="C1:Y4"/>
    <mergeCell ref="Z1:AE1"/>
    <mergeCell ref="Z2:AE2"/>
    <mergeCell ref="Z3:AE3"/>
    <mergeCell ref="Z4:AE4"/>
    <mergeCell ref="Z7:AE7"/>
    <mergeCell ref="A17:AE17"/>
    <mergeCell ref="C30:R30"/>
    <mergeCell ref="C31:C32"/>
    <mergeCell ref="D31:D32"/>
    <mergeCell ref="E31:E32"/>
    <mergeCell ref="F31:F32"/>
    <mergeCell ref="G31:G32"/>
    <mergeCell ref="I31:I32"/>
    <mergeCell ref="J31:O32"/>
    <mergeCell ref="P31:R32"/>
    <mergeCell ref="J33:O33"/>
    <mergeCell ref="P33:R33"/>
    <mergeCell ref="J34:O34"/>
    <mergeCell ref="P34:R34"/>
    <mergeCell ref="J35:O35"/>
    <mergeCell ref="P35:R35"/>
    <mergeCell ref="J36:O36"/>
    <mergeCell ref="P36:R36"/>
    <mergeCell ref="J37:O37"/>
    <mergeCell ref="P37:R37"/>
    <mergeCell ref="J38:O38"/>
    <mergeCell ref="P38:R38"/>
    <mergeCell ref="J39:O39"/>
    <mergeCell ref="P39:R39"/>
    <mergeCell ref="J40:O40"/>
    <mergeCell ref="P40:R40"/>
    <mergeCell ref="J41:O41"/>
    <mergeCell ref="P41:R41"/>
    <mergeCell ref="J42:O42"/>
    <mergeCell ref="P42:R42"/>
    <mergeCell ref="J43:O43"/>
    <mergeCell ref="P43:R43"/>
    <mergeCell ref="J44:O44"/>
    <mergeCell ref="P44:R44"/>
    <mergeCell ref="J45:O45"/>
    <mergeCell ref="P45:R45"/>
    <mergeCell ref="C53:I53"/>
    <mergeCell ref="J53:P53"/>
    <mergeCell ref="C54:I54"/>
    <mergeCell ref="J54:P54"/>
    <mergeCell ref="C55:I55"/>
    <mergeCell ref="J55:P55"/>
  </mergeCells>
  <conditionalFormatting sqref="AE9:AE16">
    <cfRule type="containsText" priority="2" operator="containsText" aboveAverage="0" equalAverage="0" bottom="0" percent="0" rank="0" text="WARNING" dxfId="0">
      <formula>NOT(ISERROR(SEARCH("WARNING",AE9)))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8:AE28">
    <cfRule type="containsText" priority="5" operator="containsText" aboveAverage="0" equalAverage="0" bottom="0" percent="0" rank="0" text="WARNING" dxfId="1">
      <formula>NOT(ISERROR(SEARCH("WARNING",AE18)))</formula>
    </cfRule>
  </conditionalFormatting>
  <conditionalFormatting sqref="AE18">
    <cfRule type="containsText" priority="6" operator="containsText" aboveAverage="0" equalAverage="0" bottom="0" percent="0" rank="0" text="WARNING" dxfId="2">
      <formula>NOT(ISERROR(SEARCH("WARNING",AE18)))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priority="8" operator="containsText" aboveAverage="0" equalAverage="0" bottom="0" percent="0" rank="0" text="WARNING" dxfId="3">
      <formula>NOT(ISERROR(SEARCH("WARNING",AE19)))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priority="10" operator="containsText" aboveAverage="0" equalAverage="0" bottom="0" percent="0" rank="0" text="WARNING" dxfId="4">
      <formula>NOT(ISERROR(SEARCH("WARNING",AE20)))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dataValidations count="3">
    <dataValidation allowBlank="true" operator="equal" showDropDown="false" showErrorMessage="true" showInputMessage="true" sqref="Q22" type="none">
      <formula1>0</formula1>
      <formula2>0</formula2>
    </dataValidation>
    <dataValidation allowBlank="true" operator="between" showDropDown="false" showErrorMessage="true" showInputMessage="true" sqref="G33:H45 G47:H50" type="list">
      <formula1>ouvriers</formula1>
      <formula2>0</formula2>
    </dataValidation>
    <dataValidation allowBlank="true" operator="between" showDropDown="false" showErrorMessage="true" showInputMessage="true" sqref="D9:D16 D18:D28 D33:D50" type="list">
      <formula1>pieces</formula1>
      <formula2>0</formula2>
    </dataValidation>
  </dataValidations>
  <printOptions headings="false" gridLines="false" gridLinesSet="true" horizontalCentered="false" verticalCentered="false"/>
  <pageMargins left="0.157638888888889" right="0.157638888888889" top="0.157638888888889" bottom="0.157638888888889" header="0.511805555555555" footer="0.511805555555555"/>
  <pageSetup paperSize="9" scale="24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758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0" ySplit="1" topLeftCell="A255" activePane="bottomLeft" state="frozen"/>
      <selection pane="topLeft" activeCell="A1" activeCellId="0" sqref="A1"/>
      <selection pane="bottomLeft" activeCell="F270" activeCellId="0" sqref="F270"/>
    </sheetView>
  </sheetViews>
  <sheetFormatPr defaultRowHeight="15" zeroHeight="false" outlineLevelRow="0" outlineLevelCol="0"/>
  <cols>
    <col collapsed="false" customWidth="true" hidden="false" outlineLevel="0" max="1" min="1" style="54" width="54.17"/>
    <col collapsed="false" customWidth="true" hidden="false" outlineLevel="0" max="2" min="2" style="55" width="21.94"/>
    <col collapsed="false" customWidth="true" hidden="false" outlineLevel="0" max="3" min="3" style="55" width="10.97"/>
    <col collapsed="false" customWidth="true" hidden="false" outlineLevel="0" max="4" min="4" style="0" width="14.27"/>
    <col collapsed="false" customWidth="true" hidden="false" outlineLevel="0" max="1025" min="5" style="0" width="10.25"/>
  </cols>
  <sheetData>
    <row r="1" customFormat="false" ht="39" hidden="false" customHeight="true" outlineLevel="0" collapsed="false">
      <c r="A1" s="56" t="s">
        <v>104</v>
      </c>
      <c r="B1" s="57" t="s">
        <v>105</v>
      </c>
      <c r="C1" s="58" t="s">
        <v>106</v>
      </c>
      <c r="D1" s="58" t="s">
        <v>107</v>
      </c>
    </row>
    <row r="2" customFormat="false" ht="15" hidden="false" customHeight="false" outlineLevel="0" collapsed="false">
      <c r="A2" s="59" t="s">
        <v>108</v>
      </c>
      <c r="B2" s="60" t="n">
        <v>510081</v>
      </c>
      <c r="C2" s="61" t="n">
        <v>90</v>
      </c>
    </row>
    <row r="3" customFormat="false" ht="15" hidden="false" customHeight="false" outlineLevel="0" collapsed="false">
      <c r="A3" s="54" t="s">
        <v>109</v>
      </c>
      <c r="B3" s="62" t="s">
        <v>110</v>
      </c>
      <c r="C3" s="55" t="n">
        <v>120</v>
      </c>
    </row>
    <row r="4" customFormat="false" ht="15" hidden="false" customHeight="false" outlineLevel="0" collapsed="false">
      <c r="A4" s="54" t="s">
        <v>111</v>
      </c>
      <c r="B4" s="55" t="s">
        <v>112</v>
      </c>
      <c r="C4" s="55" t="n">
        <v>120</v>
      </c>
    </row>
    <row r="5" customFormat="false" ht="15" hidden="false" customHeight="false" outlineLevel="0" collapsed="false">
      <c r="A5" s="54" t="s">
        <v>113</v>
      </c>
      <c r="B5" s="55" t="s">
        <v>114</v>
      </c>
      <c r="C5" s="55" t="n">
        <v>90</v>
      </c>
    </row>
    <row r="6" customFormat="false" ht="15" hidden="false" customHeight="false" outlineLevel="0" collapsed="false">
      <c r="A6" s="54" t="s">
        <v>115</v>
      </c>
      <c r="B6" s="63" t="s">
        <v>116</v>
      </c>
      <c r="C6" s="64" t="n">
        <v>120</v>
      </c>
    </row>
    <row r="7" customFormat="false" ht="15" hidden="false" customHeight="false" outlineLevel="0" collapsed="false">
      <c r="A7" s="54" t="s">
        <v>117</v>
      </c>
      <c r="B7" s="55" t="s">
        <v>118</v>
      </c>
      <c r="C7" s="55" t="n">
        <v>45</v>
      </c>
    </row>
    <row r="8" customFormat="false" ht="15" hidden="false" customHeight="false" outlineLevel="0" collapsed="false">
      <c r="A8" s="54" t="s">
        <v>119</v>
      </c>
      <c r="B8" s="55" t="s">
        <v>120</v>
      </c>
      <c r="C8" s="64" t="n">
        <v>120</v>
      </c>
    </row>
    <row r="9" customFormat="false" ht="15" hidden="false" customHeight="false" outlineLevel="0" collapsed="false">
      <c r="A9" s="54" t="s">
        <v>121</v>
      </c>
      <c r="B9" s="55" t="s">
        <v>122</v>
      </c>
      <c r="C9" s="64" t="n">
        <v>120</v>
      </c>
    </row>
    <row r="10" customFormat="false" ht="15" hidden="false" customHeight="false" outlineLevel="0" collapsed="false">
      <c r="A10" s="54" t="s">
        <v>123</v>
      </c>
      <c r="B10" s="55" t="s">
        <v>116</v>
      </c>
      <c r="C10" s="55" t="n">
        <v>120</v>
      </c>
    </row>
    <row r="11" customFormat="false" ht="15" hidden="false" customHeight="false" outlineLevel="0" collapsed="false">
      <c r="A11" s="54" t="s">
        <v>124</v>
      </c>
      <c r="B11" s="55" t="s">
        <v>125</v>
      </c>
      <c r="C11" s="55" t="n">
        <v>120</v>
      </c>
    </row>
    <row r="12" customFormat="false" ht="15" hidden="false" customHeight="false" outlineLevel="0" collapsed="false">
      <c r="A12" s="54" t="s">
        <v>126</v>
      </c>
      <c r="B12" s="55" t="s">
        <v>127</v>
      </c>
      <c r="C12" s="55" t="n">
        <v>120</v>
      </c>
    </row>
    <row r="13" customFormat="false" ht="15" hidden="false" customHeight="false" outlineLevel="0" collapsed="false">
      <c r="A13" s="54" t="s">
        <v>128</v>
      </c>
      <c r="B13" s="55" t="s">
        <v>129</v>
      </c>
      <c r="C13" s="55" t="n">
        <v>8</v>
      </c>
    </row>
    <row r="14" customFormat="false" ht="15" hidden="false" customHeight="false" outlineLevel="0" collapsed="false">
      <c r="A14" s="54" t="s">
        <v>130</v>
      </c>
      <c r="B14" s="55" t="s">
        <v>131</v>
      </c>
      <c r="C14" s="55" t="n">
        <v>15</v>
      </c>
    </row>
    <row r="15" customFormat="false" ht="15" hidden="false" customHeight="false" outlineLevel="0" collapsed="false">
      <c r="A15" s="54" t="s">
        <v>132</v>
      </c>
      <c r="B15" s="55" t="s">
        <v>133</v>
      </c>
      <c r="C15" s="55" t="n">
        <v>15</v>
      </c>
    </row>
    <row r="16" customFormat="false" ht="15" hidden="false" customHeight="false" outlineLevel="0" collapsed="false">
      <c r="A16" s="54" t="s">
        <v>134</v>
      </c>
      <c r="B16" s="55" t="s">
        <v>135</v>
      </c>
      <c r="C16" s="64" t="n">
        <v>400</v>
      </c>
    </row>
    <row r="17" customFormat="false" ht="15" hidden="false" customHeight="false" outlineLevel="0" collapsed="false">
      <c r="A17" s="65" t="s">
        <v>136</v>
      </c>
      <c r="B17" s="55" t="s">
        <v>137</v>
      </c>
      <c r="C17" s="55" t="n">
        <v>1</v>
      </c>
    </row>
    <row r="18" customFormat="false" ht="15" hidden="false" customHeight="false" outlineLevel="0" collapsed="false">
      <c r="A18" s="54" t="s">
        <v>138</v>
      </c>
      <c r="B18" s="55" t="s">
        <v>139</v>
      </c>
      <c r="C18" s="64" t="n">
        <v>120</v>
      </c>
    </row>
    <row r="19" customFormat="false" ht="15" hidden="false" customHeight="false" outlineLevel="0" collapsed="false">
      <c r="A19" s="54" t="s">
        <v>140</v>
      </c>
      <c r="B19" s="55" t="s">
        <v>140</v>
      </c>
      <c r="C19" s="55" t="n">
        <v>28</v>
      </c>
    </row>
    <row r="20" customFormat="false" ht="15" hidden="false" customHeight="false" outlineLevel="0" collapsed="false">
      <c r="A20" s="54" t="s">
        <v>141</v>
      </c>
      <c r="B20" s="55" t="s">
        <v>142</v>
      </c>
      <c r="C20" s="55" t="n">
        <v>100</v>
      </c>
    </row>
    <row r="21" customFormat="false" ht="15" hidden="false" customHeight="false" outlineLevel="0" collapsed="false">
      <c r="A21" s="54" t="s">
        <v>143</v>
      </c>
      <c r="B21" s="55" t="s">
        <v>144</v>
      </c>
      <c r="C21" s="55" t="n">
        <v>80</v>
      </c>
    </row>
    <row r="22" customFormat="false" ht="15" hidden="false" customHeight="false" outlineLevel="0" collapsed="false">
      <c r="A22" s="54" t="s">
        <v>145</v>
      </c>
      <c r="B22" s="55" t="s">
        <v>146</v>
      </c>
      <c r="C22" s="55" t="n">
        <v>12</v>
      </c>
    </row>
    <row r="23" customFormat="false" ht="18" hidden="false" customHeight="true" outlineLevel="0" collapsed="false">
      <c r="A23" s="54" t="s">
        <v>147</v>
      </c>
      <c r="B23" s="55" t="s">
        <v>148</v>
      </c>
      <c r="C23" s="55" t="n">
        <v>28</v>
      </c>
      <c r="D23" s="0" t="s">
        <v>149</v>
      </c>
    </row>
    <row r="24" customFormat="false" ht="15" hidden="false" customHeight="false" outlineLevel="0" collapsed="false">
      <c r="A24" s="54" t="s">
        <v>150</v>
      </c>
      <c r="B24" s="55" t="s">
        <v>151</v>
      </c>
      <c r="C24" s="55" t="n">
        <v>30</v>
      </c>
    </row>
    <row r="25" customFormat="false" ht="15" hidden="false" customHeight="false" outlineLevel="0" collapsed="false">
      <c r="A25" s="54" t="s">
        <v>152</v>
      </c>
      <c r="B25" s="55" t="n">
        <v>200101</v>
      </c>
      <c r="C25" s="55" t="n">
        <v>130</v>
      </c>
    </row>
    <row r="26" customFormat="false" ht="15" hidden="false" customHeight="false" outlineLevel="0" collapsed="false">
      <c r="A26" s="54" t="s">
        <v>153</v>
      </c>
      <c r="B26" s="55" t="s">
        <v>154</v>
      </c>
      <c r="C26" s="55" t="n">
        <v>90</v>
      </c>
    </row>
    <row r="27" customFormat="false" ht="15" hidden="false" customHeight="false" outlineLevel="0" collapsed="false">
      <c r="A27" s="54" t="s">
        <v>155</v>
      </c>
      <c r="B27" s="55" t="s">
        <v>156</v>
      </c>
      <c r="C27" s="55" t="n">
        <v>70</v>
      </c>
    </row>
    <row r="28" customFormat="false" ht="15" hidden="false" customHeight="false" outlineLevel="0" collapsed="false">
      <c r="A28" s="54" t="s">
        <v>157</v>
      </c>
      <c r="B28" s="55" t="s">
        <v>158</v>
      </c>
      <c r="C28" s="55" t="n">
        <v>45</v>
      </c>
    </row>
    <row r="29" customFormat="false" ht="15" hidden="false" customHeight="false" outlineLevel="0" collapsed="false">
      <c r="A29" s="54" t="s">
        <v>159</v>
      </c>
      <c r="B29" s="55" t="s">
        <v>160</v>
      </c>
      <c r="C29" s="55" t="n">
        <v>30</v>
      </c>
    </row>
    <row r="30" customFormat="false" ht="15" hidden="false" customHeight="false" outlineLevel="0" collapsed="false">
      <c r="A30" s="54" t="s">
        <v>161</v>
      </c>
      <c r="B30" s="55" t="s">
        <v>162</v>
      </c>
      <c r="C30" s="55" t="n">
        <v>30</v>
      </c>
    </row>
    <row r="31" customFormat="false" ht="15" hidden="false" customHeight="false" outlineLevel="0" collapsed="false">
      <c r="A31" s="54" t="s">
        <v>163</v>
      </c>
      <c r="B31" s="55" t="s">
        <v>164</v>
      </c>
      <c r="C31" s="55" t="n">
        <v>30</v>
      </c>
    </row>
    <row r="32" customFormat="false" ht="15" hidden="false" customHeight="false" outlineLevel="0" collapsed="false">
      <c r="A32" s="54" t="s">
        <v>165</v>
      </c>
      <c r="B32" s="55" t="s">
        <v>166</v>
      </c>
      <c r="C32" s="64" t="n">
        <v>30</v>
      </c>
    </row>
    <row r="33" customFormat="false" ht="15" hidden="false" customHeight="false" outlineLevel="0" collapsed="false">
      <c r="A33" s="54" t="s">
        <v>167</v>
      </c>
      <c r="B33" s="55" t="s">
        <v>168</v>
      </c>
      <c r="C33" s="55" t="n">
        <v>30</v>
      </c>
    </row>
    <row r="34" customFormat="false" ht="15" hidden="false" customHeight="false" outlineLevel="0" collapsed="false">
      <c r="A34" s="54" t="s">
        <v>169</v>
      </c>
      <c r="B34" s="55" t="s">
        <v>170</v>
      </c>
      <c r="C34" s="55" t="n">
        <v>30</v>
      </c>
    </row>
    <row r="35" customFormat="false" ht="15" hidden="false" customHeight="false" outlineLevel="0" collapsed="false">
      <c r="A35" s="54" t="s">
        <v>171</v>
      </c>
      <c r="B35" s="55" t="s">
        <v>172</v>
      </c>
      <c r="C35" s="55" t="n">
        <v>70</v>
      </c>
    </row>
    <row r="36" customFormat="false" ht="15" hidden="false" customHeight="false" outlineLevel="0" collapsed="false">
      <c r="A36" s="54" t="s">
        <v>173</v>
      </c>
      <c r="B36" s="55" t="s">
        <v>174</v>
      </c>
      <c r="C36" s="55" t="n">
        <v>120</v>
      </c>
    </row>
    <row r="37" customFormat="false" ht="15" hidden="false" customHeight="false" outlineLevel="0" collapsed="false">
      <c r="A37" s="54" t="s">
        <v>175</v>
      </c>
      <c r="B37" s="55" t="s">
        <v>176</v>
      </c>
      <c r="C37" s="55" t="n">
        <v>50</v>
      </c>
    </row>
    <row r="38" customFormat="false" ht="15" hidden="false" customHeight="false" outlineLevel="0" collapsed="false">
      <c r="A38" s="54" t="s">
        <v>177</v>
      </c>
      <c r="B38" s="55" t="s">
        <v>178</v>
      </c>
      <c r="C38" s="55" t="n">
        <v>28</v>
      </c>
    </row>
    <row r="39" customFormat="false" ht="15" hidden="false" customHeight="false" outlineLevel="0" collapsed="false">
      <c r="A39" s="54" t="s">
        <v>179</v>
      </c>
      <c r="B39" s="55" t="s">
        <v>180</v>
      </c>
      <c r="C39" s="55" t="n">
        <v>60</v>
      </c>
    </row>
    <row r="40" customFormat="false" ht="15" hidden="false" customHeight="false" outlineLevel="0" collapsed="false">
      <c r="A40" s="54" t="s">
        <v>181</v>
      </c>
      <c r="B40" s="55" t="s">
        <v>182</v>
      </c>
      <c r="C40" s="55" t="n">
        <v>50</v>
      </c>
    </row>
    <row r="41" customFormat="false" ht="15" hidden="false" customHeight="false" outlineLevel="0" collapsed="false">
      <c r="A41" s="54" t="s">
        <v>183</v>
      </c>
      <c r="B41" s="55" t="s">
        <v>184</v>
      </c>
      <c r="C41" s="55" t="n">
        <v>100</v>
      </c>
    </row>
    <row r="42" customFormat="false" ht="15" hidden="false" customHeight="false" outlineLevel="0" collapsed="false">
      <c r="A42" s="54" t="s">
        <v>185</v>
      </c>
      <c r="B42" s="55" t="s">
        <v>186</v>
      </c>
      <c r="C42" s="55" t="n">
        <v>110</v>
      </c>
    </row>
    <row r="43" customFormat="false" ht="15" hidden="false" customHeight="false" outlineLevel="0" collapsed="false">
      <c r="A43" s="54" t="s">
        <v>187</v>
      </c>
      <c r="B43" s="55" t="s">
        <v>188</v>
      </c>
      <c r="C43" s="55" t="n">
        <v>110</v>
      </c>
    </row>
    <row r="44" customFormat="false" ht="15" hidden="false" customHeight="false" outlineLevel="0" collapsed="false">
      <c r="A44" s="54" t="s">
        <v>189</v>
      </c>
      <c r="B44" s="55" t="s">
        <v>190</v>
      </c>
      <c r="C44" s="55" t="n">
        <v>30</v>
      </c>
    </row>
    <row r="45" customFormat="false" ht="15" hidden="false" customHeight="false" outlineLevel="0" collapsed="false">
      <c r="A45" s="54" t="s">
        <v>191</v>
      </c>
      <c r="B45" s="55" t="s">
        <v>192</v>
      </c>
      <c r="C45" s="55" t="n">
        <v>30</v>
      </c>
    </row>
    <row r="46" customFormat="false" ht="15" hidden="false" customHeight="false" outlineLevel="0" collapsed="false">
      <c r="A46" s="54" t="s">
        <v>193</v>
      </c>
      <c r="B46" s="55" t="n">
        <v>2018130</v>
      </c>
      <c r="C46" s="55" t="n">
        <v>30</v>
      </c>
      <c r="D46" s="0" t="s">
        <v>194</v>
      </c>
    </row>
    <row r="47" customFormat="false" ht="15" hidden="false" customHeight="false" outlineLevel="0" collapsed="false">
      <c r="A47" s="54" t="s">
        <v>195</v>
      </c>
      <c r="B47" s="55" t="s">
        <v>196</v>
      </c>
      <c r="D47" s="0" t="s">
        <v>56</v>
      </c>
    </row>
    <row r="48" customFormat="false" ht="15" hidden="false" customHeight="false" outlineLevel="0" collapsed="false">
      <c r="A48" s="54" t="s">
        <v>197</v>
      </c>
      <c r="B48" s="55" t="s">
        <v>198</v>
      </c>
      <c r="C48" s="55" t="n">
        <v>12</v>
      </c>
      <c r="D48" s="0" t="s">
        <v>194</v>
      </c>
    </row>
    <row r="49" customFormat="false" ht="15" hidden="false" customHeight="false" outlineLevel="0" collapsed="false">
      <c r="A49" s="54" t="s">
        <v>199</v>
      </c>
      <c r="B49" s="55" t="s">
        <v>200</v>
      </c>
      <c r="C49" s="55" t="n">
        <v>60</v>
      </c>
      <c r="D49" s="0" t="s">
        <v>194</v>
      </c>
    </row>
    <row r="50" customFormat="false" ht="15" hidden="false" customHeight="false" outlineLevel="0" collapsed="false">
      <c r="A50" s="54" t="s">
        <v>201</v>
      </c>
      <c r="B50" s="55" t="s">
        <v>202</v>
      </c>
      <c r="C50" s="55" t="n">
        <v>36</v>
      </c>
    </row>
    <row r="51" customFormat="false" ht="15" hidden="false" customHeight="false" outlineLevel="0" collapsed="false">
      <c r="A51" s="54" t="s">
        <v>203</v>
      </c>
      <c r="B51" s="55" t="s">
        <v>204</v>
      </c>
      <c r="C51" s="55" t="n">
        <v>360</v>
      </c>
    </row>
    <row r="52" customFormat="false" ht="15" hidden="false" customHeight="false" outlineLevel="0" collapsed="false">
      <c r="A52" s="54" t="s">
        <v>205</v>
      </c>
      <c r="B52" s="55" t="s">
        <v>206</v>
      </c>
      <c r="C52" s="55" t="n">
        <v>90</v>
      </c>
    </row>
    <row r="53" customFormat="false" ht="15" hidden="false" customHeight="false" outlineLevel="0" collapsed="false">
      <c r="A53" s="54" t="s">
        <v>207</v>
      </c>
      <c r="B53" s="55" t="s">
        <v>208</v>
      </c>
      <c r="C53" s="55" t="n">
        <v>100</v>
      </c>
    </row>
    <row r="54" customFormat="false" ht="15" hidden="false" customHeight="false" outlineLevel="0" collapsed="false">
      <c r="A54" s="54" t="s">
        <v>209</v>
      </c>
      <c r="B54" s="55" t="s">
        <v>210</v>
      </c>
      <c r="C54" s="55" t="n">
        <v>120</v>
      </c>
    </row>
    <row r="55" customFormat="false" ht="15" hidden="false" customHeight="false" outlineLevel="0" collapsed="false">
      <c r="A55" s="54" t="s">
        <v>211</v>
      </c>
      <c r="B55" s="55" t="n">
        <v>181075</v>
      </c>
      <c r="C55" s="55" t="n">
        <v>30</v>
      </c>
    </row>
    <row r="56" customFormat="false" ht="15" hidden="false" customHeight="false" outlineLevel="0" collapsed="false">
      <c r="A56" s="54" t="s">
        <v>212</v>
      </c>
      <c r="B56" s="55" t="s">
        <v>213</v>
      </c>
      <c r="C56" s="55" t="n">
        <v>45</v>
      </c>
    </row>
    <row r="57" customFormat="false" ht="15" hidden="false" customHeight="false" outlineLevel="0" collapsed="false">
      <c r="A57" s="54" t="s">
        <v>214</v>
      </c>
      <c r="B57" s="55" t="s">
        <v>215</v>
      </c>
      <c r="C57" s="55" t="n">
        <v>50</v>
      </c>
    </row>
    <row r="58" customFormat="false" ht="15" hidden="false" customHeight="false" outlineLevel="0" collapsed="false">
      <c r="A58" s="54" t="s">
        <v>216</v>
      </c>
      <c r="B58" s="55" t="n">
        <v>181270</v>
      </c>
      <c r="C58" s="55" t="n">
        <v>37</v>
      </c>
    </row>
    <row r="59" customFormat="false" ht="15" hidden="false" customHeight="false" outlineLevel="0" collapsed="false">
      <c r="A59" s="54" t="s">
        <v>217</v>
      </c>
      <c r="B59" s="55" t="s">
        <v>218</v>
      </c>
      <c r="C59" s="55" t="n">
        <v>120</v>
      </c>
    </row>
    <row r="60" customFormat="false" ht="15" hidden="false" customHeight="false" outlineLevel="0" collapsed="false">
      <c r="A60" s="54" t="s">
        <v>219</v>
      </c>
      <c r="B60" s="55" t="s">
        <v>220</v>
      </c>
      <c r="C60" s="55" t="n">
        <v>120</v>
      </c>
    </row>
    <row r="61" customFormat="false" ht="15" hidden="false" customHeight="false" outlineLevel="0" collapsed="false">
      <c r="A61" s="54" t="s">
        <v>221</v>
      </c>
      <c r="B61" s="55" t="s">
        <v>222</v>
      </c>
      <c r="C61" s="55" t="n">
        <v>120</v>
      </c>
    </row>
    <row r="62" customFormat="false" ht="15" hidden="false" customHeight="false" outlineLevel="0" collapsed="false">
      <c r="A62" s="54" t="s">
        <v>223</v>
      </c>
      <c r="B62" s="55" t="s">
        <v>224</v>
      </c>
      <c r="C62" s="55" t="n">
        <v>120</v>
      </c>
    </row>
    <row r="63" customFormat="false" ht="15" hidden="false" customHeight="false" outlineLevel="0" collapsed="false">
      <c r="A63" s="54" t="s">
        <v>225</v>
      </c>
      <c r="B63" s="55" t="s">
        <v>226</v>
      </c>
      <c r="C63" s="55" t="n">
        <v>120</v>
      </c>
      <c r="D63" s="0" t="s">
        <v>227</v>
      </c>
    </row>
    <row r="64" customFormat="false" ht="15" hidden="false" customHeight="false" outlineLevel="0" collapsed="false">
      <c r="A64" s="54" t="s">
        <v>228</v>
      </c>
      <c r="B64" s="55" t="s">
        <v>229</v>
      </c>
      <c r="C64" s="55" t="n">
        <v>120</v>
      </c>
    </row>
    <row r="65" customFormat="false" ht="15" hidden="false" customHeight="false" outlineLevel="0" collapsed="false">
      <c r="A65" s="54" t="s">
        <v>230</v>
      </c>
      <c r="B65" s="55" t="s">
        <v>231</v>
      </c>
      <c r="C65" s="55" t="n">
        <v>120</v>
      </c>
    </row>
    <row r="66" customFormat="false" ht="15" hidden="false" customHeight="false" outlineLevel="0" collapsed="false">
      <c r="A66" s="54" t="s">
        <v>232</v>
      </c>
      <c r="B66" s="55" t="s">
        <v>233</v>
      </c>
      <c r="C66" s="55" t="n">
        <v>80</v>
      </c>
    </row>
    <row r="67" customFormat="false" ht="15" hidden="false" customHeight="false" outlineLevel="0" collapsed="false">
      <c r="A67" s="54" t="s">
        <v>234</v>
      </c>
      <c r="B67" s="55" t="s">
        <v>235</v>
      </c>
      <c r="C67" s="55" t="n">
        <v>70</v>
      </c>
    </row>
    <row r="68" customFormat="false" ht="15" hidden="false" customHeight="false" outlineLevel="0" collapsed="false">
      <c r="A68" s="54" t="s">
        <v>236</v>
      </c>
      <c r="B68" s="55" t="s">
        <v>233</v>
      </c>
      <c r="C68" s="55" t="n">
        <v>70</v>
      </c>
    </row>
    <row r="69" customFormat="false" ht="15" hidden="false" customHeight="false" outlineLevel="0" collapsed="false">
      <c r="A69" s="54" t="s">
        <v>237</v>
      </c>
      <c r="B69" s="55" t="s">
        <v>238</v>
      </c>
    </row>
    <row r="70" customFormat="false" ht="15" hidden="false" customHeight="false" outlineLevel="0" collapsed="false">
      <c r="A70" s="54" t="s">
        <v>239</v>
      </c>
      <c r="B70" s="55" t="s">
        <v>240</v>
      </c>
      <c r="C70" s="55" t="n">
        <v>120</v>
      </c>
    </row>
    <row r="71" customFormat="false" ht="15" hidden="false" customHeight="false" outlineLevel="0" collapsed="false">
      <c r="A71" s="54" t="s">
        <v>241</v>
      </c>
      <c r="B71" s="55" t="s">
        <v>242</v>
      </c>
      <c r="C71" s="55" t="n">
        <v>120</v>
      </c>
    </row>
    <row r="72" customFormat="false" ht="15" hidden="false" customHeight="false" outlineLevel="0" collapsed="false">
      <c r="A72" s="54" t="s">
        <v>243</v>
      </c>
      <c r="B72" s="55" t="s">
        <v>244</v>
      </c>
      <c r="C72" s="55" t="n">
        <v>120</v>
      </c>
    </row>
    <row r="73" customFormat="false" ht="15" hidden="false" customHeight="false" outlineLevel="0" collapsed="false">
      <c r="A73" s="54" t="s">
        <v>245</v>
      </c>
      <c r="B73" s="55" t="s">
        <v>246</v>
      </c>
      <c r="C73" s="55" t="n">
        <v>90</v>
      </c>
    </row>
    <row r="74" customFormat="false" ht="15" hidden="false" customHeight="false" outlineLevel="0" collapsed="false">
      <c r="A74" s="54" t="s">
        <v>247</v>
      </c>
      <c r="B74" s="55" t="s">
        <v>248</v>
      </c>
      <c r="C74" s="55" t="n">
        <v>90</v>
      </c>
    </row>
    <row r="75" customFormat="false" ht="15" hidden="false" customHeight="false" outlineLevel="0" collapsed="false">
      <c r="A75" s="54" t="s">
        <v>249</v>
      </c>
      <c r="B75" s="66" t="s">
        <v>250</v>
      </c>
      <c r="C75" s="55" t="n">
        <v>120</v>
      </c>
    </row>
    <row r="76" customFormat="false" ht="15" hidden="false" customHeight="false" outlineLevel="0" collapsed="false">
      <c r="A76" s="54" t="s">
        <v>251</v>
      </c>
      <c r="B76" s="67" t="s">
        <v>252</v>
      </c>
      <c r="C76" s="55" t="n">
        <v>90</v>
      </c>
    </row>
    <row r="77" customFormat="false" ht="15" hidden="false" customHeight="false" outlineLevel="0" collapsed="false">
      <c r="A77" s="54" t="s">
        <v>253</v>
      </c>
      <c r="B77" s="67" t="s">
        <v>252</v>
      </c>
      <c r="C77" s="55" t="n">
        <v>60</v>
      </c>
    </row>
    <row r="78" customFormat="false" ht="15" hidden="false" customHeight="false" outlineLevel="0" collapsed="false">
      <c r="A78" s="54" t="s">
        <v>254</v>
      </c>
      <c r="B78" s="67" t="s">
        <v>255</v>
      </c>
      <c r="C78" s="55" t="n">
        <v>90</v>
      </c>
    </row>
    <row r="79" customFormat="false" ht="15" hidden="false" customHeight="false" outlineLevel="0" collapsed="false">
      <c r="A79" s="54" t="s">
        <v>256</v>
      </c>
      <c r="B79" s="67" t="s">
        <v>257</v>
      </c>
      <c r="C79" s="55" t="n">
        <v>90</v>
      </c>
    </row>
    <row r="80" customFormat="false" ht="15" hidden="false" customHeight="false" outlineLevel="0" collapsed="false">
      <c r="A80" s="54" t="s">
        <v>258</v>
      </c>
      <c r="B80" s="67" t="s">
        <v>259</v>
      </c>
      <c r="C80" s="55" t="n">
        <v>90</v>
      </c>
    </row>
    <row r="81" customFormat="false" ht="15" hidden="false" customHeight="false" outlineLevel="0" collapsed="false">
      <c r="A81" s="54" t="s">
        <v>260</v>
      </c>
      <c r="B81" s="67" t="s">
        <v>261</v>
      </c>
      <c r="C81" s="55" t="n">
        <v>120</v>
      </c>
    </row>
    <row r="82" customFormat="false" ht="15" hidden="false" customHeight="false" outlineLevel="0" collapsed="false">
      <c r="A82" s="54" t="s">
        <v>262</v>
      </c>
      <c r="B82" s="67" t="s">
        <v>257</v>
      </c>
      <c r="C82" s="55" t="n">
        <v>120</v>
      </c>
    </row>
    <row r="83" customFormat="false" ht="15" hidden="false" customHeight="false" outlineLevel="0" collapsed="false">
      <c r="A83" s="54" t="s">
        <v>263</v>
      </c>
      <c r="B83" s="67" t="s">
        <v>264</v>
      </c>
      <c r="C83" s="55" t="n">
        <v>120</v>
      </c>
    </row>
    <row r="84" customFormat="false" ht="15" hidden="false" customHeight="false" outlineLevel="0" collapsed="false">
      <c r="A84" s="54" t="s">
        <v>265</v>
      </c>
      <c r="B84" s="66" t="s">
        <v>266</v>
      </c>
      <c r="C84" s="55" t="n">
        <v>120</v>
      </c>
    </row>
    <row r="85" customFormat="false" ht="15" hidden="false" customHeight="false" outlineLevel="0" collapsed="false">
      <c r="A85" s="54" t="s">
        <v>267</v>
      </c>
      <c r="B85" s="55" t="s">
        <v>268</v>
      </c>
      <c r="C85" s="55" t="n">
        <v>60</v>
      </c>
    </row>
    <row r="86" customFormat="false" ht="15" hidden="false" customHeight="false" outlineLevel="0" collapsed="false">
      <c r="A86" s="54" t="s">
        <v>269</v>
      </c>
      <c r="B86" s="55" t="s">
        <v>270</v>
      </c>
    </row>
    <row r="87" customFormat="false" ht="15" hidden="false" customHeight="false" outlineLevel="0" collapsed="false">
      <c r="A87" s="54" t="s">
        <v>271</v>
      </c>
      <c r="B87" s="55" t="s">
        <v>272</v>
      </c>
      <c r="C87" s="55" t="n">
        <v>90</v>
      </c>
    </row>
    <row r="88" customFormat="false" ht="15" hidden="false" customHeight="false" outlineLevel="0" collapsed="false">
      <c r="A88" s="54" t="s">
        <v>273</v>
      </c>
      <c r="B88" s="55" t="s">
        <v>274</v>
      </c>
      <c r="C88" s="55" t="n">
        <v>120</v>
      </c>
    </row>
    <row r="89" customFormat="false" ht="15" hidden="false" customHeight="false" outlineLevel="0" collapsed="false">
      <c r="A89" s="54" t="s">
        <v>275</v>
      </c>
      <c r="B89" s="55" t="s">
        <v>276</v>
      </c>
      <c r="C89" s="55" t="n">
        <v>120</v>
      </c>
    </row>
    <row r="90" customFormat="false" ht="15" hidden="false" customHeight="false" outlineLevel="0" collapsed="false">
      <c r="A90" s="54" t="s">
        <v>277</v>
      </c>
      <c r="B90" s="55" t="s">
        <v>278</v>
      </c>
      <c r="C90" s="55" t="n">
        <v>120</v>
      </c>
    </row>
    <row r="91" customFormat="false" ht="15" hidden="false" customHeight="false" outlineLevel="0" collapsed="false">
      <c r="A91" s="54" t="s">
        <v>279</v>
      </c>
      <c r="B91" s="55" t="s">
        <v>280</v>
      </c>
      <c r="C91" s="55" t="n">
        <v>60</v>
      </c>
    </row>
    <row r="92" customFormat="false" ht="15" hidden="false" customHeight="false" outlineLevel="0" collapsed="false">
      <c r="A92" s="54" t="s">
        <v>281</v>
      </c>
      <c r="B92" s="67" t="s">
        <v>282</v>
      </c>
      <c r="C92" s="55" t="n">
        <v>80</v>
      </c>
    </row>
    <row r="93" customFormat="false" ht="15" hidden="false" customHeight="false" outlineLevel="0" collapsed="false">
      <c r="A93" s="54" t="s">
        <v>283</v>
      </c>
      <c r="B93" s="67" t="s">
        <v>284</v>
      </c>
    </row>
    <row r="94" customFormat="false" ht="15" hidden="false" customHeight="false" outlineLevel="0" collapsed="false">
      <c r="A94" s="54" t="s">
        <v>285</v>
      </c>
      <c r="B94" s="67" t="s">
        <v>286</v>
      </c>
      <c r="C94" s="55" t="n">
        <v>60</v>
      </c>
    </row>
    <row r="95" customFormat="false" ht="15" hidden="false" customHeight="false" outlineLevel="0" collapsed="false">
      <c r="A95" s="54" t="s">
        <v>287</v>
      </c>
      <c r="B95" s="66" t="s">
        <v>288</v>
      </c>
      <c r="C95" s="55" t="n">
        <v>60</v>
      </c>
    </row>
    <row r="96" customFormat="false" ht="15" hidden="false" customHeight="false" outlineLevel="0" collapsed="false">
      <c r="A96" s="54" t="s">
        <v>289</v>
      </c>
      <c r="B96" s="67" t="s">
        <v>290</v>
      </c>
      <c r="C96" s="55" t="n">
        <v>120</v>
      </c>
    </row>
    <row r="97" customFormat="false" ht="15" hidden="false" customHeight="false" outlineLevel="0" collapsed="false">
      <c r="A97" s="54" t="s">
        <v>291</v>
      </c>
      <c r="B97" s="67" t="s">
        <v>292</v>
      </c>
      <c r="C97" s="55" t="n">
        <v>120</v>
      </c>
    </row>
    <row r="98" customFormat="false" ht="15" hidden="false" customHeight="false" outlineLevel="0" collapsed="false">
      <c r="A98" s="54" t="s">
        <v>293</v>
      </c>
      <c r="B98" s="55" t="s">
        <v>294</v>
      </c>
      <c r="C98" s="55" t="n">
        <v>120</v>
      </c>
    </row>
    <row r="99" customFormat="false" ht="15" hidden="false" customHeight="false" outlineLevel="0" collapsed="false">
      <c r="A99" s="54" t="s">
        <v>295</v>
      </c>
      <c r="B99" s="67" t="s">
        <v>296</v>
      </c>
      <c r="C99" s="55" t="n">
        <v>120</v>
      </c>
    </row>
    <row r="100" customFormat="false" ht="15" hidden="false" customHeight="false" outlineLevel="0" collapsed="false">
      <c r="A100" s="54" t="s">
        <v>297</v>
      </c>
      <c r="B100" s="55" t="n">
        <v>7159</v>
      </c>
      <c r="C100" s="55" t="n">
        <v>120</v>
      </c>
    </row>
    <row r="101" customFormat="false" ht="15" hidden="false" customHeight="false" outlineLevel="0" collapsed="false">
      <c r="A101" s="54" t="s">
        <v>298</v>
      </c>
      <c r="B101" s="55" t="s">
        <v>299</v>
      </c>
      <c r="C101" s="55" t="n">
        <v>120</v>
      </c>
      <c r="D101" s="0" t="s">
        <v>194</v>
      </c>
    </row>
    <row r="102" customFormat="false" ht="15" hidden="false" customHeight="false" outlineLevel="0" collapsed="false">
      <c r="A102" s="54" t="s">
        <v>300</v>
      </c>
      <c r="B102" s="55" t="s">
        <v>301</v>
      </c>
      <c r="C102" s="55" t="n">
        <v>120</v>
      </c>
    </row>
    <row r="103" customFormat="false" ht="15" hidden="false" customHeight="false" outlineLevel="0" collapsed="false">
      <c r="A103" s="54" t="s">
        <v>302</v>
      </c>
      <c r="B103" s="55" t="s">
        <v>303</v>
      </c>
      <c r="C103" s="55" t="n">
        <v>45</v>
      </c>
    </row>
    <row r="104" customFormat="false" ht="15" hidden="false" customHeight="false" outlineLevel="0" collapsed="false">
      <c r="A104" s="54" t="s">
        <v>304</v>
      </c>
      <c r="B104" s="55" t="n">
        <v>890625</v>
      </c>
      <c r="C104" s="55" t="n">
        <v>70</v>
      </c>
    </row>
    <row r="105" customFormat="false" ht="15" hidden="false" customHeight="false" outlineLevel="0" collapsed="false">
      <c r="A105" s="54" t="s">
        <v>305</v>
      </c>
      <c r="B105" s="55" t="n">
        <v>7009</v>
      </c>
    </row>
    <row r="106" customFormat="false" ht="15" hidden="false" customHeight="false" outlineLevel="0" collapsed="false">
      <c r="A106" s="54" t="s">
        <v>306</v>
      </c>
      <c r="B106" s="55" t="s">
        <v>307</v>
      </c>
      <c r="C106" s="55" t="n">
        <v>60</v>
      </c>
    </row>
    <row r="107" customFormat="false" ht="15" hidden="false" customHeight="false" outlineLevel="0" collapsed="false">
      <c r="A107" s="54" t="s">
        <v>308</v>
      </c>
      <c r="B107" s="55" t="s">
        <v>309</v>
      </c>
      <c r="C107" s="55" t="n">
        <v>20</v>
      </c>
    </row>
    <row r="108" customFormat="false" ht="15" hidden="false" customHeight="false" outlineLevel="0" collapsed="false">
      <c r="A108" s="54" t="s">
        <v>310</v>
      </c>
      <c r="B108" s="55" t="s">
        <v>311</v>
      </c>
      <c r="C108" s="55" t="n">
        <v>15</v>
      </c>
    </row>
    <row r="109" customFormat="false" ht="15" hidden="false" customHeight="false" outlineLevel="0" collapsed="false">
      <c r="A109" s="54" t="s">
        <v>312</v>
      </c>
      <c r="B109" s="55" t="s">
        <v>313</v>
      </c>
      <c r="C109" s="55" t="n">
        <v>75</v>
      </c>
    </row>
    <row r="110" customFormat="false" ht="15" hidden="false" customHeight="false" outlineLevel="0" collapsed="false">
      <c r="A110" s="54" t="s">
        <v>314</v>
      </c>
      <c r="B110" s="55" t="n">
        <v>181241</v>
      </c>
      <c r="C110" s="55" t="n">
        <v>60</v>
      </c>
    </row>
    <row r="111" customFormat="false" ht="15" hidden="false" customHeight="false" outlineLevel="0" collapsed="false">
      <c r="A111" s="54" t="s">
        <v>315</v>
      </c>
      <c r="B111" s="55" t="n">
        <v>18126100</v>
      </c>
      <c r="C111" s="55" t="n">
        <v>30</v>
      </c>
    </row>
    <row r="112" customFormat="false" ht="15" hidden="false" customHeight="false" outlineLevel="0" collapsed="false">
      <c r="A112" s="54" t="s">
        <v>316</v>
      </c>
      <c r="B112" s="67" t="s">
        <v>317</v>
      </c>
      <c r="C112" s="55" t="n">
        <v>20</v>
      </c>
    </row>
    <row r="113" customFormat="false" ht="15" hidden="false" customHeight="false" outlineLevel="0" collapsed="false">
      <c r="A113" s="54" t="s">
        <v>318</v>
      </c>
      <c r="B113" s="55" t="s">
        <v>319</v>
      </c>
      <c r="C113" s="55" t="n">
        <v>90</v>
      </c>
    </row>
    <row r="114" customFormat="false" ht="15" hidden="false" customHeight="false" outlineLevel="0" collapsed="false">
      <c r="A114" s="54" t="s">
        <v>320</v>
      </c>
      <c r="B114" s="55" t="s">
        <v>321</v>
      </c>
      <c r="C114" s="55" t="n">
        <v>120</v>
      </c>
    </row>
    <row r="115" customFormat="false" ht="15" hidden="false" customHeight="false" outlineLevel="0" collapsed="false">
      <c r="A115" s="54" t="s">
        <v>322</v>
      </c>
      <c r="B115" s="55" t="s">
        <v>323</v>
      </c>
    </row>
    <row r="116" customFormat="false" ht="15" hidden="false" customHeight="false" outlineLevel="0" collapsed="false">
      <c r="A116" s="54" t="s">
        <v>324</v>
      </c>
      <c r="B116" s="67" t="s">
        <v>325</v>
      </c>
      <c r="C116" s="55" t="n">
        <v>120</v>
      </c>
    </row>
    <row r="117" customFormat="false" ht="15" hidden="false" customHeight="false" outlineLevel="0" collapsed="false">
      <c r="A117" s="54" t="s">
        <v>326</v>
      </c>
      <c r="B117" s="55" t="s">
        <v>327</v>
      </c>
      <c r="C117" s="55" t="n">
        <v>120</v>
      </c>
    </row>
    <row r="118" customFormat="false" ht="15" hidden="false" customHeight="false" outlineLevel="0" collapsed="false">
      <c r="A118" s="54" t="s">
        <v>328</v>
      </c>
      <c r="B118" s="55" t="s">
        <v>329</v>
      </c>
      <c r="C118" s="55" t="n">
        <v>80</v>
      </c>
    </row>
    <row r="119" customFormat="false" ht="15" hidden="false" customHeight="false" outlineLevel="0" collapsed="false">
      <c r="A119" s="54" t="s">
        <v>330</v>
      </c>
    </row>
    <row r="120" customFormat="false" ht="15" hidden="false" customHeight="false" outlineLevel="0" collapsed="false">
      <c r="A120" s="54" t="s">
        <v>331</v>
      </c>
      <c r="B120" s="55" t="s">
        <v>332</v>
      </c>
      <c r="C120" s="55" t="n">
        <v>120</v>
      </c>
    </row>
    <row r="121" customFormat="false" ht="15" hidden="false" customHeight="false" outlineLevel="0" collapsed="false">
      <c r="A121" s="54" t="s">
        <v>333</v>
      </c>
      <c r="B121" s="55" t="s">
        <v>334</v>
      </c>
      <c r="C121" s="55" t="n">
        <v>120</v>
      </c>
    </row>
    <row r="122" customFormat="false" ht="15" hidden="false" customHeight="false" outlineLevel="0" collapsed="false">
      <c r="A122" s="54" t="s">
        <v>335</v>
      </c>
      <c r="B122" s="55" t="s">
        <v>336</v>
      </c>
      <c r="C122" s="55" t="n">
        <v>30</v>
      </c>
    </row>
    <row r="123" customFormat="false" ht="15" hidden="false" customHeight="false" outlineLevel="0" collapsed="false">
      <c r="A123" s="54" t="s">
        <v>337</v>
      </c>
      <c r="B123" s="55" t="s">
        <v>338</v>
      </c>
      <c r="C123" s="55" t="n">
        <v>120</v>
      </c>
    </row>
    <row r="124" customFormat="false" ht="15" hidden="false" customHeight="false" outlineLevel="0" collapsed="false">
      <c r="A124" s="54" t="s">
        <v>339</v>
      </c>
      <c r="B124" s="55" t="s">
        <v>321</v>
      </c>
      <c r="C124" s="55" t="n">
        <v>120</v>
      </c>
    </row>
    <row r="125" customFormat="false" ht="15" hidden="false" customHeight="false" outlineLevel="0" collapsed="false">
      <c r="A125" s="54" t="s">
        <v>340</v>
      </c>
      <c r="B125" s="55" t="s">
        <v>341</v>
      </c>
      <c r="C125" s="55" t="n">
        <v>90</v>
      </c>
    </row>
    <row r="126" customFormat="false" ht="15" hidden="false" customHeight="false" outlineLevel="0" collapsed="false">
      <c r="A126" s="54" t="s">
        <v>342</v>
      </c>
      <c r="B126" s="55" t="s">
        <v>343</v>
      </c>
      <c r="C126" s="55" t="n">
        <v>120</v>
      </c>
    </row>
    <row r="127" customFormat="false" ht="15" hidden="false" customHeight="false" outlineLevel="0" collapsed="false">
      <c r="A127" s="54" t="s">
        <v>344</v>
      </c>
      <c r="B127" s="55" t="s">
        <v>345</v>
      </c>
      <c r="C127" s="55" t="n">
        <v>120</v>
      </c>
    </row>
    <row r="128" customFormat="false" ht="15" hidden="false" customHeight="false" outlineLevel="0" collapsed="false">
      <c r="A128" s="54" t="s">
        <v>346</v>
      </c>
      <c r="B128" s="55" t="s">
        <v>347</v>
      </c>
      <c r="C128" s="55" t="n">
        <v>120</v>
      </c>
    </row>
    <row r="129" customFormat="false" ht="15" hidden="false" customHeight="false" outlineLevel="0" collapsed="false">
      <c r="A129" s="54" t="s">
        <v>348</v>
      </c>
      <c r="B129" s="55" t="s">
        <v>349</v>
      </c>
      <c r="C129" s="55" t="n">
        <v>120</v>
      </c>
    </row>
    <row r="130" customFormat="false" ht="15" hidden="false" customHeight="false" outlineLevel="0" collapsed="false">
      <c r="A130" s="54" t="s">
        <v>350</v>
      </c>
      <c r="B130" s="55" t="s">
        <v>351</v>
      </c>
      <c r="C130" s="55" t="n">
        <v>120</v>
      </c>
    </row>
    <row r="131" customFormat="false" ht="15" hidden="false" customHeight="false" outlineLevel="0" collapsed="false">
      <c r="A131" s="54" t="s">
        <v>352</v>
      </c>
      <c r="B131" s="55" t="s">
        <v>276</v>
      </c>
      <c r="C131" s="55" t="n">
        <v>120</v>
      </c>
      <c r="D131" s="0" t="s">
        <v>353</v>
      </c>
    </row>
    <row r="132" customFormat="false" ht="15" hidden="false" customHeight="false" outlineLevel="0" collapsed="false">
      <c r="A132" s="54" t="s">
        <v>354</v>
      </c>
      <c r="B132" s="55" t="s">
        <v>355</v>
      </c>
      <c r="C132" s="55" t="n">
        <v>70</v>
      </c>
    </row>
    <row r="133" customFormat="false" ht="15" hidden="false" customHeight="false" outlineLevel="0" collapsed="false">
      <c r="A133" s="54" t="s">
        <v>356</v>
      </c>
      <c r="B133" s="55" t="s">
        <v>357</v>
      </c>
      <c r="C133" s="55" t="n">
        <v>120</v>
      </c>
    </row>
    <row r="134" customFormat="false" ht="15" hidden="false" customHeight="false" outlineLevel="0" collapsed="false">
      <c r="A134" s="54" t="s">
        <v>358</v>
      </c>
      <c r="B134" s="55" t="s">
        <v>359</v>
      </c>
      <c r="C134" s="55" t="n">
        <v>70</v>
      </c>
    </row>
    <row r="135" customFormat="false" ht="15" hidden="false" customHeight="false" outlineLevel="0" collapsed="false">
      <c r="A135" s="54" t="s">
        <v>360</v>
      </c>
      <c r="B135" s="55" t="s">
        <v>361</v>
      </c>
      <c r="C135" s="55" t="n">
        <v>120</v>
      </c>
    </row>
    <row r="136" customFormat="false" ht="15" hidden="false" customHeight="false" outlineLevel="0" collapsed="false">
      <c r="A136" s="54" t="s">
        <v>362</v>
      </c>
      <c r="B136" s="55" t="s">
        <v>363</v>
      </c>
      <c r="C136" s="55" t="n">
        <v>120</v>
      </c>
    </row>
    <row r="137" customFormat="false" ht="15" hidden="false" customHeight="false" outlineLevel="0" collapsed="false">
      <c r="A137" s="54" t="s">
        <v>364</v>
      </c>
      <c r="B137" s="55" t="s">
        <v>365</v>
      </c>
      <c r="C137" s="55" t="n">
        <v>120</v>
      </c>
    </row>
    <row r="138" customFormat="false" ht="15" hidden="false" customHeight="false" outlineLevel="0" collapsed="false">
      <c r="A138" s="54" t="s">
        <v>366</v>
      </c>
      <c r="B138" s="55" t="s">
        <v>367</v>
      </c>
      <c r="C138" s="55" t="n">
        <v>120</v>
      </c>
    </row>
    <row r="139" customFormat="false" ht="15" hidden="false" customHeight="false" outlineLevel="0" collapsed="false">
      <c r="A139" s="54" t="s">
        <v>368</v>
      </c>
      <c r="B139" s="55" t="s">
        <v>369</v>
      </c>
      <c r="C139" s="55" t="n">
        <v>120</v>
      </c>
      <c r="D139" s="0" t="s">
        <v>370</v>
      </c>
    </row>
    <row r="140" customFormat="false" ht="15" hidden="false" customHeight="false" outlineLevel="0" collapsed="false">
      <c r="A140" s="54" t="s">
        <v>371</v>
      </c>
      <c r="B140" s="55" t="s">
        <v>372</v>
      </c>
      <c r="C140" s="55" t="n">
        <v>60</v>
      </c>
    </row>
    <row r="141" customFormat="false" ht="15" hidden="false" customHeight="false" outlineLevel="0" collapsed="false">
      <c r="A141" s="54" t="s">
        <v>373</v>
      </c>
      <c r="B141" s="55" t="s">
        <v>374</v>
      </c>
      <c r="C141" s="55" t="n">
        <v>60</v>
      </c>
    </row>
    <row r="142" customFormat="false" ht="15" hidden="false" customHeight="false" outlineLevel="0" collapsed="false">
      <c r="A142" s="54" t="s">
        <v>375</v>
      </c>
      <c r="B142" s="55" t="s">
        <v>376</v>
      </c>
      <c r="C142" s="55" t="n">
        <v>120</v>
      </c>
    </row>
    <row r="143" customFormat="false" ht="15" hidden="false" customHeight="false" outlineLevel="0" collapsed="false">
      <c r="A143" s="54" t="s">
        <v>377</v>
      </c>
      <c r="B143" s="55" t="s">
        <v>378</v>
      </c>
      <c r="C143" s="55" t="n">
        <v>120</v>
      </c>
    </row>
    <row r="144" customFormat="false" ht="15" hidden="false" customHeight="false" outlineLevel="0" collapsed="false">
      <c r="A144" s="54" t="s">
        <v>379</v>
      </c>
      <c r="B144" s="55" t="s">
        <v>380</v>
      </c>
      <c r="C144" s="55" t="n">
        <v>120</v>
      </c>
      <c r="D144" s="0" t="s">
        <v>381</v>
      </c>
    </row>
    <row r="145" customFormat="false" ht="15" hidden="false" customHeight="false" outlineLevel="0" collapsed="false">
      <c r="A145" s="54" t="s">
        <v>382</v>
      </c>
      <c r="B145" s="55" t="s">
        <v>383</v>
      </c>
      <c r="C145" s="55" t="n">
        <v>120</v>
      </c>
    </row>
    <row r="146" customFormat="false" ht="15" hidden="false" customHeight="false" outlineLevel="0" collapsed="false">
      <c r="A146" s="54" t="s">
        <v>384</v>
      </c>
      <c r="B146" s="55" t="s">
        <v>385</v>
      </c>
      <c r="C146" s="55" t="n">
        <v>120</v>
      </c>
    </row>
    <row r="147" customFormat="false" ht="15" hidden="false" customHeight="false" outlineLevel="0" collapsed="false">
      <c r="A147" s="54" t="s">
        <v>386</v>
      </c>
      <c r="B147" s="55" t="s">
        <v>387</v>
      </c>
      <c r="C147" s="55" t="n">
        <v>120</v>
      </c>
    </row>
    <row r="148" customFormat="false" ht="15" hidden="false" customHeight="false" outlineLevel="0" collapsed="false">
      <c r="A148" s="54" t="s">
        <v>388</v>
      </c>
      <c r="B148" s="55" t="s">
        <v>389</v>
      </c>
      <c r="C148" s="55" t="n">
        <v>120</v>
      </c>
    </row>
    <row r="149" customFormat="false" ht="15" hidden="false" customHeight="false" outlineLevel="0" collapsed="false">
      <c r="A149" s="54" t="s">
        <v>390</v>
      </c>
      <c r="B149" s="55" t="s">
        <v>389</v>
      </c>
      <c r="C149" s="55" t="n">
        <v>70</v>
      </c>
    </row>
    <row r="150" customFormat="false" ht="15" hidden="false" customHeight="false" outlineLevel="0" collapsed="false">
      <c r="A150" s="54" t="s">
        <v>391</v>
      </c>
      <c r="B150" s="55" t="s">
        <v>392</v>
      </c>
      <c r="C150" s="55" t="n">
        <v>80</v>
      </c>
    </row>
    <row r="151" customFormat="false" ht="15" hidden="false" customHeight="false" outlineLevel="0" collapsed="false">
      <c r="A151" s="54" t="s">
        <v>393</v>
      </c>
      <c r="B151" s="55" t="s">
        <v>394</v>
      </c>
      <c r="C151" s="55" t="n">
        <v>120</v>
      </c>
    </row>
    <row r="152" customFormat="false" ht="15" hidden="false" customHeight="false" outlineLevel="0" collapsed="false">
      <c r="A152" s="54" t="s">
        <v>395</v>
      </c>
      <c r="B152" s="55" t="s">
        <v>396</v>
      </c>
      <c r="C152" s="55" t="n">
        <v>120</v>
      </c>
    </row>
    <row r="153" customFormat="false" ht="15" hidden="false" customHeight="false" outlineLevel="0" collapsed="false">
      <c r="A153" s="54" t="s">
        <v>397</v>
      </c>
      <c r="B153" s="55" t="s">
        <v>398</v>
      </c>
      <c r="C153" s="55" t="n">
        <v>80</v>
      </c>
    </row>
    <row r="154" customFormat="false" ht="15" hidden="false" customHeight="false" outlineLevel="0" collapsed="false">
      <c r="A154" s="54" t="s">
        <v>399</v>
      </c>
      <c r="B154" s="55" t="s">
        <v>400</v>
      </c>
      <c r="C154" s="55" t="n">
        <v>120</v>
      </c>
      <c r="D154" s="0" t="s">
        <v>353</v>
      </c>
    </row>
    <row r="155" customFormat="false" ht="15" hidden="false" customHeight="false" outlineLevel="0" collapsed="false">
      <c r="A155" s="54" t="s">
        <v>401</v>
      </c>
      <c r="B155" s="55" t="s">
        <v>402</v>
      </c>
      <c r="C155" s="55" t="n">
        <v>80</v>
      </c>
    </row>
    <row r="156" customFormat="false" ht="15" hidden="false" customHeight="false" outlineLevel="0" collapsed="false">
      <c r="A156" s="54" t="s">
        <v>403</v>
      </c>
      <c r="B156" s="55" t="s">
        <v>404</v>
      </c>
      <c r="C156" s="55" t="n">
        <v>70</v>
      </c>
      <c r="D156" s="0" t="s">
        <v>405</v>
      </c>
    </row>
    <row r="157" customFormat="false" ht="15" hidden="false" customHeight="false" outlineLevel="0" collapsed="false">
      <c r="A157" s="54" t="s">
        <v>406</v>
      </c>
      <c r="B157" s="55" t="s">
        <v>407</v>
      </c>
      <c r="C157" s="55" t="n">
        <v>60</v>
      </c>
    </row>
    <row r="158" customFormat="false" ht="15" hidden="false" customHeight="false" outlineLevel="0" collapsed="false">
      <c r="A158" s="54" t="s">
        <v>408</v>
      </c>
      <c r="B158" s="55" t="s">
        <v>329</v>
      </c>
      <c r="C158" s="55" t="n">
        <v>120</v>
      </c>
    </row>
    <row r="159" customFormat="false" ht="15" hidden="false" customHeight="false" outlineLevel="0" collapsed="false">
      <c r="A159" s="54" t="s">
        <v>409</v>
      </c>
      <c r="B159" s="55" t="s">
        <v>410</v>
      </c>
      <c r="C159" s="55" t="n">
        <v>90</v>
      </c>
    </row>
    <row r="160" customFormat="false" ht="15" hidden="false" customHeight="false" outlineLevel="0" collapsed="false">
      <c r="A160" s="54" t="s">
        <v>411</v>
      </c>
      <c r="B160" s="55" t="s">
        <v>410</v>
      </c>
      <c r="C160" s="55" t="n">
        <v>70</v>
      </c>
    </row>
    <row r="161" customFormat="false" ht="15" hidden="false" customHeight="false" outlineLevel="0" collapsed="false">
      <c r="A161" s="54" t="s">
        <v>412</v>
      </c>
      <c r="B161" s="67" t="s">
        <v>413</v>
      </c>
      <c r="C161" s="55" t="n">
        <v>120</v>
      </c>
    </row>
    <row r="162" customFormat="false" ht="15" hidden="false" customHeight="false" outlineLevel="0" collapsed="false">
      <c r="A162" s="54" t="s">
        <v>414</v>
      </c>
      <c r="B162" s="67" t="s">
        <v>413</v>
      </c>
      <c r="C162" s="55" t="n">
        <v>70</v>
      </c>
    </row>
    <row r="163" customFormat="false" ht="15" hidden="false" customHeight="false" outlineLevel="0" collapsed="false">
      <c r="A163" s="54" t="s">
        <v>415</v>
      </c>
      <c r="B163" s="55" t="s">
        <v>416</v>
      </c>
      <c r="C163" s="55" t="n">
        <v>120</v>
      </c>
    </row>
    <row r="164" customFormat="false" ht="15" hidden="false" customHeight="false" outlineLevel="0" collapsed="false">
      <c r="A164" s="54" t="s">
        <v>417</v>
      </c>
      <c r="B164" s="55" t="s">
        <v>418</v>
      </c>
      <c r="C164" s="55" t="n">
        <v>120</v>
      </c>
    </row>
    <row r="165" customFormat="false" ht="15" hidden="false" customHeight="false" outlineLevel="0" collapsed="false">
      <c r="A165" s="54" t="s">
        <v>419</v>
      </c>
      <c r="B165" s="55" t="s">
        <v>420</v>
      </c>
      <c r="C165" s="55" t="n">
        <v>120</v>
      </c>
    </row>
    <row r="166" customFormat="false" ht="15" hidden="false" customHeight="false" outlineLevel="0" collapsed="false">
      <c r="A166" s="54" t="s">
        <v>421</v>
      </c>
      <c r="B166" s="55" t="s">
        <v>422</v>
      </c>
      <c r="C166" s="55" t="n">
        <v>120</v>
      </c>
    </row>
    <row r="167" customFormat="false" ht="15" hidden="false" customHeight="false" outlineLevel="0" collapsed="false">
      <c r="A167" s="54" t="s">
        <v>423</v>
      </c>
      <c r="B167" s="55" t="s">
        <v>424</v>
      </c>
      <c r="C167" s="55" t="n">
        <v>120</v>
      </c>
    </row>
    <row r="168" customFormat="false" ht="15" hidden="false" customHeight="false" outlineLevel="0" collapsed="false">
      <c r="A168" s="54" t="s">
        <v>425</v>
      </c>
      <c r="B168" s="55" t="s">
        <v>426</v>
      </c>
      <c r="C168" s="55" t="n">
        <v>120</v>
      </c>
    </row>
    <row r="169" customFormat="false" ht="15" hidden="false" customHeight="false" outlineLevel="0" collapsed="false">
      <c r="A169" s="54" t="s">
        <v>427</v>
      </c>
      <c r="B169" s="55" t="s">
        <v>428</v>
      </c>
      <c r="C169" s="55" t="n">
        <v>120</v>
      </c>
    </row>
    <row r="170" customFormat="false" ht="15" hidden="false" customHeight="false" outlineLevel="0" collapsed="false">
      <c r="A170" s="54" t="s">
        <v>429</v>
      </c>
      <c r="B170" s="55" t="s">
        <v>430</v>
      </c>
      <c r="C170" s="55" t="n">
        <v>120</v>
      </c>
    </row>
    <row r="171" customFormat="false" ht="15" hidden="false" customHeight="false" outlineLevel="0" collapsed="false">
      <c r="A171" s="54" t="s">
        <v>431</v>
      </c>
      <c r="B171" s="55" t="s">
        <v>432</v>
      </c>
      <c r="C171" s="55" t="n">
        <v>120</v>
      </c>
    </row>
    <row r="172" customFormat="false" ht="15" hidden="false" customHeight="false" outlineLevel="0" collapsed="false">
      <c r="A172" s="54" t="s">
        <v>433</v>
      </c>
      <c r="B172" s="55" t="s">
        <v>327</v>
      </c>
      <c r="C172" s="55" t="n">
        <v>120</v>
      </c>
    </row>
    <row r="173" customFormat="false" ht="15" hidden="false" customHeight="false" outlineLevel="0" collapsed="false">
      <c r="A173" s="54" t="s">
        <v>434</v>
      </c>
      <c r="B173" s="55" t="s">
        <v>435</v>
      </c>
      <c r="C173" s="55" t="n">
        <v>120</v>
      </c>
    </row>
    <row r="174" customFormat="false" ht="15" hidden="false" customHeight="false" outlineLevel="0" collapsed="false">
      <c r="A174" s="54" t="s">
        <v>436</v>
      </c>
      <c r="B174" s="55" t="s">
        <v>437</v>
      </c>
      <c r="C174" s="55" t="n">
        <v>120</v>
      </c>
    </row>
    <row r="175" customFormat="false" ht="15" hidden="false" customHeight="false" outlineLevel="0" collapsed="false">
      <c r="A175" s="54" t="s">
        <v>438</v>
      </c>
      <c r="B175" s="55" t="s">
        <v>439</v>
      </c>
      <c r="C175" s="55" t="n">
        <v>120</v>
      </c>
    </row>
    <row r="176" customFormat="false" ht="15" hidden="false" customHeight="false" outlineLevel="0" collapsed="false">
      <c r="A176" s="54" t="s">
        <v>440</v>
      </c>
      <c r="B176" s="55" t="s">
        <v>441</v>
      </c>
      <c r="C176" s="55" t="n">
        <v>120</v>
      </c>
    </row>
    <row r="177" customFormat="false" ht="15" hidden="false" customHeight="false" outlineLevel="0" collapsed="false">
      <c r="A177" s="54" t="s">
        <v>442</v>
      </c>
      <c r="B177" s="55" t="s">
        <v>443</v>
      </c>
      <c r="C177" s="55" t="n">
        <v>120</v>
      </c>
    </row>
    <row r="178" customFormat="false" ht="15" hidden="false" customHeight="false" outlineLevel="0" collapsed="false">
      <c r="A178" s="54" t="s">
        <v>444</v>
      </c>
      <c r="B178" s="55" t="s">
        <v>443</v>
      </c>
      <c r="C178" s="55" t="n">
        <v>60</v>
      </c>
    </row>
    <row r="179" customFormat="false" ht="15" hidden="false" customHeight="false" outlineLevel="0" collapsed="false">
      <c r="A179" s="54" t="s">
        <v>445</v>
      </c>
      <c r="B179" s="55" t="s">
        <v>446</v>
      </c>
      <c r="C179" s="55" t="n">
        <v>120</v>
      </c>
    </row>
    <row r="180" customFormat="false" ht="15" hidden="false" customHeight="false" outlineLevel="0" collapsed="false">
      <c r="A180" s="54" t="s">
        <v>447</v>
      </c>
      <c r="B180" s="55" t="s">
        <v>448</v>
      </c>
      <c r="C180" s="55" t="n">
        <v>120</v>
      </c>
    </row>
    <row r="181" customFormat="false" ht="15" hidden="false" customHeight="false" outlineLevel="0" collapsed="false">
      <c r="A181" s="54" t="s">
        <v>449</v>
      </c>
      <c r="B181" s="55" t="s">
        <v>402</v>
      </c>
      <c r="C181" s="55" t="n">
        <v>120</v>
      </c>
    </row>
    <row r="182" customFormat="false" ht="15" hidden="false" customHeight="false" outlineLevel="0" collapsed="false">
      <c r="A182" s="54" t="s">
        <v>450</v>
      </c>
      <c r="B182" s="55" t="s">
        <v>451</v>
      </c>
      <c r="C182" s="55" t="n">
        <v>120</v>
      </c>
      <c r="D182" s="0" t="s">
        <v>452</v>
      </c>
    </row>
    <row r="183" customFormat="false" ht="15" hidden="false" customHeight="false" outlineLevel="0" collapsed="false">
      <c r="A183" s="54" t="s">
        <v>453</v>
      </c>
      <c r="B183" s="55" t="s">
        <v>454</v>
      </c>
      <c r="C183" s="55" t="n">
        <v>120</v>
      </c>
    </row>
    <row r="184" customFormat="false" ht="15" hidden="false" customHeight="false" outlineLevel="0" collapsed="false">
      <c r="A184" s="54" t="s">
        <v>455</v>
      </c>
      <c r="B184" s="55" t="s">
        <v>456</v>
      </c>
      <c r="C184" s="55" t="n">
        <v>120</v>
      </c>
    </row>
    <row r="185" customFormat="false" ht="15" hidden="false" customHeight="false" outlineLevel="0" collapsed="false">
      <c r="A185" s="54" t="s">
        <v>457</v>
      </c>
      <c r="B185" s="55" t="s">
        <v>458</v>
      </c>
      <c r="C185" s="55" t="n">
        <v>120</v>
      </c>
    </row>
    <row r="186" customFormat="false" ht="15" hidden="false" customHeight="false" outlineLevel="0" collapsed="false">
      <c r="A186" s="54" t="s">
        <v>459</v>
      </c>
      <c r="B186" s="55" t="s">
        <v>460</v>
      </c>
      <c r="C186" s="55" t="n">
        <v>120</v>
      </c>
    </row>
    <row r="187" customFormat="false" ht="15" hidden="false" customHeight="false" outlineLevel="0" collapsed="false">
      <c r="A187" s="54" t="s">
        <v>461</v>
      </c>
      <c r="B187" s="55" t="s">
        <v>462</v>
      </c>
      <c r="C187" s="55" t="n">
        <v>120</v>
      </c>
    </row>
    <row r="188" customFormat="false" ht="15" hidden="false" customHeight="false" outlineLevel="0" collapsed="false">
      <c r="A188" s="54" t="s">
        <v>463</v>
      </c>
      <c r="B188" s="55" t="s">
        <v>464</v>
      </c>
      <c r="C188" s="55" t="n">
        <v>120</v>
      </c>
    </row>
    <row r="189" customFormat="false" ht="15" hidden="false" customHeight="false" outlineLevel="0" collapsed="false">
      <c r="A189" s="54" t="s">
        <v>465</v>
      </c>
      <c r="B189" s="55" t="s">
        <v>466</v>
      </c>
      <c r="C189" s="55" t="n">
        <v>120</v>
      </c>
    </row>
    <row r="190" customFormat="false" ht="15" hidden="false" customHeight="false" outlineLevel="0" collapsed="false">
      <c r="A190" s="54" t="s">
        <v>467</v>
      </c>
      <c r="B190" s="55" t="s">
        <v>468</v>
      </c>
      <c r="C190" s="55" t="n">
        <v>120</v>
      </c>
    </row>
    <row r="191" customFormat="false" ht="15" hidden="false" customHeight="false" outlineLevel="0" collapsed="false">
      <c r="A191" s="54" t="s">
        <v>469</v>
      </c>
      <c r="B191" s="55" t="s">
        <v>470</v>
      </c>
      <c r="C191" s="55" t="n">
        <v>120</v>
      </c>
    </row>
    <row r="192" customFormat="false" ht="15" hidden="false" customHeight="false" outlineLevel="0" collapsed="false">
      <c r="A192" s="54" t="s">
        <v>471</v>
      </c>
      <c r="B192" s="55" t="s">
        <v>472</v>
      </c>
      <c r="C192" s="55" t="n">
        <v>120</v>
      </c>
    </row>
    <row r="193" customFormat="false" ht="15" hidden="false" customHeight="false" outlineLevel="0" collapsed="false">
      <c r="A193" s="54" t="s">
        <v>473</v>
      </c>
      <c r="B193" s="55" t="s">
        <v>474</v>
      </c>
      <c r="C193" s="55" t="n">
        <v>90</v>
      </c>
    </row>
    <row r="194" customFormat="false" ht="15" hidden="false" customHeight="false" outlineLevel="0" collapsed="false">
      <c r="A194" s="54" t="s">
        <v>475</v>
      </c>
      <c r="B194" s="55" t="s">
        <v>476</v>
      </c>
      <c r="C194" s="55" t="n">
        <v>120</v>
      </c>
    </row>
    <row r="195" customFormat="false" ht="15" hidden="false" customHeight="false" outlineLevel="0" collapsed="false">
      <c r="A195" s="54" t="s">
        <v>477</v>
      </c>
      <c r="B195" s="55" t="s">
        <v>478</v>
      </c>
      <c r="C195" s="55" t="n">
        <v>120</v>
      </c>
    </row>
    <row r="196" customFormat="false" ht="15" hidden="false" customHeight="false" outlineLevel="0" collapsed="false">
      <c r="A196" s="54" t="s">
        <v>479</v>
      </c>
      <c r="B196" s="55" t="s">
        <v>480</v>
      </c>
      <c r="C196" s="55" t="n">
        <v>120</v>
      </c>
    </row>
    <row r="197" customFormat="false" ht="15" hidden="false" customHeight="false" outlineLevel="0" collapsed="false">
      <c r="A197" s="54" t="s">
        <v>481</v>
      </c>
      <c r="B197" s="55" t="s">
        <v>482</v>
      </c>
      <c r="C197" s="55" t="n">
        <v>120</v>
      </c>
    </row>
    <row r="198" customFormat="false" ht="15" hidden="false" customHeight="false" outlineLevel="0" collapsed="false">
      <c r="A198" s="54" t="s">
        <v>483</v>
      </c>
      <c r="B198" s="55" t="s">
        <v>484</v>
      </c>
      <c r="C198" s="55" t="n">
        <v>120</v>
      </c>
    </row>
    <row r="199" customFormat="false" ht="15" hidden="false" customHeight="false" outlineLevel="0" collapsed="false">
      <c r="A199" s="54" t="s">
        <v>485</v>
      </c>
      <c r="B199" s="55" t="s">
        <v>486</v>
      </c>
      <c r="C199" s="55" t="n">
        <v>120</v>
      </c>
    </row>
    <row r="200" customFormat="false" ht="15" hidden="false" customHeight="false" outlineLevel="0" collapsed="false">
      <c r="A200" s="54" t="s">
        <v>487</v>
      </c>
      <c r="B200" s="55" t="s">
        <v>458</v>
      </c>
      <c r="C200" s="55" t="n">
        <v>120</v>
      </c>
    </row>
    <row r="201" customFormat="false" ht="15" hidden="false" customHeight="false" outlineLevel="0" collapsed="false">
      <c r="A201" s="54" t="s">
        <v>488</v>
      </c>
      <c r="B201" s="55" t="s">
        <v>489</v>
      </c>
      <c r="C201" s="55" t="n">
        <v>120</v>
      </c>
    </row>
    <row r="202" customFormat="false" ht="15" hidden="false" customHeight="false" outlineLevel="0" collapsed="false">
      <c r="A202" s="54" t="s">
        <v>490</v>
      </c>
      <c r="B202" s="66" t="s">
        <v>491</v>
      </c>
      <c r="C202" s="55" t="n">
        <v>120</v>
      </c>
      <c r="D202" s="0" t="s">
        <v>492</v>
      </c>
    </row>
    <row r="203" customFormat="false" ht="15" hidden="false" customHeight="false" outlineLevel="0" collapsed="false">
      <c r="A203" s="54" t="s">
        <v>493</v>
      </c>
      <c r="B203" s="55" t="s">
        <v>494</v>
      </c>
      <c r="C203" s="55" t="n">
        <v>120</v>
      </c>
    </row>
    <row r="204" customFormat="false" ht="15" hidden="false" customHeight="false" outlineLevel="0" collapsed="false">
      <c r="A204" s="54" t="s">
        <v>495</v>
      </c>
      <c r="B204" s="55" t="s">
        <v>464</v>
      </c>
      <c r="C204" s="55" t="n">
        <v>120</v>
      </c>
    </row>
    <row r="205" customFormat="false" ht="15" hidden="false" customHeight="false" outlineLevel="0" collapsed="false">
      <c r="A205" s="54" t="s">
        <v>496</v>
      </c>
      <c r="B205" s="55" t="s">
        <v>497</v>
      </c>
      <c r="C205" s="55" t="n">
        <v>120</v>
      </c>
    </row>
    <row r="206" customFormat="false" ht="15" hidden="false" customHeight="false" outlineLevel="0" collapsed="false">
      <c r="A206" s="54" t="s">
        <v>498</v>
      </c>
      <c r="B206" s="55" t="s">
        <v>497</v>
      </c>
      <c r="C206" s="55" t="n">
        <v>70</v>
      </c>
    </row>
    <row r="207" customFormat="false" ht="15" hidden="false" customHeight="false" outlineLevel="0" collapsed="false">
      <c r="A207" s="54" t="s">
        <v>499</v>
      </c>
      <c r="B207" s="55" t="s">
        <v>500</v>
      </c>
      <c r="C207" s="55" t="n">
        <v>120</v>
      </c>
    </row>
    <row r="208" customFormat="false" ht="15" hidden="false" customHeight="false" outlineLevel="0" collapsed="false">
      <c r="A208" s="54" t="s">
        <v>501</v>
      </c>
      <c r="B208" s="55" t="s">
        <v>502</v>
      </c>
      <c r="C208" s="55" t="n">
        <v>120</v>
      </c>
    </row>
    <row r="209" customFormat="false" ht="15" hidden="false" customHeight="false" outlineLevel="0" collapsed="false">
      <c r="A209" s="54" t="s">
        <v>503</v>
      </c>
      <c r="B209" s="55" t="s">
        <v>502</v>
      </c>
      <c r="C209" s="55" t="n">
        <v>70</v>
      </c>
    </row>
    <row r="210" customFormat="false" ht="15" hidden="false" customHeight="false" outlineLevel="0" collapsed="false">
      <c r="A210" s="54" t="s">
        <v>504</v>
      </c>
      <c r="B210" s="55" t="s">
        <v>505</v>
      </c>
      <c r="C210" s="55" t="n">
        <v>120</v>
      </c>
    </row>
    <row r="211" customFormat="false" ht="15" hidden="false" customHeight="false" outlineLevel="0" collapsed="false">
      <c r="A211" s="54" t="s">
        <v>506</v>
      </c>
      <c r="B211" s="55" t="s">
        <v>507</v>
      </c>
      <c r="C211" s="55" t="n">
        <v>120</v>
      </c>
    </row>
    <row r="212" customFormat="false" ht="15" hidden="false" customHeight="false" outlineLevel="0" collapsed="false">
      <c r="A212" s="54" t="s">
        <v>508</v>
      </c>
      <c r="B212" s="55" t="s">
        <v>509</v>
      </c>
      <c r="C212" s="55" t="n">
        <v>120</v>
      </c>
    </row>
    <row r="213" customFormat="false" ht="15" hidden="false" customHeight="false" outlineLevel="0" collapsed="false">
      <c r="A213" s="54" t="s">
        <v>510</v>
      </c>
      <c r="B213" s="55" t="s">
        <v>511</v>
      </c>
      <c r="C213" s="55" t="n">
        <v>25</v>
      </c>
    </row>
    <row r="214" customFormat="false" ht="15" hidden="false" customHeight="false" outlineLevel="0" collapsed="false">
      <c r="A214" s="54" t="s">
        <v>512</v>
      </c>
      <c r="B214" s="55" t="s">
        <v>513</v>
      </c>
      <c r="C214" s="55" t="n">
        <v>30</v>
      </c>
    </row>
    <row r="215" customFormat="false" ht="15" hidden="false" customHeight="false" outlineLevel="0" collapsed="false">
      <c r="A215" s="54" t="s">
        <v>514</v>
      </c>
      <c r="B215" s="55" t="s">
        <v>515</v>
      </c>
      <c r="C215" s="55" t="n">
        <v>25</v>
      </c>
    </row>
    <row r="216" customFormat="false" ht="15" hidden="false" customHeight="false" outlineLevel="0" collapsed="false">
      <c r="A216" s="54" t="s">
        <v>516</v>
      </c>
      <c r="B216" s="67" t="s">
        <v>517</v>
      </c>
      <c r="C216" s="55" t="n">
        <v>120</v>
      </c>
    </row>
    <row r="217" customFormat="false" ht="15" hidden="false" customHeight="false" outlineLevel="0" collapsed="false">
      <c r="A217" s="54" t="s">
        <v>518</v>
      </c>
      <c r="B217" s="55" t="s">
        <v>519</v>
      </c>
      <c r="C217" s="55" t="n">
        <v>120</v>
      </c>
    </row>
    <row r="218" customFormat="false" ht="15" hidden="false" customHeight="false" outlineLevel="0" collapsed="false">
      <c r="A218" s="54" t="s">
        <v>520</v>
      </c>
      <c r="B218" s="55" t="s">
        <v>521</v>
      </c>
      <c r="C218" s="55" t="n">
        <v>120</v>
      </c>
    </row>
    <row r="219" customFormat="false" ht="15" hidden="false" customHeight="false" outlineLevel="0" collapsed="false">
      <c r="A219" s="54" t="s">
        <v>522</v>
      </c>
      <c r="B219" s="67" t="s">
        <v>413</v>
      </c>
      <c r="C219" s="55" t="n">
        <v>120</v>
      </c>
    </row>
    <row r="220" customFormat="false" ht="15" hidden="false" customHeight="false" outlineLevel="0" collapsed="false">
      <c r="A220" s="54" t="s">
        <v>523</v>
      </c>
      <c r="B220" s="55" t="s">
        <v>435</v>
      </c>
      <c r="C220" s="55" t="n">
        <v>120</v>
      </c>
    </row>
    <row r="221" customFormat="false" ht="15" hidden="false" customHeight="false" outlineLevel="0" collapsed="false">
      <c r="A221" s="54" t="s">
        <v>524</v>
      </c>
      <c r="B221" s="55" t="s">
        <v>525</v>
      </c>
      <c r="C221" s="55" t="n">
        <v>120</v>
      </c>
    </row>
    <row r="222" customFormat="false" ht="15" hidden="false" customHeight="false" outlineLevel="0" collapsed="false">
      <c r="A222" s="54" t="s">
        <v>526</v>
      </c>
      <c r="B222" s="55" t="s">
        <v>525</v>
      </c>
      <c r="C222" s="55" t="n">
        <v>70</v>
      </c>
    </row>
    <row r="223" customFormat="false" ht="15" hidden="false" customHeight="false" outlineLevel="0" collapsed="false">
      <c r="A223" s="54" t="s">
        <v>527</v>
      </c>
      <c r="B223" s="55" t="s">
        <v>528</v>
      </c>
      <c r="C223" s="55" t="n">
        <v>90</v>
      </c>
    </row>
    <row r="224" customFormat="false" ht="15" hidden="false" customHeight="false" outlineLevel="0" collapsed="false">
      <c r="A224" s="54" t="s">
        <v>529</v>
      </c>
      <c r="B224" s="55" t="s">
        <v>530</v>
      </c>
      <c r="C224" s="55" t="n">
        <v>90</v>
      </c>
    </row>
    <row r="225" customFormat="false" ht="15" hidden="false" customHeight="false" outlineLevel="0" collapsed="false">
      <c r="A225" s="54" t="s">
        <v>531</v>
      </c>
      <c r="B225" s="55" t="s">
        <v>532</v>
      </c>
      <c r="C225" s="55" t="n">
        <v>90</v>
      </c>
    </row>
    <row r="226" customFormat="false" ht="15" hidden="false" customHeight="false" outlineLevel="0" collapsed="false">
      <c r="A226" s="54" t="s">
        <v>533</v>
      </c>
      <c r="B226" s="55" t="s">
        <v>534</v>
      </c>
      <c r="C226" s="55" t="n">
        <v>90</v>
      </c>
    </row>
    <row r="227" customFormat="false" ht="15" hidden="false" customHeight="false" outlineLevel="0" collapsed="false">
      <c r="A227" s="54" t="s">
        <v>535</v>
      </c>
      <c r="B227" s="55" t="s">
        <v>536</v>
      </c>
      <c r="C227" s="55" t="n">
        <v>90</v>
      </c>
    </row>
    <row r="228" customFormat="false" ht="15" hidden="false" customHeight="false" outlineLevel="0" collapsed="false">
      <c r="A228" s="54" t="s">
        <v>537</v>
      </c>
      <c r="B228" s="55" t="s">
        <v>538</v>
      </c>
      <c r="C228" s="55" t="n">
        <v>120</v>
      </c>
    </row>
    <row r="229" customFormat="false" ht="15" hidden="false" customHeight="false" outlineLevel="0" collapsed="false">
      <c r="A229" s="54" t="s">
        <v>539</v>
      </c>
      <c r="B229" s="55" t="s">
        <v>540</v>
      </c>
      <c r="C229" s="55" t="n">
        <v>90</v>
      </c>
    </row>
    <row r="230" customFormat="false" ht="15" hidden="false" customHeight="false" outlineLevel="0" collapsed="false">
      <c r="A230" s="54" t="s">
        <v>541</v>
      </c>
      <c r="B230" s="55" t="s">
        <v>540</v>
      </c>
      <c r="C230" s="55" t="n">
        <v>70</v>
      </c>
    </row>
    <row r="231" customFormat="false" ht="15" hidden="false" customHeight="false" outlineLevel="0" collapsed="false">
      <c r="A231" s="54" t="s">
        <v>542</v>
      </c>
      <c r="B231" s="55" t="s">
        <v>543</v>
      </c>
      <c r="C231" s="55" t="n">
        <v>120</v>
      </c>
    </row>
    <row r="232" customFormat="false" ht="15" hidden="false" customHeight="false" outlineLevel="0" collapsed="false">
      <c r="A232" s="54" t="s">
        <v>544</v>
      </c>
      <c r="B232" s="55" t="s">
        <v>545</v>
      </c>
    </row>
    <row r="233" customFormat="false" ht="15" hidden="false" customHeight="false" outlineLevel="0" collapsed="false">
      <c r="A233" s="54" t="s">
        <v>544</v>
      </c>
      <c r="B233" s="55" t="s">
        <v>546</v>
      </c>
      <c r="C233" s="55" t="n">
        <v>100</v>
      </c>
    </row>
    <row r="234" customFormat="false" ht="15" hidden="false" customHeight="false" outlineLevel="0" collapsed="false">
      <c r="A234" s="54" t="s">
        <v>547</v>
      </c>
      <c r="B234" s="55" t="s">
        <v>548</v>
      </c>
      <c r="C234" s="55" t="n">
        <v>90</v>
      </c>
    </row>
    <row r="235" customFormat="false" ht="15" hidden="false" customHeight="false" outlineLevel="0" collapsed="false">
      <c r="A235" s="54" t="s">
        <v>549</v>
      </c>
      <c r="B235" s="55" t="s">
        <v>550</v>
      </c>
      <c r="C235" s="55" t="n">
        <v>120</v>
      </c>
    </row>
    <row r="236" customFormat="false" ht="15" hidden="false" customHeight="false" outlineLevel="0" collapsed="false">
      <c r="A236" s="54" t="s">
        <v>551</v>
      </c>
      <c r="B236" s="55" t="s">
        <v>552</v>
      </c>
    </row>
    <row r="237" customFormat="false" ht="15" hidden="false" customHeight="false" outlineLevel="0" collapsed="false">
      <c r="A237" s="54" t="s">
        <v>553</v>
      </c>
      <c r="B237" s="55" t="n">
        <v>90162000</v>
      </c>
      <c r="C237" s="55" t="n">
        <v>90</v>
      </c>
    </row>
    <row r="238" customFormat="false" ht="15" hidden="false" customHeight="false" outlineLevel="0" collapsed="false">
      <c r="A238" s="54" t="s">
        <v>554</v>
      </c>
      <c r="B238" s="55" t="s">
        <v>555</v>
      </c>
    </row>
    <row r="239" customFormat="false" ht="15" hidden="false" customHeight="false" outlineLevel="0" collapsed="false">
      <c r="A239" s="54" t="s">
        <v>556</v>
      </c>
      <c r="B239" s="55" t="s">
        <v>557</v>
      </c>
      <c r="C239" s="55" t="n">
        <v>120</v>
      </c>
    </row>
    <row r="240" customFormat="false" ht="15" hidden="false" customHeight="false" outlineLevel="0" collapsed="false">
      <c r="A240" s="54" t="s">
        <v>558</v>
      </c>
      <c r="B240" s="55" t="s">
        <v>559</v>
      </c>
    </row>
    <row r="241" customFormat="false" ht="15" hidden="false" customHeight="false" outlineLevel="0" collapsed="false">
      <c r="A241" s="54" t="s">
        <v>560</v>
      </c>
      <c r="B241" s="55" t="s">
        <v>561</v>
      </c>
      <c r="C241" s="55" t="n">
        <v>120</v>
      </c>
    </row>
    <row r="242" customFormat="false" ht="15" hidden="false" customHeight="false" outlineLevel="0" collapsed="false">
      <c r="A242" s="54" t="s">
        <v>562</v>
      </c>
      <c r="B242" s="55" t="s">
        <v>563</v>
      </c>
      <c r="C242" s="55" t="n">
        <v>120</v>
      </c>
    </row>
    <row r="243" customFormat="false" ht="15" hidden="false" customHeight="false" outlineLevel="0" collapsed="false">
      <c r="A243" s="54" t="s">
        <v>564</v>
      </c>
      <c r="B243" s="55" t="s">
        <v>565</v>
      </c>
      <c r="C243" s="55" t="n">
        <v>120</v>
      </c>
    </row>
    <row r="244" customFormat="false" ht="15" hidden="false" customHeight="false" outlineLevel="0" collapsed="false">
      <c r="A244" s="54" t="s">
        <v>566</v>
      </c>
      <c r="B244" s="55" t="s">
        <v>567</v>
      </c>
      <c r="C244" s="55" t="n">
        <v>120</v>
      </c>
    </row>
    <row r="245" customFormat="false" ht="15" hidden="false" customHeight="false" outlineLevel="0" collapsed="false">
      <c r="A245" s="54" t="s">
        <v>568</v>
      </c>
      <c r="B245" s="55" t="s">
        <v>569</v>
      </c>
      <c r="C245" s="55" t="n">
        <v>120</v>
      </c>
    </row>
    <row r="246" customFormat="false" ht="15" hidden="false" customHeight="false" outlineLevel="0" collapsed="false">
      <c r="A246" s="54" t="s">
        <v>570</v>
      </c>
      <c r="B246" s="55" t="s">
        <v>571</v>
      </c>
      <c r="C246" s="55" t="n">
        <v>90</v>
      </c>
    </row>
    <row r="247" customFormat="false" ht="15" hidden="false" customHeight="false" outlineLevel="0" collapsed="false">
      <c r="A247" s="54" t="s">
        <v>572</v>
      </c>
      <c r="B247" s="55" t="s">
        <v>573</v>
      </c>
      <c r="C247" s="55" t="n">
        <v>120</v>
      </c>
    </row>
    <row r="248" customFormat="false" ht="15" hidden="false" customHeight="false" outlineLevel="0" collapsed="false">
      <c r="A248" s="54" t="s">
        <v>574</v>
      </c>
      <c r="B248" s="55" t="s">
        <v>575</v>
      </c>
      <c r="C248" s="55" t="n">
        <v>90</v>
      </c>
    </row>
    <row r="249" customFormat="false" ht="15" hidden="false" customHeight="false" outlineLevel="0" collapsed="false">
      <c r="A249" s="54" t="s">
        <v>576</v>
      </c>
      <c r="B249" s="55" t="s">
        <v>577</v>
      </c>
      <c r="C249" s="55" t="n">
        <v>75</v>
      </c>
    </row>
    <row r="250" customFormat="false" ht="15" hidden="false" customHeight="false" outlineLevel="0" collapsed="false">
      <c r="A250" s="54" t="s">
        <v>578</v>
      </c>
      <c r="B250" s="55" t="s">
        <v>579</v>
      </c>
      <c r="C250" s="55" t="n">
        <v>75</v>
      </c>
    </row>
    <row r="251" customFormat="false" ht="15" hidden="false" customHeight="false" outlineLevel="0" collapsed="false">
      <c r="A251" s="54" t="s">
        <v>580</v>
      </c>
      <c r="B251" s="55" t="s">
        <v>581</v>
      </c>
      <c r="C251" s="55" t="n">
        <v>400</v>
      </c>
    </row>
    <row r="252" customFormat="false" ht="15" hidden="false" customHeight="false" outlineLevel="0" collapsed="false">
      <c r="A252" s="54" t="s">
        <v>582</v>
      </c>
      <c r="B252" s="55" t="n">
        <v>5016</v>
      </c>
      <c r="C252" s="55" t="n">
        <v>120</v>
      </c>
    </row>
    <row r="253" customFormat="false" ht="15" hidden="false" customHeight="false" outlineLevel="0" collapsed="false">
      <c r="A253" s="54" t="s">
        <v>583</v>
      </c>
      <c r="B253" s="55" t="s">
        <v>584</v>
      </c>
      <c r="C253" s="55" t="n">
        <v>30</v>
      </c>
    </row>
    <row r="254" customFormat="false" ht="15" hidden="false" customHeight="false" outlineLevel="0" collapsed="false">
      <c r="A254" s="54" t="s">
        <v>585</v>
      </c>
      <c r="B254" s="55" t="s">
        <v>586</v>
      </c>
      <c r="C254" s="55" t="n">
        <v>120</v>
      </c>
    </row>
    <row r="255" customFormat="false" ht="15" hidden="false" customHeight="false" outlineLevel="0" collapsed="false">
      <c r="A255" s="54" t="s">
        <v>587</v>
      </c>
      <c r="B255" s="55" t="s">
        <v>588</v>
      </c>
      <c r="C255" s="55" t="n">
        <v>50</v>
      </c>
    </row>
    <row r="256" customFormat="false" ht="15" hidden="false" customHeight="false" outlineLevel="0" collapsed="false">
      <c r="A256" s="54" t="s">
        <v>589</v>
      </c>
      <c r="B256" s="55" t="s">
        <v>590</v>
      </c>
      <c r="C256" s="55" t="n">
        <v>25</v>
      </c>
    </row>
    <row r="257" customFormat="false" ht="15" hidden="false" customHeight="false" outlineLevel="0" collapsed="false">
      <c r="A257" s="54" t="s">
        <v>591</v>
      </c>
      <c r="B257" s="55" t="s">
        <v>592</v>
      </c>
      <c r="C257" s="55" t="n">
        <v>25</v>
      </c>
    </row>
    <row r="258" customFormat="false" ht="15" hidden="false" customHeight="false" outlineLevel="0" collapsed="false">
      <c r="A258" s="54" t="s">
        <v>593</v>
      </c>
      <c r="B258" s="55" t="s">
        <v>594</v>
      </c>
      <c r="C258" s="55" t="n">
        <v>90</v>
      </c>
    </row>
    <row r="259" customFormat="false" ht="15" hidden="false" customHeight="false" outlineLevel="0" collapsed="false">
      <c r="A259" s="54" t="s">
        <v>595</v>
      </c>
      <c r="B259" s="55" t="s">
        <v>596</v>
      </c>
      <c r="C259" s="55" t="n">
        <v>60</v>
      </c>
    </row>
    <row r="260" customFormat="false" ht="15" hidden="false" customHeight="false" outlineLevel="0" collapsed="false">
      <c r="A260" s="54" t="s">
        <v>597</v>
      </c>
      <c r="B260" s="55" t="s">
        <v>598</v>
      </c>
      <c r="C260" s="55" t="n">
        <v>60</v>
      </c>
    </row>
    <row r="261" customFormat="false" ht="15" hidden="false" customHeight="false" outlineLevel="0" collapsed="false">
      <c r="A261" s="54" t="s">
        <v>599</v>
      </c>
      <c r="B261" s="55" t="s">
        <v>600</v>
      </c>
      <c r="C261" s="55" t="n">
        <v>60</v>
      </c>
    </row>
    <row r="262" customFormat="false" ht="15" hidden="false" customHeight="false" outlineLevel="0" collapsed="false">
      <c r="A262" s="54" t="s">
        <v>601</v>
      </c>
      <c r="B262" s="55" t="s">
        <v>602</v>
      </c>
      <c r="C262" s="55" t="n">
        <v>60</v>
      </c>
    </row>
    <row r="263" customFormat="false" ht="15" hidden="false" customHeight="false" outlineLevel="0" collapsed="false">
      <c r="A263" s="54" t="s">
        <v>603</v>
      </c>
      <c r="B263" s="55" t="s">
        <v>604</v>
      </c>
      <c r="C263" s="55" t="n">
        <v>15</v>
      </c>
    </row>
    <row r="264" customFormat="false" ht="15" hidden="false" customHeight="false" outlineLevel="0" collapsed="false">
      <c r="A264" s="54" t="s">
        <v>605</v>
      </c>
      <c r="B264" s="55" t="s">
        <v>606</v>
      </c>
      <c r="C264" s="55" t="n">
        <v>120</v>
      </c>
    </row>
    <row r="265" customFormat="false" ht="18.75" hidden="false" customHeight="true" outlineLevel="0" collapsed="false">
      <c r="A265" s="54" t="s">
        <v>607</v>
      </c>
      <c r="B265" s="55" t="s">
        <v>608</v>
      </c>
      <c r="C265" s="55" t="n">
        <v>120</v>
      </c>
    </row>
    <row r="266" customFormat="false" ht="15" hidden="false" customHeight="false" outlineLevel="0" collapsed="false">
      <c r="A266" s="54" t="s">
        <v>609</v>
      </c>
      <c r="B266" s="55" t="s">
        <v>608</v>
      </c>
      <c r="C266" s="55" t="n">
        <v>120</v>
      </c>
    </row>
    <row r="267" customFormat="false" ht="15" hidden="false" customHeight="false" outlineLevel="0" collapsed="false">
      <c r="A267" s="54" t="s">
        <v>610</v>
      </c>
      <c r="B267" s="55" t="s">
        <v>611</v>
      </c>
    </row>
    <row r="268" customFormat="false" ht="15" hidden="false" customHeight="false" outlineLevel="0" collapsed="false">
      <c r="A268" s="54" t="s">
        <v>612</v>
      </c>
      <c r="B268" s="55" t="s">
        <v>613</v>
      </c>
      <c r="C268" s="55" t="n">
        <v>90</v>
      </c>
    </row>
    <row r="269" customFormat="false" ht="15" hidden="false" customHeight="false" outlineLevel="0" collapsed="false">
      <c r="A269" s="54" t="s">
        <v>614</v>
      </c>
      <c r="B269" s="55" t="s">
        <v>615</v>
      </c>
      <c r="C269" s="55" t="n">
        <v>120</v>
      </c>
    </row>
    <row r="270" customFormat="false" ht="15" hidden="false" customHeight="false" outlineLevel="0" collapsed="false">
      <c r="A270" s="54" t="s">
        <v>616</v>
      </c>
      <c r="B270" s="55" t="n">
        <v>511040</v>
      </c>
      <c r="C270" s="55" t="n">
        <v>100</v>
      </c>
    </row>
    <row r="271" customFormat="false" ht="15" hidden="false" customHeight="false" outlineLevel="0" collapsed="false">
      <c r="A271" s="54" t="s">
        <v>617</v>
      </c>
      <c r="B271" s="55" t="n">
        <v>510087</v>
      </c>
      <c r="C271" s="55" t="n">
        <v>70</v>
      </c>
    </row>
    <row r="272" customFormat="false" ht="15" hidden="false" customHeight="false" outlineLevel="0" collapsed="false">
      <c r="A272" s="54" t="s">
        <v>618</v>
      </c>
      <c r="B272" s="55" t="n">
        <v>510081</v>
      </c>
      <c r="C272" s="55" t="n">
        <v>70</v>
      </c>
    </row>
    <row r="273" customFormat="false" ht="15" hidden="false" customHeight="false" outlineLevel="0" collapsed="false">
      <c r="A273" s="54" t="s">
        <v>619</v>
      </c>
      <c r="B273" s="55" t="n">
        <v>651525</v>
      </c>
      <c r="C273" s="55" t="n">
        <v>70</v>
      </c>
    </row>
    <row r="274" customFormat="false" ht="15" hidden="false" customHeight="false" outlineLevel="0" collapsed="false">
      <c r="A274" s="54" t="s">
        <v>620</v>
      </c>
      <c r="B274" s="55" t="n">
        <v>651525</v>
      </c>
      <c r="C274" s="55" t="n">
        <v>90</v>
      </c>
    </row>
    <row r="275" customFormat="false" ht="15" hidden="false" customHeight="false" outlineLevel="0" collapsed="false">
      <c r="A275" s="54" t="s">
        <v>621</v>
      </c>
      <c r="B275" s="55" t="s">
        <v>622</v>
      </c>
    </row>
    <row r="276" customFormat="false" ht="15" hidden="false" customHeight="false" outlineLevel="0" collapsed="false">
      <c r="A276" s="54" t="s">
        <v>623</v>
      </c>
      <c r="B276" s="55" t="s">
        <v>624</v>
      </c>
      <c r="C276" s="55" t="n">
        <v>60</v>
      </c>
    </row>
    <row r="277" customFormat="false" ht="15" hidden="false" customHeight="false" outlineLevel="0" collapsed="false">
      <c r="A277" s="68" t="s">
        <v>625</v>
      </c>
      <c r="B277" s="55" t="s">
        <v>624</v>
      </c>
      <c r="C277" s="55" t="n">
        <v>60</v>
      </c>
    </row>
    <row r="278" customFormat="false" ht="15" hidden="false" customHeight="false" outlineLevel="0" collapsed="false">
      <c r="A278" s="68" t="s">
        <v>626</v>
      </c>
      <c r="B278" s="55" t="s">
        <v>627</v>
      </c>
      <c r="C278" s="55" t="n">
        <v>90</v>
      </c>
    </row>
    <row r="279" customFormat="false" ht="15" hidden="false" customHeight="false" outlineLevel="0" collapsed="false">
      <c r="A279" s="54" t="s">
        <v>628</v>
      </c>
      <c r="B279" s="55" t="s">
        <v>629</v>
      </c>
      <c r="C279" s="55" t="n">
        <v>120</v>
      </c>
    </row>
    <row r="280" customFormat="false" ht="15" hidden="false" customHeight="false" outlineLevel="0" collapsed="false">
      <c r="A280" s="54" t="s">
        <v>630</v>
      </c>
      <c r="B280" s="55" t="s">
        <v>631</v>
      </c>
      <c r="C280" s="55" t="n">
        <v>25</v>
      </c>
    </row>
    <row r="281" customFormat="false" ht="15" hidden="false" customHeight="false" outlineLevel="0" collapsed="false">
      <c r="A281" s="54" t="s">
        <v>632</v>
      </c>
      <c r="B281" s="55" t="s">
        <v>633</v>
      </c>
      <c r="C281" s="55" t="n">
        <v>15</v>
      </c>
    </row>
    <row r="282" customFormat="false" ht="15" hidden="false" customHeight="false" outlineLevel="0" collapsed="false">
      <c r="A282" s="54" t="s">
        <v>634</v>
      </c>
      <c r="B282" s="55" t="s">
        <v>270</v>
      </c>
      <c r="C282" s="55" t="n">
        <v>15</v>
      </c>
    </row>
    <row r="283" customFormat="false" ht="15.75" hidden="false" customHeight="true" outlineLevel="0" collapsed="false">
      <c r="A283" s="54" t="s">
        <v>635</v>
      </c>
      <c r="B283" s="55" t="s">
        <v>636</v>
      </c>
      <c r="C283" s="55" t="n">
        <v>200</v>
      </c>
      <c r="D283" s="0" t="s">
        <v>637</v>
      </c>
    </row>
    <row r="284" customFormat="false" ht="15" hidden="false" customHeight="false" outlineLevel="0" collapsed="false">
      <c r="A284" s="54" t="s">
        <v>638</v>
      </c>
      <c r="B284" s="55" t="s">
        <v>639</v>
      </c>
      <c r="C284" s="55" t="n">
        <v>350</v>
      </c>
    </row>
    <row r="285" customFormat="false" ht="15" hidden="false" customHeight="false" outlineLevel="0" collapsed="false">
      <c r="A285" s="54" t="s">
        <v>640</v>
      </c>
      <c r="B285" s="55" t="s">
        <v>641</v>
      </c>
    </row>
    <row r="286" customFormat="false" ht="15" hidden="false" customHeight="false" outlineLevel="0" collapsed="false">
      <c r="A286" s="54" t="s">
        <v>642</v>
      </c>
      <c r="B286" s="55" t="s">
        <v>643</v>
      </c>
      <c r="C286" s="55" t="n">
        <v>45</v>
      </c>
    </row>
    <row r="287" customFormat="false" ht="15" hidden="false" customHeight="false" outlineLevel="0" collapsed="false">
      <c r="A287" s="54" t="s">
        <v>644</v>
      </c>
      <c r="B287" s="55" t="s">
        <v>643</v>
      </c>
      <c r="C287" s="55" t="n">
        <v>30</v>
      </c>
    </row>
    <row r="288" customFormat="false" ht="15" hidden="false" customHeight="false" outlineLevel="0" collapsed="false">
      <c r="A288" s="54" t="s">
        <v>645</v>
      </c>
      <c r="B288" s="55" t="s">
        <v>646</v>
      </c>
      <c r="C288" s="55" t="n">
        <v>120</v>
      </c>
    </row>
    <row r="289" customFormat="false" ht="15" hidden="false" customHeight="false" outlineLevel="0" collapsed="false">
      <c r="A289" s="54" t="s">
        <v>647</v>
      </c>
      <c r="B289" s="55" t="s">
        <v>648</v>
      </c>
    </row>
    <row r="290" customFormat="false" ht="15" hidden="false" customHeight="false" outlineLevel="0" collapsed="false">
      <c r="A290" s="54" t="s">
        <v>649</v>
      </c>
      <c r="B290" s="55" t="s">
        <v>650</v>
      </c>
      <c r="C290" s="55" t="n">
        <v>90</v>
      </c>
    </row>
    <row r="291" customFormat="false" ht="15" hidden="false" customHeight="false" outlineLevel="0" collapsed="false">
      <c r="A291" s="54" t="s">
        <v>651</v>
      </c>
      <c r="B291" s="55" t="s">
        <v>652</v>
      </c>
    </row>
    <row r="292" customFormat="false" ht="15" hidden="false" customHeight="false" outlineLevel="0" collapsed="false">
      <c r="A292" s="54" t="s">
        <v>653</v>
      </c>
      <c r="B292" s="55" t="s">
        <v>654</v>
      </c>
    </row>
    <row r="293" customFormat="false" ht="15" hidden="false" customHeight="false" outlineLevel="0" collapsed="false">
      <c r="A293" s="54" t="s">
        <v>655</v>
      </c>
      <c r="B293" s="55" t="n">
        <v>215215011</v>
      </c>
      <c r="C293" s="55" t="n">
        <v>100</v>
      </c>
    </row>
    <row r="294" customFormat="false" ht="15" hidden="false" customHeight="false" outlineLevel="0" collapsed="false">
      <c r="A294" s="54" t="s">
        <v>656</v>
      </c>
      <c r="B294" s="55" t="s">
        <v>657</v>
      </c>
    </row>
    <row r="295" customFormat="false" ht="15" hidden="false" customHeight="false" outlineLevel="0" collapsed="false">
      <c r="A295" s="54" t="s">
        <v>658</v>
      </c>
      <c r="B295" s="55" t="s">
        <v>659</v>
      </c>
      <c r="C295" s="55" t="n">
        <v>30</v>
      </c>
    </row>
    <row r="296" customFormat="false" ht="15" hidden="false" customHeight="false" outlineLevel="0" collapsed="false">
      <c r="A296" s="54" t="s">
        <v>660</v>
      </c>
      <c r="B296" s="55" t="s">
        <v>659</v>
      </c>
      <c r="C296" s="55" t="n">
        <v>45</v>
      </c>
    </row>
    <row r="297" customFormat="false" ht="15" hidden="false" customHeight="false" outlineLevel="0" collapsed="false">
      <c r="A297" s="54" t="s">
        <v>661</v>
      </c>
      <c r="B297" s="55" t="s">
        <v>662</v>
      </c>
      <c r="C297" s="55" t="n">
        <v>120</v>
      </c>
    </row>
    <row r="298" customFormat="false" ht="15" hidden="false" customHeight="false" outlineLevel="0" collapsed="false">
      <c r="A298" s="54" t="s">
        <v>661</v>
      </c>
    </row>
    <row r="299" customFormat="false" ht="15" hidden="false" customHeight="false" outlineLevel="0" collapsed="false">
      <c r="A299" s="54" t="s">
        <v>663</v>
      </c>
      <c r="B299" s="55" t="s">
        <v>664</v>
      </c>
      <c r="C299" s="55" t="n">
        <v>30</v>
      </c>
    </row>
    <row r="300" customFormat="false" ht="15" hidden="false" customHeight="false" outlineLevel="0" collapsed="false">
      <c r="A300" s="54" t="s">
        <v>665</v>
      </c>
      <c r="B300" s="55" t="s">
        <v>666</v>
      </c>
      <c r="C300" s="55" t="n">
        <v>30</v>
      </c>
    </row>
    <row r="301" customFormat="false" ht="15" hidden="false" customHeight="false" outlineLevel="0" collapsed="false">
      <c r="A301" s="54" t="s">
        <v>667</v>
      </c>
      <c r="B301" s="55" t="s">
        <v>668</v>
      </c>
      <c r="C301" s="55" t="n">
        <v>120</v>
      </c>
    </row>
    <row r="302" customFormat="false" ht="15" hidden="false" customHeight="false" outlineLevel="0" collapsed="false">
      <c r="A302" s="54" t="s">
        <v>669</v>
      </c>
      <c r="B302" s="55" t="s">
        <v>670</v>
      </c>
    </row>
    <row r="303" customFormat="false" ht="15" hidden="false" customHeight="false" outlineLevel="0" collapsed="false">
      <c r="A303" s="54" t="s">
        <v>671</v>
      </c>
      <c r="B303" s="55" t="s">
        <v>672</v>
      </c>
    </row>
    <row r="304" customFormat="false" ht="15" hidden="false" customHeight="false" outlineLevel="0" collapsed="false">
      <c r="A304" s="54" t="s">
        <v>673</v>
      </c>
      <c r="B304" s="55" t="s">
        <v>674</v>
      </c>
      <c r="C304" s="55" t="n">
        <v>90</v>
      </c>
    </row>
    <row r="305" customFormat="false" ht="15" hidden="false" customHeight="false" outlineLevel="0" collapsed="false">
      <c r="A305" s="54" t="s">
        <v>675</v>
      </c>
      <c r="B305" s="55" t="s">
        <v>676</v>
      </c>
      <c r="C305" s="55" t="n">
        <v>120</v>
      </c>
    </row>
    <row r="306" customFormat="false" ht="15" hidden="false" customHeight="false" outlineLevel="0" collapsed="false">
      <c r="A306" s="54" t="s">
        <v>677</v>
      </c>
      <c r="B306" s="55" t="s">
        <v>678</v>
      </c>
      <c r="C306" s="55" t="n">
        <v>90</v>
      </c>
    </row>
    <row r="307" customFormat="false" ht="15" hidden="false" customHeight="false" outlineLevel="0" collapsed="false">
      <c r="A307" s="54" t="s">
        <v>679</v>
      </c>
      <c r="B307" s="55" t="s">
        <v>270</v>
      </c>
      <c r="C307" s="55" t="n">
        <v>90</v>
      </c>
    </row>
    <row r="308" customFormat="false" ht="15" hidden="false" customHeight="false" outlineLevel="0" collapsed="false">
      <c r="A308" s="54" t="s">
        <v>680</v>
      </c>
      <c r="B308" s="55" t="s">
        <v>681</v>
      </c>
      <c r="D308" s="69" t="s">
        <v>682</v>
      </c>
      <c r="E308" s="69"/>
    </row>
    <row r="309" customFormat="false" ht="15" hidden="false" customHeight="false" outlineLevel="0" collapsed="false">
      <c r="A309" s="54" t="s">
        <v>683</v>
      </c>
      <c r="B309" s="67" t="s">
        <v>684</v>
      </c>
      <c r="C309" s="55" t="n">
        <v>90</v>
      </c>
      <c r="D309" s="69" t="s">
        <v>685</v>
      </c>
      <c r="E309" s="69"/>
    </row>
    <row r="310" customFormat="false" ht="15" hidden="false" customHeight="false" outlineLevel="0" collapsed="false">
      <c r="A310" s="54" t="s">
        <v>686</v>
      </c>
      <c r="B310" s="55" t="n">
        <v>601130</v>
      </c>
      <c r="C310" s="55" t="n">
        <v>35</v>
      </c>
      <c r="D310" s="69" t="s">
        <v>687</v>
      </c>
      <c r="E310" s="69"/>
    </row>
    <row r="311" customFormat="false" ht="15" hidden="false" customHeight="false" outlineLevel="0" collapsed="false">
      <c r="A311" s="54" t="s">
        <v>688</v>
      </c>
      <c r="B311" s="55" t="s">
        <v>689</v>
      </c>
      <c r="C311" s="55" t="n">
        <v>45</v>
      </c>
    </row>
    <row r="312" customFormat="false" ht="15" hidden="false" customHeight="false" outlineLevel="0" collapsed="false">
      <c r="A312" s="54" t="s">
        <v>690</v>
      </c>
      <c r="B312" s="70" t="n">
        <v>601130</v>
      </c>
      <c r="C312" s="55" t="n">
        <v>9</v>
      </c>
    </row>
    <row r="313" customFormat="false" ht="15" hidden="false" customHeight="false" outlineLevel="0" collapsed="false">
      <c r="A313" s="54" t="s">
        <v>691</v>
      </c>
      <c r="B313" s="55" t="s">
        <v>692</v>
      </c>
      <c r="C313" s="55" t="n">
        <v>120</v>
      </c>
    </row>
    <row r="314" customFormat="false" ht="15" hidden="false" customHeight="false" outlineLevel="0" collapsed="false">
      <c r="A314" s="54" t="s">
        <v>693</v>
      </c>
      <c r="B314" s="55" t="s">
        <v>694</v>
      </c>
    </row>
    <row r="315" customFormat="false" ht="15" hidden="false" customHeight="false" outlineLevel="0" collapsed="false">
      <c r="A315" s="54" t="s">
        <v>695</v>
      </c>
      <c r="B315" s="55" t="s">
        <v>696</v>
      </c>
      <c r="C315" s="55" t="n">
        <v>90</v>
      </c>
    </row>
    <row r="316" customFormat="false" ht="15" hidden="false" customHeight="false" outlineLevel="0" collapsed="false">
      <c r="A316" s="54" t="s">
        <v>697</v>
      </c>
      <c r="B316" s="55" t="s">
        <v>698</v>
      </c>
      <c r="C316" s="55" t="n">
        <v>80</v>
      </c>
    </row>
    <row r="317" customFormat="false" ht="15" hidden="false" customHeight="false" outlineLevel="0" collapsed="false">
      <c r="A317" s="54" t="s">
        <v>699</v>
      </c>
      <c r="B317" s="55" t="s">
        <v>700</v>
      </c>
      <c r="C317" s="55" t="n">
        <v>50</v>
      </c>
    </row>
    <row r="318" customFormat="false" ht="15" hidden="false" customHeight="false" outlineLevel="0" collapsed="false">
      <c r="A318" s="54" t="s">
        <v>701</v>
      </c>
      <c r="B318" s="55" t="s">
        <v>702</v>
      </c>
      <c r="C318" s="55" t="n">
        <v>60</v>
      </c>
    </row>
    <row r="319" customFormat="false" ht="15" hidden="false" customHeight="false" outlineLevel="0" collapsed="false">
      <c r="A319" s="54" t="s">
        <v>703</v>
      </c>
      <c r="B319" s="55" t="n">
        <v>551275</v>
      </c>
      <c r="C319" s="55" t="n">
        <v>60</v>
      </c>
    </row>
    <row r="320" customFormat="false" ht="15" hidden="false" customHeight="false" outlineLevel="0" collapsed="false">
      <c r="A320" s="54" t="s">
        <v>704</v>
      </c>
      <c r="B320" s="55" t="n">
        <v>551275</v>
      </c>
    </row>
    <row r="321" customFormat="false" ht="15" hidden="false" customHeight="false" outlineLevel="0" collapsed="false">
      <c r="A321" s="54" t="s">
        <v>705</v>
      </c>
      <c r="B321" s="55" t="s">
        <v>706</v>
      </c>
      <c r="C321" s="55" t="n">
        <v>90</v>
      </c>
    </row>
    <row r="322" customFormat="false" ht="15" hidden="false" customHeight="false" outlineLevel="0" collapsed="false">
      <c r="A322" s="54" t="s">
        <v>707</v>
      </c>
      <c r="B322" s="55" t="s">
        <v>708</v>
      </c>
    </row>
    <row r="323" customFormat="false" ht="15" hidden="false" customHeight="false" outlineLevel="0" collapsed="false">
      <c r="A323" s="54" t="s">
        <v>709</v>
      </c>
      <c r="B323" s="55" t="s">
        <v>710</v>
      </c>
      <c r="C323" s="55" t="n">
        <v>90</v>
      </c>
    </row>
    <row r="324" customFormat="false" ht="15" hidden="false" customHeight="false" outlineLevel="0" collapsed="false">
      <c r="A324" s="54" t="s">
        <v>711</v>
      </c>
      <c r="B324" s="55" t="n">
        <v>551435</v>
      </c>
      <c r="C324" s="55" t="n">
        <v>120</v>
      </c>
    </row>
    <row r="325" customFormat="false" ht="15" hidden="false" customHeight="false" outlineLevel="0" collapsed="false">
      <c r="A325" s="54" t="s">
        <v>712</v>
      </c>
      <c r="B325" s="55" t="s">
        <v>713</v>
      </c>
      <c r="C325" s="55" t="n">
        <v>80</v>
      </c>
    </row>
    <row r="326" customFormat="false" ht="15" hidden="false" customHeight="false" outlineLevel="0" collapsed="false">
      <c r="A326" s="54" t="s">
        <v>714</v>
      </c>
      <c r="B326" s="55" t="s">
        <v>715</v>
      </c>
      <c r="C326" s="55" t="n">
        <v>120</v>
      </c>
    </row>
    <row r="327" customFormat="false" ht="15" hidden="false" customHeight="false" outlineLevel="0" collapsed="false">
      <c r="A327" s="54" t="s">
        <v>716</v>
      </c>
      <c r="B327" s="55" t="s">
        <v>717</v>
      </c>
    </row>
    <row r="328" customFormat="false" ht="15" hidden="false" customHeight="false" outlineLevel="0" collapsed="false">
      <c r="A328" s="54" t="s">
        <v>718</v>
      </c>
      <c r="B328" s="55" t="s">
        <v>719</v>
      </c>
      <c r="C328" s="55" t="n">
        <v>90</v>
      </c>
    </row>
    <row r="329" customFormat="false" ht="15" hidden="false" customHeight="false" outlineLevel="0" collapsed="false">
      <c r="A329" s="54" t="s">
        <v>720</v>
      </c>
      <c r="B329" s="55" t="s">
        <v>721</v>
      </c>
    </row>
    <row r="330" customFormat="false" ht="15" hidden="false" customHeight="false" outlineLevel="0" collapsed="false">
      <c r="A330" s="68" t="s">
        <v>722</v>
      </c>
      <c r="B330" s="55" t="s">
        <v>723</v>
      </c>
    </row>
    <row r="331" customFormat="false" ht="15" hidden="false" customHeight="false" outlineLevel="0" collapsed="false">
      <c r="A331" s="54" t="s">
        <v>724</v>
      </c>
      <c r="B331" s="55" t="s">
        <v>725</v>
      </c>
      <c r="C331" s="55" t="n">
        <v>90</v>
      </c>
    </row>
    <row r="332" customFormat="false" ht="15" hidden="false" customHeight="false" outlineLevel="0" collapsed="false">
      <c r="A332" s="54" t="s">
        <v>726</v>
      </c>
      <c r="B332" s="55" t="s">
        <v>270</v>
      </c>
    </row>
    <row r="333" customFormat="false" ht="15" hidden="false" customHeight="false" outlineLevel="0" collapsed="false">
      <c r="A333" s="54" t="s">
        <v>727</v>
      </c>
      <c r="B333" s="55" t="s">
        <v>728</v>
      </c>
    </row>
    <row r="334" customFormat="false" ht="15" hidden="false" customHeight="false" outlineLevel="0" collapsed="false">
      <c r="A334" s="54" t="s">
        <v>729</v>
      </c>
      <c r="B334" s="55" t="s">
        <v>730</v>
      </c>
      <c r="C334" s="55" t="n">
        <v>30</v>
      </c>
    </row>
    <row r="335" customFormat="false" ht="15" hidden="false" customHeight="false" outlineLevel="0" collapsed="false">
      <c r="A335" s="54" t="s">
        <v>731</v>
      </c>
      <c r="B335" s="55" t="s">
        <v>732</v>
      </c>
      <c r="D335" s="0" t="s">
        <v>733</v>
      </c>
    </row>
    <row r="336" customFormat="false" ht="15" hidden="false" customHeight="false" outlineLevel="0" collapsed="false">
      <c r="A336" s="54" t="s">
        <v>734</v>
      </c>
      <c r="B336" s="55" t="s">
        <v>735</v>
      </c>
      <c r="C336" s="55" t="n">
        <v>60</v>
      </c>
    </row>
    <row r="337" customFormat="false" ht="15" hidden="false" customHeight="false" outlineLevel="0" collapsed="false">
      <c r="A337" s="54" t="s">
        <v>736</v>
      </c>
      <c r="B337" s="55" t="s">
        <v>737</v>
      </c>
    </row>
    <row r="338" customFormat="false" ht="15" hidden="false" customHeight="false" outlineLevel="0" collapsed="false">
      <c r="A338" s="54" t="s">
        <v>738</v>
      </c>
      <c r="B338" s="55" t="s">
        <v>739</v>
      </c>
    </row>
    <row r="339" customFormat="false" ht="15" hidden="false" customHeight="false" outlineLevel="0" collapsed="false">
      <c r="A339" s="54" t="s">
        <v>740</v>
      </c>
      <c r="B339" s="55" t="s">
        <v>741</v>
      </c>
    </row>
    <row r="340" customFormat="false" ht="15" hidden="false" customHeight="false" outlineLevel="0" collapsed="false">
      <c r="A340" s="54" t="s">
        <v>742</v>
      </c>
      <c r="B340" s="55" t="s">
        <v>743</v>
      </c>
    </row>
    <row r="341" customFormat="false" ht="15" hidden="false" customHeight="false" outlineLevel="0" collapsed="false">
      <c r="A341" s="54" t="s">
        <v>744</v>
      </c>
      <c r="B341" s="55" t="s">
        <v>745</v>
      </c>
      <c r="C341" s="55" t="n">
        <v>80</v>
      </c>
    </row>
    <row r="342" customFormat="false" ht="15" hidden="false" customHeight="false" outlineLevel="0" collapsed="false">
      <c r="A342" s="54" t="s">
        <v>746</v>
      </c>
      <c r="B342" s="71" t="s">
        <v>747</v>
      </c>
      <c r="C342" s="55" t="n">
        <v>17</v>
      </c>
    </row>
    <row r="343" customFormat="false" ht="15" hidden="false" customHeight="false" outlineLevel="0" collapsed="false">
      <c r="A343" s="54" t="s">
        <v>748</v>
      </c>
      <c r="B343" s="55" t="s">
        <v>749</v>
      </c>
      <c r="C343" s="55" t="n">
        <v>15</v>
      </c>
    </row>
    <row r="344" customFormat="false" ht="15" hidden="false" customHeight="false" outlineLevel="0" collapsed="false">
      <c r="A344" s="54" t="s">
        <v>750</v>
      </c>
      <c r="B344" s="55" t="n">
        <v>4571</v>
      </c>
      <c r="C344" s="55" t="n">
        <v>30</v>
      </c>
    </row>
    <row r="345" customFormat="false" ht="15" hidden="false" customHeight="false" outlineLevel="0" collapsed="false">
      <c r="A345" s="54" t="s">
        <v>751</v>
      </c>
      <c r="B345" s="55" t="n">
        <v>200200</v>
      </c>
      <c r="C345" s="55" t="n">
        <v>60</v>
      </c>
    </row>
    <row r="346" customFormat="false" ht="15" hidden="false" customHeight="false" outlineLevel="0" collapsed="false">
      <c r="A346" s="54" t="s">
        <v>752</v>
      </c>
      <c r="B346" s="55" t="s">
        <v>753</v>
      </c>
      <c r="C346" s="55" t="n">
        <v>30</v>
      </c>
    </row>
    <row r="347" customFormat="false" ht="15" hidden="false" customHeight="false" outlineLevel="0" collapsed="false">
      <c r="A347" s="54" t="s">
        <v>754</v>
      </c>
      <c r="B347" s="55" t="n">
        <v>5402</v>
      </c>
      <c r="D347" s="0" t="s">
        <v>755</v>
      </c>
    </row>
    <row r="348" customFormat="false" ht="15" hidden="false" customHeight="false" outlineLevel="0" collapsed="false">
      <c r="A348" s="54" t="s">
        <v>756</v>
      </c>
      <c r="B348" s="55" t="n">
        <v>4630</v>
      </c>
      <c r="D348" s="0" t="s">
        <v>194</v>
      </c>
    </row>
    <row r="349" customFormat="false" ht="15" hidden="false" customHeight="false" outlineLevel="0" collapsed="false">
      <c r="A349" s="54" t="s">
        <v>757</v>
      </c>
      <c r="B349" s="55" t="n">
        <v>7151</v>
      </c>
    </row>
    <row r="350" customFormat="false" ht="15" hidden="false" customHeight="false" outlineLevel="0" collapsed="false">
      <c r="A350" s="54" t="s">
        <v>758</v>
      </c>
      <c r="B350" s="55" t="n">
        <v>480387</v>
      </c>
      <c r="C350" s="55" t="n">
        <v>60</v>
      </c>
    </row>
    <row r="351" customFormat="false" ht="15" hidden="false" customHeight="false" outlineLevel="0" collapsed="false">
      <c r="A351" s="54" t="s">
        <v>758</v>
      </c>
    </row>
    <row r="352" customFormat="false" ht="15" hidden="false" customHeight="false" outlineLevel="0" collapsed="false">
      <c r="A352" s="54" t="s">
        <v>758</v>
      </c>
      <c r="B352" s="55" t="n">
        <v>480387</v>
      </c>
      <c r="C352" s="55" t="n">
        <v>50</v>
      </c>
    </row>
    <row r="353" customFormat="false" ht="15" hidden="false" customHeight="false" outlineLevel="0" collapsed="false">
      <c r="A353" s="54" t="s">
        <v>759</v>
      </c>
      <c r="B353" s="55" t="n">
        <v>480387</v>
      </c>
      <c r="C353" s="55" t="n">
        <v>20</v>
      </c>
    </row>
    <row r="354" customFormat="false" ht="15" hidden="false" customHeight="false" outlineLevel="0" collapsed="false">
      <c r="A354" s="54" t="s">
        <v>760</v>
      </c>
      <c r="B354" s="55" t="s">
        <v>761</v>
      </c>
      <c r="C354" s="55" t="n">
        <v>75</v>
      </c>
    </row>
    <row r="355" customFormat="false" ht="15" hidden="false" customHeight="false" outlineLevel="0" collapsed="false">
      <c r="A355" s="54" t="s">
        <v>762</v>
      </c>
      <c r="B355" s="55" t="s">
        <v>763</v>
      </c>
      <c r="C355" s="55" t="n">
        <v>75</v>
      </c>
    </row>
    <row r="356" customFormat="false" ht="15" hidden="false" customHeight="false" outlineLevel="0" collapsed="false">
      <c r="A356" s="54" t="s">
        <v>764</v>
      </c>
      <c r="B356" s="55" t="s">
        <v>765</v>
      </c>
    </row>
    <row r="357" customFormat="false" ht="15" hidden="false" customHeight="false" outlineLevel="0" collapsed="false">
      <c r="A357" s="54" t="s">
        <v>766</v>
      </c>
      <c r="B357" s="55" t="s">
        <v>767</v>
      </c>
    </row>
    <row r="358" customFormat="false" ht="15" hidden="false" customHeight="false" outlineLevel="0" collapsed="false">
      <c r="A358" s="54" t="s">
        <v>768</v>
      </c>
      <c r="B358" s="55" t="s">
        <v>769</v>
      </c>
      <c r="C358" s="55" t="n">
        <v>120</v>
      </c>
    </row>
    <row r="359" customFormat="false" ht="15" hidden="false" customHeight="false" outlineLevel="0" collapsed="false">
      <c r="A359" s="54" t="s">
        <v>770</v>
      </c>
      <c r="B359" s="55" t="s">
        <v>771</v>
      </c>
      <c r="C359" s="55" t="n">
        <v>45</v>
      </c>
    </row>
    <row r="360" customFormat="false" ht="15" hidden="false" customHeight="false" outlineLevel="0" collapsed="false">
      <c r="A360" s="54" t="s">
        <v>772</v>
      </c>
      <c r="B360" s="55" t="s">
        <v>773</v>
      </c>
      <c r="C360" s="55" t="n">
        <v>60</v>
      </c>
    </row>
    <row r="361" customFormat="false" ht="15" hidden="false" customHeight="false" outlineLevel="0" collapsed="false">
      <c r="A361" s="54" t="s">
        <v>774</v>
      </c>
      <c r="B361" s="55" t="s">
        <v>771</v>
      </c>
      <c r="C361" s="55" t="n">
        <v>60</v>
      </c>
    </row>
    <row r="362" customFormat="false" ht="15" hidden="false" customHeight="false" outlineLevel="0" collapsed="false">
      <c r="A362" s="54" t="s">
        <v>775</v>
      </c>
      <c r="B362" s="55" t="s">
        <v>776</v>
      </c>
      <c r="C362" s="55" t="n">
        <v>100</v>
      </c>
    </row>
    <row r="363" customFormat="false" ht="15" hidden="false" customHeight="false" outlineLevel="0" collapsed="false">
      <c r="A363" s="54" t="s">
        <v>777</v>
      </c>
      <c r="B363" s="55" t="s">
        <v>778</v>
      </c>
      <c r="C363" s="55" t="n">
        <v>45</v>
      </c>
    </row>
    <row r="364" customFormat="false" ht="15" hidden="false" customHeight="false" outlineLevel="0" collapsed="false">
      <c r="A364" s="54" t="s">
        <v>779</v>
      </c>
      <c r="B364" s="55" t="n">
        <v>5016</v>
      </c>
      <c r="C364" s="55" t="n">
        <v>120</v>
      </c>
    </row>
    <row r="365" customFormat="false" ht="15" hidden="false" customHeight="false" outlineLevel="0" collapsed="false">
      <c r="A365" s="54" t="s">
        <v>780</v>
      </c>
      <c r="B365" s="55" t="s">
        <v>270</v>
      </c>
      <c r="C365" s="55" t="n">
        <v>120</v>
      </c>
    </row>
    <row r="366" customFormat="false" ht="15" hidden="false" customHeight="false" outlineLevel="0" collapsed="false">
      <c r="A366" s="54" t="s">
        <v>781</v>
      </c>
      <c r="B366" s="55" t="s">
        <v>782</v>
      </c>
      <c r="C366" s="55" t="n">
        <v>120</v>
      </c>
    </row>
    <row r="367" customFormat="false" ht="15" hidden="false" customHeight="false" outlineLevel="0" collapsed="false">
      <c r="A367" s="54" t="s">
        <v>783</v>
      </c>
      <c r="B367" s="55" t="s">
        <v>784</v>
      </c>
      <c r="C367" s="55" t="n">
        <v>120</v>
      </c>
    </row>
    <row r="368" customFormat="false" ht="15" hidden="false" customHeight="false" outlineLevel="0" collapsed="false">
      <c r="A368" s="54" t="s">
        <v>785</v>
      </c>
      <c r="B368" s="55" t="s">
        <v>786</v>
      </c>
      <c r="C368" s="55" t="n">
        <v>120</v>
      </c>
    </row>
    <row r="369" customFormat="false" ht="15" hidden="false" customHeight="false" outlineLevel="0" collapsed="false">
      <c r="A369" s="54" t="s">
        <v>787</v>
      </c>
      <c r="B369" s="55" t="s">
        <v>788</v>
      </c>
      <c r="C369" s="55" t="n">
        <v>30</v>
      </c>
    </row>
    <row r="370" customFormat="false" ht="15" hidden="false" customHeight="false" outlineLevel="0" collapsed="false">
      <c r="A370" s="54" t="s">
        <v>789</v>
      </c>
      <c r="B370" s="55" t="s">
        <v>270</v>
      </c>
    </row>
    <row r="371" customFormat="false" ht="15" hidden="false" customHeight="false" outlineLevel="0" collapsed="false">
      <c r="A371" s="54" t="s">
        <v>790</v>
      </c>
      <c r="B371" s="55" t="s">
        <v>791</v>
      </c>
      <c r="C371" s="55" t="n">
        <v>120</v>
      </c>
    </row>
    <row r="372" customFormat="false" ht="15" hidden="false" customHeight="false" outlineLevel="0" collapsed="false">
      <c r="A372" s="54" t="s">
        <v>792</v>
      </c>
      <c r="B372" s="55" t="s">
        <v>793</v>
      </c>
    </row>
    <row r="373" customFormat="false" ht="15" hidden="false" customHeight="false" outlineLevel="0" collapsed="false">
      <c r="A373" s="54" t="s">
        <v>794</v>
      </c>
      <c r="B373" s="55" t="s">
        <v>270</v>
      </c>
    </row>
    <row r="374" customFormat="false" ht="15" hidden="false" customHeight="false" outlineLevel="0" collapsed="false">
      <c r="A374" s="54" t="s">
        <v>795</v>
      </c>
      <c r="B374" s="55" t="s">
        <v>270</v>
      </c>
    </row>
    <row r="375" customFormat="false" ht="15" hidden="false" customHeight="false" outlineLevel="0" collapsed="false">
      <c r="A375" s="54" t="s">
        <v>796</v>
      </c>
      <c r="B375" s="55" t="s">
        <v>797</v>
      </c>
    </row>
    <row r="376" customFormat="false" ht="15" hidden="false" customHeight="false" outlineLevel="0" collapsed="false">
      <c r="A376" s="54" t="s">
        <v>798</v>
      </c>
      <c r="B376" s="55" t="s">
        <v>270</v>
      </c>
    </row>
    <row r="377" customFormat="false" ht="15" hidden="false" customHeight="false" outlineLevel="0" collapsed="false">
      <c r="A377" s="54" t="s">
        <v>799</v>
      </c>
      <c r="B377" s="55" t="s">
        <v>270</v>
      </c>
      <c r="D377" s="0" t="s">
        <v>800</v>
      </c>
    </row>
    <row r="378" customFormat="false" ht="15" hidden="false" customHeight="false" outlineLevel="0" collapsed="false">
      <c r="A378" s="54" t="s">
        <v>801</v>
      </c>
      <c r="B378" s="55" t="s">
        <v>802</v>
      </c>
    </row>
    <row r="379" customFormat="false" ht="15" hidden="false" customHeight="false" outlineLevel="0" collapsed="false">
      <c r="A379" s="54" t="s">
        <v>803</v>
      </c>
      <c r="B379" s="55" t="s">
        <v>270</v>
      </c>
    </row>
    <row r="380" customFormat="false" ht="15" hidden="false" customHeight="false" outlineLevel="0" collapsed="false">
      <c r="A380" s="54" t="s">
        <v>804</v>
      </c>
      <c r="B380" s="55" t="s">
        <v>805</v>
      </c>
      <c r="C380" s="55" t="n">
        <v>27</v>
      </c>
    </row>
    <row r="381" customFormat="false" ht="15" hidden="false" customHeight="false" outlineLevel="0" collapsed="false">
      <c r="A381" s="54" t="s">
        <v>806</v>
      </c>
      <c r="B381" s="55" t="s">
        <v>270</v>
      </c>
    </row>
    <row r="382" customFormat="false" ht="15" hidden="false" customHeight="false" outlineLevel="0" collapsed="false">
      <c r="A382" s="54" t="s">
        <v>807</v>
      </c>
      <c r="B382" s="55" t="s">
        <v>808</v>
      </c>
      <c r="C382" s="55" t="n">
        <v>27</v>
      </c>
    </row>
    <row r="383" customFormat="false" ht="15" hidden="false" customHeight="false" outlineLevel="0" collapsed="false">
      <c r="A383" s="54" t="s">
        <v>809</v>
      </c>
      <c r="B383" s="55" t="s">
        <v>810</v>
      </c>
      <c r="C383" s="55" t="n">
        <v>30</v>
      </c>
    </row>
    <row r="384" customFormat="false" ht="15" hidden="false" customHeight="false" outlineLevel="0" collapsed="false">
      <c r="A384" s="54" t="s">
        <v>811</v>
      </c>
    </row>
    <row r="385" customFormat="false" ht="15" hidden="false" customHeight="false" outlineLevel="0" collapsed="false">
      <c r="A385" s="54" t="s">
        <v>812</v>
      </c>
      <c r="B385" s="55" t="s">
        <v>813</v>
      </c>
      <c r="C385" s="55" t="n">
        <v>50</v>
      </c>
      <c r="D385" s="0" t="s">
        <v>814</v>
      </c>
    </row>
    <row r="386" customFormat="false" ht="15" hidden="false" customHeight="false" outlineLevel="0" collapsed="false">
      <c r="A386" s="54" t="s">
        <v>815</v>
      </c>
      <c r="B386" s="55" t="s">
        <v>816</v>
      </c>
      <c r="C386" s="55" t="n">
        <v>80</v>
      </c>
      <c r="D386" s="0" t="s">
        <v>817</v>
      </c>
    </row>
    <row r="387" customFormat="false" ht="15" hidden="false" customHeight="false" outlineLevel="0" collapsed="false">
      <c r="A387" s="54" t="s">
        <v>818</v>
      </c>
      <c r="B387" s="55" t="s">
        <v>819</v>
      </c>
      <c r="D387" s="0" t="s">
        <v>820</v>
      </c>
    </row>
    <row r="388" customFormat="false" ht="15" hidden="false" customHeight="false" outlineLevel="0" collapsed="false">
      <c r="A388" s="54" t="s">
        <v>821</v>
      </c>
      <c r="B388" s="55" t="s">
        <v>822</v>
      </c>
      <c r="D388" s="0" t="s">
        <v>823</v>
      </c>
    </row>
    <row r="389" customFormat="false" ht="15" hidden="false" customHeight="false" outlineLevel="0" collapsed="false">
      <c r="A389" s="54" t="s">
        <v>824</v>
      </c>
      <c r="B389" s="55" t="s">
        <v>825</v>
      </c>
      <c r="C389" s="55" t="n">
        <v>30</v>
      </c>
    </row>
    <row r="390" customFormat="false" ht="15" hidden="false" customHeight="false" outlineLevel="0" collapsed="false">
      <c r="A390" s="54" t="s">
        <v>826</v>
      </c>
      <c r="B390" s="55" t="s">
        <v>827</v>
      </c>
      <c r="C390" s="55" t="n">
        <v>30</v>
      </c>
    </row>
    <row r="391" customFormat="false" ht="15" hidden="false" customHeight="false" outlineLevel="0" collapsed="false">
      <c r="A391" s="54" t="s">
        <v>828</v>
      </c>
      <c r="B391" s="55" t="s">
        <v>829</v>
      </c>
    </row>
    <row r="392" customFormat="false" ht="15" hidden="false" customHeight="false" outlineLevel="0" collapsed="false">
      <c r="A392" s="54" t="s">
        <v>830</v>
      </c>
      <c r="B392" s="55" t="s">
        <v>831</v>
      </c>
    </row>
    <row r="393" customFormat="false" ht="15" hidden="false" customHeight="false" outlineLevel="0" collapsed="false">
      <c r="A393" s="54" t="s">
        <v>832</v>
      </c>
      <c r="B393" s="55" t="s">
        <v>833</v>
      </c>
      <c r="C393" s="55" t="n">
        <v>70</v>
      </c>
    </row>
    <row r="394" customFormat="false" ht="15" hidden="false" customHeight="false" outlineLevel="0" collapsed="false">
      <c r="A394" s="54" t="s">
        <v>834</v>
      </c>
      <c r="B394" s="55" t="s">
        <v>270</v>
      </c>
    </row>
    <row r="395" customFormat="false" ht="15" hidden="false" customHeight="false" outlineLevel="0" collapsed="false">
      <c r="A395" s="54" t="s">
        <v>835</v>
      </c>
      <c r="B395" s="55" t="s">
        <v>270</v>
      </c>
    </row>
    <row r="396" customFormat="false" ht="15" hidden="false" customHeight="false" outlineLevel="0" collapsed="false">
      <c r="A396" s="54" t="s">
        <v>836</v>
      </c>
      <c r="B396" s="55" t="s">
        <v>837</v>
      </c>
    </row>
    <row r="397" customFormat="false" ht="15" hidden="false" customHeight="false" outlineLevel="0" collapsed="false">
      <c r="A397" s="54" t="s">
        <v>838</v>
      </c>
      <c r="B397" s="55" t="s">
        <v>839</v>
      </c>
      <c r="C397" s="55" t="n">
        <v>20</v>
      </c>
      <c r="D397" s="0" t="s">
        <v>840</v>
      </c>
    </row>
    <row r="398" customFormat="false" ht="15" hidden="false" customHeight="false" outlineLevel="0" collapsed="false">
      <c r="A398" s="54" t="s">
        <v>841</v>
      </c>
      <c r="B398" s="55" t="s">
        <v>842</v>
      </c>
      <c r="C398" s="55" t="n">
        <v>30</v>
      </c>
      <c r="D398" s="0" t="s">
        <v>840</v>
      </c>
    </row>
    <row r="399" customFormat="false" ht="15" hidden="false" customHeight="false" outlineLevel="0" collapsed="false">
      <c r="A399" s="54" t="s">
        <v>843</v>
      </c>
      <c r="B399" s="55" t="s">
        <v>844</v>
      </c>
      <c r="C399" s="55" t="n">
        <v>20</v>
      </c>
      <c r="D399" s="0" t="s">
        <v>840</v>
      </c>
    </row>
    <row r="400" customFormat="false" ht="15" hidden="false" customHeight="false" outlineLevel="0" collapsed="false">
      <c r="A400" s="54" t="s">
        <v>845</v>
      </c>
      <c r="B400" s="55" t="s">
        <v>846</v>
      </c>
      <c r="C400" s="55" t="n">
        <v>45</v>
      </c>
    </row>
    <row r="401" customFormat="false" ht="15" hidden="false" customHeight="false" outlineLevel="0" collapsed="false">
      <c r="A401" s="54" t="s">
        <v>847</v>
      </c>
      <c r="B401" s="55" t="s">
        <v>848</v>
      </c>
    </row>
    <row r="402" customFormat="false" ht="15" hidden="false" customHeight="false" outlineLevel="0" collapsed="false">
      <c r="A402" s="54" t="s">
        <v>849</v>
      </c>
      <c r="B402" s="55" t="s">
        <v>850</v>
      </c>
    </row>
    <row r="403" customFormat="false" ht="15" hidden="false" customHeight="false" outlineLevel="0" collapsed="false">
      <c r="A403" s="54" t="s">
        <v>851</v>
      </c>
      <c r="B403" s="55" t="s">
        <v>833</v>
      </c>
      <c r="C403" s="55" t="n">
        <v>70</v>
      </c>
    </row>
    <row r="404" customFormat="false" ht="15" hidden="false" customHeight="false" outlineLevel="0" collapsed="false">
      <c r="A404" s="54" t="s">
        <v>852</v>
      </c>
      <c r="B404" s="55" t="s">
        <v>853</v>
      </c>
      <c r="C404" s="55" t="n">
        <v>50</v>
      </c>
    </row>
    <row r="405" customFormat="false" ht="15" hidden="false" customHeight="false" outlineLevel="0" collapsed="false">
      <c r="A405" s="54" t="s">
        <v>854</v>
      </c>
      <c r="B405" s="55" t="s">
        <v>839</v>
      </c>
    </row>
    <row r="406" customFormat="false" ht="15" hidden="false" customHeight="false" outlineLevel="0" collapsed="false">
      <c r="A406" s="54" t="s">
        <v>855</v>
      </c>
      <c r="B406" s="55" t="s">
        <v>856</v>
      </c>
    </row>
    <row r="407" customFormat="false" ht="15" hidden="false" customHeight="false" outlineLevel="0" collapsed="false">
      <c r="A407" s="54" t="s">
        <v>857</v>
      </c>
      <c r="B407" s="55" t="s">
        <v>858</v>
      </c>
      <c r="C407" s="55" t="n">
        <v>90</v>
      </c>
    </row>
    <row r="408" customFormat="false" ht="15" hidden="false" customHeight="false" outlineLevel="0" collapsed="false">
      <c r="A408" s="54" t="s">
        <v>859</v>
      </c>
      <c r="B408" s="55" t="s">
        <v>860</v>
      </c>
      <c r="C408" s="55" t="n">
        <v>140</v>
      </c>
    </row>
    <row r="409" customFormat="false" ht="15" hidden="false" customHeight="false" outlineLevel="0" collapsed="false">
      <c r="A409" s="54" t="s">
        <v>861</v>
      </c>
      <c r="B409" s="55" t="s">
        <v>862</v>
      </c>
    </row>
    <row r="410" customFormat="false" ht="15" hidden="false" customHeight="false" outlineLevel="0" collapsed="false">
      <c r="A410" s="54" t="s">
        <v>863</v>
      </c>
      <c r="B410" s="55" t="s">
        <v>864</v>
      </c>
      <c r="C410" s="55" t="n">
        <v>100</v>
      </c>
      <c r="D410" s="0" t="s">
        <v>814</v>
      </c>
    </row>
    <row r="411" customFormat="false" ht="15" hidden="false" customHeight="false" outlineLevel="0" collapsed="false">
      <c r="A411" s="54" t="s">
        <v>865</v>
      </c>
      <c r="B411" s="55" t="n">
        <v>510020</v>
      </c>
      <c r="D411" s="72" t="s">
        <v>866</v>
      </c>
      <c r="E411" s="72"/>
      <c r="F411" s="72"/>
    </row>
    <row r="412" customFormat="false" ht="15" hidden="false" customHeight="false" outlineLevel="0" collapsed="false">
      <c r="A412" s="54" t="s">
        <v>867</v>
      </c>
      <c r="B412" s="55" t="n">
        <v>512520</v>
      </c>
    </row>
    <row r="413" customFormat="false" ht="15" hidden="false" customHeight="false" outlineLevel="0" collapsed="false">
      <c r="A413" s="54" t="s">
        <v>868</v>
      </c>
      <c r="B413" s="55" t="s">
        <v>869</v>
      </c>
    </row>
    <row r="414" customFormat="false" ht="15" hidden="false" customHeight="false" outlineLevel="0" collapsed="false">
      <c r="A414" s="54" t="s">
        <v>870</v>
      </c>
      <c r="B414" s="55" t="s">
        <v>871</v>
      </c>
      <c r="C414" s="55" t="n">
        <v>100</v>
      </c>
      <c r="D414" s="0" t="s">
        <v>814</v>
      </c>
    </row>
    <row r="415" customFormat="false" ht="15" hidden="false" customHeight="false" outlineLevel="0" collapsed="false">
      <c r="A415" s="54" t="s">
        <v>872</v>
      </c>
      <c r="B415" s="55" t="s">
        <v>873</v>
      </c>
      <c r="C415" s="55" t="n">
        <v>70</v>
      </c>
    </row>
    <row r="416" customFormat="false" ht="15" hidden="false" customHeight="false" outlineLevel="0" collapsed="false">
      <c r="A416" s="54" t="s">
        <v>874</v>
      </c>
      <c r="B416" s="55" t="s">
        <v>875</v>
      </c>
      <c r="C416" s="55" t="n">
        <v>75</v>
      </c>
    </row>
    <row r="417" customFormat="false" ht="15" hidden="false" customHeight="false" outlineLevel="0" collapsed="false">
      <c r="A417" s="54" t="s">
        <v>876</v>
      </c>
      <c r="B417" s="55" t="s">
        <v>877</v>
      </c>
      <c r="C417" s="55" t="n">
        <v>110</v>
      </c>
    </row>
    <row r="418" customFormat="false" ht="15" hidden="false" customHeight="false" outlineLevel="0" collapsed="false">
      <c r="A418" s="54" t="s">
        <v>878</v>
      </c>
      <c r="B418" s="55" t="s">
        <v>879</v>
      </c>
      <c r="C418" s="55" t="n">
        <v>65</v>
      </c>
    </row>
    <row r="419" customFormat="false" ht="15" hidden="false" customHeight="false" outlineLevel="0" collapsed="false">
      <c r="A419" s="54" t="s">
        <v>880</v>
      </c>
      <c r="B419" s="55" t="s">
        <v>879</v>
      </c>
      <c r="C419" s="55" t="n">
        <v>30</v>
      </c>
    </row>
    <row r="420" customFormat="false" ht="15" hidden="false" customHeight="false" outlineLevel="0" collapsed="false">
      <c r="A420" s="54" t="s">
        <v>881</v>
      </c>
      <c r="B420" s="55" t="s">
        <v>882</v>
      </c>
      <c r="C420" s="55" t="n">
        <v>80</v>
      </c>
    </row>
    <row r="421" customFormat="false" ht="15" hidden="false" customHeight="false" outlineLevel="0" collapsed="false">
      <c r="A421" s="54" t="s">
        <v>883</v>
      </c>
      <c r="B421" s="55" t="s">
        <v>882</v>
      </c>
      <c r="C421" s="55" t="n">
        <v>28</v>
      </c>
    </row>
    <row r="422" customFormat="false" ht="15" hidden="false" customHeight="false" outlineLevel="0" collapsed="false">
      <c r="A422" s="54" t="s">
        <v>884</v>
      </c>
      <c r="B422" s="55" t="n">
        <v>651128</v>
      </c>
      <c r="C422" s="55" t="n">
        <v>24</v>
      </c>
    </row>
    <row r="423" customFormat="false" ht="15" hidden="false" customHeight="false" outlineLevel="0" collapsed="false">
      <c r="A423" s="54" t="s">
        <v>885</v>
      </c>
      <c r="B423" s="55" t="s">
        <v>886</v>
      </c>
    </row>
    <row r="424" customFormat="false" ht="15" hidden="false" customHeight="false" outlineLevel="0" collapsed="false">
      <c r="A424" s="54" t="s">
        <v>887</v>
      </c>
      <c r="B424" s="55" t="n">
        <v>2018063</v>
      </c>
      <c r="C424" s="55" t="n">
        <v>120</v>
      </c>
    </row>
    <row r="425" customFormat="false" ht="15" hidden="false" customHeight="false" outlineLevel="0" collapsed="false">
      <c r="A425" s="54" t="s">
        <v>888</v>
      </c>
      <c r="B425" s="55" t="s">
        <v>889</v>
      </c>
      <c r="C425" s="55" t="n">
        <v>90</v>
      </c>
    </row>
    <row r="426" customFormat="false" ht="15" hidden="false" customHeight="false" outlineLevel="0" collapsed="false">
      <c r="A426" s="54" t="s">
        <v>890</v>
      </c>
      <c r="B426" s="55" t="s">
        <v>891</v>
      </c>
      <c r="C426" s="55" t="n">
        <v>120</v>
      </c>
    </row>
    <row r="427" customFormat="false" ht="15" hidden="false" customHeight="false" outlineLevel="0" collapsed="false">
      <c r="A427" s="54" t="s">
        <v>892</v>
      </c>
      <c r="B427" s="55" t="s">
        <v>893</v>
      </c>
    </row>
    <row r="428" customFormat="false" ht="15" hidden="false" customHeight="false" outlineLevel="0" collapsed="false">
      <c r="A428" s="54" t="s">
        <v>894</v>
      </c>
      <c r="B428" s="55" t="n">
        <v>510090</v>
      </c>
      <c r="C428" s="55" t="n">
        <v>50</v>
      </c>
    </row>
    <row r="429" customFormat="false" ht="15" hidden="false" customHeight="false" outlineLevel="0" collapsed="false">
      <c r="A429" s="54" t="s">
        <v>895</v>
      </c>
      <c r="B429" s="55" t="n">
        <v>510020</v>
      </c>
      <c r="C429" s="55" t="n">
        <v>120</v>
      </c>
    </row>
    <row r="430" customFormat="false" ht="15" hidden="false" customHeight="false" outlineLevel="0" collapsed="false">
      <c r="A430" s="54" t="s">
        <v>896</v>
      </c>
      <c r="B430" s="55" t="n">
        <v>512520</v>
      </c>
      <c r="C430" s="55" t="n">
        <v>50</v>
      </c>
      <c r="D430" s="0" t="s">
        <v>897</v>
      </c>
    </row>
    <row r="431" customFormat="false" ht="15" hidden="false" customHeight="false" outlineLevel="0" collapsed="false">
      <c r="A431" s="54" t="s">
        <v>898</v>
      </c>
      <c r="B431" s="55" t="s">
        <v>899</v>
      </c>
      <c r="C431" s="55" t="n">
        <v>100</v>
      </c>
    </row>
    <row r="432" customFormat="false" ht="15" hidden="false" customHeight="false" outlineLevel="0" collapsed="false">
      <c r="A432" s="54" t="s">
        <v>900</v>
      </c>
      <c r="B432" s="55" t="s">
        <v>901</v>
      </c>
      <c r="C432" s="55" t="n">
        <v>60</v>
      </c>
    </row>
    <row r="433" customFormat="false" ht="15" hidden="false" customHeight="false" outlineLevel="0" collapsed="false">
      <c r="A433" s="54" t="s">
        <v>902</v>
      </c>
      <c r="B433" s="55" t="n">
        <v>510530</v>
      </c>
      <c r="C433" s="55" t="n">
        <v>120</v>
      </c>
    </row>
    <row r="434" customFormat="false" ht="15" hidden="false" customHeight="false" outlineLevel="0" collapsed="false">
      <c r="A434" s="54" t="s">
        <v>903</v>
      </c>
      <c r="B434" s="55" t="n">
        <v>510530</v>
      </c>
    </row>
    <row r="435" customFormat="false" ht="15" hidden="false" customHeight="false" outlineLevel="0" collapsed="false">
      <c r="A435" s="54" t="s">
        <v>904</v>
      </c>
      <c r="B435" s="55" t="n">
        <v>511110</v>
      </c>
      <c r="C435" s="55" t="n">
        <v>180</v>
      </c>
    </row>
    <row r="436" customFormat="false" ht="15" hidden="false" customHeight="false" outlineLevel="0" collapsed="false">
      <c r="A436" s="54" t="s">
        <v>905</v>
      </c>
      <c r="B436" s="55" t="n">
        <v>511100</v>
      </c>
      <c r="C436" s="55" t="n">
        <v>180</v>
      </c>
    </row>
    <row r="437" customFormat="false" ht="15" hidden="false" customHeight="false" outlineLevel="0" collapsed="false">
      <c r="A437" s="54" t="s">
        <v>906</v>
      </c>
      <c r="B437" s="55" t="n">
        <v>513280</v>
      </c>
    </row>
    <row r="438" customFormat="false" ht="15" hidden="false" customHeight="false" outlineLevel="0" collapsed="false">
      <c r="A438" s="54" t="s">
        <v>907</v>
      </c>
      <c r="B438" s="55" t="s">
        <v>908</v>
      </c>
      <c r="D438" s="0" t="s">
        <v>47</v>
      </c>
    </row>
    <row r="439" customFormat="false" ht="15" hidden="false" customHeight="false" outlineLevel="0" collapsed="false">
      <c r="A439" s="54" t="s">
        <v>909</v>
      </c>
      <c r="B439" s="55" t="n">
        <v>512800</v>
      </c>
      <c r="C439" s="55" t="n">
        <v>120</v>
      </c>
    </row>
    <row r="440" customFormat="false" ht="15" hidden="false" customHeight="false" outlineLevel="0" collapsed="false">
      <c r="A440" s="54" t="s">
        <v>910</v>
      </c>
      <c r="B440" s="55" t="s">
        <v>911</v>
      </c>
      <c r="C440" s="55" t="n">
        <v>120</v>
      </c>
    </row>
    <row r="441" customFormat="false" ht="15" hidden="false" customHeight="false" outlineLevel="0" collapsed="false">
      <c r="A441" s="54" t="s">
        <v>912</v>
      </c>
      <c r="B441" s="55" t="s">
        <v>913</v>
      </c>
      <c r="C441" s="55" t="n">
        <v>90</v>
      </c>
    </row>
    <row r="442" customFormat="false" ht="15" hidden="false" customHeight="false" outlineLevel="0" collapsed="false">
      <c r="A442" s="54" t="s">
        <v>914</v>
      </c>
      <c r="B442" s="55" t="s">
        <v>915</v>
      </c>
      <c r="C442" s="55" t="n">
        <v>20</v>
      </c>
    </row>
    <row r="443" customFormat="false" ht="15" hidden="false" customHeight="false" outlineLevel="0" collapsed="false">
      <c r="A443" s="54" t="s">
        <v>916</v>
      </c>
      <c r="B443" s="55" t="s">
        <v>917</v>
      </c>
      <c r="C443" s="55" t="n">
        <v>20</v>
      </c>
    </row>
    <row r="444" customFormat="false" ht="15" hidden="false" customHeight="false" outlineLevel="0" collapsed="false">
      <c r="A444" s="54" t="s">
        <v>918</v>
      </c>
      <c r="B444" s="55" t="s">
        <v>919</v>
      </c>
      <c r="C444" s="55" t="n">
        <v>60</v>
      </c>
    </row>
    <row r="445" customFormat="false" ht="15" hidden="false" customHeight="false" outlineLevel="0" collapsed="false">
      <c r="A445" s="54" t="s">
        <v>920</v>
      </c>
      <c r="B445" s="55" t="s">
        <v>921</v>
      </c>
      <c r="C445" s="55" t="n">
        <v>30</v>
      </c>
    </row>
    <row r="446" customFormat="false" ht="15" hidden="false" customHeight="false" outlineLevel="0" collapsed="false">
      <c r="A446" s="54" t="s">
        <v>922</v>
      </c>
      <c r="B446" s="55" t="s">
        <v>923</v>
      </c>
    </row>
    <row r="447" customFormat="false" ht="15" hidden="false" customHeight="false" outlineLevel="0" collapsed="false">
      <c r="A447" s="54" t="s">
        <v>924</v>
      </c>
      <c r="B447" s="55" t="s">
        <v>925</v>
      </c>
    </row>
    <row r="448" customFormat="false" ht="15" hidden="false" customHeight="false" outlineLevel="0" collapsed="false">
      <c r="A448" s="54" t="s">
        <v>926</v>
      </c>
      <c r="B448" s="55" t="s">
        <v>927</v>
      </c>
    </row>
    <row r="449" customFormat="false" ht="15" hidden="false" customHeight="false" outlineLevel="0" collapsed="false">
      <c r="A449" s="54" t="s">
        <v>928</v>
      </c>
      <c r="B449" s="55" t="s">
        <v>929</v>
      </c>
      <c r="C449" s="55" t="n">
        <v>38</v>
      </c>
    </row>
    <row r="450" customFormat="false" ht="15" hidden="false" customHeight="false" outlineLevel="0" collapsed="false">
      <c r="A450" s="54" t="s">
        <v>930</v>
      </c>
      <c r="B450" s="55" t="s">
        <v>931</v>
      </c>
      <c r="C450" s="55" t="n">
        <v>38</v>
      </c>
    </row>
    <row r="451" customFormat="false" ht="15" hidden="false" customHeight="false" outlineLevel="0" collapsed="false">
      <c r="A451" s="54" t="s">
        <v>932</v>
      </c>
      <c r="B451" s="55" t="s">
        <v>933</v>
      </c>
      <c r="C451" s="55" t="n">
        <v>120</v>
      </c>
    </row>
    <row r="452" customFormat="false" ht="15" hidden="false" customHeight="false" outlineLevel="0" collapsed="false">
      <c r="A452" s="54" t="s">
        <v>934</v>
      </c>
      <c r="B452" s="55" t="s">
        <v>935</v>
      </c>
      <c r="C452" s="55" t="n">
        <v>120</v>
      </c>
    </row>
    <row r="453" customFormat="false" ht="15" hidden="false" customHeight="false" outlineLevel="0" collapsed="false">
      <c r="A453" s="68" t="s">
        <v>936</v>
      </c>
      <c r="B453" s="55" t="s">
        <v>937</v>
      </c>
    </row>
    <row r="454" customFormat="false" ht="15" hidden="false" customHeight="false" outlineLevel="0" collapsed="false">
      <c r="A454" s="54" t="s">
        <v>938</v>
      </c>
      <c r="B454" s="55" t="n">
        <v>43563</v>
      </c>
    </row>
    <row r="455" customFormat="false" ht="15" hidden="false" customHeight="false" outlineLevel="0" collapsed="false">
      <c r="A455" s="54" t="s">
        <v>939</v>
      </c>
      <c r="B455" s="55" t="s">
        <v>270</v>
      </c>
    </row>
    <row r="456" customFormat="false" ht="15" hidden="false" customHeight="false" outlineLevel="0" collapsed="false">
      <c r="A456" s="54" t="s">
        <v>940</v>
      </c>
      <c r="B456" s="55" t="s">
        <v>941</v>
      </c>
      <c r="C456" s="55" t="n">
        <v>75</v>
      </c>
    </row>
    <row r="457" customFormat="false" ht="15" hidden="false" customHeight="false" outlineLevel="0" collapsed="false">
      <c r="A457" s="54" t="s">
        <v>942</v>
      </c>
      <c r="B457" s="55" t="s">
        <v>270</v>
      </c>
    </row>
    <row r="458" customFormat="false" ht="15" hidden="false" customHeight="false" outlineLevel="0" collapsed="false">
      <c r="A458" s="54" t="s">
        <v>943</v>
      </c>
      <c r="B458" s="55" t="s">
        <v>944</v>
      </c>
    </row>
    <row r="459" customFormat="false" ht="15" hidden="false" customHeight="false" outlineLevel="0" collapsed="false">
      <c r="A459" s="54" t="s">
        <v>945</v>
      </c>
      <c r="B459" s="55" t="s">
        <v>946</v>
      </c>
      <c r="C459" s="55" t="n">
        <v>60</v>
      </c>
    </row>
    <row r="460" customFormat="false" ht="15" hidden="false" customHeight="false" outlineLevel="0" collapsed="false">
      <c r="A460" s="54" t="s">
        <v>947</v>
      </c>
      <c r="B460" s="55" t="n">
        <v>7012</v>
      </c>
    </row>
    <row r="461" customFormat="false" ht="15" hidden="false" customHeight="false" outlineLevel="0" collapsed="false">
      <c r="A461" s="54" t="s">
        <v>948</v>
      </c>
      <c r="B461" s="55" t="n">
        <v>35133801</v>
      </c>
    </row>
    <row r="462" customFormat="false" ht="15" hidden="false" customHeight="false" outlineLevel="0" collapsed="false">
      <c r="A462" s="54" t="s">
        <v>949</v>
      </c>
      <c r="B462" s="55" t="s">
        <v>950</v>
      </c>
    </row>
    <row r="463" customFormat="false" ht="15" hidden="false" customHeight="false" outlineLevel="0" collapsed="false">
      <c r="A463" s="54" t="s">
        <v>951</v>
      </c>
      <c r="B463" s="55" t="n">
        <v>510021</v>
      </c>
      <c r="C463" s="55" t="n">
        <v>60</v>
      </c>
    </row>
    <row r="464" customFormat="false" ht="15" hidden="false" customHeight="false" outlineLevel="0" collapsed="false">
      <c r="A464" s="54" t="s">
        <v>952</v>
      </c>
      <c r="B464" s="55" t="n">
        <v>510021</v>
      </c>
      <c r="C464" s="55" t="n">
        <v>60</v>
      </c>
    </row>
    <row r="465" customFormat="false" ht="15" hidden="false" customHeight="false" outlineLevel="0" collapsed="false">
      <c r="A465" s="54" t="s">
        <v>953</v>
      </c>
      <c r="B465" s="55" t="n">
        <v>504</v>
      </c>
      <c r="C465" s="55" t="n">
        <v>60</v>
      </c>
    </row>
    <row r="466" customFormat="false" ht="15" hidden="false" customHeight="false" outlineLevel="0" collapsed="false">
      <c r="A466" s="54" t="s">
        <v>954</v>
      </c>
      <c r="B466" s="55" t="s">
        <v>955</v>
      </c>
    </row>
    <row r="467" customFormat="false" ht="15" hidden="false" customHeight="false" outlineLevel="0" collapsed="false">
      <c r="A467" s="54" t="s">
        <v>956</v>
      </c>
      <c r="B467" s="55" t="s">
        <v>957</v>
      </c>
      <c r="C467" s="55" t="n">
        <v>90</v>
      </c>
    </row>
    <row r="468" customFormat="false" ht="15" hidden="false" customHeight="false" outlineLevel="0" collapsed="false">
      <c r="A468" s="54" t="s">
        <v>958</v>
      </c>
      <c r="B468" s="55" t="s">
        <v>959</v>
      </c>
      <c r="C468" s="55" t="n">
        <v>454</v>
      </c>
    </row>
    <row r="469" customFormat="false" ht="15" hidden="false" customHeight="false" outlineLevel="0" collapsed="false">
      <c r="A469" s="54" t="s">
        <v>960</v>
      </c>
      <c r="B469" s="55" t="s">
        <v>961</v>
      </c>
      <c r="C469" s="55" t="n">
        <v>454</v>
      </c>
    </row>
    <row r="470" customFormat="false" ht="15" hidden="false" customHeight="false" outlineLevel="0" collapsed="false">
      <c r="A470" s="54" t="s">
        <v>962</v>
      </c>
      <c r="B470" s="55" t="s">
        <v>963</v>
      </c>
      <c r="C470" s="55" t="n">
        <v>90</v>
      </c>
    </row>
    <row r="471" customFormat="false" ht="15" hidden="false" customHeight="false" outlineLevel="0" collapsed="false">
      <c r="A471" s="54" t="s">
        <v>964</v>
      </c>
      <c r="B471" s="55" t="s">
        <v>965</v>
      </c>
    </row>
    <row r="472" customFormat="false" ht="15" hidden="false" customHeight="false" outlineLevel="0" collapsed="false">
      <c r="A472" s="54" t="s">
        <v>966</v>
      </c>
      <c r="B472" s="55" t="s">
        <v>967</v>
      </c>
    </row>
    <row r="473" customFormat="false" ht="15" hidden="false" customHeight="false" outlineLevel="0" collapsed="false">
      <c r="A473" s="54" t="s">
        <v>968</v>
      </c>
      <c r="B473" s="55" t="s">
        <v>969</v>
      </c>
      <c r="C473" s="55" t="n">
        <v>80</v>
      </c>
    </row>
    <row r="474" customFormat="false" ht="15" hidden="false" customHeight="false" outlineLevel="0" collapsed="false">
      <c r="A474" s="54" t="s">
        <v>970</v>
      </c>
      <c r="B474" s="55" t="s">
        <v>971</v>
      </c>
      <c r="C474" s="55" t="n">
        <v>100</v>
      </c>
    </row>
    <row r="475" customFormat="false" ht="15" hidden="false" customHeight="false" outlineLevel="0" collapsed="false">
      <c r="A475" s="54" t="s">
        <v>972</v>
      </c>
      <c r="B475" s="55" t="s">
        <v>973</v>
      </c>
    </row>
    <row r="476" customFormat="false" ht="15" hidden="false" customHeight="false" outlineLevel="0" collapsed="false">
      <c r="A476" s="54" t="s">
        <v>974</v>
      </c>
      <c r="B476" s="55" t="s">
        <v>973</v>
      </c>
    </row>
    <row r="477" customFormat="false" ht="15" hidden="false" customHeight="false" outlineLevel="0" collapsed="false">
      <c r="A477" s="54" t="s">
        <v>975</v>
      </c>
      <c r="B477" s="55" t="s">
        <v>976</v>
      </c>
    </row>
    <row r="478" customFormat="false" ht="15" hidden="false" customHeight="false" outlineLevel="0" collapsed="false">
      <c r="A478" s="54" t="s">
        <v>977</v>
      </c>
      <c r="B478" s="55" t="s">
        <v>978</v>
      </c>
      <c r="C478" s="55" t="n">
        <v>400</v>
      </c>
    </row>
    <row r="479" customFormat="false" ht="15" hidden="false" customHeight="false" outlineLevel="0" collapsed="false">
      <c r="A479" s="54" t="s">
        <v>979</v>
      </c>
      <c r="B479" s="55" t="s">
        <v>980</v>
      </c>
    </row>
    <row r="480" customFormat="false" ht="15" hidden="false" customHeight="false" outlineLevel="0" collapsed="false">
      <c r="A480" s="54" t="s">
        <v>981</v>
      </c>
      <c r="B480" s="55" t="s">
        <v>982</v>
      </c>
      <c r="C480" s="55" t="n">
        <v>120</v>
      </c>
    </row>
    <row r="481" customFormat="false" ht="15" hidden="false" customHeight="false" outlineLevel="0" collapsed="false">
      <c r="A481" s="54" t="s">
        <v>983</v>
      </c>
      <c r="B481" s="55" t="s">
        <v>984</v>
      </c>
      <c r="C481" s="55" t="n">
        <v>120</v>
      </c>
    </row>
    <row r="482" customFormat="false" ht="15" hidden="false" customHeight="false" outlineLevel="0" collapsed="false">
      <c r="A482" s="54" t="s">
        <v>985</v>
      </c>
      <c r="B482" s="55" t="s">
        <v>986</v>
      </c>
      <c r="C482" s="55" t="n">
        <v>120</v>
      </c>
    </row>
    <row r="483" customFormat="false" ht="15" hidden="false" customHeight="false" outlineLevel="0" collapsed="false">
      <c r="A483" s="54" t="s">
        <v>987</v>
      </c>
      <c r="B483" s="55" t="s">
        <v>978</v>
      </c>
      <c r="C483" s="55" t="n">
        <v>120</v>
      </c>
    </row>
    <row r="484" customFormat="false" ht="15" hidden="false" customHeight="false" outlineLevel="0" collapsed="false">
      <c r="A484" s="54" t="s">
        <v>988</v>
      </c>
      <c r="B484" s="55" t="s">
        <v>978</v>
      </c>
      <c r="C484" s="55" t="n">
        <v>400</v>
      </c>
    </row>
    <row r="485" customFormat="false" ht="15" hidden="false" customHeight="false" outlineLevel="0" collapsed="false">
      <c r="A485" s="54" t="s">
        <v>989</v>
      </c>
      <c r="B485" s="55" t="s">
        <v>990</v>
      </c>
      <c r="C485" s="55" t="n">
        <v>400</v>
      </c>
    </row>
    <row r="486" customFormat="false" ht="15" hidden="false" customHeight="false" outlineLevel="0" collapsed="false">
      <c r="A486" s="54" t="s">
        <v>991</v>
      </c>
      <c r="B486" s="55" t="s">
        <v>992</v>
      </c>
    </row>
    <row r="487" customFormat="false" ht="15" hidden="false" customHeight="false" outlineLevel="0" collapsed="false">
      <c r="A487" s="54" t="s">
        <v>993</v>
      </c>
      <c r="B487" s="55" t="s">
        <v>994</v>
      </c>
      <c r="C487" s="55" t="n">
        <v>60</v>
      </c>
    </row>
    <row r="488" customFormat="false" ht="15" hidden="false" customHeight="false" outlineLevel="0" collapsed="false">
      <c r="A488" s="54" t="s">
        <v>995</v>
      </c>
      <c r="B488" s="55" t="s">
        <v>996</v>
      </c>
      <c r="C488" s="55" t="n">
        <v>60</v>
      </c>
    </row>
    <row r="489" customFormat="false" ht="15" hidden="false" customHeight="false" outlineLevel="0" collapsed="false">
      <c r="A489" s="54" t="s">
        <v>997</v>
      </c>
      <c r="B489" s="55" t="n">
        <v>43850</v>
      </c>
      <c r="C489" s="55" t="n">
        <v>60</v>
      </c>
    </row>
    <row r="490" customFormat="false" ht="15" hidden="false" customHeight="false" outlineLevel="0" collapsed="false">
      <c r="A490" s="54" t="s">
        <v>998</v>
      </c>
      <c r="B490" s="55" t="s">
        <v>999</v>
      </c>
      <c r="C490" s="55" t="n">
        <v>45</v>
      </c>
    </row>
    <row r="491" customFormat="false" ht="15" hidden="false" customHeight="false" outlineLevel="0" collapsed="false">
      <c r="A491" s="54" t="s">
        <v>1000</v>
      </c>
      <c r="B491" s="55" t="s">
        <v>1001</v>
      </c>
    </row>
    <row r="492" customFormat="false" ht="15" hidden="false" customHeight="false" outlineLevel="0" collapsed="false">
      <c r="A492" s="54" t="s">
        <v>1002</v>
      </c>
      <c r="B492" s="55" t="s">
        <v>1003</v>
      </c>
    </row>
    <row r="493" customFormat="false" ht="15" hidden="false" customHeight="false" outlineLevel="0" collapsed="false">
      <c r="A493" s="54" t="s">
        <v>1004</v>
      </c>
      <c r="B493" s="55" t="n">
        <v>703069</v>
      </c>
    </row>
    <row r="494" customFormat="false" ht="15" hidden="false" customHeight="false" outlineLevel="0" collapsed="false">
      <c r="A494" s="54" t="s">
        <v>1005</v>
      </c>
      <c r="B494" s="55" t="s">
        <v>1006</v>
      </c>
      <c r="C494" s="55" t="n">
        <v>15</v>
      </c>
    </row>
    <row r="495" customFormat="false" ht="15" hidden="false" customHeight="false" outlineLevel="0" collapsed="false">
      <c r="A495" s="54" t="s">
        <v>1007</v>
      </c>
      <c r="B495" s="55" t="s">
        <v>1008</v>
      </c>
      <c r="C495" s="55" t="n">
        <v>20</v>
      </c>
    </row>
    <row r="496" customFormat="false" ht="15" hidden="false" customHeight="false" outlineLevel="0" collapsed="false">
      <c r="A496" s="54" t="s">
        <v>1009</v>
      </c>
      <c r="B496" s="55" t="s">
        <v>1010</v>
      </c>
    </row>
    <row r="497" customFormat="false" ht="15" hidden="false" customHeight="false" outlineLevel="0" collapsed="false">
      <c r="A497" s="54" t="s">
        <v>1011</v>
      </c>
      <c r="B497" s="55" t="s">
        <v>1012</v>
      </c>
      <c r="C497" s="55" t="n">
        <v>90</v>
      </c>
    </row>
    <row r="498" customFormat="false" ht="15" hidden="false" customHeight="false" outlineLevel="0" collapsed="false">
      <c r="A498" s="54" t="s">
        <v>1013</v>
      </c>
      <c r="B498" s="55" t="n">
        <v>200300</v>
      </c>
      <c r="C498" s="55" t="n">
        <v>36</v>
      </c>
    </row>
    <row r="499" customFormat="false" ht="15" hidden="false" customHeight="false" outlineLevel="0" collapsed="false">
      <c r="A499" s="54" t="s">
        <v>1014</v>
      </c>
      <c r="B499" s="55" t="s">
        <v>739</v>
      </c>
      <c r="C499" s="55" t="n">
        <v>36</v>
      </c>
    </row>
    <row r="500" customFormat="false" ht="15" hidden="false" customHeight="false" outlineLevel="0" collapsed="false">
      <c r="A500" s="54" t="s">
        <v>1015</v>
      </c>
      <c r="B500" s="55" t="s">
        <v>1016</v>
      </c>
      <c r="C500" s="55" t="n">
        <v>30</v>
      </c>
    </row>
    <row r="501" customFormat="false" ht="15" hidden="false" customHeight="false" outlineLevel="0" collapsed="false">
      <c r="A501" s="54" t="s">
        <v>1017</v>
      </c>
      <c r="B501" s="55" t="s">
        <v>1018</v>
      </c>
      <c r="C501" s="55" t="n">
        <v>240</v>
      </c>
    </row>
    <row r="502" customFormat="false" ht="15" hidden="false" customHeight="false" outlineLevel="0" collapsed="false">
      <c r="A502" s="54" t="s">
        <v>1019</v>
      </c>
      <c r="B502" s="55" t="s">
        <v>1020</v>
      </c>
      <c r="C502" s="55" t="n">
        <v>180</v>
      </c>
    </row>
    <row r="503" customFormat="false" ht="15" hidden="false" customHeight="false" outlineLevel="0" collapsed="false">
      <c r="A503" s="54" t="s">
        <v>1021</v>
      </c>
      <c r="B503" s="55" t="s">
        <v>1022</v>
      </c>
      <c r="C503" s="55" t="n">
        <v>180</v>
      </c>
      <c r="D503" s="0" t="s">
        <v>53</v>
      </c>
    </row>
    <row r="504" customFormat="false" ht="15" hidden="false" customHeight="false" outlineLevel="0" collapsed="false">
      <c r="A504" s="54" t="s">
        <v>1023</v>
      </c>
      <c r="B504" s="55" t="s">
        <v>1012</v>
      </c>
      <c r="C504" s="55" t="n">
        <v>120</v>
      </c>
    </row>
    <row r="505" customFormat="false" ht="15" hidden="false" customHeight="false" outlineLevel="0" collapsed="false">
      <c r="A505" s="54" t="s">
        <v>1024</v>
      </c>
      <c r="B505" s="55" t="n">
        <v>199400</v>
      </c>
      <c r="C505" s="55" t="n">
        <v>150</v>
      </c>
      <c r="D505" s="0" t="s">
        <v>1025</v>
      </c>
    </row>
    <row r="506" customFormat="false" ht="15" hidden="false" customHeight="false" outlineLevel="0" collapsed="false">
      <c r="A506" s="54" t="s">
        <v>1026</v>
      </c>
      <c r="B506" s="55" t="s">
        <v>1027</v>
      </c>
      <c r="C506" s="55" t="n">
        <v>90</v>
      </c>
    </row>
    <row r="507" customFormat="false" ht="15" hidden="false" customHeight="false" outlineLevel="0" collapsed="false">
      <c r="A507" s="54" t="s">
        <v>1028</v>
      </c>
      <c r="B507" s="55" t="s">
        <v>1029</v>
      </c>
    </row>
    <row r="508" customFormat="false" ht="15" hidden="false" customHeight="false" outlineLevel="0" collapsed="false">
      <c r="A508" s="54" t="s">
        <v>1030</v>
      </c>
      <c r="B508" s="55" t="s">
        <v>1031</v>
      </c>
      <c r="C508" s="55" t="n">
        <v>120</v>
      </c>
    </row>
    <row r="509" customFormat="false" ht="15" hidden="false" customHeight="false" outlineLevel="0" collapsed="false">
      <c r="A509" s="54" t="s">
        <v>1032</v>
      </c>
      <c r="B509" s="55" t="n">
        <v>253156702</v>
      </c>
      <c r="C509" s="55" t="n">
        <v>50</v>
      </c>
    </row>
    <row r="510" customFormat="false" ht="15" hidden="false" customHeight="false" outlineLevel="0" collapsed="false">
      <c r="A510" s="54" t="s">
        <v>1033</v>
      </c>
      <c r="B510" s="55" t="n">
        <v>3756</v>
      </c>
      <c r="C510" s="55" t="n">
        <v>30</v>
      </c>
    </row>
    <row r="511" customFormat="false" ht="15" hidden="false" customHeight="false" outlineLevel="0" collapsed="false">
      <c r="A511" s="54" t="s">
        <v>1034</v>
      </c>
      <c r="B511" s="55" t="s">
        <v>1035</v>
      </c>
    </row>
    <row r="512" customFormat="false" ht="15" hidden="false" customHeight="false" outlineLevel="0" collapsed="false">
      <c r="A512" s="54" t="s">
        <v>1036</v>
      </c>
      <c r="B512" s="55" t="s">
        <v>1037</v>
      </c>
      <c r="C512" s="55" t="n">
        <v>45</v>
      </c>
    </row>
    <row r="513" customFormat="false" ht="15" hidden="false" customHeight="false" outlineLevel="0" collapsed="false">
      <c r="A513" s="54" t="s">
        <v>1038</v>
      </c>
      <c r="B513" s="55" t="s">
        <v>1039</v>
      </c>
      <c r="C513" s="55" t="n">
        <v>90</v>
      </c>
    </row>
    <row r="514" customFormat="false" ht="15" hidden="false" customHeight="false" outlineLevel="0" collapsed="false">
      <c r="A514" s="54" t="s">
        <v>1040</v>
      </c>
      <c r="B514" s="55" t="s">
        <v>1041</v>
      </c>
      <c r="C514" s="55" t="n">
        <v>11</v>
      </c>
    </row>
    <row r="515" customFormat="false" ht="15" hidden="false" customHeight="false" outlineLevel="0" collapsed="false">
      <c r="A515" s="54" t="s">
        <v>1042</v>
      </c>
      <c r="B515" s="55" t="s">
        <v>1043</v>
      </c>
      <c r="C515" s="55" t="n">
        <v>20</v>
      </c>
    </row>
    <row r="516" customFormat="false" ht="15" hidden="false" customHeight="false" outlineLevel="0" collapsed="false">
      <c r="A516" s="73" t="s">
        <v>1044</v>
      </c>
    </row>
    <row r="517" customFormat="false" ht="15" hidden="false" customHeight="false" outlineLevel="0" collapsed="false">
      <c r="A517" s="54" t="s">
        <v>1045</v>
      </c>
      <c r="B517" s="55" t="s">
        <v>1046</v>
      </c>
      <c r="C517" s="55" t="n">
        <v>30</v>
      </c>
    </row>
    <row r="518" customFormat="false" ht="15" hidden="false" customHeight="false" outlineLevel="0" collapsed="false">
      <c r="A518" s="54" t="s">
        <v>1047</v>
      </c>
      <c r="B518" s="55" t="n">
        <v>200200</v>
      </c>
      <c r="C518" s="55" t="n">
        <v>60</v>
      </c>
    </row>
    <row r="519" customFormat="false" ht="15" hidden="false" customHeight="false" outlineLevel="0" collapsed="false">
      <c r="A519" s="54" t="s">
        <v>247</v>
      </c>
      <c r="B519" s="66" t="s">
        <v>1048</v>
      </c>
      <c r="C519" s="55" t="n">
        <v>60</v>
      </c>
    </row>
    <row r="520" customFormat="false" ht="15" hidden="false" customHeight="false" outlineLevel="0" collapsed="false">
      <c r="A520" s="54" t="s">
        <v>1049</v>
      </c>
      <c r="B520" s="55" t="s">
        <v>1050</v>
      </c>
      <c r="C520" s="55" t="n">
        <v>30</v>
      </c>
    </row>
    <row r="758" customFormat="false" ht="15" hidden="false" customHeight="false" outlineLevel="0" collapsed="false">
      <c r="I758" s="0" t="n">
        <v>9999</v>
      </c>
    </row>
  </sheetData>
  <mergeCells count="4">
    <mergeCell ref="D308:E308"/>
    <mergeCell ref="D309:E309"/>
    <mergeCell ref="D310:E310"/>
    <mergeCell ref="D411:F411"/>
  </mergeCells>
  <conditionalFormatting sqref="B5 B2 B7:B199">
    <cfRule type="cellIs" priority="2" operator="equal" aboveAverage="0" equalAverage="0" bottom="0" percent="0" rank="0" text="" dxfId="5">
      <formula>""""""</formula>
    </cfRule>
  </conditionalFormatting>
  <conditionalFormatting sqref="B5 B1:B2 B285:B311 B341:B344 B313:B339 B7:B283 B346:B1048576">
    <cfRule type="cellIs" priority="3" operator="equal" aboveAverage="0" equalAverage="0" bottom="0" percent="0" rank="0" text="" dxfId="6">
      <formula>""</formula>
    </cfRule>
  </conditionalFormatting>
  <conditionalFormatting sqref="C1:C380 C382:C1048576">
    <cfRule type="expression" priority="4" aboveAverage="0" equalAverage="0" bottom="0" percent="0" rank="0" text="" dxfId="7">
      <formula>LEN(TRIM(C1))=0</formula>
    </cfRule>
    <cfRule type="expression" priority="5" aboveAverage="0" equalAverage="0" bottom="0" percent="0" rank="0" text="" dxfId="8">
      <formula>LEN(TRIM(C1))=0</formula>
    </cfRule>
    <cfRule type="containsText" priority="6" operator="containsText" aboveAverage="0" equalAverage="0" bottom="0" percent="0" rank="0" text="   " dxfId="9">
      <formula>NOT(ISERROR(SEARCH("   ",C1)))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tabColor rgb="FF808000"/>
    <pageSetUpPr fitToPage="false"/>
  </sheetPr>
  <dimension ref="A1:AE4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5" activeCellId="0" sqref="A5"/>
    </sheetView>
  </sheetViews>
  <sheetFormatPr defaultRowHeight="15" zeroHeight="false" outlineLevelRow="0" outlineLevelCol="0"/>
  <cols>
    <col collapsed="false" customWidth="true" hidden="false" outlineLevel="0" max="1" min="1" style="0" width="13.57"/>
    <col collapsed="false" customWidth="true" hidden="false" outlineLevel="0" max="2" min="2" style="0" width="32.77"/>
    <col collapsed="false" customWidth="true" hidden="false" outlineLevel="0" max="3" min="3" style="0" width="30.85"/>
    <col collapsed="false" customWidth="true" hidden="false" outlineLevel="0" max="4" min="4" style="0" width="73.78"/>
    <col collapsed="false" customWidth="true" hidden="false" outlineLevel="0" max="5" min="5" style="0" width="23.17"/>
    <col collapsed="false" customWidth="true" hidden="false" outlineLevel="0" max="6" min="6" style="0" width="24.13"/>
    <col collapsed="false" customWidth="true" hidden="false" outlineLevel="0" max="7" min="7" style="0" width="24.55"/>
    <col collapsed="false" customWidth="true" hidden="false" outlineLevel="0" max="8" min="8" style="0" width="24.01"/>
    <col collapsed="false" customWidth="true" hidden="false" outlineLevel="0" max="9" min="9" style="0" width="30.85"/>
    <col collapsed="false" customWidth="true" hidden="false" outlineLevel="0" max="10" min="10" style="0" width="25.52"/>
    <col collapsed="false" customWidth="true" hidden="false" outlineLevel="0" max="11" min="11" style="0" width="19.87"/>
    <col collapsed="false" customWidth="true" hidden="false" outlineLevel="0" max="12" min="12" style="0" width="25.52"/>
    <col collapsed="false" customWidth="true" hidden="false" outlineLevel="0" max="13" min="13" style="0" width="25.23"/>
    <col collapsed="false" customWidth="true" hidden="false" outlineLevel="0" max="14" min="14" style="0" width="19.62"/>
    <col collapsed="false" customWidth="true" hidden="false" outlineLevel="0" max="17" min="15" style="0" width="19.75"/>
    <col collapsed="false" customWidth="true" hidden="false" outlineLevel="0" max="18" min="18" style="0" width="65.4"/>
    <col collapsed="false" customWidth="true" hidden="false" outlineLevel="0" max="19" min="19" style="0" width="23.45"/>
    <col collapsed="false" customWidth="true" hidden="false" outlineLevel="0" max="20" min="20" style="0" width="16.87"/>
    <col collapsed="false" customWidth="true" hidden="false" outlineLevel="0" max="21" min="21" style="0" width="19.33"/>
    <col collapsed="false" customWidth="true" hidden="true" outlineLevel="0" max="25" min="22" style="0" width="22.09"/>
    <col collapsed="false" customWidth="true" hidden="false" outlineLevel="0" max="26" min="26" style="0" width="23.6"/>
    <col collapsed="false" customWidth="true" hidden="false" outlineLevel="0" max="27" min="27" style="0" width="26.74"/>
    <col collapsed="false" customWidth="true" hidden="false" outlineLevel="0" max="30" min="28" style="0" width="23.6"/>
    <col collapsed="false" customWidth="true" hidden="false" outlineLevel="0" max="31" min="31" style="0" width="21.94"/>
    <col collapsed="false" customWidth="true" hidden="false" outlineLevel="0" max="1025" min="32" style="0" width="10.25"/>
  </cols>
  <sheetData>
    <row r="1" customFormat="false" ht="30" hidden="false" customHeight="true" outlineLevel="0" collapsed="false">
      <c r="A1" s="1"/>
      <c r="B1" s="1"/>
      <c r="C1" s="2" t="s">
        <v>0</v>
      </c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3" t="s">
        <v>1</v>
      </c>
      <c r="AA1" s="3"/>
      <c r="AB1" s="3"/>
      <c r="AC1" s="3"/>
      <c r="AD1" s="3"/>
      <c r="AE1" s="3"/>
    </row>
    <row r="2" customFormat="false" ht="30" hidden="false" customHeight="true" outlineLevel="0" collapsed="false">
      <c r="A2" s="1"/>
      <c r="B2" s="1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3" t="s">
        <v>2</v>
      </c>
      <c r="AA2" s="3"/>
      <c r="AB2" s="3"/>
      <c r="AC2" s="3"/>
      <c r="AD2" s="3"/>
      <c r="AE2" s="3"/>
    </row>
    <row r="3" customFormat="false" ht="30" hidden="false" customHeight="true" outlineLevel="0" collapsed="false">
      <c r="A3" s="1"/>
      <c r="B3" s="1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3" t="s">
        <v>3</v>
      </c>
      <c r="AA3" s="3"/>
      <c r="AB3" s="3"/>
      <c r="AC3" s="3"/>
      <c r="AD3" s="3"/>
      <c r="AE3" s="3"/>
    </row>
    <row r="4" customFormat="false" ht="30" hidden="false" customHeight="true" outlineLevel="0" collapsed="false">
      <c r="A4" s="1"/>
      <c r="B4" s="1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3" t="s">
        <v>4</v>
      </c>
      <c r="AA4" s="3"/>
      <c r="AB4" s="3"/>
      <c r="AC4" s="3"/>
      <c r="AD4" s="3"/>
      <c r="AE4" s="3"/>
    </row>
    <row r="5" customFormat="false" ht="13.8" hidden="false" customHeight="false" outlineLevel="0" collapsed="false">
      <c r="A5" s="74" t="n">
        <v>43836</v>
      </c>
    </row>
    <row r="7" customFormat="false" ht="33.75" hidden="false" customHeight="false" outlineLevel="0" collapsed="false">
      <c r="A7" s="4"/>
      <c r="B7" s="4"/>
      <c r="C7" s="4"/>
      <c r="D7" s="4"/>
      <c r="E7" s="4"/>
      <c r="F7" s="4"/>
      <c r="G7" s="4"/>
      <c r="H7" s="75"/>
      <c r="I7" s="75"/>
      <c r="J7" s="75"/>
      <c r="K7" s="75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5"/>
      <c r="AA7" s="5"/>
      <c r="AB7" s="5"/>
      <c r="AC7" s="5"/>
      <c r="AD7" s="5"/>
      <c r="AE7" s="5"/>
    </row>
    <row r="8" customFormat="false" ht="168" hidden="false" customHeight="true" outlineLevel="0" collapsed="false">
      <c r="A8" s="6" t="s">
        <v>5</v>
      </c>
      <c r="B8" s="6" t="s">
        <v>6</v>
      </c>
      <c r="C8" s="6" t="s">
        <v>7</v>
      </c>
      <c r="D8" s="6" t="s">
        <v>8</v>
      </c>
      <c r="E8" s="6" t="s">
        <v>9</v>
      </c>
      <c r="F8" s="6" t="s">
        <v>10</v>
      </c>
      <c r="G8" s="6" t="s">
        <v>1051</v>
      </c>
      <c r="H8" s="6" t="s">
        <v>12</v>
      </c>
      <c r="I8" s="76" t="s">
        <v>13</v>
      </c>
      <c r="J8" s="6" t="s">
        <v>14</v>
      </c>
      <c r="K8" s="6" t="s">
        <v>15</v>
      </c>
      <c r="L8" s="6" t="s">
        <v>1052</v>
      </c>
      <c r="M8" s="6" t="s">
        <v>1053</v>
      </c>
      <c r="N8" s="6" t="s">
        <v>18</v>
      </c>
      <c r="O8" s="6" t="s">
        <v>1054</v>
      </c>
      <c r="P8" s="6" t="s">
        <v>1055</v>
      </c>
      <c r="Q8" s="6" t="s">
        <v>21</v>
      </c>
      <c r="R8" s="6" t="s">
        <v>22</v>
      </c>
      <c r="S8" s="6" t="s">
        <v>23</v>
      </c>
      <c r="T8" s="6" t="s">
        <v>24</v>
      </c>
      <c r="U8" s="6" t="s">
        <v>25</v>
      </c>
      <c r="V8" s="6" t="s">
        <v>26</v>
      </c>
      <c r="W8" s="6" t="s">
        <v>27</v>
      </c>
      <c r="X8" s="6" t="s">
        <v>28</v>
      </c>
      <c r="Y8" s="6" t="s">
        <v>29</v>
      </c>
      <c r="Z8" s="6" t="s">
        <v>30</v>
      </c>
      <c r="AA8" s="6" t="s">
        <v>31</v>
      </c>
      <c r="AB8" s="6" t="s">
        <v>32</v>
      </c>
      <c r="AC8" s="6" t="s">
        <v>33</v>
      </c>
      <c r="AD8" s="6" t="s">
        <v>34</v>
      </c>
      <c r="AE8" s="6" t="s">
        <v>35</v>
      </c>
    </row>
    <row r="9" customFormat="false" ht="43.5" hidden="true" customHeight="true" outlineLevel="0" collapsed="false">
      <c r="A9" s="7" t="s">
        <v>36</v>
      </c>
      <c r="B9" s="8" t="s">
        <v>37</v>
      </c>
      <c r="C9" s="9" t="str">
        <f aca="false">IFERROR(VLOOKUP(D9,#REF!,2,0)," ")</f>
        <v> </v>
      </c>
      <c r="D9" s="10"/>
      <c r="E9" s="11"/>
      <c r="F9" s="11"/>
      <c r="G9" s="11"/>
      <c r="H9" s="11"/>
      <c r="I9" s="10"/>
      <c r="J9" s="11"/>
      <c r="K9" s="11" t="n">
        <f aca="false">(F9-E9)*J9</f>
        <v>0</v>
      </c>
      <c r="L9" s="10" t="n">
        <f aca="false">(G9-F9)*J9</f>
        <v>0</v>
      </c>
      <c r="M9" s="10" t="e">
        <f aca="false">(#REF!-H9)*J9</f>
        <v>#REF!</v>
      </c>
      <c r="N9" s="12" t="n">
        <f aca="false">IF(I9=0,0,K9/I9)</f>
        <v>0</v>
      </c>
      <c r="O9" s="12" t="n">
        <f aca="false">IF(I9=0,0,L9/I9)</f>
        <v>0</v>
      </c>
      <c r="P9" s="12" t="n">
        <f aca="false">IF(I9=0,0,M9/I9)</f>
        <v>0</v>
      </c>
      <c r="Q9" s="13" t="n">
        <v>24</v>
      </c>
      <c r="R9" s="10"/>
      <c r="S9" s="10"/>
      <c r="T9" s="10"/>
      <c r="U9" s="10"/>
      <c r="V9" s="10"/>
      <c r="W9" s="10"/>
      <c r="X9" s="10"/>
      <c r="Y9" s="10"/>
      <c r="Z9" s="12" t="n">
        <f aca="false">IF(I9=0,0,(#REF!+T9)/I9)</f>
        <v>0</v>
      </c>
      <c r="AA9" s="14" t="str">
        <f aca="false">IF(OR(Q9=0,I9=0),"",Z9/Q9*100)</f>
        <v/>
      </c>
      <c r="AB9" s="14"/>
      <c r="AC9" s="14"/>
      <c r="AD9" s="14"/>
      <c r="AE9" s="13" t="str">
        <f aca="false">IF(AA9&gt;85," ","WARNING")</f>
        <v> </v>
      </c>
    </row>
    <row r="10" customFormat="false" ht="42" hidden="true" customHeight="true" outlineLevel="0" collapsed="false">
      <c r="A10" s="7" t="s">
        <v>38</v>
      </c>
      <c r="B10" s="8" t="s">
        <v>39</v>
      </c>
      <c r="C10" s="9" t="str">
        <f aca="false">IFERROR(VLOOKUP(D10,#REF!,2,0)," ")</f>
        <v> </v>
      </c>
      <c r="D10" s="10"/>
      <c r="E10" s="11"/>
      <c r="F10" s="11"/>
      <c r="G10" s="11"/>
      <c r="H10" s="11"/>
      <c r="I10" s="10"/>
      <c r="J10" s="11"/>
      <c r="K10" s="11" t="n">
        <f aca="false">(F10-E10)*J10</f>
        <v>0</v>
      </c>
      <c r="L10" s="10" t="n">
        <f aca="false">(G10-F10)*J10</f>
        <v>0</v>
      </c>
      <c r="M10" s="10" t="e">
        <f aca="false">(#REF!-H10)*J10</f>
        <v>#REF!</v>
      </c>
      <c r="N10" s="12" t="n">
        <f aca="false">IF(I10=0,0,K10/I10)</f>
        <v>0</v>
      </c>
      <c r="O10" s="12" t="n">
        <f aca="false">IF(I10=0,0,L10/I10)</f>
        <v>0</v>
      </c>
      <c r="P10" s="12" t="n">
        <f aca="false">IF(I10=0,0,M10/I10)</f>
        <v>0</v>
      </c>
      <c r="Q10" s="13" t="n">
        <v>24</v>
      </c>
      <c r="R10" s="10"/>
      <c r="S10" s="10"/>
      <c r="T10" s="10"/>
      <c r="U10" s="10"/>
      <c r="V10" s="10"/>
      <c r="W10" s="10"/>
      <c r="X10" s="10"/>
      <c r="Y10" s="10"/>
      <c r="Z10" s="12" t="n">
        <f aca="false">IF(I10=0,0,(#REF!+T10)/I10)</f>
        <v>0</v>
      </c>
      <c r="AA10" s="14" t="str">
        <f aca="false">IF(OR(Q10=0,I10=0),"",Z10/Q10*100)</f>
        <v/>
      </c>
      <c r="AB10" s="14"/>
      <c r="AC10" s="14"/>
      <c r="AD10" s="14"/>
      <c r="AE10" s="13" t="str">
        <f aca="false">IF(AA10&gt;85," ","WARNING")</f>
        <v> </v>
      </c>
    </row>
    <row r="11" customFormat="false" ht="50.25" hidden="true" customHeight="true" outlineLevel="0" collapsed="false">
      <c r="A11" s="7" t="s">
        <v>40</v>
      </c>
      <c r="B11" s="8" t="s">
        <v>41</v>
      </c>
      <c r="C11" s="9" t="str">
        <f aca="false">IFERROR(VLOOKUP(D11,#REF!,2,0)," ")</f>
        <v> </v>
      </c>
      <c r="D11" s="10"/>
      <c r="E11" s="11"/>
      <c r="F11" s="11"/>
      <c r="G11" s="11"/>
      <c r="H11" s="11"/>
      <c r="I11" s="10"/>
      <c r="J11" s="11"/>
      <c r="K11" s="11" t="n">
        <f aca="false">(F11-E11)*J11</f>
        <v>0</v>
      </c>
      <c r="L11" s="10" t="n">
        <f aca="false">(G11-F11)*J11</f>
        <v>0</v>
      </c>
      <c r="M11" s="10" t="e">
        <f aca="false">(#REF!-H11)*J11</f>
        <v>#REF!</v>
      </c>
      <c r="N11" s="12" t="n">
        <f aca="false">IF(I11=0,0,K11/I11)</f>
        <v>0</v>
      </c>
      <c r="O11" s="12" t="n">
        <f aca="false">IF(I11=0,0,L11/I11)</f>
        <v>0</v>
      </c>
      <c r="P11" s="12" t="n">
        <f aca="false">IF(I11=0,0,M11/I11)</f>
        <v>0</v>
      </c>
      <c r="Q11" s="13" t="n">
        <v>24</v>
      </c>
      <c r="R11" s="10"/>
      <c r="S11" s="10"/>
      <c r="T11" s="10"/>
      <c r="U11" s="10"/>
      <c r="V11" s="10"/>
      <c r="W11" s="10"/>
      <c r="X11" s="10"/>
      <c r="Y11" s="10"/>
      <c r="Z11" s="12" t="n">
        <f aca="false">IF(I11=0,0,(#REF!+T11)/I11)</f>
        <v>0</v>
      </c>
      <c r="AA11" s="14" t="str">
        <f aca="false">IF(OR(Q11=0,I11=0),"",Z11/Q11*100)</f>
        <v/>
      </c>
      <c r="AB11" s="14"/>
      <c r="AC11" s="14"/>
      <c r="AD11" s="14"/>
      <c r="AE11" s="13" t="str">
        <f aca="false">IF(AA11&gt;85," ","WARNING")</f>
        <v> </v>
      </c>
    </row>
    <row r="12" customFormat="false" ht="39.75" hidden="true" customHeight="true" outlineLevel="0" collapsed="false">
      <c r="A12" s="7" t="s">
        <v>42</v>
      </c>
      <c r="B12" s="8" t="s">
        <v>43</v>
      </c>
      <c r="C12" s="9" t="str">
        <f aca="false">IFERROR(VLOOKUP(D12,#REF!,2,0)," ")</f>
        <v> </v>
      </c>
      <c r="D12" s="10"/>
      <c r="E12" s="11"/>
      <c r="F12" s="11"/>
      <c r="G12" s="11"/>
      <c r="H12" s="11"/>
      <c r="I12" s="10"/>
      <c r="J12" s="11"/>
      <c r="K12" s="11" t="n">
        <f aca="false">(F12-E12)*J12</f>
        <v>0</v>
      </c>
      <c r="L12" s="10" t="n">
        <f aca="false">(G12-F12)*J12</f>
        <v>0</v>
      </c>
      <c r="M12" s="10" t="e">
        <f aca="false">(#REF!-H12)*J12</f>
        <v>#REF!</v>
      </c>
      <c r="N12" s="12" t="n">
        <f aca="false">IF(I12=0,0,K12/I12)</f>
        <v>0</v>
      </c>
      <c r="O12" s="12" t="n">
        <f aca="false">IF(I12=0,0,L12/I12)</f>
        <v>0</v>
      </c>
      <c r="P12" s="12" t="n">
        <f aca="false">IF(I12=0,0,M12/I12)</f>
        <v>0</v>
      </c>
      <c r="Q12" s="13" t="n">
        <v>24</v>
      </c>
      <c r="R12" s="10"/>
      <c r="S12" s="10"/>
      <c r="T12" s="10"/>
      <c r="U12" s="10"/>
      <c r="V12" s="10"/>
      <c r="W12" s="10"/>
      <c r="X12" s="10"/>
      <c r="Y12" s="10"/>
      <c r="Z12" s="12" t="n">
        <f aca="false">IF(I12=0,0,(#REF!+T12)/I12)</f>
        <v>0</v>
      </c>
      <c r="AA12" s="14" t="str">
        <f aca="false">IF(OR(Q12=0,I12=0),"",Z12/Q12*100)</f>
        <v/>
      </c>
      <c r="AB12" s="14"/>
      <c r="AC12" s="14"/>
      <c r="AD12" s="14"/>
      <c r="AE12" s="13" t="str">
        <f aca="false">IF(AA12&gt;85," ","WARNING")</f>
        <v> </v>
      </c>
    </row>
    <row r="13" customFormat="false" ht="42.75" hidden="true" customHeight="true" outlineLevel="0" collapsed="false">
      <c r="A13" s="7" t="s">
        <v>44</v>
      </c>
      <c r="B13" s="8" t="s">
        <v>45</v>
      </c>
      <c r="C13" s="9" t="str">
        <f aca="false">IFERROR(VLOOKUP(D13,#REF!,2,0)," ")</f>
        <v> </v>
      </c>
      <c r="D13" s="10"/>
      <c r="E13" s="11"/>
      <c r="F13" s="11"/>
      <c r="G13" s="11"/>
      <c r="H13" s="11"/>
      <c r="I13" s="10"/>
      <c r="J13" s="11"/>
      <c r="K13" s="11" t="n">
        <f aca="false">(F13-E13)*J13</f>
        <v>0</v>
      </c>
      <c r="L13" s="10" t="n">
        <f aca="false">(G13-F13)*J13</f>
        <v>0</v>
      </c>
      <c r="M13" s="10" t="e">
        <f aca="false">(#REF!-H13)*J13</f>
        <v>#REF!</v>
      </c>
      <c r="N13" s="12" t="n">
        <f aca="false">IF(I13=0,0,K13/I13)</f>
        <v>0</v>
      </c>
      <c r="O13" s="12" t="n">
        <f aca="false">IF(I13=0,0,L13/I13)</f>
        <v>0</v>
      </c>
      <c r="P13" s="12" t="n">
        <f aca="false">IF(I13=0,0,M13/I13)</f>
        <v>0</v>
      </c>
      <c r="Q13" s="13" t="n">
        <v>24</v>
      </c>
      <c r="R13" s="10"/>
      <c r="S13" s="10"/>
      <c r="T13" s="10"/>
      <c r="U13" s="10"/>
      <c r="V13" s="10"/>
      <c r="W13" s="10"/>
      <c r="X13" s="10"/>
      <c r="Y13" s="10"/>
      <c r="Z13" s="12" t="n">
        <f aca="false">IF(I13=0,0,(#REF!+T13)/I13)</f>
        <v>0</v>
      </c>
      <c r="AA13" s="14" t="str">
        <f aca="false">IF(OR(Q13=0,I13=0),"",Z13/Q13*100)</f>
        <v/>
      </c>
      <c r="AB13" s="14"/>
      <c r="AC13" s="14"/>
      <c r="AD13" s="14"/>
      <c r="AE13" s="13" t="str">
        <f aca="false">IF(AA13&gt;85," ","WARNING")</f>
        <v> </v>
      </c>
    </row>
    <row r="14" customFormat="false" ht="42.75" hidden="true" customHeight="true" outlineLevel="0" collapsed="false">
      <c r="A14" s="7" t="s">
        <v>46</v>
      </c>
      <c r="B14" s="8" t="s">
        <v>47</v>
      </c>
      <c r="C14" s="9"/>
      <c r="D14" s="10"/>
      <c r="E14" s="11"/>
      <c r="F14" s="11"/>
      <c r="G14" s="11"/>
      <c r="H14" s="11"/>
      <c r="I14" s="10"/>
      <c r="J14" s="11"/>
      <c r="K14" s="11"/>
      <c r="L14" s="10"/>
      <c r="M14" s="10"/>
      <c r="N14" s="12"/>
      <c r="O14" s="12"/>
      <c r="P14" s="12"/>
      <c r="Q14" s="13"/>
      <c r="R14" s="10"/>
      <c r="S14" s="10"/>
      <c r="T14" s="10"/>
      <c r="U14" s="10"/>
      <c r="V14" s="10"/>
      <c r="W14" s="10"/>
      <c r="X14" s="10"/>
      <c r="Y14" s="10"/>
      <c r="Z14" s="12"/>
      <c r="AA14" s="14"/>
      <c r="AB14" s="14"/>
      <c r="AC14" s="14"/>
      <c r="AD14" s="14"/>
      <c r="AE14" s="13"/>
    </row>
    <row r="15" customFormat="false" ht="42.75" hidden="true" customHeight="true" outlineLevel="0" collapsed="false">
      <c r="A15" s="7" t="s">
        <v>48</v>
      </c>
      <c r="B15" s="8" t="s">
        <v>49</v>
      </c>
      <c r="C15" s="9"/>
      <c r="D15" s="10"/>
      <c r="E15" s="11"/>
      <c r="F15" s="11"/>
      <c r="G15" s="11"/>
      <c r="H15" s="11"/>
      <c r="I15" s="10"/>
      <c r="J15" s="11"/>
      <c r="K15" s="11"/>
      <c r="L15" s="10"/>
      <c r="M15" s="10"/>
      <c r="N15" s="12"/>
      <c r="O15" s="12"/>
      <c r="P15" s="12"/>
      <c r="Q15" s="13"/>
      <c r="R15" s="10"/>
      <c r="S15" s="10"/>
      <c r="T15" s="10"/>
      <c r="U15" s="10"/>
      <c r="V15" s="10"/>
      <c r="W15" s="10"/>
      <c r="X15" s="10"/>
      <c r="Y15" s="10"/>
      <c r="Z15" s="12"/>
      <c r="AA15" s="14"/>
      <c r="AB15" s="14"/>
      <c r="AC15" s="14"/>
      <c r="AD15" s="14"/>
      <c r="AE15" s="13"/>
    </row>
    <row r="16" customFormat="false" ht="57" hidden="true" customHeight="true" outlineLevel="0" collapsed="false">
      <c r="A16" s="7" t="s">
        <v>50</v>
      </c>
      <c r="B16" s="8" t="s">
        <v>51</v>
      </c>
      <c r="C16" s="9" t="str">
        <f aca="false">IFERROR(VLOOKUP(D16,#REF!,2,0)," ")</f>
        <v> </v>
      </c>
      <c r="D16" s="10"/>
      <c r="E16" s="11"/>
      <c r="F16" s="11"/>
      <c r="G16" s="11"/>
      <c r="H16" s="11"/>
      <c r="I16" s="10"/>
      <c r="J16" s="11"/>
      <c r="K16" s="11" t="n">
        <f aca="false">(F16-E16)*J16</f>
        <v>0</v>
      </c>
      <c r="L16" s="10" t="n">
        <f aca="false">(G16-F16)*J16</f>
        <v>0</v>
      </c>
      <c r="M16" s="10" t="e">
        <f aca="false">(#REF!-H16)*J16</f>
        <v>#REF!</v>
      </c>
      <c r="N16" s="12" t="n">
        <f aca="false">IF(I16=0,0,K16/I16)</f>
        <v>0</v>
      </c>
      <c r="O16" s="12" t="n">
        <f aca="false">IF(I16=0,0,L16/I16)</f>
        <v>0</v>
      </c>
      <c r="P16" s="12" t="n">
        <f aca="false">IF(I16=0,0,M16/I16)</f>
        <v>0</v>
      </c>
      <c r="Q16" s="13" t="n">
        <v>24</v>
      </c>
      <c r="R16" s="10"/>
      <c r="S16" s="10"/>
      <c r="T16" s="10"/>
      <c r="U16" s="10"/>
      <c r="V16" s="10"/>
      <c r="W16" s="10"/>
      <c r="X16" s="10"/>
      <c r="Y16" s="10"/>
      <c r="Z16" s="12" t="n">
        <f aca="false">IF(I16=0,0,(#REF!+T16)/I16)</f>
        <v>0</v>
      </c>
      <c r="AA16" s="14" t="str">
        <f aca="false">IF(OR(Q16=0,I16=0),"",Z16/Q16*100)</f>
        <v/>
      </c>
      <c r="AB16" s="14"/>
      <c r="AC16" s="14"/>
      <c r="AD16" s="14"/>
      <c r="AE16" s="13" t="str">
        <f aca="false">IF(AA16&gt;85," ","WARNING")</f>
        <v> </v>
      </c>
    </row>
    <row r="17" customFormat="false" ht="17.25" hidden="true" customHeight="true" outlineLevel="0" collapsed="false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</row>
    <row r="18" customFormat="false" ht="54" hidden="false" customHeight="true" outlineLevel="0" collapsed="false">
      <c r="A18" s="7" t="str">
        <f aca="true">INDIRECT("bd!B"&amp;SMALL(bd!$AG:$AG,ROW()-17),1)</f>
        <v>A</v>
      </c>
      <c r="B18" s="22" t="str">
        <f aca="true">INDIRECT("bd!C"&amp;SMALL(bd!$AG:$AG,ROW()-17),1)</f>
        <v>SST16</v>
      </c>
      <c r="C18" s="17" t="str">
        <f aca="false">IFERROR(VLOOKUP(D18,Pieces!A:B,2,0)," ")</f>
        <v>outi-plot</v>
      </c>
      <c r="D18" s="77" t="str">
        <f aca="true">INDIRECT("bd!E"&amp;SMALL(bd!$AG:$AG,ROW()-17),1)</f>
        <v>plot nez de marche</v>
      </c>
      <c r="E18" s="10" t="n">
        <f aca="true">INDIRECT("bd!F"&amp;SMALL(bd!$AG:$AG,ROW()-17),1)</f>
        <v>29297</v>
      </c>
      <c r="F18" s="10" t="n">
        <f aca="true">INDIRECT("bd!G"&amp;SMALL(bd!$AG:$AG,ROW()-17),1)</f>
        <v>29990</v>
      </c>
      <c r="G18" s="10" t="n">
        <f aca="true">INDIRECT("bd!H"&amp;SMALL(bd!$AG:$AG,ROW()-17),1)</f>
        <v>29990</v>
      </c>
      <c r="H18" s="10" t="n">
        <f aca="true">INDIRECT("bd!I"&amp;SMALL(bd!$AG:$AG,ROW()-17),1)</f>
        <v>30041</v>
      </c>
      <c r="I18" s="78" t="n">
        <f aca="false">IFERROR(VLOOKUP(D18,Pieces!A:C,3,0),"Entrer la cadence")</f>
        <v>75</v>
      </c>
      <c r="J18" s="10" t="n">
        <f aca="true">INDIRECT("bd!K"&amp;SMALL(bd!$AG:$AG,ROW()-17),1)</f>
        <v>1</v>
      </c>
      <c r="K18" s="10" t="n">
        <f aca="false">(F18-E18)*J18</f>
        <v>693</v>
      </c>
      <c r="L18" s="10" t="n">
        <f aca="false">(G18-F18)*J18</f>
        <v>0</v>
      </c>
      <c r="M18" s="10" t="n">
        <f aca="false">(H18-G18)*J18</f>
        <v>51</v>
      </c>
      <c r="N18" s="19" t="n">
        <f aca="false">IF(I18=0,0,K18/I18)</f>
        <v>9.24</v>
      </c>
      <c r="O18" s="19" t="n">
        <f aca="false">IF(I18=0,0,L18/I18)</f>
        <v>0</v>
      </c>
      <c r="P18" s="19" t="n">
        <f aca="false">IF(I18=0,0,M18/I18)</f>
        <v>0.68</v>
      </c>
      <c r="Q18" s="79" t="n">
        <f aca="true">INDIRECT("bd!R"&amp;SMALL(bd!$AG:$AG,ROW()-17),1)</f>
        <v>9</v>
      </c>
      <c r="R18" s="10" t="n">
        <f aca="true">INDIRECT("bd!S"&amp;SMALL(bd!$AG:$AG,ROW()-17),1)</f>
        <v>0</v>
      </c>
      <c r="S18" s="10" t="n">
        <f aca="false">U18+T18-K18-L18-M18</f>
        <v>0</v>
      </c>
      <c r="T18" s="10" t="n">
        <f aca="true">INDIRECT("bd!U"&amp;SMALL(bd!$AG:$AG,ROW()-17),1)</f>
        <v>0</v>
      </c>
      <c r="U18" s="10" t="n">
        <f aca="true">INDIRECT("bd!V"&amp;SMALL(bd!$AG:$AG,ROW()-17),1)</f>
        <v>744</v>
      </c>
      <c r="V18" s="10"/>
      <c r="W18" s="10"/>
      <c r="X18" s="10"/>
      <c r="Y18" s="10"/>
      <c r="Z18" s="12" t="n">
        <f aca="false">IF(I18=0,0,(U18+T18)/I18)</f>
        <v>9.92</v>
      </c>
      <c r="AA18" s="14" t="n">
        <f aca="false">IF(OR(Q18=0,I18=0),"",Z18/Q18*100)</f>
        <v>110.222222222222</v>
      </c>
      <c r="AB18" s="14" t="n">
        <f aca="true">INDIRECT("bd!Y"&amp;SMALL(bd!$AG:$AG,ROW()-17),1)</f>
        <v>0</v>
      </c>
      <c r="AC18" s="14" t="n">
        <f aca="true">INDIRECT("bd!Z"&amp;SMALL(bd!$AG:$AG,ROW()-17),1)</f>
        <v>0</v>
      </c>
      <c r="AD18" s="14" t="n">
        <f aca="true">INDIRECT("bd!AA"&amp;SMALL(bd!$AG:$AG,ROW()-17),1)</f>
        <v>9.92</v>
      </c>
      <c r="AE18" s="13" t="str">
        <f aca="false">IF(AA18&gt;85," ","WARNING")</f>
        <v> </v>
      </c>
    </row>
    <row r="19" customFormat="false" ht="53.25" hidden="false" customHeight="true" outlineLevel="0" collapsed="false">
      <c r="A19" s="7" t="str">
        <f aca="true">INDIRECT("bd!B"&amp;SMALL(bd!$AG:$AG,ROW()-17),1)</f>
        <v>B</v>
      </c>
      <c r="B19" s="22" t="str">
        <f aca="true">INDIRECT("bd!C"&amp;SMALL(bd!$AG:$AG,ROW()-17),1)</f>
        <v>SB16</v>
      </c>
      <c r="C19" s="17" t="n">
        <f aca="false">IFERROR(VLOOKUP(D19,Pieces!A:B,2,0)," ")</f>
        <v>199400</v>
      </c>
      <c r="D19" s="77" t="str">
        <f aca="true">INDIRECT("bd!E"&amp;SMALL(bd!$AG:$AG,ROW()-17),1)</f>
        <v>TIRANT ACIER D6</v>
      </c>
      <c r="E19" s="10" t="n">
        <f aca="true">INDIRECT("bd!F"&amp;SMALL(bd!$AG:$AG,ROW()-17),1)</f>
        <v>48</v>
      </c>
      <c r="F19" s="10" t="n">
        <f aca="true">INDIRECT("bd!G"&amp;SMALL(bd!$AG:$AG,ROW()-17),1)</f>
        <v>1373</v>
      </c>
      <c r="G19" s="10" t="n">
        <f aca="true">INDIRECT("bd!H"&amp;SMALL(bd!$AG:$AG,ROW()-17),1)</f>
        <v>1373</v>
      </c>
      <c r="H19" s="10" t="n">
        <f aca="true">INDIRECT("bd!I"&amp;SMALL(bd!$AG:$AG,ROW()-17),1)</f>
        <v>1730</v>
      </c>
      <c r="I19" s="78" t="n">
        <f aca="false">IFERROR(VLOOKUP(D19,Pieces!A:C,3,0),"Entrer la cadence")</f>
        <v>150</v>
      </c>
      <c r="J19" s="10" t="n">
        <f aca="true">INDIRECT("bd!K"&amp;SMALL(bd!$AG:$AG,ROW()-17),1)</f>
        <v>1</v>
      </c>
      <c r="K19" s="10" t="n">
        <f aca="false">(F19-E19)*J19</f>
        <v>1325</v>
      </c>
      <c r="L19" s="10" t="n">
        <f aca="false">(G19-F19)*J19</f>
        <v>0</v>
      </c>
      <c r="M19" s="10" t="n">
        <f aca="false">(H19-G19)*J19</f>
        <v>357</v>
      </c>
      <c r="N19" s="19" t="n">
        <f aca="false">IF(I19=0,0,K19/I19)</f>
        <v>8.83333333333333</v>
      </c>
      <c r="O19" s="19" t="n">
        <f aca="false">IF(I19=0,0,L19/I19)</f>
        <v>0</v>
      </c>
      <c r="P19" s="19" t="n">
        <f aca="false">IF(I19=0,0,M19/I19)</f>
        <v>2.38</v>
      </c>
      <c r="Q19" s="79" t="n">
        <f aca="true">INDIRECT("bd!R"&amp;SMALL(bd!$AG:$AG,ROW()-17),1)</f>
        <v>9</v>
      </c>
      <c r="R19" s="10" t="n">
        <f aca="true">INDIRECT("bd!S"&amp;SMALL(bd!$AG:$AG,ROW()-17),1)</f>
        <v>0</v>
      </c>
      <c r="S19" s="10" t="n">
        <f aca="false">U19+T19-K19-L19-M19</f>
        <v>0</v>
      </c>
      <c r="T19" s="10" t="n">
        <f aca="true">INDIRECT("bd!U"&amp;SMALL(bd!$AG:$AG,ROW()-17),1)</f>
        <v>0</v>
      </c>
      <c r="U19" s="10" t="n">
        <f aca="true">INDIRECT("bd!V"&amp;SMALL(bd!$AG:$AG,ROW()-17),1)</f>
        <v>1682</v>
      </c>
      <c r="V19" s="10"/>
      <c r="W19" s="10"/>
      <c r="X19" s="10"/>
      <c r="Y19" s="10"/>
      <c r="Z19" s="12" t="n">
        <f aca="false">IF(I19=0,0,(U19+T19)/I19)</f>
        <v>11.2133333333333</v>
      </c>
      <c r="AA19" s="14" t="n">
        <f aca="false">IF(OR(Q19=0,I19=0),"",Z19/Q19*100)</f>
        <v>124.592592592593</v>
      </c>
      <c r="AB19" s="14" t="n">
        <f aca="true">INDIRECT("bd!Y"&amp;SMALL(bd!$AG:$AG,ROW()-17),1)</f>
        <v>0</v>
      </c>
      <c r="AC19" s="14" t="n">
        <f aca="true">INDIRECT("bd!Z"&amp;SMALL(bd!$AG:$AG,ROW()-17),1)</f>
        <v>0</v>
      </c>
      <c r="AD19" s="14" t="n">
        <f aca="true">INDIRECT("bd!AA"&amp;SMALL(bd!$AG:$AG,ROW()-17),1)</f>
        <v>11.2133333333333</v>
      </c>
      <c r="AE19" s="13" t="str">
        <f aca="false">IF(AA19&gt;85," ","WARNING")</f>
        <v> </v>
      </c>
    </row>
    <row r="20" customFormat="false" ht="55.5" hidden="false" customHeight="true" outlineLevel="0" collapsed="false">
      <c r="A20" s="7" t="str">
        <f aca="true">INDIRECT("bd!B"&amp;SMALL(bd!$AG:$AG,ROW()-17),1)</f>
        <v>C</v>
      </c>
      <c r="B20" s="22" t="str">
        <f aca="true">INDIRECT("bd!C"&amp;SMALL(bd!$AG:$AG,ROW()-17),1)</f>
        <v>BIGLIA 301 SM</v>
      </c>
      <c r="C20" s="17" t="n">
        <f aca="false">IFERROR(VLOOKUP(D20,Pieces!A:B,2,0)," ")</f>
        <v>512520</v>
      </c>
      <c r="D20" s="77" t="str">
        <f aca="true">INDIRECT("bd!E"&amp;SMALL(bd!$AG:$AG,ROW()-17),1)</f>
        <v>INSERTO MANOPOLA  INOX M8</v>
      </c>
      <c r="E20" s="10" t="n">
        <f aca="true">INDIRECT("bd!F"&amp;SMALL(bd!$AG:$AG,ROW()-17),1)</f>
        <v>0</v>
      </c>
      <c r="F20" s="10" t="n">
        <f aca="true">INDIRECT("bd!G"&amp;SMALL(bd!$AG:$AG,ROW()-17),1)</f>
        <v>406</v>
      </c>
      <c r="G20" s="10" t="n">
        <f aca="true">INDIRECT("bd!H"&amp;SMALL(bd!$AG:$AG,ROW()-17),1)</f>
        <v>406</v>
      </c>
      <c r="H20" s="10" t="n">
        <f aca="true">INDIRECT("bd!I"&amp;SMALL(bd!$AG:$AG,ROW()-17),1)</f>
        <v>455</v>
      </c>
      <c r="I20" s="78" t="n">
        <f aca="false">IFERROR(VLOOKUP(D20,Pieces!A:C,3,0),"Entrer la cadence")</f>
        <v>50</v>
      </c>
      <c r="J20" s="10" t="n">
        <f aca="true">INDIRECT("bd!K"&amp;SMALL(bd!$AG:$AG,ROW()-17),1)</f>
        <v>1</v>
      </c>
      <c r="K20" s="10" t="n">
        <f aca="false">(F20-E20)*J20</f>
        <v>406</v>
      </c>
      <c r="L20" s="10" t="n">
        <f aca="false">(G20-F20)*J20</f>
        <v>0</v>
      </c>
      <c r="M20" s="10" t="n">
        <f aca="false">(H20-G20)*J20</f>
        <v>49</v>
      </c>
      <c r="N20" s="19" t="n">
        <f aca="false">IF(I20=0,0,K20/I20)</f>
        <v>8.12</v>
      </c>
      <c r="O20" s="19" t="n">
        <f aca="false">IF(I20=0,0,L20/I20)</f>
        <v>0</v>
      </c>
      <c r="P20" s="19" t="n">
        <f aca="false">IF(I20=0,0,M20/I20)</f>
        <v>0.98</v>
      </c>
      <c r="Q20" s="79" t="n">
        <f aca="true">INDIRECT("bd!R"&amp;SMALL(bd!$AG:$AG,ROW()-17),1)</f>
        <v>9</v>
      </c>
      <c r="R20" s="10" t="str">
        <f aca="true">INDIRECT("bd!S"&amp;SMALL(bd!$AG:$AG,ROW()-17),1)</f>
        <v>FS(G011)+ ds (INSERTO MANOPOLA  INOX M8)</v>
      </c>
      <c r="S20" s="10" t="n">
        <f aca="false">U20+T20-K20-L20-M20</f>
        <v>-455</v>
      </c>
      <c r="T20" s="10" t="n">
        <f aca="true">INDIRECT("bd!U"&amp;SMALL(bd!$AG:$AG,ROW()-17),1)</f>
        <v>0</v>
      </c>
      <c r="U20" s="10" t="n">
        <f aca="true">INDIRECT("bd!V"&amp;SMALL(bd!$AG:$AG,ROW()-17),1)</f>
        <v>0</v>
      </c>
      <c r="V20" s="10"/>
      <c r="W20" s="10"/>
      <c r="X20" s="10"/>
      <c r="Y20" s="10"/>
      <c r="Z20" s="12" t="n">
        <f aca="false">IF(I20=0,0,(U20+T20)/I20)</f>
        <v>0</v>
      </c>
      <c r="AA20" s="14" t="n">
        <f aca="false">IF(OR(Q20=0,I20=0),"",Z20/Q20*100)</f>
        <v>0</v>
      </c>
      <c r="AB20" s="14" t="n">
        <f aca="true">INDIRECT("bd!Y"&amp;SMALL(bd!$AG:$AG,ROW()-17),1)</f>
        <v>0</v>
      </c>
      <c r="AC20" s="14" t="n">
        <f aca="true">INDIRECT("bd!Z"&amp;SMALL(bd!$AG:$AG,ROW()-17),1)</f>
        <v>0</v>
      </c>
      <c r="AD20" s="14" t="n">
        <f aca="true">INDIRECT("bd!AA"&amp;SMALL(bd!$AG:$AG,ROW()-17),1)</f>
        <v>0</v>
      </c>
      <c r="AE20" s="13" t="str">
        <f aca="false">IF(AA20&gt;85," ","WARNING")</f>
        <v>WARNING</v>
      </c>
    </row>
    <row r="21" customFormat="false" ht="60" hidden="false" customHeight="true" outlineLevel="0" collapsed="false">
      <c r="A21" s="7" t="str">
        <f aca="true">INDIRECT("bd!B"&amp;SMALL(bd!$AG:$AG,ROW()-17),1)</f>
        <v>D</v>
      </c>
      <c r="B21" s="22" t="str">
        <f aca="true">INDIRECT("bd!C"&amp;SMALL(bd!$AG:$AG,ROW()-17),1)</f>
        <v>BIGLIA 42 S2M</v>
      </c>
      <c r="C21" s="17" t="str">
        <f aca="false">IFERROR(VLOOKUP(D21,Pieces!A:B,2,0)," ")</f>
        <v>I081-95-CP8</v>
      </c>
      <c r="D21" s="77" t="str">
        <f aca="true">INDIRECT("bd!E"&amp;SMALL(bd!$AG:$AG,ROW()-17),1)</f>
        <v>AXE BOITIER TFR+KB</v>
      </c>
      <c r="E21" s="10" t="n">
        <f aca="true">INDIRECT("bd!F"&amp;SMALL(bd!$AG:$AG,ROW()-17),1)</f>
        <v>471</v>
      </c>
      <c r="F21" s="10" t="n">
        <f aca="true">INDIRECT("bd!G"&amp;SMALL(bd!$AG:$AG,ROW()-17),1)</f>
        <v>582</v>
      </c>
      <c r="G21" s="10" t="n">
        <f aca="true">INDIRECT("bd!H"&amp;SMALL(bd!$AG:$AG,ROW()-17),1)</f>
        <v>582</v>
      </c>
      <c r="H21" s="10" t="n">
        <f aca="true">INDIRECT("bd!I"&amp;SMALL(bd!$AG:$AG,ROW()-17),1)</f>
        <v>582</v>
      </c>
      <c r="I21" s="78" t="n">
        <f aca="false">IFERROR(VLOOKUP(D21,Pieces!A:C,3,0),"Entrer la cadence")</f>
        <v>28</v>
      </c>
      <c r="J21" s="10" t="n">
        <f aca="true">INDIRECT("bd!K"&amp;SMALL(bd!$AG:$AG,ROW()-17),1)</f>
        <v>1</v>
      </c>
      <c r="K21" s="10" t="n">
        <f aca="false">(F21-E21)*J21</f>
        <v>111</v>
      </c>
      <c r="L21" s="10" t="n">
        <f aca="false">(G21-F21)*J21</f>
        <v>0</v>
      </c>
      <c r="M21" s="10" t="n">
        <f aca="false">(H21-G21)*J21</f>
        <v>0</v>
      </c>
      <c r="N21" s="19" t="n">
        <f aca="false">IF(I21=0,0,K21/I21)</f>
        <v>3.96428571428571</v>
      </c>
      <c r="O21" s="19" t="n">
        <f aca="false">IF(I21=0,0,L21/I21)</f>
        <v>0</v>
      </c>
      <c r="P21" s="19" t="n">
        <f aca="false">IF(I21=0,0,M21/I21)</f>
        <v>0</v>
      </c>
      <c r="Q21" s="79" t="n">
        <f aca="true">INDIRECT("bd!R"&amp;SMALL(bd!$AG:$AG,ROW()-17),1)</f>
        <v>9</v>
      </c>
      <c r="R21" s="10" t="n">
        <f aca="true">INDIRECT("bd!S"&amp;SMALL(bd!$AG:$AG,ROW()-17),1)</f>
        <v>0</v>
      </c>
      <c r="S21" s="10" t="n">
        <f aca="false">U21+T21-K21-L21-M21</f>
        <v>9</v>
      </c>
      <c r="T21" s="10" t="n">
        <f aca="true">INDIRECT("bd!U"&amp;SMALL(bd!$AG:$AG,ROW()-17),1)</f>
        <v>9</v>
      </c>
      <c r="U21" s="10" t="n">
        <f aca="true">INDIRECT("bd!V"&amp;SMALL(bd!$AG:$AG,ROW()-17),1)</f>
        <v>111</v>
      </c>
      <c r="V21" s="10"/>
      <c r="W21" s="10"/>
      <c r="X21" s="10"/>
      <c r="Y21" s="10"/>
      <c r="Z21" s="12" t="n">
        <f aca="false">IF(I21=0,0,(U21+T21)/I21)</f>
        <v>4.28571428571429</v>
      </c>
      <c r="AA21" s="14" t="n">
        <f aca="false">IF(OR(Q21=0,I21=0),"",Z21/Q21*100)</f>
        <v>47.6190476190476</v>
      </c>
      <c r="AB21" s="14" t="n">
        <f aca="true">INDIRECT("bd!Y"&amp;SMALL(bd!$AG:$AG,ROW()-17),1)</f>
        <v>0</v>
      </c>
      <c r="AC21" s="14" t="n">
        <f aca="true">INDIRECT("bd!Z"&amp;SMALL(bd!$AG:$AG,ROW()-17),1)</f>
        <v>0</v>
      </c>
      <c r="AD21" s="14" t="n">
        <f aca="true">INDIRECT("bd!AA"&amp;SMALL(bd!$AG:$AG,ROW()-17),1)</f>
        <v>4.28571428571429</v>
      </c>
      <c r="AE21" s="13" t="str">
        <f aca="false">IF(AA21&gt;85," ","WARNING")</f>
        <v>WARNING</v>
      </c>
    </row>
    <row r="22" customFormat="false" ht="51" hidden="false" customHeight="true" outlineLevel="0" collapsed="false">
      <c r="A22" s="7" t="str">
        <f aca="true">INDIRECT("bd!B"&amp;SMALL(bd!$AG:$AG,ROW()-17),1)</f>
        <v>E</v>
      </c>
      <c r="B22" s="22" t="str">
        <f aca="true">INDIRECT("bd!C"&amp;SMALL(bd!$AG:$AG,ROW()-17),1)</f>
        <v>L32</v>
      </c>
      <c r="C22" s="17" t="n">
        <f aca="false">IFERROR(VLOOKUP(D22,Pieces!A:B,2,0)," ")</f>
        <v>480387</v>
      </c>
      <c r="D22" s="77" t="str">
        <f aca="true">INDIRECT("bd!E"&amp;SMALL(bd!$AG:$AG,ROW()-17),1)</f>
        <v>EVACUATION 2/3G X-ONE carre l32 </v>
      </c>
      <c r="E22" s="10" t="n">
        <f aca="true">INDIRECT("bd!F"&amp;SMALL(bd!$AG:$AG,ROW()-17),1)</f>
        <v>0</v>
      </c>
      <c r="F22" s="10" t="n">
        <f aca="true">INDIRECT("bd!G"&amp;SMALL(bd!$AG:$AG,ROW()-17),1)</f>
        <v>0</v>
      </c>
      <c r="G22" s="10" t="n">
        <f aca="true">INDIRECT("bd!H"&amp;SMALL(bd!$AG:$AG,ROW()-17),1)</f>
        <v>0</v>
      </c>
      <c r="H22" s="10" t="n">
        <f aca="true">INDIRECT("bd!I"&amp;SMALL(bd!$AG:$AG,ROW()-17),1)</f>
        <v>0</v>
      </c>
      <c r="I22" s="78" t="n">
        <f aca="false">IFERROR(VLOOKUP(D22,Pieces!A:C,3,0),"Entrer la cadence")</f>
        <v>20</v>
      </c>
      <c r="J22" s="10" t="n">
        <f aca="true">INDIRECT("bd!K"&amp;SMALL(bd!$AG:$AG,ROW()-17),1)</f>
        <v>1</v>
      </c>
      <c r="K22" s="10" t="n">
        <f aca="false">(F22-E22)*J22</f>
        <v>0</v>
      </c>
      <c r="L22" s="10" t="n">
        <f aca="false">(G22-F22)*J22</f>
        <v>0</v>
      </c>
      <c r="M22" s="10" t="n">
        <f aca="false">(H22-G22)*J22</f>
        <v>0</v>
      </c>
      <c r="N22" s="19" t="n">
        <f aca="false">IF(I22=0,0,K22/I22)</f>
        <v>0</v>
      </c>
      <c r="O22" s="19" t="n">
        <f aca="false">IF(I22=0,0,L22/I22)</f>
        <v>0</v>
      </c>
      <c r="P22" s="19" t="n">
        <f aca="false">IF(I22=0,0,M22/I22)</f>
        <v>0</v>
      </c>
      <c r="Q22" s="79" t="n">
        <f aca="true">INDIRECT("bd!R"&amp;SMALL(bd!$AG:$AG,ROW()-17),1)</f>
        <v>9</v>
      </c>
      <c r="R22" s="10" t="n">
        <f aca="true">INDIRECT("bd!S"&amp;SMALL(bd!$AG:$AG,ROW()-17),1)</f>
        <v>0</v>
      </c>
      <c r="S22" s="10" t="n">
        <f aca="false">U22+T22-K22-L22-M22</f>
        <v>0</v>
      </c>
      <c r="T22" s="10" t="n">
        <f aca="true">INDIRECT("bd!U"&amp;SMALL(bd!$AG:$AG,ROW()-17),1)</f>
        <v>0</v>
      </c>
      <c r="U22" s="10" t="n">
        <f aca="true">INDIRECT("bd!V"&amp;SMALL(bd!$AG:$AG,ROW()-17),1)</f>
        <v>0</v>
      </c>
      <c r="V22" s="10"/>
      <c r="W22" s="10"/>
      <c r="X22" s="10"/>
      <c r="Y22" s="10"/>
      <c r="Z22" s="12" t="n">
        <f aca="false">IF(I22=0,0,(U22+T22)/I22)</f>
        <v>0</v>
      </c>
      <c r="AA22" s="14" t="n">
        <f aca="false">IF(OR(Q22=0,I22=0),"",Z22/Q22*100)</f>
        <v>0</v>
      </c>
      <c r="AB22" s="14" t="n">
        <f aca="true">INDIRECT("bd!Y"&amp;SMALL(bd!$AG:$AG,ROW()-17),1)</f>
        <v>0</v>
      </c>
      <c r="AC22" s="14" t="n">
        <f aca="true">INDIRECT("bd!Z"&amp;SMALL(bd!$AG:$AG,ROW()-17),1)</f>
        <v>0</v>
      </c>
      <c r="AD22" s="14" t="n">
        <f aca="true">INDIRECT("bd!AA"&amp;SMALL(bd!$AG:$AG,ROW()-17),1)</f>
        <v>0</v>
      </c>
      <c r="AE22" s="13" t="str">
        <f aca="false">IF(AA22&gt;85," ","WARNING")</f>
        <v>WARNING</v>
      </c>
    </row>
    <row r="23" customFormat="false" ht="51.75" hidden="false" customHeight="true" outlineLevel="0" collapsed="false">
      <c r="A23" s="7" t="str">
        <f aca="true">INDIRECT("bd!B"&amp;SMALL(bd!$AG:$AG,ROW()-17),1)</f>
        <v>I</v>
      </c>
      <c r="B23" s="22" t="str">
        <f aca="true">INDIRECT("bd!C"&amp;SMALL(bd!$AG:$AG,ROW()-17),1)</f>
        <v>TSUGAMI</v>
      </c>
      <c r="C23" s="17" t="str">
        <f aca="false">IFERROR(VLOOKUP(D23,Pieces!A:B,2,0)," ")</f>
        <v> - </v>
      </c>
      <c r="D23" s="77" t="str">
        <f aca="true">INDIRECT("bd!E"&amp;SMALL(bd!$AG:$AG,ROW()-17),1)</f>
        <v>Arrêt</v>
      </c>
      <c r="E23" s="10" t="n">
        <f aca="true">INDIRECT("bd!F"&amp;SMALL(bd!$AG:$AG,ROW()-17),1)</f>
        <v>0</v>
      </c>
      <c r="F23" s="10" t="n">
        <f aca="true">INDIRECT("bd!G"&amp;SMALL(bd!$AG:$AG,ROW()-17),1)</f>
        <v>0</v>
      </c>
      <c r="G23" s="10" t="n">
        <f aca="true">INDIRECT("bd!H"&amp;SMALL(bd!$AG:$AG,ROW()-17),1)</f>
        <v>0</v>
      </c>
      <c r="H23" s="10" t="n">
        <f aca="true">INDIRECT("bd!I"&amp;SMALL(bd!$AG:$AG,ROW()-17),1)</f>
        <v>0</v>
      </c>
      <c r="I23" s="78" t="n">
        <f aca="false">IFERROR(VLOOKUP(D23,Pieces!A:C,3,0),"Entrer la cadence")</f>
        <v>1</v>
      </c>
      <c r="J23" s="10" t="n">
        <f aca="true">INDIRECT("bd!K"&amp;SMALL(bd!$AG:$AG,ROW()-17),1)</f>
        <v>1</v>
      </c>
      <c r="K23" s="10" t="n">
        <f aca="false">(F23-E23)*J23</f>
        <v>0</v>
      </c>
      <c r="L23" s="10" t="n">
        <f aca="false">(G23-F23)*J23</f>
        <v>0</v>
      </c>
      <c r="M23" s="10" t="n">
        <f aca="false">(H23-G23)*J23</f>
        <v>0</v>
      </c>
      <c r="N23" s="19" t="n">
        <f aca="false">IF(I23=0,0,K23/I23)</f>
        <v>0</v>
      </c>
      <c r="O23" s="19" t="n">
        <f aca="false">IF(I23=0,0,L23/I23)</f>
        <v>0</v>
      </c>
      <c r="P23" s="19" t="n">
        <f aca="false">IF(I23=0,0,M23/I23)</f>
        <v>0</v>
      </c>
      <c r="Q23" s="79" t="n">
        <f aca="true">INDIRECT("bd!R"&amp;SMALL(bd!$AG:$AG,ROW()-17),1)</f>
        <v>9</v>
      </c>
      <c r="R23" s="10" t="n">
        <f aca="true">INDIRECT("bd!S"&amp;SMALL(bd!$AG:$AG,ROW()-17),1)</f>
        <v>0</v>
      </c>
      <c r="S23" s="10" t="n">
        <f aca="false">U23+T23-K23-L23-M23</f>
        <v>0</v>
      </c>
      <c r="T23" s="10" t="n">
        <f aca="true">INDIRECT("bd!U"&amp;SMALL(bd!$AG:$AG,ROW()-17),1)</f>
        <v>0</v>
      </c>
      <c r="U23" s="10" t="n">
        <f aca="true">INDIRECT("bd!V"&amp;SMALL(bd!$AG:$AG,ROW()-17),1)</f>
        <v>0</v>
      </c>
      <c r="V23" s="10"/>
      <c r="W23" s="10"/>
      <c r="X23" s="10"/>
      <c r="Y23" s="10"/>
      <c r="Z23" s="12" t="n">
        <f aca="false">IF(I23=0,0,(U23+T23)/I23)</f>
        <v>0</v>
      </c>
      <c r="AA23" s="14" t="n">
        <f aca="false">IF(OR(Q23=0,I23=0),"",Z23/Q23*100)</f>
        <v>0</v>
      </c>
      <c r="AB23" s="14" t="n">
        <f aca="true">INDIRECT("bd!Y"&amp;SMALL(bd!$AG:$AG,ROW()-17),1)</f>
        <v>0</v>
      </c>
      <c r="AC23" s="14" t="n">
        <f aca="true">INDIRECT("bd!Z"&amp;SMALL(bd!$AG:$AG,ROW()-17),1)</f>
        <v>0</v>
      </c>
      <c r="AD23" s="14" t="n">
        <f aca="true">INDIRECT("bd!AA"&amp;SMALL(bd!$AG:$AG,ROW()-17),1)</f>
        <v>0</v>
      </c>
      <c r="AE23" s="13" t="str">
        <f aca="false">IF(AA23&gt;85," ","WARNING")</f>
        <v>WARNING</v>
      </c>
    </row>
    <row r="24" customFormat="false" ht="59.25" hidden="false" customHeight="true" outlineLevel="0" collapsed="false">
      <c r="A24" s="7" t="str">
        <f aca="true">INDIRECT("bd!B"&amp;SMALL(bd!$AG:$AG,ROW()-17),1)</f>
        <v>G</v>
      </c>
      <c r="B24" s="22" t="str">
        <f aca="true">INDIRECT("bd!C"&amp;SMALL(bd!$AG:$AG,ROW()-17),1)</f>
        <v>MORI SEIKI 3 axes</v>
      </c>
      <c r="C24" s="17" t="str">
        <f aca="false">IFERROR(VLOOKUP(D24,Pieces!A:B,2,0)," ")</f>
        <v>I110-01-004</v>
      </c>
      <c r="D24" s="77" t="str">
        <f aca="true">INDIRECT("bd!E"&amp;SMALL(bd!$AG:$AG,ROW()-17),1)</f>
        <v>INSERT LEVIER SURMOULEE 345833-01 - fraisage </v>
      </c>
      <c r="E24" s="10" t="n">
        <f aca="true">INDIRECT("bd!F"&amp;SMALL(bd!$AG:$AG,ROW()-17),1)</f>
        <v>887</v>
      </c>
      <c r="F24" s="10" t="n">
        <f aca="true">INDIRECT("bd!G"&amp;SMALL(bd!$AG:$AG,ROW()-17),1)</f>
        <v>887</v>
      </c>
      <c r="G24" s="10" t="n">
        <f aca="true">INDIRECT("bd!H"&amp;SMALL(bd!$AG:$AG,ROW()-17),1)</f>
        <v>887</v>
      </c>
      <c r="H24" s="10" t="n">
        <f aca="true">INDIRECT("bd!I"&amp;SMALL(bd!$AG:$AG,ROW()-17),1)</f>
        <v>887</v>
      </c>
      <c r="I24" s="78" t="n">
        <f aca="false">IFERROR(VLOOKUP(D24,Pieces!A:C,3,0),"Entrer la cadence")</f>
        <v>28</v>
      </c>
      <c r="J24" s="10" t="n">
        <f aca="true">INDIRECT("bd!K"&amp;SMALL(bd!$AG:$AG,ROW()-17),1)</f>
        <v>7</v>
      </c>
      <c r="K24" s="10" t="n">
        <f aca="false">(F24-E24)*J24</f>
        <v>0</v>
      </c>
      <c r="L24" s="10" t="n">
        <f aca="false">(G24-F24)*J24</f>
        <v>0</v>
      </c>
      <c r="M24" s="10" t="n">
        <f aca="false">(H24-G24)*J24</f>
        <v>0</v>
      </c>
      <c r="N24" s="19" t="n">
        <f aca="false">IF(I24=0,0,K24/I24)</f>
        <v>0</v>
      </c>
      <c r="O24" s="19" t="n">
        <f aca="false">IF(I24=0,0,L24/I24)</f>
        <v>0</v>
      </c>
      <c r="P24" s="19" t="n">
        <f aca="false">IF(I24=0,0,M24/I24)</f>
        <v>0</v>
      </c>
      <c r="Q24" s="79" t="n">
        <f aca="true">INDIRECT("bd!R"&amp;SMALL(bd!$AG:$AG,ROW()-17),1)</f>
        <v>9</v>
      </c>
      <c r="R24" s="10" t="n">
        <f aca="true">INDIRECT("bd!S"&amp;SMALL(bd!$AG:$AG,ROW()-17),1)</f>
        <v>0</v>
      </c>
      <c r="S24" s="10" t="n">
        <f aca="false">U24+T24-K24-L24-M24</f>
        <v>0</v>
      </c>
      <c r="T24" s="10" t="n">
        <f aca="true">INDIRECT("bd!U"&amp;SMALL(bd!$AG:$AG,ROW()-17),1)</f>
        <v>0</v>
      </c>
      <c r="U24" s="10" t="n">
        <f aca="true">INDIRECT("bd!V"&amp;SMALL(bd!$AG:$AG,ROW()-17),1)</f>
        <v>0</v>
      </c>
      <c r="V24" s="10"/>
      <c r="W24" s="10"/>
      <c r="X24" s="10"/>
      <c r="Y24" s="10"/>
      <c r="Z24" s="12" t="n">
        <f aca="false">IF(I24=0,0,(U24+T24)/I24)</f>
        <v>0</v>
      </c>
      <c r="AA24" s="14" t="n">
        <f aca="false">IF(OR(Q24=0,I24=0),"",Z24/Q24*100)</f>
        <v>0</v>
      </c>
      <c r="AB24" s="14" t="n">
        <f aca="true">INDIRECT("bd!Y"&amp;SMALL(bd!$AG:$AG,ROW()-17),1)</f>
        <v>0</v>
      </c>
      <c r="AC24" s="14" t="n">
        <f aca="true">INDIRECT("bd!Z"&amp;SMALL(bd!$AG:$AG,ROW()-17),1)</f>
        <v>0</v>
      </c>
      <c r="AD24" s="14" t="n">
        <f aca="true">INDIRECT("bd!AA"&amp;SMALL(bd!$AG:$AG,ROW()-17),1)</f>
        <v>0</v>
      </c>
      <c r="AE24" s="13" t="str">
        <f aca="false">IF(AA24&gt;85," ","WARNING")</f>
        <v>WARNING</v>
      </c>
    </row>
    <row r="25" customFormat="false" ht="59.25" hidden="false" customHeight="true" outlineLevel="0" collapsed="false">
      <c r="A25" s="7" t="str">
        <f aca="true">INDIRECT("bd!B"&amp;SMALL(bd!$AG:$AG,ROW()-17),1)</f>
        <v>H</v>
      </c>
      <c r="B25" s="22" t="str">
        <f aca="true">INDIRECT("bd!C"&amp;SMALL(bd!$AG:$AG,ROW()-17),1)</f>
        <v>MORI SEIKI 5 axes</v>
      </c>
      <c r="C25" s="17" t="n">
        <f aca="false">IFERROR(VLOOKUP(D25,Pieces!A:B,2,0)," ")</f>
        <v>480387</v>
      </c>
      <c r="D25" s="77" t="str">
        <f aca="true">INDIRECT("bd!E"&amp;SMALL(bd!$AG:$AG,ROW()-17),1)</f>
        <v>EVACUATION 2/3G X-ONE</v>
      </c>
      <c r="E25" s="10" t="n">
        <f aca="true">INDIRECT("bd!F"&amp;SMALL(bd!$AG:$AG,ROW()-17),1)</f>
        <v>80</v>
      </c>
      <c r="F25" s="10" t="n">
        <f aca="true">INDIRECT("bd!G"&amp;SMALL(bd!$AG:$AG,ROW()-17),1)</f>
        <v>80</v>
      </c>
      <c r="G25" s="10" t="n">
        <f aca="true">INDIRECT("bd!H"&amp;SMALL(bd!$AG:$AG,ROW()-17),1)</f>
        <v>80</v>
      </c>
      <c r="H25" s="10" t="n">
        <f aca="true">INDIRECT("bd!I"&amp;SMALL(bd!$AG:$AG,ROW()-17),1)</f>
        <v>80</v>
      </c>
      <c r="I25" s="78" t="n">
        <f aca="false">IFERROR(VLOOKUP(D25,Pieces!A:C,3,0),"Entrer la cadence")</f>
        <v>60</v>
      </c>
      <c r="J25" s="10" t="n">
        <f aca="true">INDIRECT("bd!K"&amp;SMALL(bd!$AG:$AG,ROW()-17),1)</f>
        <v>20</v>
      </c>
      <c r="K25" s="10" t="n">
        <f aca="false">(F25-E25)*J25</f>
        <v>0</v>
      </c>
      <c r="L25" s="10" t="n">
        <f aca="false">(G25-F25)*J25</f>
        <v>0</v>
      </c>
      <c r="M25" s="10" t="n">
        <f aca="false">(H25-G25)*J25</f>
        <v>0</v>
      </c>
      <c r="N25" s="19" t="n">
        <f aca="false">IF(I25=0,0,K25/I25)</f>
        <v>0</v>
      </c>
      <c r="O25" s="19" t="n">
        <f aca="false">IF(I25=0,0,L25/I25)</f>
        <v>0</v>
      </c>
      <c r="P25" s="19" t="n">
        <f aca="false">IF(I25=0,0,M25/I25)</f>
        <v>0</v>
      </c>
      <c r="Q25" s="79" t="n">
        <f aca="true">INDIRECT("bd!R"&amp;SMALL(bd!$AG:$AG,ROW()-17),1)</f>
        <v>9</v>
      </c>
      <c r="R25" s="10" t="n">
        <f aca="true">INDIRECT("bd!S"&amp;SMALL(bd!$AG:$AG,ROW()-17),1)</f>
        <v>0</v>
      </c>
      <c r="S25" s="10" t="n">
        <f aca="false">U25+T25-K25-L25-M25</f>
        <v>0</v>
      </c>
      <c r="T25" s="10" t="n">
        <f aca="true">INDIRECT("bd!U"&amp;SMALL(bd!$AG:$AG,ROW()-17),1)</f>
        <v>0</v>
      </c>
      <c r="U25" s="10" t="n">
        <f aca="true">INDIRECT("bd!V"&amp;SMALL(bd!$AG:$AG,ROW()-17),1)</f>
        <v>0</v>
      </c>
      <c r="V25" s="10"/>
      <c r="W25" s="10"/>
      <c r="X25" s="10"/>
      <c r="Y25" s="10"/>
      <c r="Z25" s="12" t="n">
        <f aca="false">IF(I25=0,0,(U25+T25)/I25)</f>
        <v>0</v>
      </c>
      <c r="AA25" s="14" t="n">
        <f aca="false">IF(OR(Q25=0,I25=0),"",Z25/Q25*100)</f>
        <v>0</v>
      </c>
      <c r="AB25" s="14" t="n">
        <f aca="true">INDIRECT("bd!Y"&amp;SMALL(bd!$AG:$AG,ROW()-17),1)</f>
        <v>0</v>
      </c>
      <c r="AC25" s="14" t="n">
        <f aca="true">INDIRECT("bd!Z"&amp;SMALL(bd!$AG:$AG,ROW()-17),1)</f>
        <v>0</v>
      </c>
      <c r="AD25" s="14" t="n">
        <f aca="true">INDIRECT("bd!AA"&amp;SMALL(bd!$AG:$AG,ROW()-17),1)</f>
        <v>0</v>
      </c>
      <c r="AE25" s="13" t="str">
        <f aca="false">IF(AA25&gt;85," ","WARNING")</f>
        <v>WARNING</v>
      </c>
    </row>
    <row r="26" customFormat="false" ht="59.25" hidden="false" customHeight="true" outlineLevel="0" collapsed="false">
      <c r="A26" s="7" t="str">
        <f aca="true">INDIRECT("bd!B"&amp;SMALL(bd!$AG:$AG,ROW()-17),1)</f>
        <v>L</v>
      </c>
      <c r="B26" s="22" t="str">
        <f aca="true">INDIRECT("bd!C"&amp;SMALL(bd!$AG:$AG,ROW()-17),1)</f>
        <v>HARDING</v>
      </c>
      <c r="C26" s="17" t="str">
        <f aca="false">IFERROR(VLOOKUP(D26,Pieces!A:B,2,0)," ")</f>
        <v>PIG 50 SE- harding </v>
      </c>
      <c r="D26" s="77" t="str">
        <f aca="true">INDIRECT("bd!E"&amp;SMALL(bd!$AG:$AG,ROW()-17),1)</f>
        <v>PIGNON PLATEAU SIMPLE ETAGE D50 - contournage dents </v>
      </c>
      <c r="E26" s="10" t="n">
        <f aca="true">INDIRECT("bd!F"&amp;SMALL(bd!$AG:$AG,ROW()-17),1)</f>
        <v>15</v>
      </c>
      <c r="F26" s="10" t="n">
        <f aca="true">INDIRECT("bd!G"&amp;SMALL(bd!$AG:$AG,ROW()-17),1)</f>
        <v>24</v>
      </c>
      <c r="G26" s="10" t="n">
        <f aca="true">INDIRECT("bd!H"&amp;SMALL(bd!$AG:$AG,ROW()-17),1)</f>
        <v>24</v>
      </c>
      <c r="H26" s="10" t="n">
        <f aca="true">INDIRECT("bd!I"&amp;SMALL(bd!$AG:$AG,ROW()-17),1)</f>
        <v>24</v>
      </c>
      <c r="I26" s="78" t="n">
        <f aca="false">IFERROR(VLOOKUP(D26,Pieces!A:C,3,0),"Entrer la cadence")</f>
        <v>38</v>
      </c>
      <c r="J26" s="10" t="n">
        <f aca="true">INDIRECT("bd!K"&amp;SMALL(bd!$AG:$AG,ROW()-17),1)</f>
        <v>51</v>
      </c>
      <c r="K26" s="10" t="n">
        <f aca="false">(F26-E26)*J26</f>
        <v>459</v>
      </c>
      <c r="L26" s="10" t="n">
        <f aca="false">(G26-F26)*J26</f>
        <v>0</v>
      </c>
      <c r="M26" s="10" t="n">
        <f aca="false">(H26-G26)*J26</f>
        <v>0</v>
      </c>
      <c r="N26" s="19" t="n">
        <f aca="false">IF(I26=0,0,K26/I26)</f>
        <v>12.0789473684211</v>
      </c>
      <c r="O26" s="19" t="n">
        <f aca="false">IF(I26=0,0,L26/I26)</f>
        <v>0</v>
      </c>
      <c r="P26" s="19" t="n">
        <f aca="false">IF(I26=0,0,M26/I26)</f>
        <v>0</v>
      </c>
      <c r="Q26" s="79" t="n">
        <f aca="true">INDIRECT("bd!R"&amp;SMALL(bd!$AG:$AG,ROW()-17),1)</f>
        <v>9</v>
      </c>
      <c r="R26" s="10" t="n">
        <f aca="true">INDIRECT("bd!S"&amp;SMALL(bd!$AG:$AG,ROW()-17),1)</f>
        <v>0</v>
      </c>
      <c r="S26" s="10" t="n">
        <f aca="false">U26+T26-K26-L26-M26</f>
        <v>0</v>
      </c>
      <c r="T26" s="10" t="n">
        <f aca="true">INDIRECT("bd!U"&amp;SMALL(bd!$AG:$AG,ROW()-17),1)</f>
        <v>0</v>
      </c>
      <c r="U26" s="10" t="n">
        <f aca="true">INDIRECT("bd!V"&amp;SMALL(bd!$AG:$AG,ROW()-17),1)</f>
        <v>459</v>
      </c>
      <c r="V26" s="10"/>
      <c r="W26" s="10"/>
      <c r="X26" s="10"/>
      <c r="Y26" s="10"/>
      <c r="Z26" s="12" t="n">
        <f aca="false">IF(I26=0,0,(U26+T26)/I26)</f>
        <v>12.0789473684211</v>
      </c>
      <c r="AA26" s="14" t="n">
        <f aca="false">IF(OR(Q26=0,I26=0),"",Z26/Q26*100)</f>
        <v>134.210526315789</v>
      </c>
      <c r="AB26" s="14" t="n">
        <f aca="true">INDIRECT("bd!Y"&amp;SMALL(bd!$AG:$AG,ROW()-17),1)</f>
        <v>0</v>
      </c>
      <c r="AC26" s="14" t="n">
        <f aca="true">INDIRECT("bd!Z"&amp;SMALL(bd!$AG:$AG,ROW()-17),1)</f>
        <v>0</v>
      </c>
      <c r="AD26" s="14" t="n">
        <f aca="true">INDIRECT("bd!AA"&amp;SMALL(bd!$AG:$AG,ROW()-17),1)</f>
        <v>12.0789473684211</v>
      </c>
      <c r="AE26" s="13" t="str">
        <f aca="false">IF(AA26&gt;85," ","WARNING")</f>
        <v> </v>
      </c>
    </row>
    <row r="27" customFormat="false" ht="51.75" hidden="false" customHeight="true" outlineLevel="0" collapsed="false">
      <c r="A27" s="7" t="str">
        <f aca="true">INDIRECT("bd!B"&amp;SMALL(bd!$AG:$AG,ROW()-17),1)</f>
        <v>K</v>
      </c>
      <c r="B27" s="22" t="str">
        <f aca="true">INDIRECT("bd!C"&amp;SMALL(bd!$AG:$AG,ROW()-17),1)</f>
        <v>KITAMURA</v>
      </c>
      <c r="C27" s="17" t="str">
        <f aca="false">IFERROR(VLOOKUP(D27,Pieces!A:B,2,0)," ")</f>
        <v> - </v>
      </c>
      <c r="D27" s="77" t="str">
        <f aca="true">INDIRECT("bd!E"&amp;SMALL(bd!$AG:$AG,ROW()-17),1)</f>
        <v>Arrêt</v>
      </c>
      <c r="E27" s="10" t="n">
        <f aca="true">INDIRECT("bd!F"&amp;SMALL(bd!$AG:$AG,ROW()-17),1)</f>
        <v>0</v>
      </c>
      <c r="F27" s="10" t="n">
        <f aca="true">INDIRECT("bd!G"&amp;SMALL(bd!$AG:$AG,ROW()-17),1)</f>
        <v>0</v>
      </c>
      <c r="G27" s="10" t="n">
        <f aca="true">INDIRECT("bd!H"&amp;SMALL(bd!$AG:$AG,ROW()-17),1)</f>
        <v>0</v>
      </c>
      <c r="H27" s="10" t="n">
        <f aca="true">INDIRECT("bd!I"&amp;SMALL(bd!$AG:$AG,ROW()-17),1)</f>
        <v>0</v>
      </c>
      <c r="I27" s="78" t="n">
        <f aca="false">IFERROR(VLOOKUP(D27,Pieces!A:C,3,0),"Entrer la cadence")</f>
        <v>1</v>
      </c>
      <c r="J27" s="10" t="n">
        <f aca="true">INDIRECT("bd!K"&amp;SMALL(bd!$AG:$AG,ROW()-17),1)</f>
        <v>1</v>
      </c>
      <c r="K27" s="10" t="n">
        <f aca="false">(F27-E27)*J27</f>
        <v>0</v>
      </c>
      <c r="L27" s="10" t="n">
        <f aca="false">(G27-F27)*J27</f>
        <v>0</v>
      </c>
      <c r="M27" s="10" t="n">
        <f aca="false">(H27-G27)*J27</f>
        <v>0</v>
      </c>
      <c r="N27" s="19" t="n">
        <f aca="false">IF(I27=0,0,K27/I27)</f>
        <v>0</v>
      </c>
      <c r="O27" s="19" t="n">
        <f aca="false">IF(I27=0,0,L27/I27)</f>
        <v>0</v>
      </c>
      <c r="P27" s="19" t="n">
        <f aca="false">IF(I27=0,0,M27/I27)</f>
        <v>0</v>
      </c>
      <c r="Q27" s="79" t="n">
        <f aca="true">INDIRECT("bd!R"&amp;SMALL(bd!$AG:$AG,ROW()-17),1)</f>
        <v>9</v>
      </c>
      <c r="R27" s="10" t="n">
        <f aca="true">INDIRECT("bd!S"&amp;SMALL(bd!$AG:$AG,ROW()-17),1)</f>
        <v>0</v>
      </c>
      <c r="S27" s="10" t="n">
        <f aca="false">U27+T27-K27-L27-M27</f>
        <v>0</v>
      </c>
      <c r="T27" s="10" t="n">
        <f aca="true">INDIRECT("bd!U"&amp;SMALL(bd!$AG:$AG,ROW()-17),1)</f>
        <v>0</v>
      </c>
      <c r="U27" s="10" t="n">
        <f aca="true">INDIRECT("bd!V"&amp;SMALL(bd!$AG:$AG,ROW()-17),1)</f>
        <v>0</v>
      </c>
      <c r="V27" s="10"/>
      <c r="W27" s="10"/>
      <c r="X27" s="10"/>
      <c r="Y27" s="10"/>
      <c r="Z27" s="12" t="n">
        <f aca="false">IF(I27=0,0,(U27+T27)/I27)</f>
        <v>0</v>
      </c>
      <c r="AA27" s="14" t="n">
        <f aca="false">IF(OR(Q27=0,I27=0),"",Z27/Q27*100)</f>
        <v>0</v>
      </c>
      <c r="AB27" s="14" t="n">
        <f aca="true">INDIRECT("bd!Y"&amp;SMALL(bd!$AG:$AG,ROW()-17),1)</f>
        <v>0</v>
      </c>
      <c r="AC27" s="14" t="n">
        <f aca="true">INDIRECT("bd!Z"&amp;SMALL(bd!$AG:$AG,ROW()-17),1)</f>
        <v>0</v>
      </c>
      <c r="AD27" s="14" t="n">
        <f aca="true">INDIRECT("bd!AA"&amp;SMALL(bd!$AG:$AG,ROW()-17),1)</f>
        <v>0</v>
      </c>
      <c r="AE27" s="13" t="str">
        <f aca="false">IF(AA27&gt;85," ","WARNING")</f>
        <v>WARNING</v>
      </c>
    </row>
    <row r="28" customFormat="false" ht="58.5" hidden="false" customHeight="true" outlineLevel="0" collapsed="false">
      <c r="A28" s="7" t="str">
        <f aca="true">INDIRECT("bd!B"&amp;SMALL(bd!$AG:$AG,ROW()-17),1)</f>
        <v>F</v>
      </c>
      <c r="B28" s="22" t="str">
        <f aca="true">INDIRECT("bd!C"&amp;SMALL(bd!$AG:$AG,ROW()-17),1)</f>
        <v>MULTI BROCHE</v>
      </c>
      <c r="C28" s="17" t="str">
        <f aca="false">IFERROR(VLOOKUP(D28,Pieces!A:B,2,0)," ")</f>
        <v>MPS000300</v>
      </c>
      <c r="D28" s="77" t="str">
        <f aca="true">INDIRECT("bd!E"&amp;SMALL(bd!$AG:$AG,ROW()-17),1)</f>
        <v>raccord HEX 17</v>
      </c>
      <c r="E28" s="10" t="n">
        <f aca="true">INDIRECT("bd!F"&amp;SMALL(bd!$AG:$AG,ROW()-17),1)</f>
        <v>180777</v>
      </c>
      <c r="F28" s="10" t="n">
        <f aca="true">INDIRECT("bd!G"&amp;SMALL(bd!$AG:$AG,ROW()-17),1)</f>
        <v>180777</v>
      </c>
      <c r="G28" s="10" t="n">
        <f aca="true">INDIRECT("bd!H"&amp;SMALL(bd!$AG:$AG,ROW()-17),1)</f>
        <v>180777</v>
      </c>
      <c r="H28" s="10" t="n">
        <f aca="true">INDIRECT("bd!I"&amp;SMALL(bd!$AG:$AG,ROW()-17),1)</f>
        <v>180777</v>
      </c>
      <c r="I28" s="78" t="n">
        <f aca="false">IFERROR(VLOOKUP(D28,Pieces!A:C,3,0),"Entrer la cadence")</f>
        <v>454</v>
      </c>
      <c r="J28" s="10" t="n">
        <f aca="true">INDIRECT("bd!K"&amp;SMALL(bd!$AG:$AG,ROW()-17),1)</f>
        <v>1</v>
      </c>
      <c r="K28" s="10" t="n">
        <f aca="false">(F28-E28)*J28</f>
        <v>0</v>
      </c>
      <c r="L28" s="10" t="n">
        <f aca="false">(G28-F28)*J28</f>
        <v>0</v>
      </c>
      <c r="M28" s="10" t="n">
        <f aca="false">(H28-G28)*J28</f>
        <v>0</v>
      </c>
      <c r="N28" s="19" t="n">
        <f aca="false">IF(I28=0,0,K28/I28)</f>
        <v>0</v>
      </c>
      <c r="O28" s="19" t="n">
        <f aca="false">IF(I28=0,0,L28/I28)</f>
        <v>0</v>
      </c>
      <c r="P28" s="19" t="n">
        <f aca="false">IF(I28=0,0,M28/I28)</f>
        <v>0</v>
      </c>
      <c r="Q28" s="79" t="n">
        <f aca="true">INDIRECT("bd!R"&amp;SMALL(bd!$AG:$AG,ROW()-17),1)</f>
        <v>9</v>
      </c>
      <c r="R28" s="10" t="n">
        <f aca="true">INDIRECT("bd!S"&amp;SMALL(bd!$AG:$AG,ROW()-17),1)</f>
        <v>0</v>
      </c>
      <c r="S28" s="10" t="n">
        <f aca="false">U28+T28-K28-L28-M28</f>
        <v>0</v>
      </c>
      <c r="T28" s="10" t="n">
        <f aca="true">INDIRECT("bd!U"&amp;SMALL(bd!$AG:$AG,ROW()-17),1)</f>
        <v>0</v>
      </c>
      <c r="U28" s="10" t="n">
        <f aca="true">INDIRECT("bd!V"&amp;SMALL(bd!$AG:$AG,ROW()-17),1)</f>
        <v>0</v>
      </c>
      <c r="V28" s="10"/>
      <c r="W28" s="10"/>
      <c r="X28" s="10"/>
      <c r="Y28" s="10"/>
      <c r="Z28" s="12" t="n">
        <f aca="false">IF(I28=0,0,(U28+T28)/I28)</f>
        <v>0</v>
      </c>
      <c r="AA28" s="14" t="n">
        <f aca="false">IF(OR(Q28=0,I28=0),"",Z28/Q28*100)</f>
        <v>0</v>
      </c>
      <c r="AB28" s="14" t="n">
        <f aca="true">INDIRECT("bd!Y"&amp;SMALL(bd!$AG:$AG,ROW()-17),1)</f>
        <v>0</v>
      </c>
      <c r="AC28" s="14" t="n">
        <f aca="true">INDIRECT("bd!Z"&amp;SMALL(bd!$AG:$AG,ROW()-17),1)</f>
        <v>0</v>
      </c>
      <c r="AD28" s="14" t="n">
        <f aca="true">INDIRECT("bd!AA"&amp;SMALL(bd!$AG:$AG,ROW()-17),1)</f>
        <v>0</v>
      </c>
      <c r="AE28" s="13" t="str">
        <f aca="false">IF(AA28&gt;85," ","WARNING")</f>
        <v>WARNING</v>
      </c>
    </row>
    <row r="29" customFormat="false" ht="62.25" hidden="false" customHeight="true" outlineLevel="0" collapsed="false">
      <c r="A29" s="7" t="str">
        <f aca="true">INDIRECT("bd!B"&amp;SMALL(bd!$AG:$AG,ROW()-17),1)</f>
        <v>J</v>
      </c>
      <c r="B29" s="22" t="str">
        <f aca="true">INDIRECT("bd!C"&amp;SMALL(bd!$AG:$AG,ROW()-17),1)</f>
        <v>NAKAMURA</v>
      </c>
      <c r="C29" s="17" t="str">
        <f aca="false">IFERROR(VLOOKUP(D29,Pieces!A:B,2,0)," ")</f>
        <v>I143-CP1</v>
      </c>
      <c r="D29" s="77" t="str">
        <f aca="true">INDIRECT("bd!E"&amp;SMALL(bd!$AG:$AG,ROW()-17),1)</f>
        <v>ECROU DE ROUE TFR ISUZU -nak</v>
      </c>
      <c r="E29" s="10" t="n">
        <f aca="true">INDIRECT("bd!F"&amp;SMALL(bd!$AG:$AG,ROW()-17),1)</f>
        <v>0</v>
      </c>
      <c r="F29" s="10" t="n">
        <f aca="true">INDIRECT("bd!G"&amp;SMALL(bd!$AG:$AG,ROW()-17),1)</f>
        <v>0</v>
      </c>
      <c r="G29" s="10" t="n">
        <f aca="true">INDIRECT("bd!H"&amp;SMALL(bd!$AG:$AG,ROW()-17),1)</f>
        <v>0</v>
      </c>
      <c r="H29" s="10" t="n">
        <f aca="true">INDIRECT("bd!I"&amp;SMALL(bd!$AG:$AG,ROW()-17),1)</f>
        <v>122</v>
      </c>
      <c r="I29" s="78" t="n">
        <f aca="false">IFERROR(VLOOKUP(D29,Pieces!A:C,3,0),"Entrer la cadence")</f>
        <v>50</v>
      </c>
      <c r="J29" s="10" t="n">
        <f aca="true">INDIRECT("bd!K"&amp;SMALL(bd!$AG:$AG,ROW()-17),1)</f>
        <v>1</v>
      </c>
      <c r="K29" s="10" t="n">
        <f aca="false">(F29-E29)*J29</f>
        <v>0</v>
      </c>
      <c r="L29" s="10" t="n">
        <f aca="false">(G29-F29)*J29</f>
        <v>0</v>
      </c>
      <c r="M29" s="10" t="n">
        <f aca="false">(H29-G29)*J29</f>
        <v>122</v>
      </c>
      <c r="N29" s="19" t="n">
        <f aca="false">IF(I29=0,0,K29/I29)</f>
        <v>0</v>
      </c>
      <c r="O29" s="19" t="n">
        <f aca="false">IF(I29=0,0,L29/I29)</f>
        <v>0</v>
      </c>
      <c r="P29" s="19" t="n">
        <f aca="false">IF(I29=0,0,M29/I29)</f>
        <v>2.44</v>
      </c>
      <c r="Q29" s="79" t="n">
        <f aca="true">INDIRECT("bd!R"&amp;SMALL(bd!$AG:$AG,ROW()-17),1)</f>
        <v>9</v>
      </c>
      <c r="R29" s="10" t="str">
        <f aca="true">INDIRECT("bd!S"&amp;SMALL(bd!$AG:$AG,ROW()-17),1)</f>
        <v>fs (I143-CP1)+ ds (H001)</v>
      </c>
      <c r="S29" s="10" t="n">
        <f aca="false">U29+T29-K29-L29-M29</f>
        <v>0</v>
      </c>
      <c r="T29" s="10" t="n">
        <f aca="true">INDIRECT("bd!U"&amp;SMALL(bd!$AG:$AG,ROW()-17),1)</f>
        <v>0</v>
      </c>
      <c r="U29" s="10" t="n">
        <f aca="true">INDIRECT("bd!V"&amp;SMALL(bd!$AG:$AG,ROW()-17),1)</f>
        <v>122</v>
      </c>
      <c r="V29" s="10"/>
      <c r="W29" s="10"/>
      <c r="X29" s="10"/>
      <c r="Y29" s="10"/>
      <c r="Z29" s="12" t="n">
        <f aca="false">IF(I29=0,0,(U29+T29)/I29)</f>
        <v>2.44</v>
      </c>
      <c r="AA29" s="14" t="n">
        <f aca="false">IF(OR(Q29=0,I29=0),"",Z29/Q29*100)</f>
        <v>27.1111111111111</v>
      </c>
      <c r="AB29" s="14" t="n">
        <f aca="true">INDIRECT("bd!Y"&amp;SMALL(bd!$AG:$AG,ROW()-17),1)</f>
        <v>0</v>
      </c>
      <c r="AC29" s="14" t="n">
        <f aca="true">INDIRECT("bd!Z"&amp;SMALL(bd!$AG:$AG,ROW()-17),1)</f>
        <v>0</v>
      </c>
      <c r="AD29" s="14" t="n">
        <f aca="true">INDIRECT("bd!AA"&amp;SMALL(bd!$AG:$AG,ROW()-17),1)</f>
        <v>2.44</v>
      </c>
      <c r="AE29" s="13" t="str">
        <f aca="false">IF(AA29&gt;85," ","WARNING")</f>
        <v>WARNING</v>
      </c>
    </row>
    <row r="30" customFormat="false" ht="44.25" hidden="false" customHeight="true" outlineLevel="0" collapsed="false">
      <c r="A30" s="7" t="str">
        <f aca="true">INDIRECT("bd!B"&amp;SMALL(bd!$AG:$AG,ROW()-17),1)</f>
        <v>M</v>
      </c>
      <c r="B30" s="22" t="str">
        <f aca="true">INDIRECT("bd!C"&amp;SMALL(bd!$AG:$AG,ROW()-17),1)</f>
        <v>TOUR WEILER</v>
      </c>
      <c r="C30" s="17" t="str">
        <f aca="false">IFERROR(VLOOKUP(D30,Pieces!A:B,2,0)," ")</f>
        <v>H001-PROD</v>
      </c>
      <c r="D30" s="77" t="str">
        <f aca="true">INDIRECT("bd!E"&amp;SMALL(bd!$AG:$AG,ROW()-17),1)</f>
        <v>GOUJON DE ROUE HONDA PROD</v>
      </c>
      <c r="E30" s="10" t="n">
        <f aca="true">INDIRECT("bd!F"&amp;SMALL(bd!$AG:$AG,ROW()-17),1)</f>
        <v>64</v>
      </c>
      <c r="F30" s="10" t="n">
        <f aca="true">INDIRECT("bd!G"&amp;SMALL(bd!$AG:$AG,ROW()-17),1)</f>
        <v>270</v>
      </c>
      <c r="G30" s="10" t="n">
        <f aca="true">INDIRECT("bd!H"&amp;SMALL(bd!$AG:$AG,ROW()-17),1)</f>
        <v>271</v>
      </c>
      <c r="H30" s="10" t="n">
        <f aca="true">INDIRECT("bd!I"&amp;SMALL(bd!$AG:$AG,ROW()-17),1)</f>
        <v>272</v>
      </c>
      <c r="I30" s="78" t="n">
        <f aca="false">IFERROR(VLOOKUP(D30,Pieces!A:C,3,0),"Entrer la cadence")</f>
        <v>20</v>
      </c>
      <c r="J30" s="10" t="n">
        <f aca="true">INDIRECT("bd!K"&amp;SMALL(bd!$AG:$AG,ROW()-17),1)</f>
        <v>1</v>
      </c>
      <c r="K30" s="10" t="n">
        <f aca="false">(F30-E30)*J30</f>
        <v>206</v>
      </c>
      <c r="L30" s="10" t="n">
        <f aca="false">(G30-F30)*J30</f>
        <v>1</v>
      </c>
      <c r="M30" s="10" t="n">
        <f aca="false">(H30-G30)*J30</f>
        <v>1</v>
      </c>
      <c r="N30" s="19" t="n">
        <f aca="false">IF(I30=0,0,K30/I30)</f>
        <v>10.3</v>
      </c>
      <c r="O30" s="19" t="n">
        <f aca="false">IF(I30=0,0,L30/I30)</f>
        <v>0.05</v>
      </c>
      <c r="P30" s="19" t="n">
        <f aca="false">IF(I30=0,0,M30/I30)</f>
        <v>0.05</v>
      </c>
      <c r="Q30" s="79" t="n">
        <f aca="true">INDIRECT("bd!R"&amp;SMALL(bd!$AG:$AG,ROW()-17),1)</f>
        <v>9</v>
      </c>
      <c r="R30" s="10" t="str">
        <f aca="true">INDIRECT("bd!S"&amp;SMALL(bd!$AG:$AG,ROW()-17),1)</f>
        <v>FS(g018) + ds (H001)</v>
      </c>
      <c r="S30" s="10" t="n">
        <f aca="false">U30+T30-K30-L30-M30</f>
        <v>0</v>
      </c>
      <c r="T30" s="10" t="n">
        <f aca="true">INDIRECT("bd!U"&amp;SMALL(bd!$AG:$AG,ROW()-17),1)</f>
        <v>0</v>
      </c>
      <c r="U30" s="10" t="n">
        <f aca="true">INDIRECT("bd!V"&amp;SMALL(bd!$AG:$AG,ROW()-17),1)</f>
        <v>208</v>
      </c>
      <c r="V30" s="10"/>
      <c r="W30" s="10"/>
      <c r="X30" s="10"/>
      <c r="Y30" s="10"/>
      <c r="Z30" s="12" t="n">
        <f aca="false">IF(I30=0,0,(U30+T30)/I30)</f>
        <v>10.4</v>
      </c>
      <c r="AA30" s="14" t="n">
        <f aca="false">IF(OR(Q30=0,I30=0),"",Z30/Q30*100)</f>
        <v>115.555555555556</v>
      </c>
      <c r="AB30" s="14" t="n">
        <f aca="true">INDIRECT("bd!Y"&amp;SMALL(bd!$AG:$AG,ROW()-17),1)</f>
        <v>0</v>
      </c>
      <c r="AC30" s="14" t="n">
        <f aca="true">INDIRECT("bd!Z"&amp;SMALL(bd!$AG:$AG,ROW()-17),1)</f>
        <v>0</v>
      </c>
      <c r="AD30" s="14" t="n">
        <f aca="true">INDIRECT("bd!AA"&amp;SMALL(bd!$AG:$AG,ROW()-17),1)</f>
        <v>10.4</v>
      </c>
      <c r="AE30" s="13" t="str">
        <f aca="false">IF(AA30&gt;85," ","WARNING")</f>
        <v> </v>
      </c>
    </row>
    <row r="31" customFormat="false" ht="20.25" hidden="false" customHeight="false" outlineLevel="0" collapsed="false">
      <c r="A31" s="15"/>
      <c r="B31" s="15"/>
      <c r="D31" s="48"/>
      <c r="I31" s="80"/>
      <c r="Z31" s="4"/>
    </row>
    <row r="32" customFormat="false" ht="20.25" hidden="false" customHeight="false" outlineLevel="0" collapsed="false">
      <c r="A32" s="15"/>
      <c r="B32" s="15"/>
      <c r="D32" s="48"/>
      <c r="Z32" s="4"/>
    </row>
    <row r="33" customFormat="false" ht="20.25" hidden="false" customHeight="false" outlineLevel="0" collapsed="false">
      <c r="A33" s="15"/>
      <c r="B33" s="15"/>
      <c r="D33" s="48"/>
      <c r="Z33" s="4"/>
    </row>
    <row r="34" customFormat="false" ht="20.25" hidden="false" customHeight="false" outlineLevel="0" collapsed="false">
      <c r="A34" s="15"/>
      <c r="B34" s="15"/>
      <c r="D34" s="48"/>
      <c r="Z34" s="4"/>
    </row>
    <row r="35" customFormat="false" ht="20.25" hidden="false" customHeight="false" outlineLevel="0" collapsed="false">
      <c r="A35" s="15"/>
      <c r="B35" s="15"/>
      <c r="D35" s="48"/>
      <c r="Z35" s="4"/>
    </row>
    <row r="36" customFormat="false" ht="20.25" hidden="false" customHeight="false" outlineLevel="0" collapsed="false">
      <c r="A36" s="15"/>
      <c r="B36" s="15"/>
      <c r="D36" s="48"/>
      <c r="Z36" s="4"/>
    </row>
    <row r="37" customFormat="false" ht="20.25" hidden="false" customHeight="false" outlineLevel="0" collapsed="false">
      <c r="A37" s="15"/>
      <c r="B37" s="15"/>
      <c r="D37" s="48"/>
      <c r="Z37" s="4"/>
    </row>
    <row r="38" customFormat="false" ht="20.25" hidden="false" customHeight="true" outlineLevel="0" collapsed="false">
      <c r="A38" s="15"/>
      <c r="B38" s="15"/>
      <c r="C38" s="49" t="s">
        <v>98</v>
      </c>
      <c r="D38" s="49"/>
      <c r="E38" s="49"/>
      <c r="F38" s="49"/>
      <c r="G38" s="49"/>
      <c r="H38" s="49"/>
      <c r="I38" s="49"/>
      <c r="J38" s="49" t="s">
        <v>99</v>
      </c>
      <c r="K38" s="49"/>
      <c r="L38" s="49"/>
      <c r="M38" s="49"/>
      <c r="N38" s="49"/>
      <c r="O38" s="49"/>
      <c r="P38" s="49"/>
      <c r="Z38" s="4"/>
    </row>
    <row r="39" customFormat="false" ht="20.25" hidden="false" customHeight="true" outlineLevel="0" collapsed="false">
      <c r="A39" s="15"/>
      <c r="B39" s="15"/>
      <c r="C39" s="49" t="s">
        <v>100</v>
      </c>
      <c r="D39" s="49"/>
      <c r="E39" s="49"/>
      <c r="F39" s="49"/>
      <c r="G39" s="49"/>
      <c r="H39" s="49"/>
      <c r="I39" s="49"/>
      <c r="J39" s="49" t="s">
        <v>101</v>
      </c>
      <c r="K39" s="49"/>
      <c r="L39" s="49"/>
      <c r="M39" s="49"/>
      <c r="N39" s="49"/>
      <c r="O39" s="49"/>
      <c r="P39" s="49"/>
      <c r="Z39" s="4"/>
    </row>
    <row r="40" customFormat="false" ht="20.25" hidden="false" customHeight="true" outlineLevel="0" collapsed="false">
      <c r="A40" s="15"/>
      <c r="B40" s="15"/>
      <c r="C40" s="49" t="s">
        <v>102</v>
      </c>
      <c r="D40" s="49"/>
      <c r="E40" s="49"/>
      <c r="F40" s="49"/>
      <c r="G40" s="49"/>
      <c r="H40" s="49"/>
      <c r="I40" s="49"/>
      <c r="J40" s="49" t="s">
        <v>103</v>
      </c>
      <c r="K40" s="49"/>
      <c r="L40" s="49"/>
      <c r="M40" s="49"/>
      <c r="N40" s="49"/>
      <c r="O40" s="49"/>
      <c r="P40" s="49"/>
      <c r="Z40" s="4"/>
    </row>
    <row r="41" customFormat="false" ht="20.25" hidden="false" customHeight="false" outlineLevel="0" collapsed="false">
      <c r="A41" s="43"/>
      <c r="B41" s="43"/>
      <c r="D41" s="50"/>
      <c r="Z41" s="4"/>
    </row>
    <row r="42" customFormat="false" ht="20.25" hidden="false" customHeight="false" outlineLevel="0" collapsed="false">
      <c r="A42" s="43"/>
      <c r="B42" s="43"/>
      <c r="D42" s="50"/>
      <c r="Z42" s="4"/>
    </row>
    <row r="43" customFormat="false" ht="20.25" hidden="false" customHeight="false" outlineLevel="0" collapsed="false">
      <c r="A43" s="43"/>
      <c r="B43" s="43"/>
      <c r="D43" s="51"/>
      <c r="Z43" s="4"/>
    </row>
    <row r="44" customFormat="false" ht="20.25" hidden="false" customHeight="false" outlineLevel="0" collapsed="false">
      <c r="A44" s="43"/>
      <c r="B44" s="43"/>
      <c r="D44" s="4"/>
      <c r="Z44" s="4"/>
    </row>
    <row r="45" customFormat="false" ht="21" hidden="false" customHeight="false" outlineLevel="0" collapsed="false">
      <c r="A45" s="52"/>
      <c r="B45" s="52"/>
    </row>
    <row r="46" customFormat="false" ht="21" hidden="false" customHeight="false" outlineLevel="0" collapsed="false">
      <c r="A46" s="53"/>
      <c r="B46" s="53"/>
    </row>
    <row r="47" customFormat="false" ht="21" hidden="false" customHeight="false" outlineLevel="0" collapsed="false">
      <c r="A47" s="53"/>
      <c r="B47" s="53"/>
    </row>
    <row r="48" customFormat="false" ht="21" hidden="false" customHeight="false" outlineLevel="0" collapsed="false">
      <c r="A48" s="53"/>
      <c r="B48" s="53"/>
    </row>
  </sheetData>
  <mergeCells count="15">
    <mergeCell ref="A1:B4"/>
    <mergeCell ref="C1:Y4"/>
    <mergeCell ref="Z1:AE1"/>
    <mergeCell ref="Z2:AE2"/>
    <mergeCell ref="Z3:AE3"/>
    <mergeCell ref="Z4:AE4"/>
    <mergeCell ref="H7:K7"/>
    <mergeCell ref="Z7:AE7"/>
    <mergeCell ref="A17:AE17"/>
    <mergeCell ref="C38:I38"/>
    <mergeCell ref="J38:P38"/>
    <mergeCell ref="C39:I39"/>
    <mergeCell ref="J39:P39"/>
    <mergeCell ref="C40:I40"/>
    <mergeCell ref="J40:P40"/>
  </mergeCells>
  <conditionalFormatting sqref="AE9:AE16">
    <cfRule type="containsText" priority="2" operator="containsText" aboveAverage="0" equalAverage="0" bottom="0" percent="0" rank="0" text="WARNING" dxfId="10">
      <formula>NOT(ISERROR(SEARCH("WARNING",AE9)))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priority="5" operator="containsText" aboveAverage="0" equalAverage="0" bottom="0" percent="0" rank="0" text="WARNING" dxfId="11">
      <formula>NOT(ISERROR(SEARCH("WARNING",AE18)))</formula>
    </cfRule>
  </conditionalFormatting>
  <conditionalFormatting sqref="AE18:AE30">
    <cfRule type="containsText" priority="6" operator="containsText" aboveAverage="0" equalAverage="0" bottom="0" percent="0" rank="0" text="WARNING" dxfId="12">
      <formula>NOT(ISERROR(SEARCH("WARNING",AE18)))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priority="8" operator="containsText" aboveAverage="0" equalAverage="0" bottom="0" percent="0" rank="0" text="WARNING" dxfId="13">
      <formula>NOT(ISERROR(SEARCH("WARNING",AE19)))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priority="10" operator="containsText" aboveAverage="0" equalAverage="0" bottom="0" percent="0" rank="0" text="WARNING" dxfId="14">
      <formula>NOT(ISERROR(SEARCH("WARNING",AE20)))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dataValidations count="2">
    <dataValidation allowBlank="true" operator="between" showDropDown="false" showErrorMessage="true" showInputMessage="true" sqref="D9:D16" type="list">
      <formula1>pieces</formula1>
      <formula2>0</formula2>
    </dataValidation>
    <dataValidation allowBlank="false" operator="between" showDropDown="false" showErrorMessage="true" showInputMessage="false" sqref="A5" type="date">
      <formula1>MIN(bd!A:A)</formula1>
      <formula2>MAX(bd!A:A)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5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tabColor rgb="FF808000"/>
    <pageSetUpPr fitToPage="false"/>
  </sheetPr>
  <dimension ref="A1:AG19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A2" activeCellId="0" sqref="AA2"/>
    </sheetView>
  </sheetViews>
  <sheetFormatPr defaultRowHeight="13.8" zeroHeight="false" outlineLevelRow="0" outlineLevelCol="0"/>
  <cols>
    <col collapsed="false" customWidth="true" hidden="false" outlineLevel="0" max="1" min="1" style="81" width="8.95"/>
    <col collapsed="false" customWidth="true" hidden="false" outlineLevel="0" max="2" min="2" style="82" width="9.08"/>
    <col collapsed="false" customWidth="true" hidden="false" outlineLevel="0" max="3" min="3" style="0" width="21.9"/>
    <col collapsed="false" customWidth="true" hidden="false" outlineLevel="0" max="4" min="4" style="0" width="16.43"/>
    <col collapsed="false" customWidth="true" hidden="false" outlineLevel="0" max="5" min="5" style="0" width="48.06"/>
    <col collapsed="false" customWidth="true" hidden="false" outlineLevel="0" max="6" min="6" style="0" width="18.46"/>
    <col collapsed="false" customWidth="true" hidden="false" outlineLevel="0" max="8" min="7" style="0" width="19.91"/>
    <col collapsed="false" customWidth="true" hidden="false" outlineLevel="0" max="9" min="9" style="0" width="26.24"/>
    <col collapsed="false" customWidth="true" hidden="false" outlineLevel="0" max="10" min="10" style="0" width="15.23"/>
    <col collapsed="false" customWidth="true" hidden="false" outlineLevel="0" max="11" min="11" style="0" width="30.39"/>
    <col collapsed="false" customWidth="true" hidden="false" outlineLevel="0" max="12" min="12" style="0" width="30.55"/>
    <col collapsed="false" customWidth="true" hidden="false" outlineLevel="0" max="13" min="13" style="0" width="33.01"/>
    <col collapsed="false" customWidth="true" hidden="false" outlineLevel="0" max="14" min="14" style="0" width="30.61"/>
    <col collapsed="false" customWidth="true" hidden="false" outlineLevel="0" max="15" min="15" style="0" width="35.85"/>
    <col collapsed="false" customWidth="true" hidden="false" outlineLevel="0" max="16" min="16" style="0" width="36.34"/>
    <col collapsed="false" customWidth="true" hidden="false" outlineLevel="0" max="17" min="17" style="0" width="33.49"/>
    <col collapsed="false" customWidth="true" hidden="false" outlineLevel="0" max="18" min="18" style="0" width="26.81"/>
    <col collapsed="false" customWidth="true" hidden="false" outlineLevel="0" max="19" min="19" style="0" width="73.27"/>
    <col collapsed="false" customWidth="true" hidden="false" outlineLevel="0" max="20" min="20" style="0" width="16.79"/>
    <col collapsed="false" customWidth="true" hidden="false" outlineLevel="0" max="21" min="21" style="0" width="9.93"/>
    <col collapsed="false" customWidth="true" hidden="false" outlineLevel="0" max="22" min="22" style="0" width="13.37"/>
    <col collapsed="false" customWidth="true" hidden="false" outlineLevel="0" max="23" min="23" style="0" width="26.34"/>
    <col collapsed="false" customWidth="true" hidden="false" outlineLevel="0" max="24" min="24" style="0" width="23.39"/>
    <col collapsed="false" customWidth="true" hidden="false" outlineLevel="0" max="25" min="25" style="0" width="22.24"/>
    <col collapsed="false" customWidth="true" hidden="false" outlineLevel="0" max="26" min="26" style="0" width="13.92"/>
    <col collapsed="false" customWidth="true" hidden="false" outlineLevel="0" max="27" min="27" style="0" width="41.38"/>
    <col collapsed="false" customWidth="true" hidden="false" outlineLevel="0" max="28" min="28" style="0" width="16.93"/>
    <col collapsed="false" customWidth="true" hidden="false" outlineLevel="0" max="29" min="29" style="0" width="33.05"/>
    <col collapsed="false" customWidth="true" hidden="false" outlineLevel="0" max="30" min="30" style="0" width="8.18"/>
    <col collapsed="false" customWidth="true" hidden="false" outlineLevel="0" max="31" min="31" style="0" width="15.66"/>
    <col collapsed="false" customWidth="true" hidden="false" outlineLevel="0" max="32" min="32" style="0" width="9.74"/>
    <col collapsed="false" customWidth="false" hidden="false" outlineLevel="0" max="1025" min="33" style="0" width="11.4"/>
  </cols>
  <sheetData>
    <row r="1" customFormat="false" ht="13.8" hidden="false" customHeight="false" outlineLevel="0" collapsed="false">
      <c r="B1" s="83" t="s">
        <v>5</v>
      </c>
      <c r="C1" s="0" t="s">
        <v>6</v>
      </c>
      <c r="D1" s="0" t="s">
        <v>7</v>
      </c>
      <c r="E1" s="0" t="s">
        <v>8</v>
      </c>
      <c r="F1" s="0" t="s">
        <v>9</v>
      </c>
      <c r="G1" s="0" t="s">
        <v>10</v>
      </c>
      <c r="H1" s="0" t="s">
        <v>1051</v>
      </c>
      <c r="I1" s="0" t="s">
        <v>12</v>
      </c>
      <c r="J1" s="0" t="s">
        <v>13</v>
      </c>
      <c r="K1" s="0" t="s">
        <v>14</v>
      </c>
      <c r="L1" s="0" t="s">
        <v>15</v>
      </c>
      <c r="M1" s="0" t="s">
        <v>1052</v>
      </c>
      <c r="N1" s="0" t="s">
        <v>1053</v>
      </c>
      <c r="O1" s="0" t="s">
        <v>18</v>
      </c>
      <c r="P1" s="0" t="s">
        <v>1054</v>
      </c>
      <c r="Q1" s="0" t="s">
        <v>1055</v>
      </c>
      <c r="R1" s="0" t="s">
        <v>21</v>
      </c>
      <c r="S1" s="0" t="s">
        <v>22</v>
      </c>
      <c r="T1" s="0" t="s">
        <v>23</v>
      </c>
      <c r="U1" s="0" t="s">
        <v>24</v>
      </c>
      <c r="V1" s="0" t="s">
        <v>25</v>
      </c>
      <c r="W1" s="0" t="s">
        <v>26</v>
      </c>
      <c r="X1" s="0" t="s">
        <v>27</v>
      </c>
      <c r="Y1" s="0" t="s">
        <v>28</v>
      </c>
      <c r="Z1" s="0" t="s">
        <v>29</v>
      </c>
      <c r="AA1" s="0" t="s">
        <v>30</v>
      </c>
      <c r="AB1" s="0" t="s">
        <v>31</v>
      </c>
      <c r="AC1" s="0" t="s">
        <v>32</v>
      </c>
      <c r="AD1" s="0" t="s">
        <v>33</v>
      </c>
      <c r="AE1" s="0" t="s">
        <v>34</v>
      </c>
      <c r="AF1" s="0" t="s">
        <v>35</v>
      </c>
    </row>
    <row r="2" customFormat="false" ht="13.8" hidden="false" customHeight="false" outlineLevel="0" collapsed="false">
      <c r="A2" s="81" t="n">
        <v>43832</v>
      </c>
      <c r="B2" s="82" t="s">
        <v>36</v>
      </c>
      <c r="C2" s="0" t="s">
        <v>52</v>
      </c>
      <c r="D2" s="0" t="str">
        <f aca="false">IFERROR(VLOOKUP(E2,Pieces!A:B,2,0)," ")</f>
        <v>outi-plot</v>
      </c>
      <c r="E2" s="0" t="s">
        <v>940</v>
      </c>
      <c r="F2" s="0" t="n">
        <v>27039</v>
      </c>
      <c r="G2" s="0" t="n">
        <v>27690</v>
      </c>
      <c r="H2" s="0" t="n">
        <v>27840</v>
      </c>
      <c r="I2" s="0" t="n">
        <v>27950</v>
      </c>
      <c r="J2" s="0" t="n">
        <f aca="false">IFERROR(VLOOKUP(E2,Pieces!A:C,3,0),"Entrer la cadence")</f>
        <v>75</v>
      </c>
      <c r="K2" s="0" t="n">
        <v>1</v>
      </c>
      <c r="L2" s="0" t="n">
        <f aca="false">(G2-F2)*K2</f>
        <v>651</v>
      </c>
      <c r="M2" s="0" t="n">
        <f aca="false">(H2-G2)*K2</f>
        <v>150</v>
      </c>
      <c r="N2" s="0" t="n">
        <f aca="false">(I2-H2)*K2</f>
        <v>110</v>
      </c>
      <c r="O2" s="0" t="n">
        <f aca="false">IF(J2=0,0,L2/J2)</f>
        <v>8.68</v>
      </c>
      <c r="P2" s="0" t="n">
        <f aca="false">IF(J2=0,0,M2/J2)</f>
        <v>2</v>
      </c>
      <c r="Q2" s="0" t="n">
        <f aca="false">IF(J2=0,0,N2/J2)</f>
        <v>1.46666666666667</v>
      </c>
      <c r="R2" s="0" t="n">
        <v>9</v>
      </c>
      <c r="T2" s="0" t="n">
        <f aca="false">V2+U2-L2-M2-N2</f>
        <v>0</v>
      </c>
      <c r="U2" s="0" t="n">
        <f aca="true">SUM(INDIRECT(ADDRESS(MATCH("Nombre des NC poubelle ",ChoixRJ!$B$1:$B$29,0),MATCH($C2,ChoixRJ!$13:$13,0),4,1,"ChoixRJ"),1)*1,INDIRECT(ADDRESS(MATCH("Nombre des NC à retoucher",ChoixRJ!$B$1:$B$29,0),MATCH($C2,ChoixRJ!$13:$13,0),4,1,"ChoixRJ"),1)*1)</f>
        <v>0</v>
      </c>
      <c r="V2" s="0" t="n">
        <v>911</v>
      </c>
      <c r="AA2" s="0" t="n">
        <f aca="false">IF(J2=0,0,(V2+U2)/J2)</f>
        <v>12.1466666666667</v>
      </c>
      <c r="AB2" s="0" t="n">
        <f aca="false">IF(OR(R2=0,J2=0),"",AA2/R2*100)</f>
        <v>134.962962962963</v>
      </c>
      <c r="AF2" s="0" t="str">
        <f aca="false">IF(AB2&gt;85," ","WARNING")</f>
        <v> </v>
      </c>
      <c r="AG2" s="0" t="str">
        <f aca="false">IF(A2=ChoixJour!$A$5,ROW(),"")</f>
        <v/>
      </c>
    </row>
    <row r="3" customFormat="false" ht="13.8" hidden="false" customHeight="false" outlineLevel="0" collapsed="false">
      <c r="A3" s="81" t="n">
        <v>43832</v>
      </c>
      <c r="B3" s="82" t="s">
        <v>38</v>
      </c>
      <c r="C3" s="0" t="s">
        <v>53</v>
      </c>
      <c r="D3" s="0" t="str">
        <f aca="false">IFERROR(VLOOKUP(E3,Pieces!A:B,2,0)," ")</f>
        <v>ECR-6.5X10</v>
      </c>
      <c r="E3" s="0" t="s">
        <v>661</v>
      </c>
      <c r="F3" s="0" t="n">
        <v>387</v>
      </c>
      <c r="G3" s="0" t="n">
        <v>1170</v>
      </c>
      <c r="H3" s="0" t="n">
        <v>1290</v>
      </c>
      <c r="I3" s="0" t="n">
        <v>1416</v>
      </c>
      <c r="J3" s="0" t="n">
        <f aca="false">IFERROR(VLOOKUP(E3,Pieces!A:C,3,0),"Entrer la cadence")</f>
        <v>120</v>
      </c>
      <c r="K3" s="0" t="n">
        <v>1</v>
      </c>
      <c r="L3" s="0" t="n">
        <f aca="false">(G3-F3)*K3</f>
        <v>783</v>
      </c>
      <c r="M3" s="0" t="n">
        <f aca="false">(H3-G3)*K3</f>
        <v>120</v>
      </c>
      <c r="N3" s="0" t="n">
        <f aca="false">(I3-H3)*K3</f>
        <v>126</v>
      </c>
      <c r="O3" s="0" t="n">
        <f aca="false">IF(J3=0,0,L3/J3)</f>
        <v>6.525</v>
      </c>
      <c r="P3" s="0" t="n">
        <f aca="false">IF(J3=0,0,M3/J3)</f>
        <v>1</v>
      </c>
      <c r="Q3" s="0" t="n">
        <f aca="false">IF(J3=0,0,N3/J3)</f>
        <v>1.05</v>
      </c>
      <c r="R3" s="0" t="n">
        <v>9</v>
      </c>
      <c r="T3" s="0" t="n">
        <f aca="false">V3+U3-L3-M3-N3</f>
        <v>0</v>
      </c>
      <c r="U3" s="0" t="n">
        <f aca="true">SUM(INDIRECT(ADDRESS(MATCH("Nombre des NC poubelle ",ChoixRJ!$B$1:$B$29,0),MATCH($C3,ChoixRJ!$13:$13,0),4,1,"ChoixRJ"),1)*1,INDIRECT(ADDRESS(MATCH("Nombre des NC à retoucher",ChoixRJ!$B$1:$B$29,0),MATCH($C3,ChoixRJ!$13:$13,0),4,1,"ChoixRJ"),1)*1)</f>
        <v>0</v>
      </c>
      <c r="V3" s="0" t="n">
        <v>1029</v>
      </c>
      <c r="AA3" s="0" t="n">
        <f aca="false">IF(J3=0,0,(V3+U3)/J3)</f>
        <v>8.575</v>
      </c>
      <c r="AB3" s="0" t="n">
        <f aca="false">IF(OR(R3=0,J3=0),"",AA3/R3*100)</f>
        <v>95.2777777777778</v>
      </c>
      <c r="AF3" s="0" t="str">
        <f aca="false">IF(AB3&gt;85," ","WARNING")</f>
        <v> </v>
      </c>
      <c r="AG3" s="0" t="str">
        <f aca="false">IF(A3=ChoixJour!$A$5,ROW(),"")</f>
        <v/>
      </c>
    </row>
    <row r="4" customFormat="false" ht="13.8" hidden="false" customHeight="false" outlineLevel="0" collapsed="false">
      <c r="A4" s="81" t="n">
        <v>43832</v>
      </c>
      <c r="B4" s="82" t="s">
        <v>40</v>
      </c>
      <c r="C4" s="0" t="s">
        <v>54</v>
      </c>
      <c r="D4" s="0" t="str">
        <f aca="false">IFERROR(VLOOKUP(E4,Pieces!A:B,2,0)," ")</f>
        <v>G011</v>
      </c>
      <c r="E4" s="0" t="s">
        <v>302</v>
      </c>
      <c r="F4" s="0" t="n">
        <v>343</v>
      </c>
      <c r="G4" s="0" t="n">
        <v>600</v>
      </c>
      <c r="H4" s="0" t="n">
        <v>660</v>
      </c>
      <c r="I4" s="0" t="n">
        <v>700</v>
      </c>
      <c r="J4" s="0" t="n">
        <f aca="false">IFERROR(VLOOKUP(E4,Pieces!A:C,3,0),"Entrer la cadence")</f>
        <v>45</v>
      </c>
      <c r="K4" s="0" t="n">
        <v>1</v>
      </c>
      <c r="L4" s="0" t="n">
        <f aca="false">(G4-F4)*K4</f>
        <v>257</v>
      </c>
      <c r="M4" s="0" t="n">
        <f aca="false">(H4-G4)*K4</f>
        <v>60</v>
      </c>
      <c r="N4" s="0" t="n">
        <f aca="false">(I4-H4)*K4</f>
        <v>40</v>
      </c>
      <c r="O4" s="0" t="n">
        <f aca="false">IF(J4=0,0,L4/J4)</f>
        <v>5.71111111111111</v>
      </c>
      <c r="P4" s="0" t="n">
        <f aca="false">IF(J4=0,0,M4/J4)</f>
        <v>1.33333333333333</v>
      </c>
      <c r="Q4" s="0" t="n">
        <f aca="false">IF(J4=0,0,N4/J4)</f>
        <v>0.888888888888889</v>
      </c>
      <c r="R4" s="0" t="n">
        <v>9</v>
      </c>
      <c r="T4" s="0" t="n">
        <f aca="false">V4+U4-L4-M4-N4</f>
        <v>0</v>
      </c>
      <c r="U4" s="0" t="n">
        <f aca="true">SUM(INDIRECT(ADDRESS(MATCH("Nombre des NC poubelle ",ChoixRJ!$B$1:$B$29,0),MATCH($C4,ChoixRJ!$13:$13,0),4,1,"ChoixRJ"),1)*1,INDIRECT(ADDRESS(MATCH("Nombre des NC à retoucher",ChoixRJ!$B$1:$B$29,0),MATCH($C4,ChoixRJ!$13:$13,0),4,1,"ChoixRJ"),1)*1)</f>
        <v>0</v>
      </c>
      <c r="V4" s="0" t="n">
        <v>357</v>
      </c>
      <c r="AA4" s="0" t="n">
        <f aca="false">IF(J4=0,0,(V4+U4)/J4)</f>
        <v>7.93333333333333</v>
      </c>
      <c r="AB4" s="0" t="n">
        <f aca="false">IF(OR(R4=0,J4=0),"",AA4/R4*100)</f>
        <v>88.1481481481482</v>
      </c>
      <c r="AF4" s="0" t="str">
        <f aca="false">IF(AB4&gt;85," ","WARNING")</f>
        <v> </v>
      </c>
      <c r="AG4" s="0" t="str">
        <f aca="false">IF(A4=ChoixJour!$A$5,ROW(),"")</f>
        <v/>
      </c>
    </row>
    <row r="5" customFormat="false" ht="13.8" hidden="false" customHeight="false" outlineLevel="0" collapsed="false">
      <c r="A5" s="81" t="n">
        <v>43832</v>
      </c>
      <c r="B5" s="82" t="s">
        <v>42</v>
      </c>
      <c r="C5" s="0" t="s">
        <v>55</v>
      </c>
      <c r="D5" s="0" t="str">
        <f aca="false">IFERROR(VLOOKUP(E5,Pieces!A:B,2,0)," ")</f>
        <v>I081-95-CP8</v>
      </c>
      <c r="E5" s="0" t="s">
        <v>147</v>
      </c>
      <c r="F5" s="0" t="n">
        <v>217</v>
      </c>
      <c r="G5" s="0" t="n">
        <v>286</v>
      </c>
      <c r="H5" s="0" t="n">
        <v>308</v>
      </c>
      <c r="I5" s="0" t="n">
        <v>310</v>
      </c>
      <c r="J5" s="0" t="n">
        <f aca="false">IFERROR(VLOOKUP(E5,Pieces!A:C,3,0),"Entrer la cadence")</f>
        <v>28</v>
      </c>
      <c r="K5" s="0" t="n">
        <v>1</v>
      </c>
      <c r="L5" s="0" t="n">
        <f aca="false">(G5-F5)*K5</f>
        <v>69</v>
      </c>
      <c r="M5" s="0" t="n">
        <f aca="false">(H5-G5)*K5</f>
        <v>22</v>
      </c>
      <c r="N5" s="0" t="n">
        <f aca="false">(I5-H5)*K5</f>
        <v>2</v>
      </c>
      <c r="O5" s="0" t="n">
        <f aca="false">IF(J5=0,0,L5/J5)</f>
        <v>2.46428571428571</v>
      </c>
      <c r="P5" s="0" t="n">
        <f aca="false">IF(J5=0,0,M5/J5)</f>
        <v>0.785714285714286</v>
      </c>
      <c r="Q5" s="0" t="n">
        <f aca="false">IF(J5=0,0,N5/J5)</f>
        <v>0.0714285714285714</v>
      </c>
      <c r="R5" s="0" t="n">
        <v>9</v>
      </c>
      <c r="T5" s="0" t="n">
        <f aca="false">V5+U5-L5-M5-N5</f>
        <v>9</v>
      </c>
      <c r="U5" s="0" t="n">
        <f aca="true">SUM(INDIRECT(ADDRESS(MATCH("Nombre des NC poubelle ",ChoixRJ!$B$1:$B$29,0),MATCH($C5,ChoixRJ!$13:$13,0),4,1,"ChoixRJ"),1)*1,INDIRECT(ADDRESS(MATCH("Nombre des NC à retoucher",ChoixRJ!$B$1:$B$29,0),MATCH($C5,ChoixRJ!$13:$13,0),4,1,"ChoixRJ"),1)*1)</f>
        <v>9</v>
      </c>
      <c r="V5" s="0" t="n">
        <v>93</v>
      </c>
      <c r="AA5" s="0" t="n">
        <f aca="false">IF(J5=0,0,(V5+U5)/J5)</f>
        <v>3.64285714285714</v>
      </c>
      <c r="AB5" s="0" t="n">
        <f aca="false">IF(OR(R5=0,J5=0),"",AA5/R5*100)</f>
        <v>40.4761904761905</v>
      </c>
      <c r="AF5" s="0" t="str">
        <f aca="false">IF(AB5&gt;85," ","WARNING")</f>
        <v>WARNING</v>
      </c>
      <c r="AG5" s="0" t="str">
        <f aca="false">IF(A5=ChoixJour!$A$5,ROW(),"")</f>
        <v/>
      </c>
    </row>
    <row r="6" customFormat="false" ht="13.8" hidden="false" customHeight="false" outlineLevel="0" collapsed="false">
      <c r="A6" s="81" t="n">
        <v>43832</v>
      </c>
      <c r="B6" s="82" t="s">
        <v>44</v>
      </c>
      <c r="C6" s="0" t="s">
        <v>56</v>
      </c>
      <c r="D6" s="0" t="n">
        <f aca="false">IFERROR(VLOOKUP(E6,Pieces!A:B,2,0)," ")</f>
        <v>480387</v>
      </c>
      <c r="E6" s="0" t="s">
        <v>759</v>
      </c>
      <c r="F6" s="0" t="n">
        <v>0</v>
      </c>
      <c r="G6" s="0" t="n">
        <v>0</v>
      </c>
      <c r="H6" s="0" t="n">
        <v>0</v>
      </c>
      <c r="I6" s="0" t="n">
        <v>0</v>
      </c>
      <c r="J6" s="0" t="n">
        <f aca="false">IFERROR(VLOOKUP(E6,Pieces!A:C,3,0),"Entrer la cadence")</f>
        <v>20</v>
      </c>
      <c r="K6" s="0" t="n">
        <v>1</v>
      </c>
      <c r="L6" s="0" t="n">
        <f aca="false">(G6-F6)*K6</f>
        <v>0</v>
      </c>
      <c r="M6" s="0" t="n">
        <f aca="false">(H6-G6)*K6</f>
        <v>0</v>
      </c>
      <c r="N6" s="0" t="n">
        <f aca="false">(I6-H6)*K6</f>
        <v>0</v>
      </c>
      <c r="O6" s="0" t="n">
        <f aca="false">IF(J6=0,0,L6/J6)</f>
        <v>0</v>
      </c>
      <c r="P6" s="0" t="n">
        <f aca="false">IF(J6=0,0,M6/J6)</f>
        <v>0</v>
      </c>
      <c r="Q6" s="0" t="n">
        <f aca="false">IF(J6=0,0,N6/J6)</f>
        <v>0</v>
      </c>
      <c r="R6" s="0" t="n">
        <v>9</v>
      </c>
      <c r="T6" s="0" t="n">
        <f aca="false">V6+U6-L6-M6-N6</f>
        <v>0</v>
      </c>
      <c r="U6" s="0" t="n">
        <f aca="true">SUM(INDIRECT(ADDRESS(MATCH("Nombre des NC poubelle ",ChoixRJ!$B$1:$B$29,0),MATCH($C6,ChoixRJ!$13:$13,0),4,1,"ChoixRJ"),1)*1,INDIRECT(ADDRESS(MATCH("Nombre des NC à retoucher",ChoixRJ!$B$1:$B$29,0),MATCH($C6,ChoixRJ!$13:$13,0),4,1,"ChoixRJ"),1)*1)</f>
        <v>0</v>
      </c>
      <c r="V6" s="0" t="n">
        <v>0</v>
      </c>
      <c r="AA6" s="0" t="n">
        <f aca="false">IF(J6=0,0,(V6+U6)/J6)</f>
        <v>0</v>
      </c>
      <c r="AB6" s="0" t="n">
        <f aca="false">IF(OR(R6=0,J6=0),"",AA6/R6*100)</f>
        <v>0</v>
      </c>
      <c r="AF6" s="0" t="str">
        <f aca="false">IF(AB6&gt;85," ","WARNING")</f>
        <v>WARNING</v>
      </c>
      <c r="AG6" s="0" t="str">
        <f aca="false">IF(A6=ChoixJour!$A$5,ROW(),"")</f>
        <v/>
      </c>
    </row>
    <row r="7" customFormat="false" ht="13.8" hidden="false" customHeight="false" outlineLevel="0" collapsed="false">
      <c r="A7" s="81" t="n">
        <v>43832</v>
      </c>
      <c r="B7" s="82" t="s">
        <v>62</v>
      </c>
      <c r="C7" s="0" t="s">
        <v>63</v>
      </c>
      <c r="D7" s="0" t="str">
        <f aca="false">IFERROR(VLOOKUP(E7,Pieces!A:B,2,0)," ")</f>
        <v> - </v>
      </c>
      <c r="E7" s="0" t="s">
        <v>136</v>
      </c>
      <c r="F7" s="0" t="n">
        <v>0</v>
      </c>
      <c r="G7" s="0" t="n">
        <v>0</v>
      </c>
      <c r="H7" s="0" t="n">
        <v>0</v>
      </c>
      <c r="I7" s="0" t="n">
        <v>0</v>
      </c>
      <c r="J7" s="0" t="n">
        <f aca="false">IFERROR(VLOOKUP(E7,Pieces!A:C,3,0),"Entrer la cadence")</f>
        <v>1</v>
      </c>
      <c r="K7" s="0" t="n">
        <v>1</v>
      </c>
      <c r="L7" s="0" t="n">
        <f aca="false">(G7-F7)*K7</f>
        <v>0</v>
      </c>
      <c r="M7" s="0" t="n">
        <f aca="false">(H7-G7)*K7</f>
        <v>0</v>
      </c>
      <c r="N7" s="0" t="n">
        <f aca="false">(I7-H7)*K7</f>
        <v>0</v>
      </c>
      <c r="O7" s="0" t="n">
        <f aca="false">IF(J7=0,0,L7/J7)</f>
        <v>0</v>
      </c>
      <c r="P7" s="0" t="n">
        <f aca="false">IF(J7=0,0,M7/J7)</f>
        <v>0</v>
      </c>
      <c r="Q7" s="0" t="n">
        <f aca="false">IF(J7=0,0,N7/J7)</f>
        <v>0</v>
      </c>
      <c r="R7" s="0" t="n">
        <v>9</v>
      </c>
      <c r="T7" s="0" t="n">
        <f aca="false">V7+U7-L7-M7-N7</f>
        <v>0</v>
      </c>
      <c r="U7" s="0" t="n">
        <f aca="true">SUM(INDIRECT(ADDRESS(MATCH("Nombre des NC poubelle ",ChoixRJ!$B$1:$B$29,0),MATCH($C7,ChoixRJ!$13:$13,0),4,1,"ChoixRJ"),1)*1,INDIRECT(ADDRESS(MATCH("Nombre des NC à retoucher",ChoixRJ!$B$1:$B$29,0),MATCH($C7,ChoixRJ!$13:$13,0),4,1,"ChoixRJ"),1)*1)</f>
        <v>0</v>
      </c>
      <c r="V7" s="0" t="n">
        <v>0</v>
      </c>
      <c r="AA7" s="0" t="n">
        <f aca="false">IF(J7=0,0,(V7+U7)/J7)</f>
        <v>0</v>
      </c>
      <c r="AB7" s="0" t="n">
        <f aca="false">IF(OR(R7=0,J7=0),"",AA7/R7*100)</f>
        <v>0</v>
      </c>
      <c r="AF7" s="0" t="str">
        <f aca="false">IF(AB7&gt;85," ","WARNING")</f>
        <v>WARNING</v>
      </c>
      <c r="AG7" s="0" t="str">
        <f aca="false">IF(A7=ChoixJour!$A$5,ROW(),"")</f>
        <v/>
      </c>
    </row>
    <row r="8" customFormat="false" ht="13.8" hidden="false" customHeight="false" outlineLevel="0" collapsed="false">
      <c r="A8" s="81" t="n">
        <v>43832</v>
      </c>
      <c r="B8" s="82" t="s">
        <v>58</v>
      </c>
      <c r="C8" s="0" t="s">
        <v>59</v>
      </c>
      <c r="D8" s="0" t="str">
        <f aca="false">IFERROR(VLOOKUP(E8,Pieces!A:B,2,0)," ")</f>
        <v>I110-01-004</v>
      </c>
      <c r="E8" s="0" t="s">
        <v>883</v>
      </c>
      <c r="F8" s="0" t="n">
        <v>887</v>
      </c>
      <c r="G8" s="0" t="n">
        <v>887</v>
      </c>
      <c r="H8" s="0" t="n">
        <v>887</v>
      </c>
      <c r="I8" s="0" t="n">
        <v>887</v>
      </c>
      <c r="J8" s="0" t="n">
        <f aca="false">IFERROR(VLOOKUP(E8,Pieces!A:C,3,0),"Entrer la cadence")</f>
        <v>28</v>
      </c>
      <c r="K8" s="0" t="n">
        <v>7</v>
      </c>
      <c r="L8" s="0" t="n">
        <f aca="false">(G8-F8)*K8</f>
        <v>0</v>
      </c>
      <c r="M8" s="0" t="n">
        <f aca="false">(H8-G8)*K8</f>
        <v>0</v>
      </c>
      <c r="N8" s="0" t="n">
        <f aca="false">(I8-H8)*K8</f>
        <v>0</v>
      </c>
      <c r="O8" s="0" t="n">
        <f aca="false">IF(J8=0,0,L8/J8)</f>
        <v>0</v>
      </c>
      <c r="P8" s="0" t="n">
        <f aca="false">IF(J8=0,0,M8/J8)</f>
        <v>0</v>
      </c>
      <c r="Q8" s="0" t="n">
        <f aca="false">IF(J8=0,0,N8/J8)</f>
        <v>0</v>
      </c>
      <c r="R8" s="0" t="n">
        <v>9</v>
      </c>
      <c r="T8" s="0" t="n">
        <f aca="false">V8+U8-L8-M8-N8</f>
        <v>0</v>
      </c>
      <c r="U8" s="0" t="n">
        <f aca="true">SUM(INDIRECT(ADDRESS(MATCH("Nombre des NC poubelle ",ChoixRJ!$B$1:$B$29,0),MATCH($C8,ChoixRJ!$13:$13,0),4,1,"ChoixRJ"),1)*1,INDIRECT(ADDRESS(MATCH("Nombre des NC à retoucher",ChoixRJ!$B$1:$B$29,0),MATCH($C8,ChoixRJ!$13:$13,0),4,1,"ChoixRJ"),1)*1)</f>
        <v>0</v>
      </c>
      <c r="V8" s="0" t="n">
        <v>0</v>
      </c>
      <c r="AA8" s="0" t="n">
        <f aca="false">IF(J8=0,0,(V8+U8)/J8)</f>
        <v>0</v>
      </c>
      <c r="AB8" s="0" t="n">
        <f aca="false">IF(OR(R8=0,J8=0),"",AA8/R8*100)</f>
        <v>0</v>
      </c>
      <c r="AF8" s="0" t="str">
        <f aca="false">IF(AB8&gt;85," ","WARNING")</f>
        <v>WARNING</v>
      </c>
      <c r="AG8" s="0" t="str">
        <f aca="false">IF(A8=ChoixJour!$A$5,ROW(),"")</f>
        <v/>
      </c>
    </row>
    <row r="9" customFormat="false" ht="13.8" hidden="false" customHeight="false" outlineLevel="0" collapsed="false">
      <c r="A9" s="81" t="n">
        <v>43832</v>
      </c>
      <c r="B9" s="82" t="s">
        <v>60</v>
      </c>
      <c r="C9" s="0" t="s">
        <v>61</v>
      </c>
      <c r="D9" s="0" t="n">
        <f aca="false">IFERROR(VLOOKUP(E9,Pieces!A:B,2,0)," ")</f>
        <v>480387</v>
      </c>
      <c r="E9" s="0" t="s">
        <v>758</v>
      </c>
      <c r="F9" s="0" t="n">
        <v>80</v>
      </c>
      <c r="G9" s="0" t="n">
        <v>80</v>
      </c>
      <c r="H9" s="0" t="n">
        <v>80</v>
      </c>
      <c r="I9" s="0" t="n">
        <v>80</v>
      </c>
      <c r="J9" s="0" t="n">
        <f aca="false">IFERROR(VLOOKUP(E9,Pieces!A:C,3,0),"Entrer la cadence")</f>
        <v>60</v>
      </c>
      <c r="K9" s="0" t="n">
        <v>20</v>
      </c>
      <c r="L9" s="0" t="n">
        <f aca="false">(G9-F9)*K9</f>
        <v>0</v>
      </c>
      <c r="M9" s="0" t="n">
        <f aca="false">(H9-G9)*K9</f>
        <v>0</v>
      </c>
      <c r="N9" s="0" t="n">
        <f aca="false">(I9-H9)*K9</f>
        <v>0</v>
      </c>
      <c r="O9" s="0" t="n">
        <f aca="false">IF(J9=0,0,L9/J9)</f>
        <v>0</v>
      </c>
      <c r="P9" s="0" t="n">
        <f aca="false">IF(J9=0,0,M9/J9)</f>
        <v>0</v>
      </c>
      <c r="Q9" s="0" t="n">
        <f aca="false">IF(J9=0,0,N9/J9)</f>
        <v>0</v>
      </c>
      <c r="R9" s="0" t="n">
        <v>9</v>
      </c>
      <c r="T9" s="0" t="n">
        <f aca="false">V9+U9-L9-M9-N9</f>
        <v>0</v>
      </c>
      <c r="U9" s="0" t="n">
        <f aca="true">SUM(INDIRECT(ADDRESS(MATCH("Nombre des NC poubelle ",ChoixRJ!$B$1:$B$29,0),MATCH($C9,ChoixRJ!$13:$13,0),4,1,"ChoixRJ"),1)*1,INDIRECT(ADDRESS(MATCH("Nombre des NC à retoucher",ChoixRJ!$B$1:$B$29,0),MATCH($C9,ChoixRJ!$13:$13,0),4,1,"ChoixRJ"),1)*1)</f>
        <v>0</v>
      </c>
      <c r="V9" s="0" t="n">
        <v>0</v>
      </c>
      <c r="AA9" s="0" t="n">
        <f aca="false">IF(J9=0,0,(V9+U9)/J9)</f>
        <v>0</v>
      </c>
      <c r="AB9" s="0" t="n">
        <f aca="false">IF(OR(R9=0,J9=0),"",AA9/R9*100)</f>
        <v>0</v>
      </c>
      <c r="AF9" s="0" t="str">
        <f aca="false">IF(AB9&gt;85," ","WARNING")</f>
        <v>WARNING</v>
      </c>
      <c r="AG9" s="0" t="str">
        <f aca="false">IF(A9=ChoixJour!$A$5,ROW(),"")</f>
        <v/>
      </c>
    </row>
    <row r="10" customFormat="false" ht="13.8" hidden="false" customHeight="false" outlineLevel="0" collapsed="false">
      <c r="A10" s="81" t="n">
        <v>43832</v>
      </c>
      <c r="B10" s="82" t="s">
        <v>68</v>
      </c>
      <c r="C10" s="0" t="s">
        <v>69</v>
      </c>
      <c r="D10" s="0" t="str">
        <f aca="false">IFERROR(VLOOKUP(E10,Pieces!A:B,2,0)," ")</f>
        <v>PIG 50 SE- harding </v>
      </c>
      <c r="E10" s="0" t="s">
        <v>928</v>
      </c>
      <c r="F10" s="0" t="n">
        <v>0</v>
      </c>
      <c r="G10" s="0" t="n">
        <v>5</v>
      </c>
      <c r="H10" s="0" t="n">
        <v>5</v>
      </c>
      <c r="I10" s="0" t="n">
        <v>7</v>
      </c>
      <c r="J10" s="0" t="n">
        <f aca="false">IFERROR(VLOOKUP(E10,Pieces!A:C,3,0),"Entrer la cadence")</f>
        <v>38</v>
      </c>
      <c r="K10" s="0" t="n">
        <v>51</v>
      </c>
      <c r="L10" s="0" t="n">
        <f aca="false">(G10-F10)*K10</f>
        <v>255</v>
      </c>
      <c r="M10" s="0" t="n">
        <f aca="false">(H10-G10)*K10</f>
        <v>0</v>
      </c>
      <c r="N10" s="0" t="n">
        <f aca="false">(I10-H10)*K10</f>
        <v>102</v>
      </c>
      <c r="O10" s="0" t="n">
        <f aca="false">IF(J10=0,0,L10/J10)</f>
        <v>6.71052631578947</v>
      </c>
      <c r="P10" s="0" t="n">
        <f aca="false">IF(J10=0,0,M10/J10)</f>
        <v>0</v>
      </c>
      <c r="Q10" s="0" t="n">
        <f aca="false">IF(J10=0,0,N10/J10)</f>
        <v>2.68421052631579</v>
      </c>
      <c r="R10" s="0" t="n">
        <v>9</v>
      </c>
      <c r="T10" s="0" t="n">
        <f aca="false">V10+U10-L10-M10-N10</f>
        <v>0</v>
      </c>
      <c r="U10" s="0" t="n">
        <f aca="true">SUM(INDIRECT(ADDRESS(MATCH("Nombre des NC poubelle ",ChoixRJ!$B$1:$B$29,0),MATCH($C10,ChoixRJ!$13:$13,0),4,1,"ChoixRJ"),1)*1,INDIRECT(ADDRESS(MATCH("Nombre des NC à retoucher",ChoixRJ!$B$1:$B$29,0),MATCH($C10,ChoixRJ!$13:$13,0),4,1,"ChoixRJ"),1)*1)</f>
        <v>0</v>
      </c>
      <c r="V10" s="0" t="n">
        <v>357</v>
      </c>
      <c r="AA10" s="0" t="n">
        <f aca="false">IF(J10=0,0,(V10+U10)/J10)</f>
        <v>9.39473684210526</v>
      </c>
      <c r="AB10" s="0" t="n">
        <f aca="false">IF(OR(R10=0,J10=0),"",AA10/R10*100)</f>
        <v>104.385964912281</v>
      </c>
      <c r="AF10" s="0" t="str">
        <f aca="false">IF(AB10&gt;85," ","WARNING")</f>
        <v> </v>
      </c>
      <c r="AG10" s="0" t="str">
        <f aca="false">IF(A10=ChoixJour!$A$5,ROW(),"")</f>
        <v/>
      </c>
    </row>
    <row r="11" customFormat="false" ht="13.8" hidden="false" customHeight="false" outlineLevel="0" collapsed="false">
      <c r="A11" s="81" t="n">
        <v>43832</v>
      </c>
      <c r="B11" s="82" t="s">
        <v>66</v>
      </c>
      <c r="C11" s="0" t="s">
        <v>67</v>
      </c>
      <c r="D11" s="0" t="str">
        <f aca="false">IFERROR(VLOOKUP(E11,Pieces!A:B,2,0)," ")</f>
        <v> - </v>
      </c>
      <c r="E11" s="0" t="s">
        <v>136</v>
      </c>
      <c r="F11" s="0" t="n">
        <v>0</v>
      </c>
      <c r="G11" s="0" t="n">
        <v>0</v>
      </c>
      <c r="H11" s="0" t="n">
        <v>0</v>
      </c>
      <c r="I11" s="0" t="n">
        <v>0</v>
      </c>
      <c r="J11" s="0" t="n">
        <f aca="false">IFERROR(VLOOKUP(E11,Pieces!A:C,3,0),"Entrer la cadence")</f>
        <v>1</v>
      </c>
      <c r="K11" s="0" t="n">
        <v>1</v>
      </c>
      <c r="L11" s="0" t="n">
        <f aca="false">(G11-F11)*K11</f>
        <v>0</v>
      </c>
      <c r="M11" s="0" t="n">
        <f aca="false">(H11-G11)*K11</f>
        <v>0</v>
      </c>
      <c r="N11" s="0" t="n">
        <f aca="false">(I11-H11)*K11</f>
        <v>0</v>
      </c>
      <c r="O11" s="0" t="n">
        <f aca="false">IF(J11=0,0,L11/J11)</f>
        <v>0</v>
      </c>
      <c r="P11" s="0" t="n">
        <f aca="false">IF(J11=0,0,M11/J11)</f>
        <v>0</v>
      </c>
      <c r="Q11" s="0" t="n">
        <f aca="false">IF(J11=0,0,N11/J11)</f>
        <v>0</v>
      </c>
      <c r="R11" s="0" t="n">
        <v>9</v>
      </c>
      <c r="T11" s="0" t="n">
        <f aca="false">V11+U11-L11-M11-N11</f>
        <v>0</v>
      </c>
      <c r="U11" s="0" t="n">
        <f aca="true">SUM(INDIRECT(ADDRESS(MATCH("Nombre des NC poubelle ",ChoixRJ!$B$1:$B$29,0),MATCH($C11,ChoixRJ!$13:$13,0),4,1,"ChoixRJ"),1)*1,INDIRECT(ADDRESS(MATCH("Nombre des NC à retoucher",ChoixRJ!$B$1:$B$29,0),MATCH($C11,ChoixRJ!$13:$13,0),4,1,"ChoixRJ"),1)*1)</f>
        <v>0</v>
      </c>
      <c r="V11" s="0" t="n">
        <v>0</v>
      </c>
      <c r="AA11" s="0" t="n">
        <f aca="false">IF(J11=0,0,(V11+U11)/J11)</f>
        <v>0</v>
      </c>
      <c r="AB11" s="0" t="n">
        <f aca="false">IF(OR(R11=0,J11=0),"",AA11/R11*100)</f>
        <v>0</v>
      </c>
      <c r="AF11" s="0" t="str">
        <f aca="false">IF(AB11&gt;85," ","WARNING")</f>
        <v>WARNING</v>
      </c>
      <c r="AG11" s="0" t="str">
        <f aca="false">IF(A11=ChoixJour!$A$5,ROW(),"")</f>
        <v/>
      </c>
    </row>
    <row r="12" customFormat="false" ht="13.8" hidden="false" customHeight="false" outlineLevel="0" collapsed="false">
      <c r="A12" s="81" t="n">
        <v>43832</v>
      </c>
      <c r="B12" s="82" t="s">
        <v>46</v>
      </c>
      <c r="C12" s="0" t="s">
        <v>57</v>
      </c>
      <c r="D12" s="0" t="str">
        <f aca="false">IFERROR(VLOOKUP(E12,Pieces!A:B,2,0)," ")</f>
        <v>MPS000300</v>
      </c>
      <c r="E12" s="0" t="s">
        <v>958</v>
      </c>
      <c r="F12" s="0" t="n">
        <v>180777</v>
      </c>
      <c r="G12" s="0" t="n">
        <v>180777</v>
      </c>
      <c r="H12" s="0" t="n">
        <v>180777</v>
      </c>
      <c r="I12" s="0" t="n">
        <v>180777</v>
      </c>
      <c r="J12" s="0" t="n">
        <f aca="false">IFERROR(VLOOKUP(E12,Pieces!A:C,3,0),"Entrer la cadence")</f>
        <v>454</v>
      </c>
      <c r="K12" s="0" t="n">
        <v>1</v>
      </c>
      <c r="L12" s="0" t="n">
        <f aca="false">(G12-F12)*K12</f>
        <v>0</v>
      </c>
      <c r="M12" s="0" t="n">
        <f aca="false">(H12-G12)*K12</f>
        <v>0</v>
      </c>
      <c r="N12" s="0" t="n">
        <f aca="false">(I12-H12)*K12</f>
        <v>0</v>
      </c>
      <c r="O12" s="0" t="n">
        <f aca="false">IF(J12=0,0,L12/J12)</f>
        <v>0</v>
      </c>
      <c r="P12" s="0" t="n">
        <f aca="false">IF(J12=0,0,M12/J12)</f>
        <v>0</v>
      </c>
      <c r="Q12" s="0" t="n">
        <f aca="false">IF(J12=0,0,N12/J12)</f>
        <v>0</v>
      </c>
      <c r="R12" s="0" t="n">
        <v>9</v>
      </c>
      <c r="T12" s="0" t="n">
        <f aca="false">V12+U12-L12-M12-N12</f>
        <v>0</v>
      </c>
      <c r="U12" s="0" t="n">
        <f aca="true">SUM(INDIRECT(ADDRESS(MATCH("Nombre des NC poubelle ",ChoixRJ!$B$1:$B$29,0),MATCH($C12,ChoixRJ!$13:$13,0),4,1,"ChoixRJ"),1)*1,INDIRECT(ADDRESS(MATCH("Nombre des NC à retoucher",ChoixRJ!$B$1:$B$29,0),MATCH($C12,ChoixRJ!$13:$13,0),4,1,"ChoixRJ"),1)*1)</f>
        <v>0</v>
      </c>
      <c r="V12" s="0" t="n">
        <v>0</v>
      </c>
      <c r="AA12" s="0" t="n">
        <f aca="false">IF(J12=0,0,(V12+U12)/J12)</f>
        <v>0</v>
      </c>
      <c r="AB12" s="0" t="n">
        <f aca="false">IF(OR(R12=0,J12=0),"",AA12/R12*100)</f>
        <v>0</v>
      </c>
      <c r="AF12" s="0" t="str">
        <f aca="false">IF(AB12&gt;85," ","WARNING")</f>
        <v>WARNING</v>
      </c>
      <c r="AG12" s="0" t="str">
        <f aca="false">IF(A12=ChoixJour!$A$5,ROW(),"")</f>
        <v/>
      </c>
    </row>
    <row r="13" customFormat="false" ht="13.8" hidden="false" customHeight="false" outlineLevel="0" collapsed="false">
      <c r="A13" s="81" t="n">
        <v>43832</v>
      </c>
      <c r="B13" s="82" t="s">
        <v>64</v>
      </c>
      <c r="C13" s="0" t="s">
        <v>65</v>
      </c>
      <c r="D13" s="0" t="str">
        <f aca="false">IFERROR(VLOOKUP(E13,Pieces!A:B,2,0)," ")</f>
        <v>I143-CP1</v>
      </c>
      <c r="E13" s="0" t="s">
        <v>699</v>
      </c>
      <c r="F13" s="0" t="n">
        <v>2561</v>
      </c>
      <c r="G13" s="0" t="n">
        <v>2940</v>
      </c>
      <c r="H13" s="0" t="n">
        <v>2940</v>
      </c>
      <c r="I13" s="0" t="n">
        <v>2992</v>
      </c>
      <c r="J13" s="0" t="n">
        <f aca="false">IFERROR(VLOOKUP(E13,Pieces!A:C,3,0),"Entrer la cadence")</f>
        <v>50</v>
      </c>
      <c r="K13" s="0" t="n">
        <v>1</v>
      </c>
      <c r="L13" s="0" t="n">
        <f aca="false">(G13-F13)*K13</f>
        <v>379</v>
      </c>
      <c r="M13" s="0" t="n">
        <f aca="false">(H13-G13)*K13</f>
        <v>0</v>
      </c>
      <c r="N13" s="0" t="n">
        <f aca="false">(I13-H13)*K13</f>
        <v>52</v>
      </c>
      <c r="O13" s="0" t="n">
        <f aca="false">IF(J13=0,0,L13/J13)</f>
        <v>7.58</v>
      </c>
      <c r="P13" s="0" t="n">
        <f aca="false">IF(J13=0,0,M13/J13)</f>
        <v>0</v>
      </c>
      <c r="Q13" s="0" t="n">
        <f aca="false">IF(J13=0,0,N13/J13)</f>
        <v>1.04</v>
      </c>
      <c r="R13" s="0" t="n">
        <v>9</v>
      </c>
      <c r="T13" s="0" t="n">
        <f aca="false">V13+U13-L13-M13-N13</f>
        <v>0</v>
      </c>
      <c r="U13" s="0" t="n">
        <f aca="true">SUM(INDIRECT(ADDRESS(MATCH("Nombre des NC poubelle ",ChoixRJ!$B$1:$B$29,0),MATCH($C13,ChoixRJ!$13:$13,0),4,1,"ChoixRJ"),1)*1,INDIRECT(ADDRESS(MATCH("Nombre des NC à retoucher",ChoixRJ!$B$1:$B$29,0),MATCH($C13,ChoixRJ!$13:$13,0),4,1,"ChoixRJ"),1)*1)</f>
        <v>0</v>
      </c>
      <c r="V13" s="0" t="n">
        <v>431</v>
      </c>
      <c r="AA13" s="0" t="n">
        <f aca="false">IF(J13=0,0,(V13+U13)/J13)</f>
        <v>8.62</v>
      </c>
      <c r="AB13" s="0" t="n">
        <f aca="false">IF(OR(R13=0,J13=0),"",AA13/R13*100)</f>
        <v>95.7777777777778</v>
      </c>
      <c r="AF13" s="0" t="str">
        <f aca="false">IF(AB13&gt;85," ","WARNING")</f>
        <v> </v>
      </c>
      <c r="AG13" s="0" t="str">
        <f aca="false">IF(A13=ChoixJour!$A$5,ROW(),"")</f>
        <v/>
      </c>
    </row>
    <row r="14" customFormat="false" ht="13.8" hidden="false" customHeight="false" outlineLevel="0" collapsed="false">
      <c r="A14" s="81" t="n">
        <v>43832</v>
      </c>
      <c r="B14" s="82" t="s">
        <v>96</v>
      </c>
      <c r="C14" s="0" t="s">
        <v>71</v>
      </c>
      <c r="D14" s="0" t="str">
        <f aca="false">IFERROR(VLOOKUP(E14,Pieces!A:B,2,0)," ")</f>
        <v>G018</v>
      </c>
      <c r="E14" s="0" t="s">
        <v>838</v>
      </c>
      <c r="F14" s="0" t="n">
        <v>839</v>
      </c>
      <c r="G14" s="0" t="n">
        <v>1030</v>
      </c>
      <c r="H14" s="0" t="n">
        <v>1030</v>
      </c>
      <c r="I14" s="0" t="n">
        <v>1030</v>
      </c>
      <c r="J14" s="0" t="n">
        <f aca="false">IFERROR(VLOOKUP(E14,Pieces!A:C,3,0),"Entrer la cadence")</f>
        <v>20</v>
      </c>
      <c r="K14" s="0" t="n">
        <v>1</v>
      </c>
      <c r="L14" s="0" t="n">
        <f aca="false">(G14-F14)*K14</f>
        <v>191</v>
      </c>
      <c r="M14" s="0" t="n">
        <f aca="false">(H14-G14)*K14</f>
        <v>0</v>
      </c>
      <c r="N14" s="0" t="n">
        <f aca="false">(I14-H14)*K14</f>
        <v>0</v>
      </c>
      <c r="O14" s="0" t="n">
        <f aca="false">IF(J14=0,0,L14/J14)</f>
        <v>9.55</v>
      </c>
      <c r="P14" s="0" t="n">
        <f aca="false">IF(J14=0,0,M14/J14)</f>
        <v>0</v>
      </c>
      <c r="Q14" s="0" t="n">
        <f aca="false">IF(J14=0,0,N14/J14)</f>
        <v>0</v>
      </c>
      <c r="R14" s="0" t="n">
        <v>9</v>
      </c>
      <c r="T14" s="0" t="n">
        <f aca="false">V14+U14-L14-M14-N14</f>
        <v>0</v>
      </c>
      <c r="U14" s="0" t="n">
        <f aca="true">SUM(INDIRECT(ADDRESS(MATCH("Nombre des NC poubelle ",ChoixRJ!$B$1:$B$29,0),MATCH($C14,ChoixRJ!$13:$13,0),4,1,"ChoixRJ"),1)*1,INDIRECT(ADDRESS(MATCH("Nombre des NC à retoucher",ChoixRJ!$B$1:$B$29,0),MATCH($C14,ChoixRJ!$13:$13,0),4,1,"ChoixRJ"),1)*1)</f>
        <v>0</v>
      </c>
      <c r="V14" s="0" t="n">
        <v>191</v>
      </c>
      <c r="AA14" s="0" t="n">
        <f aca="false">IF(J14=0,0,(V14+U14)/J14)</f>
        <v>9.55</v>
      </c>
      <c r="AB14" s="0" t="n">
        <f aca="false">IF(OR(R14=0,J14=0),"",AA14/R14*100)</f>
        <v>106.111111111111</v>
      </c>
      <c r="AF14" s="0" t="str">
        <f aca="false">IF(AB14&gt;85," ","WARNING")</f>
        <v> </v>
      </c>
      <c r="AG14" s="0" t="str">
        <f aca="false">IF(A14=ChoixJour!$A$5,ROW(),"")</f>
        <v/>
      </c>
    </row>
    <row r="15" customFormat="false" ht="13.8" hidden="false" customHeight="false" outlineLevel="0" collapsed="false">
      <c r="A15" s="81" t="n">
        <v>43833</v>
      </c>
      <c r="B15" s="82" t="s">
        <v>36</v>
      </c>
      <c r="C15" s="0" t="s">
        <v>52</v>
      </c>
      <c r="D15" s="0" t="str">
        <f aca="false">IFERROR(VLOOKUP(E15,Pieces!A:B,2,0)," ")</f>
        <v>outi-plot</v>
      </c>
      <c r="E15" s="0" t="s">
        <v>940</v>
      </c>
      <c r="F15" s="0" t="n">
        <v>27950</v>
      </c>
      <c r="G15" s="0" t="n">
        <v>28600</v>
      </c>
      <c r="H15" s="0" t="n">
        <v>28600</v>
      </c>
      <c r="I15" s="0" t="n">
        <v>28850</v>
      </c>
      <c r="J15" s="0" t="n">
        <f aca="false">IFERROR(VLOOKUP(E15,Pieces!A:C,3,0),"Entrer la cadence")</f>
        <v>75</v>
      </c>
      <c r="K15" s="0" t="n">
        <v>1</v>
      </c>
      <c r="L15" s="0" t="n">
        <f aca="false">(G15-F15)*K15</f>
        <v>650</v>
      </c>
      <c r="M15" s="0" t="n">
        <f aca="false">(H15-G15)*K15</f>
        <v>0</v>
      </c>
      <c r="N15" s="0" t="n">
        <f aca="false">(I15-H15)*K15</f>
        <v>250</v>
      </c>
      <c r="O15" s="0" t="n">
        <f aca="false">IF(J15=0,0,L15/J15)</f>
        <v>8.66666666666667</v>
      </c>
      <c r="P15" s="0" t="n">
        <f aca="false">IF(J15=0,0,M15/J15)</f>
        <v>0</v>
      </c>
      <c r="Q15" s="0" t="n">
        <f aca="false">IF(J15=0,0,N15/J15)</f>
        <v>3.33333333333333</v>
      </c>
      <c r="R15" s="0" t="n">
        <v>9</v>
      </c>
      <c r="T15" s="0" t="n">
        <f aca="false">V15+U15-L15-M15-N15</f>
        <v>0</v>
      </c>
      <c r="U15" s="0" t="n">
        <f aca="true">SUM(INDIRECT(ADDRESS(MATCH("Nombre des NC poubelle ",ChoixRJ!$B$1:$B$29,0),MATCH($C15,ChoixRJ!$13:$13,0),4,1,"ChoixRJ"),1)*1,INDIRECT(ADDRESS(MATCH("Nombre des NC à retoucher",ChoixRJ!$B$1:$B$29,0),MATCH($C15,ChoixRJ!$13:$13,0),4,1,"ChoixRJ"),1)*1)</f>
        <v>0</v>
      </c>
      <c r="V15" s="0" t="n">
        <v>900</v>
      </c>
      <c r="AA15" s="0" t="n">
        <f aca="false">IF(J15=0,0,(V15+U15)/J15)</f>
        <v>12</v>
      </c>
      <c r="AB15" s="0" t="n">
        <f aca="false">IF(OR(R15=0,J15=0),"",AA15/R15*100)</f>
        <v>133.333333333333</v>
      </c>
      <c r="AF15" s="0" t="str">
        <f aca="false">IF(AB15&gt;85," ","WARNING")</f>
        <v> </v>
      </c>
      <c r="AG15" s="0" t="str">
        <f aca="false">IF(A15=ChoixJour!$A$5,ROW(),"")</f>
        <v/>
      </c>
    </row>
    <row r="16" customFormat="false" ht="13.8" hidden="false" customHeight="false" outlineLevel="0" collapsed="false">
      <c r="A16" s="81" t="n">
        <v>43833</v>
      </c>
      <c r="B16" s="82" t="s">
        <v>38</v>
      </c>
      <c r="C16" s="0" t="s">
        <v>53</v>
      </c>
      <c r="D16" s="0" t="str">
        <f aca="false">IFERROR(VLOOKUP(E16,Pieces!A:B,2,0)," ")</f>
        <v>ECR-6.5X10</v>
      </c>
      <c r="E16" s="0" t="s">
        <v>661</v>
      </c>
      <c r="F16" s="0" t="n">
        <v>1416</v>
      </c>
      <c r="G16" s="0" t="n">
        <v>2281</v>
      </c>
      <c r="H16" s="0" t="n">
        <v>2281</v>
      </c>
      <c r="I16" s="0" t="n">
        <v>2464</v>
      </c>
      <c r="J16" s="0" t="n">
        <f aca="false">IFERROR(VLOOKUP(E16,Pieces!A:C,3,0),"Entrer la cadence")</f>
        <v>120</v>
      </c>
      <c r="K16" s="0" t="n">
        <v>1</v>
      </c>
      <c r="L16" s="0" t="n">
        <f aca="false">(G16-F16)*K16</f>
        <v>865</v>
      </c>
      <c r="M16" s="0" t="n">
        <f aca="false">(H16-G16)*K16</f>
        <v>0</v>
      </c>
      <c r="N16" s="0" t="n">
        <f aca="false">(I16-H16)*K16</f>
        <v>183</v>
      </c>
      <c r="O16" s="0" t="n">
        <f aca="false">IF(J16=0,0,L16/J16)</f>
        <v>7.20833333333333</v>
      </c>
      <c r="P16" s="0" t="n">
        <f aca="false">IF(J16=0,0,M16/J16)</f>
        <v>0</v>
      </c>
      <c r="Q16" s="0" t="n">
        <f aca="false">IF(J16=0,0,N16/J16)</f>
        <v>1.525</v>
      </c>
      <c r="R16" s="0" t="n">
        <v>9</v>
      </c>
      <c r="T16" s="0" t="n">
        <f aca="false">V16+U16-L16-M16-N16</f>
        <v>0</v>
      </c>
      <c r="U16" s="0" t="n">
        <f aca="true">SUM(INDIRECT(ADDRESS(MATCH("Nombre des NC poubelle ",ChoixRJ!$B$1:$B$29,0),MATCH($C16,ChoixRJ!$13:$13,0),4,1,"ChoixRJ"),1)*1,INDIRECT(ADDRESS(MATCH("Nombre des NC à retoucher",ChoixRJ!$B$1:$B$29,0),MATCH($C16,ChoixRJ!$13:$13,0),4,1,"ChoixRJ"),1)*1)</f>
        <v>0</v>
      </c>
      <c r="V16" s="0" t="n">
        <v>1048</v>
      </c>
      <c r="AA16" s="0" t="n">
        <f aca="false">IF(J16=0,0,(V16+U16)/J16)</f>
        <v>8.73333333333333</v>
      </c>
      <c r="AB16" s="0" t="n">
        <f aca="false">IF(OR(R16=0,J16=0),"",AA16/R16*100)</f>
        <v>97.037037037037</v>
      </c>
      <c r="AF16" s="0" t="str">
        <f aca="false">IF(AB16&gt;85," ","WARNING")</f>
        <v> </v>
      </c>
      <c r="AG16" s="0" t="str">
        <f aca="false">IF(A16=ChoixJour!$A$5,ROW(),"")</f>
        <v/>
      </c>
    </row>
    <row r="17" customFormat="false" ht="13.8" hidden="false" customHeight="false" outlineLevel="0" collapsed="false">
      <c r="A17" s="81" t="n">
        <v>43833</v>
      </c>
      <c r="B17" s="82" t="s">
        <v>40</v>
      </c>
      <c r="C17" s="0" t="s">
        <v>54</v>
      </c>
      <c r="D17" s="0" t="str">
        <f aca="false">IFERROR(VLOOKUP(E17,Pieces!A:B,2,0)," ")</f>
        <v>G011</v>
      </c>
      <c r="E17" s="0" t="s">
        <v>302</v>
      </c>
      <c r="F17" s="0" t="n">
        <v>700</v>
      </c>
      <c r="G17" s="0" t="n">
        <v>981</v>
      </c>
      <c r="H17" s="0" t="n">
        <v>981</v>
      </c>
      <c r="I17" s="0" t="n">
        <v>1084</v>
      </c>
      <c r="J17" s="0" t="n">
        <f aca="false">IFERROR(VLOOKUP(E17,Pieces!A:C,3,0),"Entrer la cadence")</f>
        <v>45</v>
      </c>
      <c r="K17" s="0" t="n">
        <v>1</v>
      </c>
      <c r="L17" s="0" t="n">
        <f aca="false">(G17-F17)*K17</f>
        <v>281</v>
      </c>
      <c r="M17" s="0" t="n">
        <f aca="false">(H17-G17)*K17</f>
        <v>0</v>
      </c>
      <c r="N17" s="0" t="n">
        <f aca="false">(I17-H17)*K17</f>
        <v>103</v>
      </c>
      <c r="O17" s="0" t="n">
        <f aca="false">IF(J17=0,0,L17/J17)</f>
        <v>6.24444444444444</v>
      </c>
      <c r="P17" s="0" t="n">
        <f aca="false">IF(J17=0,0,M17/J17)</f>
        <v>0</v>
      </c>
      <c r="Q17" s="0" t="n">
        <f aca="false">IF(J17=0,0,N17/J17)</f>
        <v>2.28888888888889</v>
      </c>
      <c r="R17" s="0" t="n">
        <v>9</v>
      </c>
      <c r="T17" s="0" t="n">
        <f aca="false">V17+U17-L17-M17-N17</f>
        <v>0</v>
      </c>
      <c r="U17" s="0" t="n">
        <f aca="true">SUM(INDIRECT(ADDRESS(MATCH("Nombre des NC poubelle ",ChoixRJ!$B$1:$B$29,0),MATCH($C17,ChoixRJ!$13:$13,0),4,1,"ChoixRJ"),1)*1,INDIRECT(ADDRESS(MATCH("Nombre des NC à retoucher",ChoixRJ!$B$1:$B$29,0),MATCH($C17,ChoixRJ!$13:$13,0),4,1,"ChoixRJ"),1)*1)</f>
        <v>0</v>
      </c>
      <c r="V17" s="0" t="n">
        <v>384</v>
      </c>
      <c r="AA17" s="0" t="n">
        <f aca="false">IF(J17=0,0,(V17+U17)/J17)</f>
        <v>8.53333333333333</v>
      </c>
      <c r="AB17" s="0" t="n">
        <f aca="false">IF(OR(R17=0,J17=0),"",AA17/R17*100)</f>
        <v>94.8148148148148</v>
      </c>
      <c r="AF17" s="0" t="str">
        <f aca="false">IF(AB17&gt;85," ","WARNING")</f>
        <v> </v>
      </c>
      <c r="AG17" s="0" t="str">
        <f aca="false">IF(A17=ChoixJour!$A$5,ROW(),"")</f>
        <v/>
      </c>
    </row>
    <row r="18" customFormat="false" ht="13.8" hidden="false" customHeight="false" outlineLevel="0" collapsed="false">
      <c r="A18" s="81" t="n">
        <v>43833</v>
      </c>
      <c r="B18" s="82" t="s">
        <v>42</v>
      </c>
      <c r="C18" s="0" t="s">
        <v>55</v>
      </c>
      <c r="D18" s="0" t="str">
        <f aca="false">IFERROR(VLOOKUP(E18,Pieces!A:B,2,0)," ")</f>
        <v>I081-95-CP8</v>
      </c>
      <c r="E18" s="0" t="s">
        <v>147</v>
      </c>
      <c r="F18" s="0" t="n">
        <v>310</v>
      </c>
      <c r="G18" s="0" t="n">
        <v>410</v>
      </c>
      <c r="H18" s="0" t="n">
        <v>410</v>
      </c>
      <c r="I18" s="0" t="n">
        <v>411</v>
      </c>
      <c r="J18" s="0" t="n">
        <f aca="false">IFERROR(VLOOKUP(E18,Pieces!A:C,3,0),"Entrer la cadence")</f>
        <v>28</v>
      </c>
      <c r="K18" s="0" t="n">
        <v>1</v>
      </c>
      <c r="L18" s="0" t="n">
        <f aca="false">(G18-F18)*K18</f>
        <v>100</v>
      </c>
      <c r="M18" s="0" t="n">
        <f aca="false">(H18-G18)*K18</f>
        <v>0</v>
      </c>
      <c r="N18" s="0" t="n">
        <f aca="false">(I18-H18)*K18</f>
        <v>1</v>
      </c>
      <c r="O18" s="0" t="n">
        <f aca="false">IF(J18=0,0,L18/J18)</f>
        <v>3.57142857142857</v>
      </c>
      <c r="P18" s="0" t="n">
        <f aca="false">IF(J18=0,0,M18/J18)</f>
        <v>0</v>
      </c>
      <c r="Q18" s="0" t="n">
        <f aca="false">IF(J18=0,0,N18/J18)</f>
        <v>0.0357142857142857</v>
      </c>
      <c r="R18" s="0" t="n">
        <v>9</v>
      </c>
      <c r="T18" s="0" t="n">
        <f aca="false">V18+U18-L18-M18-N18</f>
        <v>9</v>
      </c>
      <c r="U18" s="0" t="n">
        <f aca="true">SUM(INDIRECT(ADDRESS(MATCH("Nombre des NC poubelle ",ChoixRJ!$B$1:$B$29,0),MATCH($C18,ChoixRJ!$13:$13,0),4,1,"ChoixRJ"),1)*1,INDIRECT(ADDRESS(MATCH("Nombre des NC à retoucher",ChoixRJ!$B$1:$B$29,0),MATCH($C18,ChoixRJ!$13:$13,0),4,1,"ChoixRJ"),1)*1)</f>
        <v>9</v>
      </c>
      <c r="V18" s="0" t="n">
        <v>101</v>
      </c>
      <c r="AA18" s="0" t="n">
        <f aca="false">IF(J18=0,0,(V18+U18)/J18)</f>
        <v>3.92857142857143</v>
      </c>
      <c r="AB18" s="0" t="n">
        <f aca="false">IF(OR(R18=0,J18=0),"",AA18/R18*100)</f>
        <v>43.6507936507937</v>
      </c>
      <c r="AF18" s="0" t="str">
        <f aca="false">IF(AB18&gt;85," ","WARNING")</f>
        <v>WARNING</v>
      </c>
      <c r="AG18" s="0" t="str">
        <f aca="false">IF(A18=ChoixJour!$A$5,ROW(),"")</f>
        <v/>
      </c>
    </row>
    <row r="19" customFormat="false" ht="13.8" hidden="false" customHeight="false" outlineLevel="0" collapsed="false">
      <c r="A19" s="81" t="n">
        <v>43833</v>
      </c>
      <c r="B19" s="82" t="s">
        <v>44</v>
      </c>
      <c r="C19" s="0" t="s">
        <v>56</v>
      </c>
      <c r="D19" s="0" t="n">
        <f aca="false">IFERROR(VLOOKUP(E19,Pieces!A:B,2,0)," ")</f>
        <v>480387</v>
      </c>
      <c r="E19" s="0" t="s">
        <v>759</v>
      </c>
      <c r="F19" s="0" t="n">
        <v>0</v>
      </c>
      <c r="G19" s="0" t="n">
        <v>0</v>
      </c>
      <c r="H19" s="0" t="n">
        <v>0</v>
      </c>
      <c r="I19" s="0" t="n">
        <v>0</v>
      </c>
      <c r="J19" s="0" t="n">
        <f aca="false">IFERROR(VLOOKUP(E19,Pieces!A:C,3,0),"Entrer la cadence")</f>
        <v>20</v>
      </c>
      <c r="K19" s="0" t="n">
        <v>1</v>
      </c>
      <c r="L19" s="0" t="n">
        <f aca="false">(G19-F19)*K19</f>
        <v>0</v>
      </c>
      <c r="M19" s="0" t="n">
        <f aca="false">(H19-G19)*K19</f>
        <v>0</v>
      </c>
      <c r="N19" s="0" t="n">
        <f aca="false">(I19-H19)*K19</f>
        <v>0</v>
      </c>
      <c r="O19" s="0" t="n">
        <f aca="false">IF(J19=0,0,L19/J19)</f>
        <v>0</v>
      </c>
      <c r="P19" s="0" t="n">
        <f aca="false">IF(J19=0,0,M19/J19)</f>
        <v>0</v>
      </c>
      <c r="Q19" s="0" t="n">
        <f aca="false">IF(J19=0,0,N19/J19)</f>
        <v>0</v>
      </c>
      <c r="R19" s="0" t="n">
        <v>9</v>
      </c>
      <c r="T19" s="0" t="n">
        <f aca="false">V19+U19-L19-M19-N19</f>
        <v>0</v>
      </c>
      <c r="U19" s="0" t="n">
        <f aca="true">SUM(INDIRECT(ADDRESS(MATCH("Nombre des NC poubelle ",ChoixRJ!$B$1:$B$29,0),MATCH($C19,ChoixRJ!$13:$13,0),4,1,"ChoixRJ"),1)*1,INDIRECT(ADDRESS(MATCH("Nombre des NC à retoucher",ChoixRJ!$B$1:$B$29,0),MATCH($C19,ChoixRJ!$13:$13,0),4,1,"ChoixRJ"),1)*1)</f>
        <v>0</v>
      </c>
      <c r="V19" s="0" t="n">
        <v>0</v>
      </c>
      <c r="AA19" s="0" t="n">
        <f aca="false">IF(J19=0,0,(V19+U19)/J19)</f>
        <v>0</v>
      </c>
      <c r="AB19" s="0" t="n">
        <f aca="false">IF(OR(R19=0,J19=0),"",AA19/R19*100)</f>
        <v>0</v>
      </c>
      <c r="AF19" s="0" t="str">
        <f aca="false">IF(AB19&gt;85," ","WARNING")</f>
        <v>WARNING</v>
      </c>
      <c r="AG19" s="0" t="str">
        <f aca="false">IF(A19=ChoixJour!$A$5,ROW(),"")</f>
        <v/>
      </c>
    </row>
    <row r="20" customFormat="false" ht="13.8" hidden="false" customHeight="false" outlineLevel="0" collapsed="false">
      <c r="A20" s="81" t="n">
        <v>43833</v>
      </c>
      <c r="B20" s="82" t="s">
        <v>62</v>
      </c>
      <c r="C20" s="0" t="s">
        <v>63</v>
      </c>
      <c r="D20" s="0" t="str">
        <f aca="false">IFERROR(VLOOKUP(E20,Pieces!A:B,2,0)," ")</f>
        <v> - </v>
      </c>
      <c r="E20" s="0" t="s">
        <v>136</v>
      </c>
      <c r="F20" s="0" t="n">
        <v>0</v>
      </c>
      <c r="G20" s="0" t="n">
        <v>0</v>
      </c>
      <c r="H20" s="0" t="n">
        <v>0</v>
      </c>
      <c r="I20" s="0" t="n">
        <v>0</v>
      </c>
      <c r="J20" s="0" t="n">
        <f aca="false">IFERROR(VLOOKUP(E20,Pieces!A:C,3,0),"Entrer la cadence")</f>
        <v>1</v>
      </c>
      <c r="K20" s="0" t="n">
        <v>1</v>
      </c>
      <c r="L20" s="0" t="n">
        <f aca="false">(G20-F20)*K20</f>
        <v>0</v>
      </c>
      <c r="M20" s="0" t="n">
        <f aca="false">(H20-G20)*K20</f>
        <v>0</v>
      </c>
      <c r="N20" s="0" t="n">
        <f aca="false">(I20-H20)*K20</f>
        <v>0</v>
      </c>
      <c r="O20" s="0" t="n">
        <f aca="false">IF(J20=0,0,L20/J20)</f>
        <v>0</v>
      </c>
      <c r="P20" s="0" t="n">
        <f aca="false">IF(J20=0,0,M20/J20)</f>
        <v>0</v>
      </c>
      <c r="Q20" s="0" t="n">
        <f aca="false">IF(J20=0,0,N20/J20)</f>
        <v>0</v>
      </c>
      <c r="R20" s="0" t="n">
        <v>9</v>
      </c>
      <c r="T20" s="0" t="n">
        <f aca="false">V20+U20-L20-M20-N20</f>
        <v>0</v>
      </c>
      <c r="U20" s="0" t="n">
        <f aca="true">SUM(INDIRECT(ADDRESS(MATCH("Nombre des NC poubelle ",ChoixRJ!$B$1:$B$29,0),MATCH($C20,ChoixRJ!$13:$13,0),4,1,"ChoixRJ"),1)*1,INDIRECT(ADDRESS(MATCH("Nombre des NC à retoucher",ChoixRJ!$B$1:$B$29,0),MATCH($C20,ChoixRJ!$13:$13,0),4,1,"ChoixRJ"),1)*1)</f>
        <v>0</v>
      </c>
      <c r="V20" s="0" t="n">
        <v>0</v>
      </c>
      <c r="AA20" s="0" t="n">
        <f aca="false">IF(J20=0,0,(V20+U20)/J20)</f>
        <v>0</v>
      </c>
      <c r="AB20" s="0" t="n">
        <f aca="false">IF(OR(R20=0,J20=0),"",AA20/R20*100)</f>
        <v>0</v>
      </c>
      <c r="AF20" s="0" t="str">
        <f aca="false">IF(AB20&gt;85," ","WARNING")</f>
        <v>WARNING</v>
      </c>
      <c r="AG20" s="0" t="str">
        <f aca="false">IF(A20=ChoixJour!$A$5,ROW(),"")</f>
        <v/>
      </c>
    </row>
    <row r="21" customFormat="false" ht="13.8" hidden="false" customHeight="false" outlineLevel="0" collapsed="false">
      <c r="A21" s="81" t="n">
        <v>43833</v>
      </c>
      <c r="B21" s="82" t="s">
        <v>58</v>
      </c>
      <c r="C21" s="0" t="s">
        <v>59</v>
      </c>
      <c r="D21" s="0" t="str">
        <f aca="false">IFERROR(VLOOKUP(E21,Pieces!A:B,2,0)," ")</f>
        <v>I110-01-004</v>
      </c>
      <c r="E21" s="0" t="s">
        <v>883</v>
      </c>
      <c r="F21" s="0" t="n">
        <v>887</v>
      </c>
      <c r="G21" s="0" t="n">
        <v>887</v>
      </c>
      <c r="H21" s="0" t="n">
        <v>887</v>
      </c>
      <c r="I21" s="0" t="n">
        <v>887</v>
      </c>
      <c r="J21" s="0" t="n">
        <f aca="false">IFERROR(VLOOKUP(E21,Pieces!A:C,3,0),"Entrer la cadence")</f>
        <v>28</v>
      </c>
      <c r="K21" s="0" t="n">
        <v>7</v>
      </c>
      <c r="L21" s="0" t="n">
        <f aca="false">(G21-F21)*K21</f>
        <v>0</v>
      </c>
      <c r="M21" s="0" t="n">
        <f aca="false">(H21-G21)*K21</f>
        <v>0</v>
      </c>
      <c r="N21" s="0" t="n">
        <f aca="false">(I21-H21)*K21</f>
        <v>0</v>
      </c>
      <c r="O21" s="0" t="n">
        <f aca="false">IF(J21=0,0,L21/J21)</f>
        <v>0</v>
      </c>
      <c r="P21" s="0" t="n">
        <f aca="false">IF(J21=0,0,M21/J21)</f>
        <v>0</v>
      </c>
      <c r="Q21" s="0" t="n">
        <f aca="false">IF(J21=0,0,N21/J21)</f>
        <v>0</v>
      </c>
      <c r="R21" s="0" t="n">
        <v>9</v>
      </c>
      <c r="T21" s="0" t="n">
        <f aca="false">V21+U21-L21-M21-N21</f>
        <v>0</v>
      </c>
      <c r="U21" s="0" t="n">
        <f aca="true">SUM(INDIRECT(ADDRESS(MATCH("Nombre des NC poubelle ",ChoixRJ!$B$1:$B$29,0),MATCH($C21,ChoixRJ!$13:$13,0),4,1,"ChoixRJ"),1)*1,INDIRECT(ADDRESS(MATCH("Nombre des NC à retoucher",ChoixRJ!$B$1:$B$29,0),MATCH($C21,ChoixRJ!$13:$13,0),4,1,"ChoixRJ"),1)*1)</f>
        <v>0</v>
      </c>
      <c r="V21" s="0" t="n">
        <v>0</v>
      </c>
      <c r="AA21" s="0" t="n">
        <f aca="false">IF(J21=0,0,(V21+U21)/J21)</f>
        <v>0</v>
      </c>
      <c r="AB21" s="0" t="n">
        <f aca="false">IF(OR(R21=0,J21=0),"",AA21/R21*100)</f>
        <v>0</v>
      </c>
      <c r="AF21" s="0" t="str">
        <f aca="false">IF(AB21&gt;85," ","WARNING")</f>
        <v>WARNING</v>
      </c>
      <c r="AG21" s="0" t="str">
        <f aca="false">IF(A21=ChoixJour!$A$5,ROW(),"")</f>
        <v/>
      </c>
    </row>
    <row r="22" customFormat="false" ht="13.8" hidden="false" customHeight="false" outlineLevel="0" collapsed="false">
      <c r="A22" s="81" t="n">
        <v>43833</v>
      </c>
      <c r="B22" s="82" t="s">
        <v>60</v>
      </c>
      <c r="C22" s="0" t="s">
        <v>61</v>
      </c>
      <c r="D22" s="0" t="n">
        <f aca="false">IFERROR(VLOOKUP(E22,Pieces!A:B,2,0)," ")</f>
        <v>480387</v>
      </c>
      <c r="E22" s="0" t="s">
        <v>758</v>
      </c>
      <c r="F22" s="0" t="n">
        <v>80</v>
      </c>
      <c r="G22" s="0" t="n">
        <v>80</v>
      </c>
      <c r="H22" s="0" t="n">
        <v>80</v>
      </c>
      <c r="I22" s="0" t="n">
        <v>80</v>
      </c>
      <c r="J22" s="0" t="n">
        <f aca="false">IFERROR(VLOOKUP(E22,Pieces!A:C,3,0),"Entrer la cadence")</f>
        <v>60</v>
      </c>
      <c r="K22" s="0" t="n">
        <v>20</v>
      </c>
      <c r="L22" s="0" t="n">
        <f aca="false">(G22-F22)*K22</f>
        <v>0</v>
      </c>
      <c r="M22" s="0" t="n">
        <f aca="false">(H22-G22)*K22</f>
        <v>0</v>
      </c>
      <c r="N22" s="0" t="n">
        <f aca="false">(I22-H22)*K22</f>
        <v>0</v>
      </c>
      <c r="O22" s="0" t="n">
        <f aca="false">IF(J22=0,0,L22/J22)</f>
        <v>0</v>
      </c>
      <c r="P22" s="0" t="n">
        <f aca="false">IF(J22=0,0,M22/J22)</f>
        <v>0</v>
      </c>
      <c r="Q22" s="0" t="n">
        <f aca="false">IF(J22=0,0,N22/J22)</f>
        <v>0</v>
      </c>
      <c r="R22" s="0" t="n">
        <v>9</v>
      </c>
      <c r="T22" s="0" t="n">
        <f aca="false">V22+U22-L22-M22-N22</f>
        <v>0</v>
      </c>
      <c r="U22" s="0" t="n">
        <f aca="true">SUM(INDIRECT(ADDRESS(MATCH("Nombre des NC poubelle ",ChoixRJ!$B$1:$B$29,0),MATCH($C22,ChoixRJ!$13:$13,0),4,1,"ChoixRJ"),1)*1,INDIRECT(ADDRESS(MATCH("Nombre des NC à retoucher",ChoixRJ!$B$1:$B$29,0),MATCH($C22,ChoixRJ!$13:$13,0),4,1,"ChoixRJ"),1)*1)</f>
        <v>0</v>
      </c>
      <c r="V22" s="0" t="n">
        <v>0</v>
      </c>
      <c r="AA22" s="0" t="n">
        <f aca="false">IF(J22=0,0,(V22+U22)/J22)</f>
        <v>0</v>
      </c>
      <c r="AB22" s="0" t="n">
        <f aca="false">IF(OR(R22=0,J22=0),"",AA22/R22*100)</f>
        <v>0</v>
      </c>
      <c r="AF22" s="0" t="str">
        <f aca="false">IF(AB22&gt;85," ","WARNING")</f>
        <v>WARNING</v>
      </c>
      <c r="AG22" s="0" t="str">
        <f aca="false">IF(A22=ChoixJour!$A$5,ROW(),"")</f>
        <v/>
      </c>
    </row>
    <row r="23" customFormat="false" ht="13.8" hidden="false" customHeight="false" outlineLevel="0" collapsed="false">
      <c r="A23" s="81" t="n">
        <v>43833</v>
      </c>
      <c r="B23" s="82" t="s">
        <v>68</v>
      </c>
      <c r="C23" s="0" t="s">
        <v>69</v>
      </c>
      <c r="D23" s="0" t="str">
        <f aca="false">IFERROR(VLOOKUP(E23,Pieces!A:B,2,0)," ")</f>
        <v>PIG 50 SE- harding </v>
      </c>
      <c r="E23" s="0" t="s">
        <v>928</v>
      </c>
      <c r="F23" s="0" t="n">
        <v>7</v>
      </c>
      <c r="G23" s="0" t="n">
        <v>13</v>
      </c>
      <c r="H23" s="0" t="n">
        <v>13</v>
      </c>
      <c r="I23" s="0" t="n">
        <v>15</v>
      </c>
      <c r="J23" s="0" t="n">
        <f aca="false">IFERROR(VLOOKUP(E23,Pieces!A:C,3,0),"Entrer la cadence")</f>
        <v>38</v>
      </c>
      <c r="K23" s="0" t="n">
        <v>51</v>
      </c>
      <c r="L23" s="0" t="n">
        <f aca="false">(G23-F23)*K23</f>
        <v>306</v>
      </c>
      <c r="M23" s="0" t="n">
        <f aca="false">(H23-G23)*K23</f>
        <v>0</v>
      </c>
      <c r="N23" s="0" t="n">
        <f aca="false">(I23-H23)*K23</f>
        <v>102</v>
      </c>
      <c r="O23" s="0" t="n">
        <f aca="false">IF(J23=0,0,L23/J23)</f>
        <v>8.05263157894737</v>
      </c>
      <c r="P23" s="0" t="n">
        <f aca="false">IF(J23=0,0,M23/J23)</f>
        <v>0</v>
      </c>
      <c r="Q23" s="0" t="n">
        <f aca="false">IF(J23=0,0,N23/J23)</f>
        <v>2.68421052631579</v>
      </c>
      <c r="R23" s="0" t="n">
        <v>9</v>
      </c>
      <c r="T23" s="0" t="n">
        <f aca="false">V23+U23-L23-M23-N23</f>
        <v>0</v>
      </c>
      <c r="U23" s="0" t="n">
        <f aca="true">SUM(INDIRECT(ADDRESS(MATCH("Nombre des NC poubelle ",ChoixRJ!$B$1:$B$29,0),MATCH($C23,ChoixRJ!$13:$13,0),4,1,"ChoixRJ"),1)*1,INDIRECT(ADDRESS(MATCH("Nombre des NC à retoucher",ChoixRJ!$B$1:$B$29,0),MATCH($C23,ChoixRJ!$13:$13,0),4,1,"ChoixRJ"),1)*1)</f>
        <v>0</v>
      </c>
      <c r="V23" s="0" t="n">
        <v>408</v>
      </c>
      <c r="AA23" s="0" t="n">
        <f aca="false">IF(J23=0,0,(V23+U23)/J23)</f>
        <v>10.7368421052632</v>
      </c>
      <c r="AB23" s="0" t="n">
        <f aca="false">IF(OR(R23=0,J23=0),"",AA23/R23*100)</f>
        <v>119.298245614035</v>
      </c>
      <c r="AF23" s="0" t="str">
        <f aca="false">IF(AB23&gt;85," ","WARNING")</f>
        <v> </v>
      </c>
      <c r="AG23" s="0" t="str">
        <f aca="false">IF(A23=ChoixJour!$A$5,ROW(),"")</f>
        <v/>
      </c>
    </row>
    <row r="24" customFormat="false" ht="13.8" hidden="false" customHeight="false" outlineLevel="0" collapsed="false">
      <c r="A24" s="81" t="n">
        <v>43833</v>
      </c>
      <c r="B24" s="82" t="s">
        <v>66</v>
      </c>
      <c r="C24" s="0" t="s">
        <v>67</v>
      </c>
      <c r="D24" s="0" t="str">
        <f aca="false">IFERROR(VLOOKUP(E24,Pieces!A:B,2,0)," ")</f>
        <v> - </v>
      </c>
      <c r="E24" s="0" t="s">
        <v>136</v>
      </c>
      <c r="F24" s="0" t="n">
        <v>0</v>
      </c>
      <c r="G24" s="0" t="n">
        <v>0</v>
      </c>
      <c r="H24" s="0" t="n">
        <v>0</v>
      </c>
      <c r="I24" s="0" t="n">
        <v>0</v>
      </c>
      <c r="J24" s="0" t="n">
        <f aca="false">IFERROR(VLOOKUP(E24,Pieces!A:C,3,0),"Entrer la cadence")</f>
        <v>1</v>
      </c>
      <c r="K24" s="0" t="n">
        <v>1</v>
      </c>
      <c r="L24" s="0" t="n">
        <f aca="false">(G24-F24)*K24</f>
        <v>0</v>
      </c>
      <c r="M24" s="0" t="n">
        <f aca="false">(H24-G24)*K24</f>
        <v>0</v>
      </c>
      <c r="N24" s="0" t="n">
        <f aca="false">(I24-H24)*K24</f>
        <v>0</v>
      </c>
      <c r="O24" s="0" t="n">
        <f aca="false">IF(J24=0,0,L24/J24)</f>
        <v>0</v>
      </c>
      <c r="P24" s="0" t="n">
        <f aca="false">IF(J24=0,0,M24/J24)</f>
        <v>0</v>
      </c>
      <c r="Q24" s="0" t="n">
        <f aca="false">IF(J24=0,0,N24/J24)</f>
        <v>0</v>
      </c>
      <c r="R24" s="0" t="n">
        <v>9</v>
      </c>
      <c r="T24" s="0" t="n">
        <f aca="false">V24+U24-L24-M24-N24</f>
        <v>0</v>
      </c>
      <c r="U24" s="0" t="n">
        <f aca="true">SUM(INDIRECT(ADDRESS(MATCH("Nombre des NC poubelle ",ChoixRJ!$B$1:$B$29,0),MATCH($C24,ChoixRJ!$13:$13,0),4,1,"ChoixRJ"),1)*1,INDIRECT(ADDRESS(MATCH("Nombre des NC à retoucher",ChoixRJ!$B$1:$B$29,0),MATCH($C24,ChoixRJ!$13:$13,0),4,1,"ChoixRJ"),1)*1)</f>
        <v>0</v>
      </c>
      <c r="V24" s="0" t="n">
        <v>0</v>
      </c>
      <c r="AA24" s="0" t="n">
        <f aca="false">IF(J24=0,0,(V24+U24)/J24)</f>
        <v>0</v>
      </c>
      <c r="AB24" s="0" t="n">
        <f aca="false">IF(OR(R24=0,J24=0),"",AA24/R24*100)</f>
        <v>0</v>
      </c>
      <c r="AF24" s="0" t="str">
        <f aca="false">IF(AB24&gt;85," ","WARNING")</f>
        <v>WARNING</v>
      </c>
      <c r="AG24" s="0" t="str">
        <f aca="false">IF(A24=ChoixJour!$A$5,ROW(),"")</f>
        <v/>
      </c>
    </row>
    <row r="25" customFormat="false" ht="13.8" hidden="false" customHeight="false" outlineLevel="0" collapsed="false">
      <c r="A25" s="81" t="n">
        <v>43833</v>
      </c>
      <c r="B25" s="82" t="s">
        <v>46</v>
      </c>
      <c r="C25" s="0" t="s">
        <v>57</v>
      </c>
      <c r="D25" s="0" t="str">
        <f aca="false">IFERROR(VLOOKUP(E25,Pieces!A:B,2,0)," ")</f>
        <v>MPS000300</v>
      </c>
      <c r="E25" s="0" t="s">
        <v>958</v>
      </c>
      <c r="F25" s="0" t="n">
        <v>180777</v>
      </c>
      <c r="G25" s="0" t="n">
        <v>180777</v>
      </c>
      <c r="H25" s="0" t="n">
        <v>180777</v>
      </c>
      <c r="I25" s="0" t="n">
        <v>180777</v>
      </c>
      <c r="J25" s="0" t="n">
        <f aca="false">IFERROR(VLOOKUP(E25,Pieces!A:C,3,0),"Entrer la cadence")</f>
        <v>454</v>
      </c>
      <c r="K25" s="0" t="n">
        <v>1</v>
      </c>
      <c r="L25" s="0" t="n">
        <f aca="false">(G25-F25)*K25</f>
        <v>0</v>
      </c>
      <c r="M25" s="0" t="n">
        <f aca="false">(H25-G25)*K25</f>
        <v>0</v>
      </c>
      <c r="N25" s="0" t="n">
        <f aca="false">(I25-H25)*K25</f>
        <v>0</v>
      </c>
      <c r="O25" s="0" t="n">
        <f aca="false">IF(J25=0,0,L25/J25)</f>
        <v>0</v>
      </c>
      <c r="P25" s="0" t="n">
        <f aca="false">IF(J25=0,0,M25/J25)</f>
        <v>0</v>
      </c>
      <c r="Q25" s="0" t="n">
        <f aca="false">IF(J25=0,0,N25/J25)</f>
        <v>0</v>
      </c>
      <c r="R25" s="0" t="n">
        <v>9</v>
      </c>
      <c r="T25" s="0" t="n">
        <f aca="false">V25+U25-L25-M25-N25</f>
        <v>0</v>
      </c>
      <c r="U25" s="0" t="n">
        <f aca="true">SUM(INDIRECT(ADDRESS(MATCH("Nombre des NC poubelle ",ChoixRJ!$B$1:$B$29,0),MATCH($C25,ChoixRJ!$13:$13,0),4,1,"ChoixRJ"),1)*1,INDIRECT(ADDRESS(MATCH("Nombre des NC à retoucher",ChoixRJ!$B$1:$B$29,0),MATCH($C25,ChoixRJ!$13:$13,0),4,1,"ChoixRJ"),1)*1)</f>
        <v>0</v>
      </c>
      <c r="V25" s="0" t="n">
        <v>0</v>
      </c>
      <c r="AA25" s="0" t="n">
        <f aca="false">IF(J25=0,0,(V25+U25)/J25)</f>
        <v>0</v>
      </c>
      <c r="AB25" s="0" t="n">
        <f aca="false">IF(OR(R25=0,J25=0),"",AA25/R25*100)</f>
        <v>0</v>
      </c>
      <c r="AF25" s="0" t="str">
        <f aca="false">IF(AB25&gt;85," ","WARNING")</f>
        <v>WARNING</v>
      </c>
      <c r="AG25" s="0" t="str">
        <f aca="false">IF(A25=ChoixJour!$A$5,ROW(),"")</f>
        <v/>
      </c>
    </row>
    <row r="26" customFormat="false" ht="13.8" hidden="false" customHeight="false" outlineLevel="0" collapsed="false">
      <c r="A26" s="81" t="n">
        <v>43833</v>
      </c>
      <c r="B26" s="82" t="s">
        <v>64</v>
      </c>
      <c r="C26" s="0" t="s">
        <v>65</v>
      </c>
      <c r="D26" s="0" t="str">
        <f aca="false">IFERROR(VLOOKUP(E26,Pieces!A:B,2,0)," ")</f>
        <v>I143-CP1</v>
      </c>
      <c r="E26" s="0" t="s">
        <v>699</v>
      </c>
      <c r="F26" s="0" t="n">
        <v>2992</v>
      </c>
      <c r="G26" s="0" t="n">
        <v>3340</v>
      </c>
      <c r="H26" s="0" t="n">
        <v>3340</v>
      </c>
      <c r="I26" s="0" t="n">
        <v>3390</v>
      </c>
      <c r="J26" s="0" t="n">
        <f aca="false">IFERROR(VLOOKUP(E26,Pieces!A:C,3,0),"Entrer la cadence")</f>
        <v>50</v>
      </c>
      <c r="K26" s="0" t="n">
        <v>1</v>
      </c>
      <c r="L26" s="0" t="n">
        <f aca="false">(G26-F26)*K26</f>
        <v>348</v>
      </c>
      <c r="M26" s="0" t="n">
        <f aca="false">(H26-G26)*K26</f>
        <v>0</v>
      </c>
      <c r="N26" s="0" t="n">
        <f aca="false">(I26-H26)*K26</f>
        <v>50</v>
      </c>
      <c r="O26" s="0" t="n">
        <f aca="false">IF(J26=0,0,L26/J26)</f>
        <v>6.96</v>
      </c>
      <c r="P26" s="0" t="n">
        <f aca="false">IF(J26=0,0,M26/J26)</f>
        <v>0</v>
      </c>
      <c r="Q26" s="0" t="n">
        <f aca="false">IF(J26=0,0,N26/J26)</f>
        <v>1</v>
      </c>
      <c r="R26" s="0" t="n">
        <v>9</v>
      </c>
      <c r="T26" s="0" t="n">
        <f aca="false">V26+U26-L26-M26-N26</f>
        <v>0</v>
      </c>
      <c r="U26" s="0" t="n">
        <f aca="true">SUM(INDIRECT(ADDRESS(MATCH("Nombre des NC poubelle ",ChoixRJ!$B$1:$B$29,0),MATCH($C26,ChoixRJ!$13:$13,0),4,1,"ChoixRJ"),1)*1,INDIRECT(ADDRESS(MATCH("Nombre des NC à retoucher",ChoixRJ!$B$1:$B$29,0),MATCH($C26,ChoixRJ!$13:$13,0),4,1,"ChoixRJ"),1)*1)</f>
        <v>0</v>
      </c>
      <c r="V26" s="0" t="n">
        <v>398</v>
      </c>
      <c r="AA26" s="0" t="n">
        <f aca="false">IF(J26=0,0,(V26+U26)/J26)</f>
        <v>7.96</v>
      </c>
      <c r="AB26" s="0" t="n">
        <f aca="false">IF(OR(R26=0,J26=0),"",AA26/R26*100)</f>
        <v>88.4444444444445</v>
      </c>
      <c r="AF26" s="0" t="str">
        <f aca="false">IF(AB26&gt;85," ","WARNING")</f>
        <v> </v>
      </c>
      <c r="AG26" s="0" t="str">
        <f aca="false">IF(A26=ChoixJour!$A$5,ROW(),"")</f>
        <v/>
      </c>
    </row>
    <row r="27" customFormat="false" ht="13.8" hidden="false" customHeight="false" outlineLevel="0" collapsed="false">
      <c r="A27" s="81" t="n">
        <v>43833</v>
      </c>
      <c r="B27" s="82" t="s">
        <v>96</v>
      </c>
      <c r="C27" s="0" t="s">
        <v>71</v>
      </c>
      <c r="D27" s="0" t="str">
        <f aca="false">IFERROR(VLOOKUP(E27,Pieces!A:B,2,0)," ")</f>
        <v>G018</v>
      </c>
      <c r="E27" s="0" t="s">
        <v>838</v>
      </c>
      <c r="F27" s="0" t="n">
        <v>1030</v>
      </c>
      <c r="G27" s="0" t="n">
        <v>1200</v>
      </c>
      <c r="H27" s="0" t="n">
        <v>1200</v>
      </c>
      <c r="I27" s="0" t="n">
        <v>1200</v>
      </c>
      <c r="J27" s="0" t="n">
        <f aca="false">IFERROR(VLOOKUP(E27,Pieces!A:C,3,0),"Entrer la cadence")</f>
        <v>20</v>
      </c>
      <c r="K27" s="0" t="n">
        <v>1</v>
      </c>
      <c r="L27" s="0" t="n">
        <f aca="false">(G27-F27)*K27</f>
        <v>170</v>
      </c>
      <c r="M27" s="0" t="n">
        <f aca="false">(H27-G27)*K27</f>
        <v>0</v>
      </c>
      <c r="N27" s="0" t="n">
        <f aca="false">(I27-H27)*K27</f>
        <v>0</v>
      </c>
      <c r="O27" s="0" t="n">
        <f aca="false">IF(J27=0,0,L27/J27)</f>
        <v>8.5</v>
      </c>
      <c r="P27" s="0" t="n">
        <f aca="false">IF(J27=0,0,M27/J27)</f>
        <v>0</v>
      </c>
      <c r="Q27" s="0" t="n">
        <f aca="false">IF(J27=0,0,N27/J27)</f>
        <v>0</v>
      </c>
      <c r="R27" s="0" t="n">
        <v>9</v>
      </c>
      <c r="T27" s="0" t="n">
        <f aca="false">V27+U27-L27-M27-N27</f>
        <v>0</v>
      </c>
      <c r="U27" s="0" t="n">
        <f aca="true">SUM(INDIRECT(ADDRESS(MATCH("Nombre des NC poubelle ",ChoixRJ!$B$1:$B$29,0),MATCH($C27,ChoixRJ!$13:$13,0),4,1,"ChoixRJ"),1)*1,INDIRECT(ADDRESS(MATCH("Nombre des NC à retoucher",ChoixRJ!$B$1:$B$29,0),MATCH($C27,ChoixRJ!$13:$13,0),4,1,"ChoixRJ"),1)*1)</f>
        <v>0</v>
      </c>
      <c r="V27" s="0" t="n">
        <v>170</v>
      </c>
      <c r="AA27" s="0" t="n">
        <f aca="false">IF(J27=0,0,(V27+U27)/J27)</f>
        <v>8.5</v>
      </c>
      <c r="AB27" s="0" t="n">
        <f aca="false">IF(OR(R27=0,J27=0),"",AA27/R27*100)</f>
        <v>94.4444444444444</v>
      </c>
      <c r="AF27" s="0" t="str">
        <f aca="false">IF(AB27&gt;85," ","WARNING")</f>
        <v> </v>
      </c>
      <c r="AG27" s="0" t="str">
        <f aca="false">IF(A27=ChoixJour!$A$5,ROW(),"")</f>
        <v/>
      </c>
    </row>
    <row r="28" customFormat="false" ht="13.8" hidden="false" customHeight="false" outlineLevel="0" collapsed="false">
      <c r="A28" s="81" t="n">
        <v>43834</v>
      </c>
      <c r="B28" s="83" t="s">
        <v>36</v>
      </c>
      <c r="C28" s="0" t="s">
        <v>52</v>
      </c>
      <c r="D28" s="0" t="str">
        <f aca="false">IFERROR(VLOOKUP(E28,Pieces!B:C,2,0)," ")</f>
        <v> </v>
      </c>
      <c r="E28" s="0" t="s">
        <v>940</v>
      </c>
      <c r="F28" s="0" t="n">
        <v>28850</v>
      </c>
      <c r="G28" s="0" t="n">
        <v>29180</v>
      </c>
      <c r="H28" s="0" t="n">
        <v>29180</v>
      </c>
      <c r="I28" s="0" t="n">
        <v>29297</v>
      </c>
      <c r="J28" s="0" t="n">
        <f aca="false">IFERROR(VLOOKUP(E28,Pieces!A:C,3,0),"Entrer la cadence")</f>
        <v>75</v>
      </c>
      <c r="K28" s="0" t="n">
        <v>1</v>
      </c>
      <c r="L28" s="0" t="n">
        <f aca="false">(G28-F28)*K28</f>
        <v>330</v>
      </c>
      <c r="M28" s="0" t="n">
        <f aca="false">(H28-G28)*K28</f>
        <v>0</v>
      </c>
      <c r="N28" s="0" t="n">
        <f aca="false">(I28-H28)*K28</f>
        <v>117</v>
      </c>
      <c r="O28" s="0" t="n">
        <f aca="false">IF(J28=0,0,L28/J28)</f>
        <v>4.4</v>
      </c>
      <c r="P28" s="0" t="n">
        <f aca="false">IF(J28=0,0,M28/J28)</f>
        <v>0</v>
      </c>
      <c r="Q28" s="0" t="n">
        <f aca="false">IF(J28=0,0,N28/J28)</f>
        <v>1.56</v>
      </c>
      <c r="R28" s="0" t="n">
        <v>5</v>
      </c>
      <c r="T28" s="0" t="n">
        <f aca="false">V28+U28-L28-M28-N28</f>
        <v>0</v>
      </c>
      <c r="U28" s="0" t="n">
        <f aca="true">SUM(INDIRECT(ADDRESS(MATCH("Nombre des NC poubelle ",ChoixRJ!$B$1:$B$29,0),MATCH($C28,ChoixRJ!$13:$13,0),4,1,"ChoixRJ"),1)*1,INDIRECT(ADDRESS(MATCH("Nombre des NC à retoucher",ChoixRJ!$B$1:$B$29,0),MATCH($C28,ChoixRJ!$13:$13,0),4,1,"ChoixRJ"),1)*1)</f>
        <v>0</v>
      </c>
      <c r="V28" s="0" t="n">
        <v>447</v>
      </c>
      <c r="AA28" s="0" t="n">
        <f aca="false">IF(J28=0,0,(V28+U28)/J28)</f>
        <v>5.96</v>
      </c>
      <c r="AB28" s="0" t="n">
        <f aca="false">IF(OR(R28=0,J28=0),"",AA28/R28*100)</f>
        <v>119.2</v>
      </c>
      <c r="AF28" s="0" t="str">
        <f aca="false">IF(AB28&gt;85," ","WARNING")</f>
        <v> </v>
      </c>
      <c r="AG28" s="0" t="str">
        <f aca="false">IF(A28=ChoixJour!$A$5,ROW(),"")</f>
        <v/>
      </c>
    </row>
    <row r="29" customFormat="false" ht="13.8" hidden="false" customHeight="false" outlineLevel="0" collapsed="false">
      <c r="A29" s="81" t="n">
        <v>43834</v>
      </c>
      <c r="B29" s="83" t="s">
        <v>38</v>
      </c>
      <c r="C29" s="0" t="s">
        <v>53</v>
      </c>
      <c r="D29" s="0" t="str">
        <f aca="false">IFERROR(VLOOKUP(E29,Pieces!B:C,2,0)," ")</f>
        <v> </v>
      </c>
      <c r="E29" s="0" t="s">
        <v>1024</v>
      </c>
      <c r="F29" s="0" t="n">
        <v>0</v>
      </c>
      <c r="G29" s="0" t="n">
        <v>48</v>
      </c>
      <c r="H29" s="0" t="n">
        <v>48</v>
      </c>
      <c r="I29" s="0" t="n">
        <v>48</v>
      </c>
      <c r="J29" s="0" t="n">
        <f aca="false">IFERROR(VLOOKUP(E29,Pieces!A:C,3,0),"Entrer la cadence")</f>
        <v>150</v>
      </c>
      <c r="K29" s="0" t="n">
        <v>1</v>
      </c>
      <c r="L29" s="0" t="n">
        <f aca="false">(G29-F29)*K29</f>
        <v>48</v>
      </c>
      <c r="M29" s="0" t="n">
        <f aca="false">(H29-G29)*K29</f>
        <v>0</v>
      </c>
      <c r="N29" s="0" t="n">
        <f aca="false">(I29-H29)*K29</f>
        <v>0</v>
      </c>
      <c r="O29" s="0" t="n">
        <f aca="false">IF(J29=0,0,L29/J29)</f>
        <v>0.32</v>
      </c>
      <c r="P29" s="0" t="n">
        <f aca="false">IF(J29=0,0,M29/J29)</f>
        <v>0</v>
      </c>
      <c r="Q29" s="0" t="n">
        <f aca="false">IF(J29=0,0,N29/J29)</f>
        <v>0</v>
      </c>
      <c r="R29" s="0" t="n">
        <v>5</v>
      </c>
      <c r="S29" s="0" t="s">
        <v>1056</v>
      </c>
      <c r="T29" s="0" t="n">
        <f aca="false">V29+U29-L29-M29-N29</f>
        <v>0</v>
      </c>
      <c r="U29" s="0" t="n">
        <f aca="true">SUM(INDIRECT(ADDRESS(MATCH("Nombre des NC poubelle ",ChoixRJ!$B$1:$B$29,0),MATCH($C29,ChoixRJ!$13:$13,0),4,1,"ChoixRJ"),1)*1,INDIRECT(ADDRESS(MATCH("Nombre des NC à retoucher",ChoixRJ!$B$1:$B$29,0),MATCH($C29,ChoixRJ!$13:$13,0),4,1,"ChoixRJ"),1)*1)</f>
        <v>0</v>
      </c>
      <c r="V29" s="0" t="n">
        <v>48</v>
      </c>
      <c r="AA29" s="0" t="n">
        <f aca="false">IF(J29=0,0,(V29+U29)/J29)</f>
        <v>0.32</v>
      </c>
      <c r="AB29" s="0" t="n">
        <f aca="false">IF(OR(R29=0,J29=0),"",AA29/R29*100)</f>
        <v>6.4</v>
      </c>
      <c r="AF29" s="0" t="str">
        <f aca="false">IF(AB29&gt;85," ","WARNING")</f>
        <v>WARNING</v>
      </c>
      <c r="AG29" s="0" t="str">
        <f aca="false">IF(A29=ChoixJour!$A$5,ROW(),"")</f>
        <v/>
      </c>
    </row>
    <row r="30" customFormat="false" ht="13.8" hidden="false" customHeight="false" outlineLevel="0" collapsed="false">
      <c r="A30" s="81" t="n">
        <v>43834</v>
      </c>
      <c r="B30" s="83" t="s">
        <v>40</v>
      </c>
      <c r="C30" s="0" t="s">
        <v>54</v>
      </c>
      <c r="D30" s="0" t="str">
        <f aca="false">IFERROR(VLOOKUP(E30,Pieces!B:C,2,0)," ")</f>
        <v> </v>
      </c>
      <c r="E30" s="0" t="s">
        <v>302</v>
      </c>
      <c r="F30" s="0" t="n">
        <v>1084</v>
      </c>
      <c r="G30" s="0" t="n">
        <v>1151</v>
      </c>
      <c r="H30" s="0" t="n">
        <v>1151</v>
      </c>
      <c r="I30" s="0" t="n">
        <v>1151</v>
      </c>
      <c r="J30" s="0" t="n">
        <f aca="false">IFERROR(VLOOKUP(E30,Pieces!A:C,3,0),"Entrer la cadence")</f>
        <v>45</v>
      </c>
      <c r="K30" s="0" t="n">
        <v>1</v>
      </c>
      <c r="L30" s="0" t="n">
        <f aca="false">(G30-F30)*K30</f>
        <v>67</v>
      </c>
      <c r="M30" s="0" t="n">
        <f aca="false">(H30-G30)*K30</f>
        <v>0</v>
      </c>
      <c r="N30" s="0" t="n">
        <f aca="false">(I30-H30)*K30</f>
        <v>0</v>
      </c>
      <c r="O30" s="0" t="n">
        <f aca="false">IF(J30=0,0,L30/J30)</f>
        <v>1.48888888888889</v>
      </c>
      <c r="P30" s="0" t="n">
        <f aca="false">IF(J30=0,0,M30/J30)</f>
        <v>0</v>
      </c>
      <c r="Q30" s="0" t="n">
        <f aca="false">IF(J30=0,0,N30/J30)</f>
        <v>0</v>
      </c>
      <c r="R30" s="0" t="n">
        <v>5</v>
      </c>
      <c r="T30" s="0" t="n">
        <f aca="false">V30+U30-L30-M30-N30</f>
        <v>0</v>
      </c>
      <c r="U30" s="0" t="n">
        <f aca="true">SUM(INDIRECT(ADDRESS(MATCH("Nombre des NC poubelle ",ChoixRJ!$B$1:$B$29,0),MATCH($C30,ChoixRJ!$13:$13,0),4,1,"ChoixRJ"),1)*1,INDIRECT(ADDRESS(MATCH("Nombre des NC à retoucher",ChoixRJ!$B$1:$B$29,0),MATCH($C30,ChoixRJ!$13:$13,0),4,1,"ChoixRJ"),1)*1)</f>
        <v>0</v>
      </c>
      <c r="V30" s="0" t="n">
        <v>67</v>
      </c>
      <c r="AA30" s="0" t="n">
        <f aca="false">IF(J30=0,0,(V30+U30)/J30)</f>
        <v>1.48888888888889</v>
      </c>
      <c r="AB30" s="0" t="n">
        <f aca="false">IF(OR(R30=0,J30=0),"",AA30/R30*100)</f>
        <v>29.7777777777778</v>
      </c>
      <c r="AF30" s="0" t="str">
        <f aca="false">IF(AB30&gt;85," ","WARNING")</f>
        <v>WARNING</v>
      </c>
      <c r="AG30" s="0" t="str">
        <f aca="false">IF(A30=ChoixJour!$A$5,ROW(),"")</f>
        <v/>
      </c>
    </row>
    <row r="31" customFormat="false" ht="13.8" hidden="false" customHeight="false" outlineLevel="0" collapsed="false">
      <c r="A31" s="81" t="n">
        <v>43834</v>
      </c>
      <c r="B31" s="83" t="s">
        <v>42</v>
      </c>
      <c r="C31" s="0" t="s">
        <v>55</v>
      </c>
      <c r="D31" s="0" t="str">
        <f aca="false">IFERROR(VLOOKUP(E31,Pieces!B:C,2,0)," ")</f>
        <v> </v>
      </c>
      <c r="E31" s="0" t="s">
        <v>147</v>
      </c>
      <c r="F31" s="0" t="n">
        <v>411</v>
      </c>
      <c r="G31" s="0" t="n">
        <v>470</v>
      </c>
      <c r="H31" s="0" t="n">
        <v>470</v>
      </c>
      <c r="I31" s="0" t="n">
        <v>471</v>
      </c>
      <c r="J31" s="0" t="n">
        <f aca="false">IFERROR(VLOOKUP(E31,Pieces!A:C,3,0),"Entrer la cadence")</f>
        <v>28</v>
      </c>
      <c r="K31" s="0" t="n">
        <v>1</v>
      </c>
      <c r="L31" s="0" t="n">
        <f aca="false">(G31-F31)*K31</f>
        <v>59</v>
      </c>
      <c r="M31" s="0" t="n">
        <f aca="false">(H31-G31)*K31</f>
        <v>0</v>
      </c>
      <c r="N31" s="0" t="n">
        <f aca="false">(I31-H31)*K31</f>
        <v>1</v>
      </c>
      <c r="O31" s="0" t="n">
        <f aca="false">IF(J31=0,0,L31/J31)</f>
        <v>2.10714285714286</v>
      </c>
      <c r="P31" s="0" t="n">
        <f aca="false">IF(J31=0,0,M31/J31)</f>
        <v>0</v>
      </c>
      <c r="Q31" s="0" t="n">
        <f aca="false">IF(J31=0,0,N31/J31)</f>
        <v>0.0357142857142857</v>
      </c>
      <c r="R31" s="0" t="n">
        <v>5</v>
      </c>
      <c r="T31" s="0" t="n">
        <f aca="false">V31+U31-L31-M31-N31</f>
        <v>9</v>
      </c>
      <c r="U31" s="0" t="n">
        <f aca="true">SUM(INDIRECT(ADDRESS(MATCH("Nombre des NC poubelle ",ChoixRJ!$B$1:$B$29,0),MATCH($C31,ChoixRJ!$13:$13,0),4,1,"ChoixRJ"),1)*1,INDIRECT(ADDRESS(MATCH("Nombre des NC à retoucher",ChoixRJ!$B$1:$B$29,0),MATCH($C31,ChoixRJ!$13:$13,0),4,1,"ChoixRJ"),1)*1)</f>
        <v>9</v>
      </c>
      <c r="V31" s="0" t="n">
        <v>60</v>
      </c>
      <c r="AA31" s="0" t="n">
        <f aca="false">IF(J31=0,0,(V31+U31)/J31)</f>
        <v>2.46428571428571</v>
      </c>
      <c r="AB31" s="0" t="n">
        <f aca="false">IF(OR(R31=0,J31=0),"",AA31/R31*100)</f>
        <v>49.2857142857143</v>
      </c>
      <c r="AF31" s="0" t="str">
        <f aca="false">IF(AB31&gt;85," ","WARNING")</f>
        <v>WARNING</v>
      </c>
      <c r="AG31" s="0" t="str">
        <f aca="false">IF(A31=ChoixJour!$A$5,ROW(),"")</f>
        <v/>
      </c>
    </row>
    <row r="32" customFormat="false" ht="13.8" hidden="false" customHeight="false" outlineLevel="0" collapsed="false">
      <c r="A32" s="81" t="n">
        <v>43834</v>
      </c>
      <c r="B32" s="83" t="s">
        <v>44</v>
      </c>
      <c r="C32" s="0" t="s">
        <v>56</v>
      </c>
      <c r="D32" s="0" t="str">
        <f aca="false">IFERROR(VLOOKUP(E32,Pieces!B:C,2,0)," ")</f>
        <v> </v>
      </c>
      <c r="E32" s="0" t="s">
        <v>759</v>
      </c>
      <c r="F32" s="0" t="n">
        <v>0</v>
      </c>
      <c r="G32" s="0" t="n">
        <v>0</v>
      </c>
      <c r="H32" s="0" t="n">
        <v>0</v>
      </c>
      <c r="I32" s="0" t="n">
        <v>0</v>
      </c>
      <c r="J32" s="0" t="n">
        <f aca="false">IFERROR(VLOOKUP(E32,Pieces!A:C,3,0),"Entrer la cadence")</f>
        <v>20</v>
      </c>
      <c r="K32" s="0" t="n">
        <v>1</v>
      </c>
      <c r="L32" s="0" t="n">
        <f aca="false">(G32-F32)*K32</f>
        <v>0</v>
      </c>
      <c r="M32" s="0" t="n">
        <f aca="false">(H32-G32)*K32</f>
        <v>0</v>
      </c>
      <c r="N32" s="0" t="n">
        <f aca="false">(I32-H32)*K32</f>
        <v>0</v>
      </c>
      <c r="O32" s="0" t="n">
        <f aca="false">IF(J32=0,0,L32/J32)</f>
        <v>0</v>
      </c>
      <c r="P32" s="0" t="n">
        <f aca="false">IF(J32=0,0,M32/J32)</f>
        <v>0</v>
      </c>
      <c r="Q32" s="0" t="n">
        <f aca="false">IF(J32=0,0,N32/J32)</f>
        <v>0</v>
      </c>
      <c r="R32" s="0" t="n">
        <v>5</v>
      </c>
      <c r="T32" s="0" t="n">
        <f aca="false">V32+U32-L32-M32-N32</f>
        <v>0</v>
      </c>
      <c r="U32" s="0" t="n">
        <f aca="true">SUM(INDIRECT(ADDRESS(MATCH("Nombre des NC poubelle ",ChoixRJ!$B$1:$B$29,0),MATCH($C32,ChoixRJ!$13:$13,0),4,1,"ChoixRJ"),1)*1,INDIRECT(ADDRESS(MATCH("Nombre des NC à retoucher",ChoixRJ!$B$1:$B$29,0),MATCH($C32,ChoixRJ!$13:$13,0),4,1,"ChoixRJ"),1)*1)</f>
        <v>0</v>
      </c>
      <c r="V32" s="0" t="n">
        <v>0</v>
      </c>
      <c r="AA32" s="0" t="n">
        <f aca="false">IF(J32=0,0,(V32+U32)/J32)</f>
        <v>0</v>
      </c>
      <c r="AB32" s="0" t="n">
        <f aca="false">IF(OR(R32=0,J32=0),"",AA32/R32*100)</f>
        <v>0</v>
      </c>
      <c r="AF32" s="0" t="str">
        <f aca="false">IF(AB32&gt;85," ","WARNING")</f>
        <v>WARNING</v>
      </c>
      <c r="AG32" s="0" t="str">
        <f aca="false">IF(A32=ChoixJour!$A$5,ROW(),"")</f>
        <v/>
      </c>
    </row>
    <row r="33" customFormat="false" ht="13.8" hidden="false" customHeight="false" outlineLevel="0" collapsed="false">
      <c r="A33" s="81" t="n">
        <v>43834</v>
      </c>
      <c r="B33" s="83" t="s">
        <v>62</v>
      </c>
      <c r="C33" s="0" t="s">
        <v>63</v>
      </c>
      <c r="D33" s="0" t="str">
        <f aca="false">IFERROR(VLOOKUP(E33,Pieces!B:C,2,0)," ")</f>
        <v> </v>
      </c>
      <c r="E33" s="0" t="s">
        <v>136</v>
      </c>
      <c r="F33" s="0" t="n">
        <v>0</v>
      </c>
      <c r="G33" s="0" t="n">
        <v>0</v>
      </c>
      <c r="H33" s="0" t="n">
        <v>0</v>
      </c>
      <c r="I33" s="0" t="n">
        <v>0</v>
      </c>
      <c r="J33" s="0" t="n">
        <f aca="false">IFERROR(VLOOKUP(E33,Pieces!A:C,3,0),"Entrer la cadence")</f>
        <v>1</v>
      </c>
      <c r="K33" s="0" t="n">
        <v>1</v>
      </c>
      <c r="L33" s="0" t="n">
        <f aca="false">(G33-F33)*K33</f>
        <v>0</v>
      </c>
      <c r="M33" s="0" t="n">
        <f aca="false">(H33-G33)*K33</f>
        <v>0</v>
      </c>
      <c r="N33" s="0" t="n">
        <f aca="false">(I33-H33)*K33</f>
        <v>0</v>
      </c>
      <c r="O33" s="0" t="n">
        <f aca="false">IF(J33=0,0,L33/J33)</f>
        <v>0</v>
      </c>
      <c r="P33" s="0" t="n">
        <f aca="false">IF(J33=0,0,M33/J33)</f>
        <v>0</v>
      </c>
      <c r="Q33" s="0" t="n">
        <f aca="false">IF(J33=0,0,N33/J33)</f>
        <v>0</v>
      </c>
      <c r="R33" s="0" t="n">
        <v>5</v>
      </c>
      <c r="T33" s="0" t="n">
        <f aca="false">V33+U33-L33-M33-N33</f>
        <v>0</v>
      </c>
      <c r="U33" s="0" t="n">
        <f aca="true">SUM(INDIRECT(ADDRESS(MATCH("Nombre des NC poubelle ",ChoixRJ!$B$1:$B$29,0),MATCH($C33,ChoixRJ!$13:$13,0),4,1,"ChoixRJ"),1)*1,INDIRECT(ADDRESS(MATCH("Nombre des NC à retoucher",ChoixRJ!$B$1:$B$29,0),MATCH($C33,ChoixRJ!$13:$13,0),4,1,"ChoixRJ"),1)*1)</f>
        <v>0</v>
      </c>
      <c r="V33" s="0" t="n">
        <v>0</v>
      </c>
      <c r="AA33" s="0" t="n">
        <f aca="false">IF(J33=0,0,(V33+U33)/J33)</f>
        <v>0</v>
      </c>
      <c r="AB33" s="0" t="n">
        <f aca="false">IF(OR(R33=0,J33=0),"",AA33/R33*100)</f>
        <v>0</v>
      </c>
      <c r="AF33" s="0" t="str">
        <f aca="false">IF(AB33&gt;85," ","WARNING")</f>
        <v>WARNING</v>
      </c>
      <c r="AG33" s="0" t="str">
        <f aca="false">IF(A33=ChoixJour!$A$5,ROW(),"")</f>
        <v/>
      </c>
    </row>
    <row r="34" customFormat="false" ht="13.8" hidden="false" customHeight="false" outlineLevel="0" collapsed="false">
      <c r="A34" s="81" t="n">
        <v>43834</v>
      </c>
      <c r="B34" s="83" t="s">
        <v>58</v>
      </c>
      <c r="C34" s="0" t="s">
        <v>59</v>
      </c>
      <c r="D34" s="0" t="str">
        <f aca="false">IFERROR(VLOOKUP(E34,Pieces!B:C,2,0)," ")</f>
        <v> </v>
      </c>
      <c r="E34" s="0" t="s">
        <v>883</v>
      </c>
      <c r="F34" s="0" t="n">
        <v>887</v>
      </c>
      <c r="G34" s="0" t="n">
        <v>887</v>
      </c>
      <c r="H34" s="0" t="n">
        <v>887</v>
      </c>
      <c r="I34" s="0" t="n">
        <v>887</v>
      </c>
      <c r="J34" s="0" t="n">
        <f aca="false">IFERROR(VLOOKUP(E34,Pieces!A:C,3,0),"Entrer la cadence")</f>
        <v>28</v>
      </c>
      <c r="K34" s="0" t="n">
        <v>7</v>
      </c>
      <c r="L34" s="0" t="n">
        <f aca="false">(G34-F34)*K34</f>
        <v>0</v>
      </c>
      <c r="M34" s="0" t="n">
        <f aca="false">(H34-G34)*K34</f>
        <v>0</v>
      </c>
      <c r="N34" s="0" t="n">
        <f aca="false">(I34-H34)*K34</f>
        <v>0</v>
      </c>
      <c r="O34" s="0" t="n">
        <f aca="false">IF(J34=0,0,L34/J34)</f>
        <v>0</v>
      </c>
      <c r="P34" s="0" t="n">
        <f aca="false">IF(J34=0,0,M34/J34)</f>
        <v>0</v>
      </c>
      <c r="Q34" s="0" t="n">
        <f aca="false">IF(J34=0,0,N34/J34)</f>
        <v>0</v>
      </c>
      <c r="R34" s="0" t="n">
        <v>5</v>
      </c>
      <c r="T34" s="0" t="n">
        <f aca="false">V34+U34-L34-M34-N34</f>
        <v>0</v>
      </c>
      <c r="U34" s="0" t="n">
        <f aca="true">SUM(INDIRECT(ADDRESS(MATCH("Nombre des NC poubelle ",ChoixRJ!$B$1:$B$29,0),MATCH($C34,ChoixRJ!$13:$13,0),4,1,"ChoixRJ"),1)*1,INDIRECT(ADDRESS(MATCH("Nombre des NC à retoucher",ChoixRJ!$B$1:$B$29,0),MATCH($C34,ChoixRJ!$13:$13,0),4,1,"ChoixRJ"),1)*1)</f>
        <v>0</v>
      </c>
      <c r="V34" s="0" t="n">
        <v>0</v>
      </c>
      <c r="AA34" s="0" t="n">
        <f aca="false">IF(J34=0,0,(V34+U34)/J34)</f>
        <v>0</v>
      </c>
      <c r="AB34" s="0" t="n">
        <f aca="false">IF(OR(R34=0,J34=0),"",AA34/R34*100)</f>
        <v>0</v>
      </c>
      <c r="AF34" s="0" t="str">
        <f aca="false">IF(AB34&gt;85," ","WARNING")</f>
        <v>WARNING</v>
      </c>
      <c r="AG34" s="0" t="str">
        <f aca="false">IF(A34=ChoixJour!$A$5,ROW(),"")</f>
        <v/>
      </c>
    </row>
    <row r="35" customFormat="false" ht="13.8" hidden="false" customHeight="false" outlineLevel="0" collapsed="false">
      <c r="A35" s="81" t="n">
        <v>43834</v>
      </c>
      <c r="B35" s="83" t="s">
        <v>60</v>
      </c>
      <c r="C35" s="0" t="s">
        <v>61</v>
      </c>
      <c r="D35" s="0" t="str">
        <f aca="false">IFERROR(VLOOKUP(E35,Pieces!B:C,2,0)," ")</f>
        <v> </v>
      </c>
      <c r="E35" s="0" t="s">
        <v>758</v>
      </c>
      <c r="F35" s="0" t="n">
        <v>80</v>
      </c>
      <c r="G35" s="0" t="n">
        <v>80</v>
      </c>
      <c r="H35" s="0" t="n">
        <v>80</v>
      </c>
      <c r="I35" s="0" t="n">
        <v>80</v>
      </c>
      <c r="J35" s="0" t="n">
        <f aca="false">IFERROR(VLOOKUP(E35,Pieces!A:C,3,0),"Entrer la cadence")</f>
        <v>60</v>
      </c>
      <c r="K35" s="0" t="n">
        <v>20</v>
      </c>
      <c r="L35" s="0" t="n">
        <f aca="false">(G35-F35)*K35</f>
        <v>0</v>
      </c>
      <c r="M35" s="0" t="n">
        <f aca="false">(H35-G35)*K35</f>
        <v>0</v>
      </c>
      <c r="N35" s="0" t="n">
        <f aca="false">(I35-H35)*K35</f>
        <v>0</v>
      </c>
      <c r="O35" s="0" t="n">
        <f aca="false">IF(J35=0,0,L35/J35)</f>
        <v>0</v>
      </c>
      <c r="P35" s="0" t="n">
        <f aca="false">IF(J35=0,0,M35/J35)</f>
        <v>0</v>
      </c>
      <c r="Q35" s="0" t="n">
        <f aca="false">IF(J35=0,0,N35/J35)</f>
        <v>0</v>
      </c>
      <c r="R35" s="0" t="n">
        <v>5</v>
      </c>
      <c r="T35" s="0" t="n">
        <f aca="false">V35+U35-L35-M35-N35</f>
        <v>0</v>
      </c>
      <c r="U35" s="0" t="n">
        <f aca="true">SUM(INDIRECT(ADDRESS(MATCH("Nombre des NC poubelle ",ChoixRJ!$B$1:$B$29,0),MATCH($C35,ChoixRJ!$13:$13,0),4,1,"ChoixRJ"),1)*1,INDIRECT(ADDRESS(MATCH("Nombre des NC à retoucher",ChoixRJ!$B$1:$B$29,0),MATCH($C35,ChoixRJ!$13:$13,0),4,1,"ChoixRJ"),1)*1)</f>
        <v>0</v>
      </c>
      <c r="V35" s="0" t="n">
        <v>0</v>
      </c>
      <c r="AA35" s="0" t="n">
        <f aca="false">IF(J35=0,0,(V35+U35)/J35)</f>
        <v>0</v>
      </c>
      <c r="AB35" s="0" t="n">
        <f aca="false">IF(OR(R35=0,J35=0),"",AA35/R35*100)</f>
        <v>0</v>
      </c>
      <c r="AF35" s="0" t="str">
        <f aca="false">IF(AB35&gt;85," ","WARNING")</f>
        <v>WARNING</v>
      </c>
      <c r="AG35" s="0" t="str">
        <f aca="false">IF(A35=ChoixJour!$A$5,ROW(),"")</f>
        <v/>
      </c>
    </row>
    <row r="36" customFormat="false" ht="13.8" hidden="false" customHeight="false" outlineLevel="0" collapsed="false">
      <c r="A36" s="81" t="n">
        <v>43834</v>
      </c>
      <c r="B36" s="83" t="s">
        <v>68</v>
      </c>
      <c r="C36" s="0" t="s">
        <v>69</v>
      </c>
      <c r="D36" s="0" t="str">
        <f aca="false">IFERROR(VLOOKUP(E36,Pieces!B:C,2,0)," ")</f>
        <v> </v>
      </c>
      <c r="E36" s="0" t="s">
        <v>928</v>
      </c>
      <c r="F36" s="0" t="n">
        <v>15</v>
      </c>
      <c r="G36" s="0" t="n">
        <v>15</v>
      </c>
      <c r="H36" s="0" t="n">
        <v>15</v>
      </c>
      <c r="I36" s="0" t="n">
        <v>15</v>
      </c>
      <c r="J36" s="0" t="n">
        <f aca="false">IFERROR(VLOOKUP(E36,Pieces!A:C,3,0),"Entrer la cadence")</f>
        <v>38</v>
      </c>
      <c r="K36" s="0" t="n">
        <v>51</v>
      </c>
      <c r="L36" s="0" t="n">
        <f aca="false">(G36-F36)*K36</f>
        <v>0</v>
      </c>
      <c r="M36" s="0" t="n">
        <f aca="false">(H36-G36)*K36</f>
        <v>0</v>
      </c>
      <c r="N36" s="0" t="n">
        <f aca="false">(I36-H36)*K36</f>
        <v>0</v>
      </c>
      <c r="O36" s="0" t="n">
        <f aca="false">IF(J36=0,0,L36/J36)</f>
        <v>0</v>
      </c>
      <c r="P36" s="0" t="n">
        <f aca="false">IF(J36=0,0,M36/J36)</f>
        <v>0</v>
      </c>
      <c r="Q36" s="0" t="n">
        <f aca="false">IF(J36=0,0,N36/J36)</f>
        <v>0</v>
      </c>
      <c r="R36" s="0" t="n">
        <v>5</v>
      </c>
      <c r="T36" s="0" t="n">
        <f aca="false">V36+U36-L36-M36-N36</f>
        <v>0</v>
      </c>
      <c r="U36" s="0" t="n">
        <f aca="true">SUM(INDIRECT(ADDRESS(MATCH("Nombre des NC poubelle ",ChoixRJ!$B$1:$B$29,0),MATCH($C36,ChoixRJ!$13:$13,0),4,1,"ChoixRJ"),1)*1,INDIRECT(ADDRESS(MATCH("Nombre des NC à retoucher",ChoixRJ!$B$1:$B$29,0),MATCH($C36,ChoixRJ!$13:$13,0),4,1,"ChoixRJ"),1)*1)</f>
        <v>0</v>
      </c>
      <c r="V36" s="0" t="n">
        <v>0</v>
      </c>
      <c r="AA36" s="0" t="n">
        <f aca="false">IF(J36=0,0,(V36+U36)/J36)</f>
        <v>0</v>
      </c>
      <c r="AB36" s="0" t="n">
        <f aca="false">IF(OR(R36=0,J36=0),"",AA36/R36*100)</f>
        <v>0</v>
      </c>
      <c r="AF36" s="0" t="str">
        <f aca="false">IF(AB36&gt;85," ","WARNING")</f>
        <v>WARNING</v>
      </c>
      <c r="AG36" s="0" t="str">
        <f aca="false">IF(A36=ChoixJour!$A$5,ROW(),"")</f>
        <v/>
      </c>
    </row>
    <row r="37" customFormat="false" ht="13.8" hidden="false" customHeight="false" outlineLevel="0" collapsed="false">
      <c r="A37" s="81" t="n">
        <v>43834</v>
      </c>
      <c r="B37" s="83" t="s">
        <v>66</v>
      </c>
      <c r="C37" s="0" t="s">
        <v>67</v>
      </c>
      <c r="D37" s="0" t="str">
        <f aca="false">IFERROR(VLOOKUP(E37,Pieces!B:C,2,0)," ")</f>
        <v> </v>
      </c>
      <c r="E37" s="0" t="s">
        <v>136</v>
      </c>
      <c r="F37" s="0" t="n">
        <v>0</v>
      </c>
      <c r="G37" s="0" t="n">
        <v>0</v>
      </c>
      <c r="H37" s="0" t="n">
        <v>0</v>
      </c>
      <c r="I37" s="0" t="n">
        <v>0</v>
      </c>
      <c r="J37" s="0" t="n">
        <f aca="false">IFERROR(VLOOKUP(E37,Pieces!A:C,3,0),"Entrer la cadence")</f>
        <v>1</v>
      </c>
      <c r="K37" s="0" t="n">
        <v>1</v>
      </c>
      <c r="L37" s="0" t="n">
        <f aca="false">(G37-F37)*K37</f>
        <v>0</v>
      </c>
      <c r="M37" s="0" t="n">
        <f aca="false">(H37-G37)*K37</f>
        <v>0</v>
      </c>
      <c r="N37" s="0" t="n">
        <f aca="false">(I37-H37)*K37</f>
        <v>0</v>
      </c>
      <c r="O37" s="0" t="n">
        <f aca="false">IF(J37=0,0,L37/J37)</f>
        <v>0</v>
      </c>
      <c r="P37" s="0" t="n">
        <f aca="false">IF(J37=0,0,M37/J37)</f>
        <v>0</v>
      </c>
      <c r="Q37" s="0" t="n">
        <f aca="false">IF(J37=0,0,N37/J37)</f>
        <v>0</v>
      </c>
      <c r="R37" s="0" t="n">
        <v>5</v>
      </c>
      <c r="T37" s="0" t="n">
        <f aca="false">V37+U37-L37-M37-N37</f>
        <v>0</v>
      </c>
      <c r="U37" s="0" t="n">
        <f aca="true">SUM(INDIRECT(ADDRESS(MATCH("Nombre des NC poubelle ",ChoixRJ!$B$1:$B$29,0),MATCH($C37,ChoixRJ!$13:$13,0),4,1,"ChoixRJ"),1)*1,INDIRECT(ADDRESS(MATCH("Nombre des NC à retoucher",ChoixRJ!$B$1:$B$29,0),MATCH($C37,ChoixRJ!$13:$13,0),4,1,"ChoixRJ"),1)*1)</f>
        <v>0</v>
      </c>
      <c r="V37" s="0" t="n">
        <v>0</v>
      </c>
      <c r="AA37" s="0" t="n">
        <f aca="false">IF(J37=0,0,(V37+U37)/J37)</f>
        <v>0</v>
      </c>
      <c r="AB37" s="0" t="n">
        <f aca="false">IF(OR(R37=0,J37=0),"",AA37/R37*100)</f>
        <v>0</v>
      </c>
      <c r="AF37" s="0" t="str">
        <f aca="false">IF(AB37&gt;85," ","WARNING")</f>
        <v>WARNING</v>
      </c>
      <c r="AG37" s="0" t="str">
        <f aca="false">IF(A37=ChoixJour!$A$5,ROW(),"")</f>
        <v/>
      </c>
    </row>
    <row r="38" customFormat="false" ht="13.8" hidden="false" customHeight="false" outlineLevel="0" collapsed="false">
      <c r="A38" s="81" t="n">
        <v>43834</v>
      </c>
      <c r="B38" s="83" t="s">
        <v>46</v>
      </c>
      <c r="C38" s="0" t="s">
        <v>57</v>
      </c>
      <c r="D38" s="0" t="str">
        <f aca="false">IFERROR(VLOOKUP(E38,Pieces!B:C,2,0)," ")</f>
        <v> </v>
      </c>
      <c r="E38" s="0" t="s">
        <v>958</v>
      </c>
      <c r="F38" s="0" t="n">
        <v>180777</v>
      </c>
      <c r="G38" s="0" t="n">
        <v>180777</v>
      </c>
      <c r="H38" s="0" t="n">
        <v>180777</v>
      </c>
      <c r="I38" s="0" t="n">
        <v>180777</v>
      </c>
      <c r="J38" s="0" t="n">
        <f aca="false">IFERROR(VLOOKUP(E38,Pieces!A:C,3,0),"Entrer la cadence")</f>
        <v>454</v>
      </c>
      <c r="K38" s="0" t="n">
        <v>1</v>
      </c>
      <c r="L38" s="0" t="n">
        <f aca="false">(G38-F38)*K38</f>
        <v>0</v>
      </c>
      <c r="M38" s="0" t="n">
        <f aca="false">(H38-G38)*K38</f>
        <v>0</v>
      </c>
      <c r="N38" s="0" t="n">
        <f aca="false">(I38-H38)*K38</f>
        <v>0</v>
      </c>
      <c r="O38" s="0" t="n">
        <f aca="false">IF(J38=0,0,L38/J38)</f>
        <v>0</v>
      </c>
      <c r="P38" s="0" t="n">
        <f aca="false">IF(J38=0,0,M38/J38)</f>
        <v>0</v>
      </c>
      <c r="Q38" s="0" t="n">
        <f aca="false">IF(J38=0,0,N38/J38)</f>
        <v>0</v>
      </c>
      <c r="R38" s="0" t="n">
        <v>5</v>
      </c>
      <c r="T38" s="0" t="n">
        <f aca="false">V38+U38-L38-M38-N38</f>
        <v>0</v>
      </c>
      <c r="U38" s="0" t="n">
        <f aca="true">SUM(INDIRECT(ADDRESS(MATCH("Nombre des NC poubelle ",ChoixRJ!$B$1:$B$29,0),MATCH($C38,ChoixRJ!$13:$13,0),4,1,"ChoixRJ"),1)*1,INDIRECT(ADDRESS(MATCH("Nombre des NC à retoucher",ChoixRJ!$B$1:$B$29,0),MATCH($C38,ChoixRJ!$13:$13,0),4,1,"ChoixRJ"),1)*1)</f>
        <v>0</v>
      </c>
      <c r="V38" s="0" t="n">
        <v>0</v>
      </c>
      <c r="AA38" s="0" t="n">
        <f aca="false">IF(J38=0,0,(V38+U38)/J38)</f>
        <v>0</v>
      </c>
      <c r="AB38" s="0" t="n">
        <f aca="false">IF(OR(R38=0,J38=0),"",AA38/R38*100)</f>
        <v>0</v>
      </c>
      <c r="AF38" s="0" t="str">
        <f aca="false">IF(AB38&gt;85," ","WARNING")</f>
        <v>WARNING</v>
      </c>
      <c r="AG38" s="0" t="str">
        <f aca="false">IF(A38=ChoixJour!$A$5,ROW(),"")</f>
        <v/>
      </c>
    </row>
    <row r="39" customFormat="false" ht="13.8" hidden="false" customHeight="false" outlineLevel="0" collapsed="false">
      <c r="A39" s="81" t="n">
        <v>43834</v>
      </c>
      <c r="B39" s="83" t="s">
        <v>64</v>
      </c>
      <c r="C39" s="0" t="s">
        <v>65</v>
      </c>
      <c r="D39" s="0" t="str">
        <f aca="false">IFERROR(VLOOKUP(E39,Pieces!B:C,2,0)," ")</f>
        <v> </v>
      </c>
      <c r="E39" s="0" t="s">
        <v>699</v>
      </c>
      <c r="F39" s="0" t="n">
        <v>3390</v>
      </c>
      <c r="G39" s="0" t="n">
        <v>3630</v>
      </c>
      <c r="H39" s="0" t="n">
        <v>3630</v>
      </c>
      <c r="I39" s="0" t="n">
        <v>3630</v>
      </c>
      <c r="J39" s="0" t="n">
        <f aca="false">IFERROR(VLOOKUP(E39,Pieces!A:C,3,0),"Entrer la cadence")</f>
        <v>50</v>
      </c>
      <c r="K39" s="0" t="n">
        <v>1</v>
      </c>
      <c r="L39" s="0" t="n">
        <f aca="false">(G39-F39)*K39</f>
        <v>240</v>
      </c>
      <c r="M39" s="0" t="n">
        <f aca="false">(H39-G39)*K39</f>
        <v>0</v>
      </c>
      <c r="N39" s="0" t="n">
        <f aca="false">(I39-H39)*K39</f>
        <v>0</v>
      </c>
      <c r="O39" s="0" t="n">
        <f aca="false">IF(J39=0,0,L39/J39)</f>
        <v>4.8</v>
      </c>
      <c r="P39" s="0" t="n">
        <f aca="false">IF(J39=0,0,M39/J39)</f>
        <v>0</v>
      </c>
      <c r="Q39" s="0" t="n">
        <f aca="false">IF(J39=0,0,N39/J39)</f>
        <v>0</v>
      </c>
      <c r="R39" s="0" t="n">
        <v>5</v>
      </c>
      <c r="T39" s="0" t="n">
        <f aca="false">V39+U39-L39-M39-N39</f>
        <v>0</v>
      </c>
      <c r="U39" s="0" t="n">
        <f aca="true">SUM(INDIRECT(ADDRESS(MATCH("Nombre des NC poubelle ",ChoixRJ!$B$1:$B$29,0),MATCH($C39,ChoixRJ!$13:$13,0),4,1,"ChoixRJ"),1)*1,INDIRECT(ADDRESS(MATCH("Nombre des NC à retoucher",ChoixRJ!$B$1:$B$29,0),MATCH($C39,ChoixRJ!$13:$13,0),4,1,"ChoixRJ"),1)*1)</f>
        <v>0</v>
      </c>
      <c r="V39" s="0" t="n">
        <v>240</v>
      </c>
      <c r="AA39" s="0" t="n">
        <f aca="false">IF(J39=0,0,(V39+U39)/J39)</f>
        <v>4.8</v>
      </c>
      <c r="AB39" s="0" t="n">
        <f aca="false">IF(OR(R39=0,J39=0),"",AA39/R39*100)</f>
        <v>96</v>
      </c>
      <c r="AF39" s="0" t="str">
        <f aca="false">IF(AB39&gt;85," ","WARNING")</f>
        <v> </v>
      </c>
      <c r="AG39" s="0" t="str">
        <f aca="false">IF(A39=ChoixJour!$A$5,ROW(),"")</f>
        <v/>
      </c>
    </row>
    <row r="40" customFormat="false" ht="13.8" hidden="false" customHeight="false" outlineLevel="0" collapsed="false">
      <c r="A40" s="81" t="n">
        <v>43834</v>
      </c>
      <c r="B40" s="83" t="s">
        <v>96</v>
      </c>
      <c r="C40" s="0" t="s">
        <v>71</v>
      </c>
      <c r="D40" s="0" t="str">
        <f aca="false">IFERROR(VLOOKUP(E40,Pieces!B:C,2,0)," ")</f>
        <v> </v>
      </c>
      <c r="E40" s="0" t="s">
        <v>1042</v>
      </c>
      <c r="F40" s="0" t="n">
        <v>0</v>
      </c>
      <c r="G40" s="0" t="n">
        <v>64</v>
      </c>
      <c r="H40" s="0" t="n">
        <v>64</v>
      </c>
      <c r="I40" s="0" t="n">
        <v>64</v>
      </c>
      <c r="J40" s="0" t="n">
        <f aca="false">IFERROR(VLOOKUP(E40,Pieces!A:C,3,0),"Entrer la cadence")</f>
        <v>20</v>
      </c>
      <c r="K40" s="0" t="n">
        <v>1</v>
      </c>
      <c r="L40" s="0" t="n">
        <f aca="false">(G40-F40)*K40</f>
        <v>64</v>
      </c>
      <c r="M40" s="0" t="n">
        <f aca="false">(H40-G40)*K40</f>
        <v>0</v>
      </c>
      <c r="N40" s="0" t="n">
        <f aca="false">(I40-H40)*K40</f>
        <v>0</v>
      </c>
      <c r="O40" s="0" t="n">
        <f aca="false">IF(J40=0,0,L40/J40)</f>
        <v>3.2</v>
      </c>
      <c r="P40" s="0" t="n">
        <f aca="false">IF(J40=0,0,M40/J40)</f>
        <v>0</v>
      </c>
      <c r="Q40" s="0" t="n">
        <f aca="false">IF(J40=0,0,N40/J40)</f>
        <v>0</v>
      </c>
      <c r="R40" s="0" t="n">
        <v>5</v>
      </c>
      <c r="S40" s="0" t="s">
        <v>1057</v>
      </c>
      <c r="T40" s="0" t="n">
        <f aca="false">V40+U40-L40-M40-N40</f>
        <v>0</v>
      </c>
      <c r="U40" s="0" t="n">
        <f aca="true">SUM(INDIRECT(ADDRESS(MATCH("Nombre des NC poubelle ",ChoixRJ!$B$1:$B$29,0),MATCH($C40,ChoixRJ!$13:$13,0),4,1,"ChoixRJ"),1)*1,INDIRECT(ADDRESS(MATCH("Nombre des NC à retoucher",ChoixRJ!$B$1:$B$29,0),MATCH($C40,ChoixRJ!$13:$13,0),4,1,"ChoixRJ"),1)*1)</f>
        <v>0</v>
      </c>
      <c r="V40" s="0" t="n">
        <v>64</v>
      </c>
      <c r="AA40" s="0" t="n">
        <f aca="false">IF(J40=0,0,(V40+U40)/J40)</f>
        <v>3.2</v>
      </c>
      <c r="AB40" s="0" t="n">
        <f aca="false">IF(OR(R40=0,J40=0),"",AA40/R40*100)</f>
        <v>64</v>
      </c>
      <c r="AF40" s="0" t="str">
        <f aca="false">IF(AB40&gt;85," ","WARNING")</f>
        <v>WARNING</v>
      </c>
      <c r="AG40" s="0" t="str">
        <f aca="false">IF(A40=ChoixJour!$A$5,ROW(),"")</f>
        <v/>
      </c>
    </row>
    <row r="41" customFormat="false" ht="13.8" hidden="false" customHeight="false" outlineLevel="0" collapsed="false">
      <c r="A41" s="81" t="n">
        <v>43836</v>
      </c>
      <c r="B41" s="83" t="s">
        <v>36</v>
      </c>
      <c r="C41" s="0" t="s">
        <v>52</v>
      </c>
      <c r="D41" s="0" t="str">
        <f aca="false">IFERROR(VLOOKUP(E41,Pieces!B:C,2,0)," ")</f>
        <v> </v>
      </c>
      <c r="E41" s="0" t="s">
        <v>940</v>
      </c>
      <c r="F41" s="0" t="n">
        <v>29297</v>
      </c>
      <c r="G41" s="0" t="n">
        <v>29990</v>
      </c>
      <c r="H41" s="0" t="n">
        <v>29990</v>
      </c>
      <c r="I41" s="0" t="n">
        <v>30041</v>
      </c>
      <c r="J41" s="0" t="n">
        <f aca="false">IFERROR(VLOOKUP(E41,Pieces!A:C,3,0),"Entrer la cadence")</f>
        <v>75</v>
      </c>
      <c r="K41" s="0" t="n">
        <v>1</v>
      </c>
      <c r="L41" s="0" t="n">
        <f aca="false">(G41-F41)*K41</f>
        <v>693</v>
      </c>
      <c r="M41" s="0" t="n">
        <f aca="false">(H41-G41)*K41</f>
        <v>0</v>
      </c>
      <c r="N41" s="0" t="n">
        <f aca="false">(I41-H41)*K41</f>
        <v>51</v>
      </c>
      <c r="O41" s="0" t="n">
        <f aca="false">IF(J41=0,0,L41/J41)</f>
        <v>9.24</v>
      </c>
      <c r="P41" s="0" t="n">
        <f aca="false">IF(J41=0,0,M41/J41)</f>
        <v>0</v>
      </c>
      <c r="Q41" s="0" t="n">
        <f aca="false">IF(J41=0,0,N41/J41)</f>
        <v>0.68</v>
      </c>
      <c r="R41" s="0" t="n">
        <v>9</v>
      </c>
      <c r="T41" s="0" t="n">
        <f aca="false">V41+U41-L41-M41-N41</f>
        <v>0</v>
      </c>
      <c r="U41" s="0" t="n">
        <f aca="true">SUM(INDIRECT(ADDRESS(MATCH("Nombre des NC poubelle ",ChoixRJ!$B$1:$B$29,0),MATCH($C41,ChoixRJ!$13:$13,0),4,1,"ChoixRJ"),1)*1,INDIRECT(ADDRESS(MATCH("Nombre des NC à retoucher",ChoixRJ!$B$1:$B$29,0),MATCH($C41,ChoixRJ!$13:$13,0),4,1,"ChoixRJ"),1)*1)</f>
        <v>0</v>
      </c>
      <c r="V41" s="0" t="n">
        <v>744</v>
      </c>
      <c r="AA41" s="0" t="n">
        <f aca="false">IF(J41=0,0,(V41+U41)/J41)</f>
        <v>9.92</v>
      </c>
      <c r="AB41" s="0" t="n">
        <f aca="false">IF(OR(R41=0,J41=0),"",AA41/R41*100)</f>
        <v>110.222222222222</v>
      </c>
      <c r="AF41" s="0" t="str">
        <f aca="false">IF(AB41&gt;85," ","WARNING")</f>
        <v> </v>
      </c>
      <c r="AG41" s="0" t="n">
        <f aca="false">IF(A41=ChoixJour!$A$5,ROW(),"")</f>
        <v>41</v>
      </c>
    </row>
    <row r="42" customFormat="false" ht="13.8" hidden="false" customHeight="false" outlineLevel="0" collapsed="false">
      <c r="A42" s="81" t="n">
        <v>43836</v>
      </c>
      <c r="B42" s="83" t="s">
        <v>38</v>
      </c>
      <c r="C42" s="0" t="s">
        <v>53</v>
      </c>
      <c r="D42" s="0" t="str">
        <f aca="false">IFERROR(VLOOKUP(E42,Pieces!B:C,2,0)," ")</f>
        <v> </v>
      </c>
      <c r="E42" s="0" t="s">
        <v>1024</v>
      </c>
      <c r="F42" s="0" t="n">
        <v>48</v>
      </c>
      <c r="G42" s="0" t="n">
        <v>1373</v>
      </c>
      <c r="H42" s="0" t="n">
        <v>1373</v>
      </c>
      <c r="I42" s="0" t="n">
        <v>1730</v>
      </c>
      <c r="J42" s="0" t="n">
        <f aca="false">IFERROR(VLOOKUP(E42,Pieces!A:C,3,0),"Entrer la cadence")</f>
        <v>150</v>
      </c>
      <c r="K42" s="0" t="n">
        <v>1</v>
      </c>
      <c r="L42" s="0" t="n">
        <f aca="false">(G42-F42)*K42</f>
        <v>1325</v>
      </c>
      <c r="M42" s="0" t="n">
        <f aca="false">(H42-G42)*K42</f>
        <v>0</v>
      </c>
      <c r="N42" s="0" t="n">
        <f aca="false">(I42-H42)*K42</f>
        <v>357</v>
      </c>
      <c r="O42" s="0" t="n">
        <f aca="false">IF(J42=0,0,L42/J42)</f>
        <v>8.83333333333333</v>
      </c>
      <c r="P42" s="0" t="n">
        <f aca="false">IF(J42=0,0,M42/J42)</f>
        <v>0</v>
      </c>
      <c r="Q42" s="0" t="n">
        <f aca="false">IF(J42=0,0,N42/J42)</f>
        <v>2.38</v>
      </c>
      <c r="R42" s="0" t="n">
        <v>9</v>
      </c>
      <c r="T42" s="0" t="n">
        <f aca="false">V42+U42-L42-M42-N42</f>
        <v>0</v>
      </c>
      <c r="U42" s="0" t="n">
        <f aca="true">SUM(INDIRECT(ADDRESS(MATCH("Nombre des NC poubelle ",ChoixRJ!$B$1:$B$29,0),MATCH($C42,ChoixRJ!$13:$13,0),4,1,"ChoixRJ"),1)*1,INDIRECT(ADDRESS(MATCH("Nombre des NC à retoucher",ChoixRJ!$B$1:$B$29,0),MATCH($C42,ChoixRJ!$13:$13,0),4,1,"ChoixRJ"),1)*1)</f>
        <v>0</v>
      </c>
      <c r="V42" s="0" t="n">
        <v>1682</v>
      </c>
      <c r="AA42" s="0" t="n">
        <f aca="false">IF(J42=0,0,(V42+U42)/J42)</f>
        <v>11.2133333333333</v>
      </c>
      <c r="AB42" s="0" t="n">
        <f aca="false">IF(OR(R42=0,J42=0),"",AA42/R42*100)</f>
        <v>124.592592592593</v>
      </c>
      <c r="AF42" s="0" t="str">
        <f aca="false">IF(AB42&gt;85," ","WARNING")</f>
        <v> </v>
      </c>
      <c r="AG42" s="0" t="n">
        <f aca="false">IF(A42=ChoixJour!$A$5,ROW(),"")</f>
        <v>42</v>
      </c>
    </row>
    <row r="43" customFormat="false" ht="13.8" hidden="false" customHeight="false" outlineLevel="0" collapsed="false">
      <c r="A43" s="81" t="n">
        <v>43836</v>
      </c>
      <c r="B43" s="83" t="s">
        <v>40</v>
      </c>
      <c r="C43" s="0" t="s">
        <v>54</v>
      </c>
      <c r="D43" s="0" t="str">
        <f aca="false">IFERROR(VLOOKUP(E43,Pieces!B:C,2,0)," ")</f>
        <v> </v>
      </c>
      <c r="E43" s="0" t="s">
        <v>896</v>
      </c>
      <c r="F43" s="0" t="n">
        <v>0</v>
      </c>
      <c r="G43" s="0" t="n">
        <v>406</v>
      </c>
      <c r="H43" s="0" t="n">
        <v>406</v>
      </c>
      <c r="I43" s="0" t="n">
        <v>455</v>
      </c>
      <c r="J43" s="0" t="n">
        <f aca="false">IFERROR(VLOOKUP(E43,Pieces!A:C,3,0),"Entrer la cadence")</f>
        <v>50</v>
      </c>
      <c r="K43" s="0" t="n">
        <v>1</v>
      </c>
      <c r="L43" s="0" t="n">
        <f aca="false">(G43-F43)*K43</f>
        <v>406</v>
      </c>
      <c r="M43" s="0" t="n">
        <f aca="false">(H43-G43)*K43</f>
        <v>0</v>
      </c>
      <c r="N43" s="0" t="n">
        <f aca="false">(I43-H43)*K43</f>
        <v>49</v>
      </c>
      <c r="O43" s="0" t="n">
        <f aca="false">IF(J43=0,0,L43/J43)</f>
        <v>8.12</v>
      </c>
      <c r="P43" s="0" t="n">
        <f aca="false">IF(J43=0,0,M43/J43)</f>
        <v>0</v>
      </c>
      <c r="Q43" s="0" t="n">
        <f aca="false">IF(J43=0,0,N43/J43)</f>
        <v>0.98</v>
      </c>
      <c r="R43" s="0" t="n">
        <v>9</v>
      </c>
      <c r="S43" s="0" t="s">
        <v>1058</v>
      </c>
      <c r="T43" s="0" t="n">
        <v>0</v>
      </c>
      <c r="U43" s="0" t="n">
        <f aca="true">SUM(INDIRECT(ADDRESS(MATCH("Nombre des NC poubelle ",ChoixRJ!$B$1:$B$29,0),MATCH($C43,ChoixRJ!$13:$13,0),4,1,"ChoixRJ"),1)*1,INDIRECT(ADDRESS(MATCH("Nombre des NC à retoucher",ChoixRJ!$B$1:$B$29,0),MATCH($C43,ChoixRJ!$13:$13,0),4,1,"ChoixRJ"),1)*1)</f>
        <v>0</v>
      </c>
      <c r="AA43" s="0" t="n">
        <f aca="false">IF(J43=0,0,(V43+U43)/J43)</f>
        <v>0</v>
      </c>
      <c r="AB43" s="0" t="n">
        <f aca="false">IF(OR(R43=0,J43=0),"",AA43/R43*100)</f>
        <v>0</v>
      </c>
      <c r="AF43" s="0" t="str">
        <f aca="false">IF(AB43&gt;85," ","WARNING")</f>
        <v>WARNING</v>
      </c>
      <c r="AG43" s="0" t="n">
        <f aca="false">IF(A43=ChoixJour!$A$5,ROW(),"")</f>
        <v>43</v>
      </c>
    </row>
    <row r="44" customFormat="false" ht="13.8" hidden="false" customHeight="false" outlineLevel="0" collapsed="false">
      <c r="A44" s="81" t="n">
        <v>43836</v>
      </c>
      <c r="B44" s="83" t="s">
        <v>42</v>
      </c>
      <c r="C44" s="0" t="s">
        <v>55</v>
      </c>
      <c r="D44" s="0" t="str">
        <f aca="false">IFERROR(VLOOKUP(E44,Pieces!B:C,2,0)," ")</f>
        <v> </v>
      </c>
      <c r="E44" s="0" t="s">
        <v>147</v>
      </c>
      <c r="F44" s="0" t="n">
        <v>471</v>
      </c>
      <c r="G44" s="0" t="n">
        <v>582</v>
      </c>
      <c r="H44" s="0" t="n">
        <v>582</v>
      </c>
      <c r="I44" s="0" t="n">
        <v>582</v>
      </c>
      <c r="J44" s="0" t="n">
        <f aca="false">IFERROR(VLOOKUP(E44,Pieces!A:C,3,0),"Entrer la cadence")</f>
        <v>28</v>
      </c>
      <c r="K44" s="0" t="n">
        <v>1</v>
      </c>
      <c r="L44" s="0" t="n">
        <f aca="false">(G44-F44)*K44</f>
        <v>111</v>
      </c>
      <c r="M44" s="0" t="n">
        <f aca="false">(H44-G44)*K44</f>
        <v>0</v>
      </c>
      <c r="N44" s="0" t="n">
        <f aca="false">(I44-H44)*K44</f>
        <v>0</v>
      </c>
      <c r="O44" s="0" t="n">
        <f aca="false">IF(J44=0,0,L44/J44)</f>
        <v>3.96428571428571</v>
      </c>
      <c r="P44" s="0" t="n">
        <f aca="false">IF(J44=0,0,M44/J44)</f>
        <v>0</v>
      </c>
      <c r="Q44" s="0" t="n">
        <f aca="false">IF(J44=0,0,N44/J44)</f>
        <v>0</v>
      </c>
      <c r="R44" s="0" t="n">
        <v>9</v>
      </c>
      <c r="T44" s="0" t="n">
        <f aca="false">V44+U44-L44-M44-N44</f>
        <v>9</v>
      </c>
      <c r="U44" s="0" t="n">
        <f aca="true">SUM(INDIRECT(ADDRESS(MATCH("Nombre des NC poubelle ",ChoixRJ!$B$1:$B$29,0),MATCH($C44,ChoixRJ!$13:$13,0),4,1,"ChoixRJ"),1)*1,INDIRECT(ADDRESS(MATCH("Nombre des NC à retoucher",ChoixRJ!$B$1:$B$29,0),MATCH($C44,ChoixRJ!$13:$13,0),4,1,"ChoixRJ"),1)*1)</f>
        <v>9</v>
      </c>
      <c r="V44" s="0" t="n">
        <v>111</v>
      </c>
      <c r="AA44" s="0" t="n">
        <f aca="false">IF(J44=0,0,(V44+U44)/J44)</f>
        <v>4.28571428571429</v>
      </c>
      <c r="AB44" s="0" t="n">
        <f aca="false">IF(OR(R44=0,J44=0),"",AA44/R44*100)</f>
        <v>47.6190476190476</v>
      </c>
      <c r="AF44" s="0" t="str">
        <f aca="false">IF(AB44&gt;85," ","WARNING")</f>
        <v>WARNING</v>
      </c>
      <c r="AG44" s="0" t="n">
        <f aca="false">IF(A44=ChoixJour!$A$5,ROW(),"")</f>
        <v>44</v>
      </c>
    </row>
    <row r="45" customFormat="false" ht="13.8" hidden="false" customHeight="false" outlineLevel="0" collapsed="false">
      <c r="A45" s="81" t="n">
        <v>43836</v>
      </c>
      <c r="B45" s="83" t="s">
        <v>44</v>
      </c>
      <c r="C45" s="0" t="s">
        <v>56</v>
      </c>
      <c r="D45" s="0" t="str">
        <f aca="false">IFERROR(VLOOKUP(E45,Pieces!B:C,2,0)," ")</f>
        <v> </v>
      </c>
      <c r="E45" s="0" t="s">
        <v>759</v>
      </c>
      <c r="F45" s="0" t="n">
        <v>0</v>
      </c>
      <c r="G45" s="0" t="n">
        <v>0</v>
      </c>
      <c r="H45" s="0" t="n">
        <v>0</v>
      </c>
      <c r="I45" s="0" t="n">
        <v>0</v>
      </c>
      <c r="J45" s="0" t="n">
        <f aca="false">IFERROR(VLOOKUP(E45,Pieces!A:C,3,0),"Entrer la cadence")</f>
        <v>20</v>
      </c>
      <c r="K45" s="0" t="n">
        <v>1</v>
      </c>
      <c r="L45" s="0" t="n">
        <f aca="false">(G45-F45)*K45</f>
        <v>0</v>
      </c>
      <c r="M45" s="0" t="n">
        <f aca="false">(H45-G45)*K45</f>
        <v>0</v>
      </c>
      <c r="N45" s="0" t="n">
        <f aca="false">(I45-H45)*K45</f>
        <v>0</v>
      </c>
      <c r="O45" s="0" t="n">
        <f aca="false">IF(J45=0,0,L45/J45)</f>
        <v>0</v>
      </c>
      <c r="P45" s="0" t="n">
        <f aca="false">IF(J45=0,0,M45/J45)</f>
        <v>0</v>
      </c>
      <c r="Q45" s="0" t="n">
        <f aca="false">IF(J45=0,0,N45/J45)</f>
        <v>0</v>
      </c>
      <c r="R45" s="0" t="n">
        <v>9</v>
      </c>
      <c r="T45" s="0" t="n">
        <f aca="false">V45+U45-L45-M45-N45</f>
        <v>0</v>
      </c>
      <c r="U45" s="0" t="n">
        <f aca="true">SUM(INDIRECT(ADDRESS(MATCH("Nombre des NC poubelle ",ChoixRJ!$B$1:$B$29,0),MATCH($C45,ChoixRJ!$13:$13,0),4,1,"ChoixRJ"),1)*1,INDIRECT(ADDRESS(MATCH("Nombre des NC à retoucher",ChoixRJ!$B$1:$B$29,0),MATCH($C45,ChoixRJ!$13:$13,0),4,1,"ChoixRJ"),1)*1)</f>
        <v>0</v>
      </c>
      <c r="V45" s="0" t="n">
        <v>0</v>
      </c>
      <c r="AA45" s="0" t="n">
        <f aca="false">IF(J45=0,0,(V45+U45)/J45)</f>
        <v>0</v>
      </c>
      <c r="AB45" s="0" t="n">
        <f aca="false">IF(OR(R45=0,J45=0),"",AA45/R45*100)</f>
        <v>0</v>
      </c>
      <c r="AF45" s="0" t="str">
        <f aca="false">IF(AB45&gt;85," ","WARNING")</f>
        <v>WARNING</v>
      </c>
      <c r="AG45" s="0" t="n">
        <f aca="false">IF(A45=ChoixJour!$A$5,ROW(),"")</f>
        <v>45</v>
      </c>
    </row>
    <row r="46" customFormat="false" ht="13.8" hidden="false" customHeight="false" outlineLevel="0" collapsed="false">
      <c r="A46" s="81" t="n">
        <v>43836</v>
      </c>
      <c r="B46" s="83" t="s">
        <v>62</v>
      </c>
      <c r="C46" s="0" t="s">
        <v>63</v>
      </c>
      <c r="D46" s="0" t="str">
        <f aca="false">IFERROR(VLOOKUP(E46,Pieces!B:C,2,0)," ")</f>
        <v> </v>
      </c>
      <c r="E46" s="0" t="s">
        <v>136</v>
      </c>
      <c r="F46" s="0" t="n">
        <v>0</v>
      </c>
      <c r="G46" s="0" t="n">
        <v>0</v>
      </c>
      <c r="H46" s="0" t="n">
        <v>0</v>
      </c>
      <c r="I46" s="0" t="n">
        <v>0</v>
      </c>
      <c r="J46" s="0" t="n">
        <f aca="false">IFERROR(VLOOKUP(E46,Pieces!A:C,3,0),"Entrer la cadence")</f>
        <v>1</v>
      </c>
      <c r="K46" s="0" t="n">
        <v>1</v>
      </c>
      <c r="L46" s="0" t="n">
        <f aca="false">(G46-F46)*K46</f>
        <v>0</v>
      </c>
      <c r="M46" s="0" t="n">
        <f aca="false">(H46-G46)*K46</f>
        <v>0</v>
      </c>
      <c r="N46" s="0" t="n">
        <f aca="false">(I46-H46)*K46</f>
        <v>0</v>
      </c>
      <c r="O46" s="0" t="n">
        <f aca="false">IF(J46=0,0,L46/J46)</f>
        <v>0</v>
      </c>
      <c r="P46" s="0" t="n">
        <f aca="false">IF(J46=0,0,M46/J46)</f>
        <v>0</v>
      </c>
      <c r="Q46" s="0" t="n">
        <f aca="false">IF(J46=0,0,N46/J46)</f>
        <v>0</v>
      </c>
      <c r="R46" s="0" t="n">
        <v>9</v>
      </c>
      <c r="T46" s="0" t="n">
        <f aca="false">V46+U46-L46-M46-N46</f>
        <v>0</v>
      </c>
      <c r="U46" s="0" t="n">
        <f aca="true">SUM(INDIRECT(ADDRESS(MATCH("Nombre des NC poubelle ",ChoixRJ!$B$1:$B$29,0),MATCH($C46,ChoixRJ!$13:$13,0),4,1,"ChoixRJ"),1)*1,INDIRECT(ADDRESS(MATCH("Nombre des NC à retoucher",ChoixRJ!$B$1:$B$29,0),MATCH($C46,ChoixRJ!$13:$13,0),4,1,"ChoixRJ"),1)*1)</f>
        <v>0</v>
      </c>
      <c r="V46" s="0" t="n">
        <v>0</v>
      </c>
      <c r="AA46" s="0" t="n">
        <f aca="false">IF(J46=0,0,(V46+U46)/J46)</f>
        <v>0</v>
      </c>
      <c r="AB46" s="0" t="n">
        <f aca="false">IF(OR(R46=0,J46=0),"",AA46/R46*100)</f>
        <v>0</v>
      </c>
      <c r="AF46" s="0" t="str">
        <f aca="false">IF(AB46&gt;85," ","WARNING")</f>
        <v>WARNING</v>
      </c>
      <c r="AG46" s="0" t="n">
        <f aca="false">IF(A46=ChoixJour!$A$5,ROW(),"")</f>
        <v>46</v>
      </c>
    </row>
    <row r="47" customFormat="false" ht="13.8" hidden="false" customHeight="false" outlineLevel="0" collapsed="false">
      <c r="A47" s="81" t="n">
        <v>43836</v>
      </c>
      <c r="B47" s="83" t="s">
        <v>58</v>
      </c>
      <c r="C47" s="0" t="s">
        <v>59</v>
      </c>
      <c r="D47" s="0" t="str">
        <f aca="false">IFERROR(VLOOKUP(E47,Pieces!B:C,2,0)," ")</f>
        <v> </v>
      </c>
      <c r="E47" s="0" t="s">
        <v>883</v>
      </c>
      <c r="F47" s="0" t="n">
        <v>887</v>
      </c>
      <c r="G47" s="0" t="n">
        <v>887</v>
      </c>
      <c r="H47" s="0" t="n">
        <v>887</v>
      </c>
      <c r="I47" s="0" t="n">
        <v>887</v>
      </c>
      <c r="J47" s="0" t="n">
        <f aca="false">IFERROR(VLOOKUP(E47,Pieces!A:C,3,0),"Entrer la cadence")</f>
        <v>28</v>
      </c>
      <c r="K47" s="0" t="n">
        <v>7</v>
      </c>
      <c r="L47" s="0" t="n">
        <f aca="false">(G47-F47)*K47</f>
        <v>0</v>
      </c>
      <c r="M47" s="0" t="n">
        <f aca="false">(H47-G47)*K47</f>
        <v>0</v>
      </c>
      <c r="N47" s="0" t="n">
        <f aca="false">(I47-H47)*K47</f>
        <v>0</v>
      </c>
      <c r="O47" s="0" t="n">
        <f aca="false">IF(J47=0,0,L47/J47)</f>
        <v>0</v>
      </c>
      <c r="P47" s="0" t="n">
        <f aca="false">IF(J47=0,0,M47/J47)</f>
        <v>0</v>
      </c>
      <c r="Q47" s="0" t="n">
        <f aca="false">IF(J47=0,0,N47/J47)</f>
        <v>0</v>
      </c>
      <c r="R47" s="0" t="n">
        <v>9</v>
      </c>
      <c r="T47" s="0" t="n">
        <f aca="false">V47+U47-L47-M47-N47</f>
        <v>0</v>
      </c>
      <c r="U47" s="0" t="n">
        <f aca="true">SUM(INDIRECT(ADDRESS(MATCH("Nombre des NC poubelle ",ChoixRJ!$B$1:$B$29,0),MATCH($C47,ChoixRJ!$13:$13,0),4,1,"ChoixRJ"),1)*1,INDIRECT(ADDRESS(MATCH("Nombre des NC à retoucher",ChoixRJ!$B$1:$B$29,0),MATCH($C47,ChoixRJ!$13:$13,0),4,1,"ChoixRJ"),1)*1)</f>
        <v>0</v>
      </c>
      <c r="V47" s="0" t="n">
        <v>0</v>
      </c>
      <c r="AA47" s="0" t="n">
        <f aca="false">IF(J47=0,0,(V47+U47)/J47)</f>
        <v>0</v>
      </c>
      <c r="AB47" s="0" t="n">
        <f aca="false">IF(OR(R47=0,J47=0),"",AA47/R47*100)</f>
        <v>0</v>
      </c>
      <c r="AF47" s="0" t="str">
        <f aca="false">IF(AB47&gt;85," ","WARNING")</f>
        <v>WARNING</v>
      </c>
      <c r="AG47" s="0" t="n">
        <f aca="false">IF(A47=ChoixJour!$A$5,ROW(),"")</f>
        <v>47</v>
      </c>
    </row>
    <row r="48" customFormat="false" ht="13.8" hidden="false" customHeight="false" outlineLevel="0" collapsed="false">
      <c r="A48" s="81" t="n">
        <v>43836</v>
      </c>
      <c r="B48" s="83" t="s">
        <v>60</v>
      </c>
      <c r="C48" s="0" t="s">
        <v>61</v>
      </c>
      <c r="D48" s="0" t="str">
        <f aca="false">IFERROR(VLOOKUP(E48,Pieces!B:C,2,0)," ")</f>
        <v> </v>
      </c>
      <c r="E48" s="0" t="s">
        <v>758</v>
      </c>
      <c r="F48" s="0" t="n">
        <v>80</v>
      </c>
      <c r="G48" s="0" t="n">
        <v>80</v>
      </c>
      <c r="H48" s="0" t="n">
        <v>80</v>
      </c>
      <c r="I48" s="0" t="n">
        <v>80</v>
      </c>
      <c r="J48" s="0" t="n">
        <f aca="false">IFERROR(VLOOKUP(E48,Pieces!A:C,3,0),"Entrer la cadence")</f>
        <v>60</v>
      </c>
      <c r="K48" s="0" t="n">
        <v>20</v>
      </c>
      <c r="L48" s="0" t="n">
        <f aca="false">(G48-F48)*K48</f>
        <v>0</v>
      </c>
      <c r="M48" s="0" t="n">
        <f aca="false">(H48-G48)*K48</f>
        <v>0</v>
      </c>
      <c r="N48" s="0" t="n">
        <f aca="false">(I48-H48)*K48</f>
        <v>0</v>
      </c>
      <c r="O48" s="0" t="n">
        <f aca="false">IF(J48=0,0,L48/J48)</f>
        <v>0</v>
      </c>
      <c r="P48" s="0" t="n">
        <f aca="false">IF(J48=0,0,M48/J48)</f>
        <v>0</v>
      </c>
      <c r="Q48" s="0" t="n">
        <f aca="false">IF(J48=0,0,N48/J48)</f>
        <v>0</v>
      </c>
      <c r="R48" s="0" t="n">
        <v>9</v>
      </c>
      <c r="T48" s="0" t="n">
        <f aca="false">V48+U48-L48-M48-N48</f>
        <v>0</v>
      </c>
      <c r="U48" s="0" t="n">
        <f aca="true">SUM(INDIRECT(ADDRESS(MATCH("Nombre des NC poubelle ",ChoixRJ!$B$1:$B$29,0),MATCH($C48,ChoixRJ!$13:$13,0),4,1,"ChoixRJ"),1)*1,INDIRECT(ADDRESS(MATCH("Nombre des NC à retoucher",ChoixRJ!$B$1:$B$29,0),MATCH($C48,ChoixRJ!$13:$13,0),4,1,"ChoixRJ"),1)*1)</f>
        <v>0</v>
      </c>
      <c r="V48" s="0" t="n">
        <v>0</v>
      </c>
      <c r="AA48" s="0" t="n">
        <f aca="false">IF(J48=0,0,(V48+U48)/J48)</f>
        <v>0</v>
      </c>
      <c r="AB48" s="0" t="n">
        <f aca="false">IF(OR(R48=0,J48=0),"",AA48/R48*100)</f>
        <v>0</v>
      </c>
      <c r="AF48" s="0" t="str">
        <f aca="false">IF(AB48&gt;85," ","WARNING")</f>
        <v>WARNING</v>
      </c>
      <c r="AG48" s="0" t="n">
        <f aca="false">IF(A48=ChoixJour!$A$5,ROW(),"")</f>
        <v>48</v>
      </c>
    </row>
    <row r="49" customFormat="false" ht="13.8" hidden="false" customHeight="false" outlineLevel="0" collapsed="false">
      <c r="A49" s="81" t="n">
        <v>43836</v>
      </c>
      <c r="B49" s="83" t="s">
        <v>68</v>
      </c>
      <c r="C49" s="0" t="s">
        <v>69</v>
      </c>
      <c r="D49" s="0" t="str">
        <f aca="false">IFERROR(VLOOKUP(E49,Pieces!B:C,2,0)," ")</f>
        <v> </v>
      </c>
      <c r="E49" s="0" t="s">
        <v>928</v>
      </c>
      <c r="F49" s="0" t="n">
        <v>15</v>
      </c>
      <c r="G49" s="0" t="n">
        <v>24</v>
      </c>
      <c r="H49" s="0" t="n">
        <v>24</v>
      </c>
      <c r="I49" s="0" t="n">
        <v>24</v>
      </c>
      <c r="J49" s="0" t="n">
        <f aca="false">IFERROR(VLOOKUP(E49,Pieces!A:C,3,0),"Entrer la cadence")</f>
        <v>38</v>
      </c>
      <c r="K49" s="0" t="n">
        <v>51</v>
      </c>
      <c r="L49" s="0" t="n">
        <f aca="false">(G49-F49)*K49</f>
        <v>459</v>
      </c>
      <c r="M49" s="0" t="n">
        <f aca="false">(H49-G49)*K49</f>
        <v>0</v>
      </c>
      <c r="N49" s="0" t="n">
        <f aca="false">(I49-H49)*K49</f>
        <v>0</v>
      </c>
      <c r="O49" s="0" t="n">
        <f aca="false">IF(J49=0,0,L49/J49)</f>
        <v>12.0789473684211</v>
      </c>
      <c r="P49" s="0" t="n">
        <f aca="false">IF(J49=0,0,M49/J49)</f>
        <v>0</v>
      </c>
      <c r="Q49" s="0" t="n">
        <f aca="false">IF(J49=0,0,N49/J49)</f>
        <v>0</v>
      </c>
      <c r="R49" s="0" t="n">
        <v>9</v>
      </c>
      <c r="T49" s="0" t="n">
        <f aca="false">V49+U49-L49-M49-N49</f>
        <v>0</v>
      </c>
      <c r="U49" s="0" t="n">
        <f aca="true">SUM(INDIRECT(ADDRESS(MATCH("Nombre des NC poubelle ",ChoixRJ!$B$1:$B$29,0),MATCH($C49,ChoixRJ!$13:$13,0),4,1,"ChoixRJ"),1)*1,INDIRECT(ADDRESS(MATCH("Nombre des NC à retoucher",ChoixRJ!$B$1:$B$29,0),MATCH($C49,ChoixRJ!$13:$13,0),4,1,"ChoixRJ"),1)*1)</f>
        <v>0</v>
      </c>
      <c r="V49" s="0" t="n">
        <v>459</v>
      </c>
      <c r="AA49" s="0" t="n">
        <f aca="false">IF(J49=0,0,(V49+U49)/J49)</f>
        <v>12.0789473684211</v>
      </c>
      <c r="AB49" s="0" t="n">
        <f aca="false">IF(OR(R49=0,J49=0),"",AA49/R49*100)</f>
        <v>134.210526315789</v>
      </c>
      <c r="AF49" s="0" t="str">
        <f aca="false">IF(AB49&gt;85," ","WARNING")</f>
        <v> </v>
      </c>
      <c r="AG49" s="0" t="n">
        <f aca="false">IF(A49=ChoixJour!$A$5,ROW(),"")</f>
        <v>49</v>
      </c>
    </row>
    <row r="50" customFormat="false" ht="13.8" hidden="false" customHeight="false" outlineLevel="0" collapsed="false">
      <c r="A50" s="81" t="n">
        <v>43836</v>
      </c>
      <c r="B50" s="83" t="s">
        <v>66</v>
      </c>
      <c r="C50" s="0" t="s">
        <v>67</v>
      </c>
      <c r="D50" s="0" t="str">
        <f aca="false">IFERROR(VLOOKUP(E50,Pieces!B:C,2,0)," ")</f>
        <v> </v>
      </c>
      <c r="E50" s="0" t="s">
        <v>136</v>
      </c>
      <c r="F50" s="0" t="n">
        <v>0</v>
      </c>
      <c r="G50" s="0" t="n">
        <v>0</v>
      </c>
      <c r="H50" s="0" t="n">
        <v>0</v>
      </c>
      <c r="I50" s="0" t="n">
        <v>0</v>
      </c>
      <c r="J50" s="0" t="n">
        <f aca="false">IFERROR(VLOOKUP(E50,Pieces!A:C,3,0),"Entrer la cadence")</f>
        <v>1</v>
      </c>
      <c r="K50" s="0" t="n">
        <v>1</v>
      </c>
      <c r="L50" s="0" t="n">
        <f aca="false">(G50-F50)*K50</f>
        <v>0</v>
      </c>
      <c r="M50" s="0" t="n">
        <f aca="false">(H50-G50)*K50</f>
        <v>0</v>
      </c>
      <c r="N50" s="0" t="n">
        <f aca="false">(I50-H50)*K50</f>
        <v>0</v>
      </c>
      <c r="O50" s="0" t="n">
        <f aca="false">IF(J50=0,0,L50/J50)</f>
        <v>0</v>
      </c>
      <c r="P50" s="0" t="n">
        <f aca="false">IF(J50=0,0,M50/J50)</f>
        <v>0</v>
      </c>
      <c r="Q50" s="0" t="n">
        <f aca="false">IF(J50=0,0,N50/J50)</f>
        <v>0</v>
      </c>
      <c r="R50" s="0" t="n">
        <v>9</v>
      </c>
      <c r="T50" s="0" t="n">
        <f aca="false">V50+U50-L50-M50-N50</f>
        <v>0</v>
      </c>
      <c r="U50" s="0" t="n">
        <f aca="true">SUM(INDIRECT(ADDRESS(MATCH("Nombre des NC poubelle ",ChoixRJ!$B$1:$B$29,0),MATCH($C50,ChoixRJ!$13:$13,0),4,1,"ChoixRJ"),1)*1,INDIRECT(ADDRESS(MATCH("Nombre des NC à retoucher",ChoixRJ!$B$1:$B$29,0),MATCH($C50,ChoixRJ!$13:$13,0),4,1,"ChoixRJ"),1)*1)</f>
        <v>0</v>
      </c>
      <c r="V50" s="0" t="n">
        <v>0</v>
      </c>
      <c r="AA50" s="0" t="n">
        <f aca="false">IF(J50=0,0,(V50+U50)/J50)</f>
        <v>0</v>
      </c>
      <c r="AB50" s="0" t="n">
        <f aca="false">IF(OR(R50=0,J50=0),"",AA50/R50*100)</f>
        <v>0</v>
      </c>
      <c r="AF50" s="0" t="str">
        <f aca="false">IF(AB50&gt;85," ","WARNING")</f>
        <v>WARNING</v>
      </c>
      <c r="AG50" s="0" t="n">
        <f aca="false">IF(A50=ChoixJour!$A$5,ROW(),"")</f>
        <v>50</v>
      </c>
    </row>
    <row r="51" customFormat="false" ht="13.8" hidden="false" customHeight="false" outlineLevel="0" collapsed="false">
      <c r="A51" s="81" t="n">
        <v>43836</v>
      </c>
      <c r="B51" s="83" t="s">
        <v>46</v>
      </c>
      <c r="C51" s="0" t="s">
        <v>57</v>
      </c>
      <c r="D51" s="0" t="str">
        <f aca="false">IFERROR(VLOOKUP(E51,Pieces!B:C,2,0)," ")</f>
        <v> </v>
      </c>
      <c r="E51" s="0" t="s">
        <v>958</v>
      </c>
      <c r="F51" s="0" t="n">
        <v>180777</v>
      </c>
      <c r="G51" s="0" t="n">
        <v>180777</v>
      </c>
      <c r="H51" s="0" t="n">
        <v>180777</v>
      </c>
      <c r="I51" s="0" t="n">
        <v>180777</v>
      </c>
      <c r="J51" s="0" t="n">
        <f aca="false">IFERROR(VLOOKUP(E51,Pieces!A:C,3,0),"Entrer la cadence")</f>
        <v>454</v>
      </c>
      <c r="K51" s="0" t="n">
        <v>1</v>
      </c>
      <c r="L51" s="0" t="n">
        <f aca="false">(G51-F51)*K51</f>
        <v>0</v>
      </c>
      <c r="M51" s="0" t="n">
        <f aca="false">(H51-G51)*K51</f>
        <v>0</v>
      </c>
      <c r="N51" s="0" t="n">
        <f aca="false">(I51-H51)*K51</f>
        <v>0</v>
      </c>
      <c r="O51" s="0" t="n">
        <f aca="false">IF(J51=0,0,L51/J51)</f>
        <v>0</v>
      </c>
      <c r="P51" s="0" t="n">
        <f aca="false">IF(J51=0,0,M51/J51)</f>
        <v>0</v>
      </c>
      <c r="Q51" s="0" t="n">
        <f aca="false">IF(J51=0,0,N51/J51)</f>
        <v>0</v>
      </c>
      <c r="R51" s="0" t="n">
        <v>9</v>
      </c>
      <c r="T51" s="0" t="n">
        <f aca="false">V51+U51-L51-M51-N51</f>
        <v>0</v>
      </c>
      <c r="U51" s="0" t="n">
        <f aca="true">SUM(INDIRECT(ADDRESS(MATCH("Nombre des NC poubelle ",ChoixRJ!$B$1:$B$29,0),MATCH($C51,ChoixRJ!$13:$13,0),4,1,"ChoixRJ"),1)*1,INDIRECT(ADDRESS(MATCH("Nombre des NC à retoucher",ChoixRJ!$B$1:$B$29,0),MATCH($C51,ChoixRJ!$13:$13,0),4,1,"ChoixRJ"),1)*1)</f>
        <v>0</v>
      </c>
      <c r="V51" s="0" t="n">
        <v>0</v>
      </c>
      <c r="AA51" s="0" t="n">
        <f aca="false">IF(J51=0,0,(V51+U51)/J51)</f>
        <v>0</v>
      </c>
      <c r="AB51" s="0" t="n">
        <f aca="false">IF(OR(R51=0,J51=0),"",AA51/R51*100)</f>
        <v>0</v>
      </c>
      <c r="AF51" s="0" t="str">
        <f aca="false">IF(AB51&gt;85," ","WARNING")</f>
        <v>WARNING</v>
      </c>
      <c r="AG51" s="0" t="n">
        <f aca="false">IF(A51=ChoixJour!$A$5,ROW(),"")</f>
        <v>51</v>
      </c>
    </row>
    <row r="52" customFormat="false" ht="13.8" hidden="false" customHeight="false" outlineLevel="0" collapsed="false">
      <c r="A52" s="81" t="n">
        <v>43836</v>
      </c>
      <c r="B52" s="83" t="s">
        <v>64</v>
      </c>
      <c r="C52" s="0" t="s">
        <v>65</v>
      </c>
      <c r="D52" s="0" t="str">
        <f aca="false">IFERROR(VLOOKUP(E52,Pieces!B:C,2,0)," ")</f>
        <v> </v>
      </c>
      <c r="E52" s="0" t="s">
        <v>699</v>
      </c>
      <c r="F52" s="0" t="n">
        <v>0</v>
      </c>
      <c r="G52" s="0" t="n">
        <v>0</v>
      </c>
      <c r="H52" s="0" t="n">
        <v>0</v>
      </c>
      <c r="I52" s="0" t="n">
        <v>122</v>
      </c>
      <c r="J52" s="0" t="n">
        <f aca="false">IFERROR(VLOOKUP(E52,Pieces!A:C,3,0),"Entrer la cadence")</f>
        <v>50</v>
      </c>
      <c r="K52" s="0" t="n">
        <v>1</v>
      </c>
      <c r="L52" s="0" t="n">
        <f aca="false">(G52-F52)*K52</f>
        <v>0</v>
      </c>
      <c r="M52" s="0" t="n">
        <f aca="false">(H52-G52)*K52</f>
        <v>0</v>
      </c>
      <c r="N52" s="0" t="n">
        <f aca="false">(I52-H52)*K52</f>
        <v>122</v>
      </c>
      <c r="O52" s="0" t="n">
        <f aca="false">IF(J52=0,0,L52/J52)</f>
        <v>0</v>
      </c>
      <c r="P52" s="0" t="n">
        <f aca="false">IF(J52=0,0,M52/J52)</f>
        <v>0</v>
      </c>
      <c r="Q52" s="0" t="n">
        <f aca="false">IF(J52=0,0,N52/J52)</f>
        <v>2.44</v>
      </c>
      <c r="R52" s="0" t="n">
        <v>9</v>
      </c>
      <c r="S52" s="0" t="s">
        <v>1059</v>
      </c>
      <c r="T52" s="0" t="n">
        <f aca="false">V52+U52-L52-M52-N52</f>
        <v>0</v>
      </c>
      <c r="U52" s="0" t="n">
        <f aca="true">SUM(INDIRECT(ADDRESS(MATCH("Nombre des NC poubelle ",ChoixRJ!$B$1:$B$29,0),MATCH($C52,ChoixRJ!$13:$13,0),4,1,"ChoixRJ"),1)*1,INDIRECT(ADDRESS(MATCH("Nombre des NC à retoucher",ChoixRJ!$B$1:$B$29,0),MATCH($C52,ChoixRJ!$13:$13,0),4,1,"ChoixRJ"),1)*1)</f>
        <v>0</v>
      </c>
      <c r="V52" s="0" t="n">
        <v>122</v>
      </c>
      <c r="AA52" s="0" t="n">
        <f aca="false">IF(J52=0,0,(V52+U52)/J52)</f>
        <v>2.44</v>
      </c>
      <c r="AB52" s="0" t="n">
        <f aca="false">IF(OR(R52=0,J52=0),"",AA52/R52*100)</f>
        <v>27.1111111111111</v>
      </c>
      <c r="AF52" s="0" t="str">
        <f aca="false">IF(AB52&gt;85," ","WARNING")</f>
        <v>WARNING</v>
      </c>
      <c r="AG52" s="0" t="n">
        <f aca="false">IF(A52=ChoixJour!$A$5,ROW(),"")</f>
        <v>52</v>
      </c>
    </row>
    <row r="53" customFormat="false" ht="13.8" hidden="false" customHeight="false" outlineLevel="0" collapsed="false">
      <c r="A53" s="81" t="n">
        <v>43836</v>
      </c>
      <c r="B53" s="83" t="s">
        <v>96</v>
      </c>
      <c r="C53" s="0" t="s">
        <v>71</v>
      </c>
      <c r="D53" s="0" t="str">
        <f aca="false">IFERROR(VLOOKUP(E53,Pieces!B:C,2,0)," ")</f>
        <v> </v>
      </c>
      <c r="E53" s="0" t="s">
        <v>1042</v>
      </c>
      <c r="F53" s="0" t="n">
        <v>64</v>
      </c>
      <c r="G53" s="0" t="n">
        <v>270</v>
      </c>
      <c r="H53" s="0" t="n">
        <v>271</v>
      </c>
      <c r="I53" s="0" t="n">
        <v>272</v>
      </c>
      <c r="J53" s="0" t="n">
        <f aca="false">IFERROR(VLOOKUP(E53,Pieces!A:C,3,0),"Entrer la cadence")</f>
        <v>20</v>
      </c>
      <c r="K53" s="0" t="n">
        <v>1</v>
      </c>
      <c r="L53" s="0" t="n">
        <f aca="false">(G53-F53)*K53</f>
        <v>206</v>
      </c>
      <c r="M53" s="0" t="n">
        <f aca="false">(H53-G53)*K53</f>
        <v>1</v>
      </c>
      <c r="N53" s="0" t="n">
        <f aca="false">(I53-H53)*K53</f>
        <v>1</v>
      </c>
      <c r="O53" s="0" t="n">
        <f aca="false">IF(J53=0,0,L53/J53)</f>
        <v>10.3</v>
      </c>
      <c r="P53" s="0" t="n">
        <f aca="false">IF(J53=0,0,M53/J53)</f>
        <v>0.05</v>
      </c>
      <c r="Q53" s="0" t="n">
        <f aca="false">IF(J53=0,0,N53/J53)</f>
        <v>0.05</v>
      </c>
      <c r="R53" s="0" t="n">
        <v>9</v>
      </c>
      <c r="S53" s="0" t="s">
        <v>1057</v>
      </c>
      <c r="T53" s="0" t="n">
        <f aca="false">V53+U53-L53-M53-N53</f>
        <v>0</v>
      </c>
      <c r="U53" s="0" t="n">
        <f aca="true">SUM(INDIRECT(ADDRESS(MATCH("Nombre des NC poubelle ",ChoixRJ!$B$1:$B$29,0),MATCH($C53,ChoixRJ!$13:$13,0),4,1,"ChoixRJ"),1)*1,INDIRECT(ADDRESS(MATCH("Nombre des NC à retoucher",ChoixRJ!$B$1:$B$29,0),MATCH($C53,ChoixRJ!$13:$13,0),4,1,"ChoixRJ"),1)*1)</f>
        <v>0</v>
      </c>
      <c r="V53" s="0" t="n">
        <v>208</v>
      </c>
      <c r="AA53" s="0" t="n">
        <f aca="false">IF(J53=0,0,(V53+U53)/J53)</f>
        <v>10.4</v>
      </c>
      <c r="AB53" s="0" t="n">
        <f aca="false">IF(OR(R53=0,J53=0),"",AA53/R53*100)</f>
        <v>115.555555555556</v>
      </c>
      <c r="AF53" s="0" t="str">
        <f aca="false">IF(AB53&gt;85," ","WARNING")</f>
        <v> </v>
      </c>
      <c r="AG53" s="0" t="n">
        <f aca="false">IF(A53=ChoixJour!$A$5,ROW(),"")</f>
        <v>53</v>
      </c>
    </row>
    <row r="54" customFormat="false" ht="13.8" hidden="false" customHeight="false" outlineLevel="0" collapsed="false">
      <c r="A54" s="81" t="n">
        <v>43837</v>
      </c>
      <c r="B54" s="83" t="s">
        <v>36</v>
      </c>
      <c r="C54" s="0" t="s">
        <v>52</v>
      </c>
      <c r="D54" s="0" t="str">
        <f aca="false">IFERROR(VLOOKUP(E54,Pieces!B:C,2,0)," ")</f>
        <v> </v>
      </c>
      <c r="E54" s="0" t="s">
        <v>940</v>
      </c>
      <c r="F54" s="0" t="n">
        <v>30041</v>
      </c>
      <c r="G54" s="0" t="n">
        <v>30685</v>
      </c>
      <c r="H54" s="0" t="n">
        <v>30685</v>
      </c>
      <c r="I54" s="0" t="n">
        <v>30685</v>
      </c>
      <c r="J54" s="0" t="n">
        <f aca="false">IFERROR(VLOOKUP(E54,Pieces!A:C,3,0),"Entrer la cadence")</f>
        <v>75</v>
      </c>
      <c r="K54" s="0" t="n">
        <v>1</v>
      </c>
      <c r="L54" s="0" t="n">
        <f aca="false">(G54-F54)*K54</f>
        <v>644</v>
      </c>
      <c r="M54" s="0" t="n">
        <f aca="false">(H54-G54)*K54</f>
        <v>0</v>
      </c>
      <c r="N54" s="0" t="n">
        <f aca="false">(I54-H54)*K54</f>
        <v>0</v>
      </c>
      <c r="O54" s="0" t="n">
        <f aca="false">IF(J54=0,0,L54/J54)</f>
        <v>8.58666666666667</v>
      </c>
      <c r="P54" s="0" t="n">
        <f aca="false">IF(J54=0,0,M54/J54)</f>
        <v>0</v>
      </c>
      <c r="Q54" s="0" t="n">
        <f aca="false">IF(J54=0,0,N54/J54)</f>
        <v>0</v>
      </c>
      <c r="R54" s="0" t="n">
        <v>13</v>
      </c>
      <c r="T54" s="0" t="n">
        <f aca="false">V54+U54-L54-M54-N54</f>
        <v>0</v>
      </c>
      <c r="U54" s="0" t="n">
        <f aca="true">SUM(INDIRECT(ADDRESS(MATCH("Nombre des NC poubelle ",ChoixRJ!$B$1:$B$29,0),MATCH($C54,ChoixRJ!$13:$13,0),4,1,"ChoixRJ"),1)*1,INDIRECT(ADDRESS(MATCH("Nombre des NC à retoucher",ChoixRJ!$B$1:$B$29,0),MATCH($C54,ChoixRJ!$13:$13,0),4,1,"ChoixRJ"),1)*1)</f>
        <v>0</v>
      </c>
      <c r="V54" s="0" t="n">
        <v>644</v>
      </c>
      <c r="AA54" s="0" t="n">
        <f aca="false">IF(J54=0,0,(V54+U54)/J54)</f>
        <v>8.58666666666667</v>
      </c>
      <c r="AB54" s="0" t="n">
        <f aca="false">IF(OR(R54=0,J54=0),"",AA54/R54*100)</f>
        <v>66.0512820512821</v>
      </c>
      <c r="AF54" s="0" t="str">
        <f aca="false">IF(AB54&gt;85," ","WARNING")</f>
        <v>WARNING</v>
      </c>
      <c r="AG54" s="0" t="str">
        <f aca="false">IF(A54=ChoixJour!$A$5,ROW(),"")</f>
        <v/>
      </c>
    </row>
    <row r="55" customFormat="false" ht="13.8" hidden="false" customHeight="false" outlineLevel="0" collapsed="false">
      <c r="A55" s="81" t="n">
        <v>43837</v>
      </c>
      <c r="B55" s="83" t="s">
        <v>38</v>
      </c>
      <c r="C55" s="0" t="s">
        <v>53</v>
      </c>
      <c r="D55" s="0" t="str">
        <f aca="false">IFERROR(VLOOKUP(E55,Pieces!B:C,2,0)," ")</f>
        <v> </v>
      </c>
      <c r="E55" s="0" t="s">
        <v>1024</v>
      </c>
      <c r="F55" s="0" t="n">
        <v>1730</v>
      </c>
      <c r="G55" s="0" t="n">
        <v>3290</v>
      </c>
      <c r="H55" s="0" t="n">
        <v>3290</v>
      </c>
      <c r="I55" s="0" t="n">
        <v>3290</v>
      </c>
      <c r="J55" s="0" t="n">
        <f aca="false">IFERROR(VLOOKUP(E55,Pieces!A:C,3,0),"Entrer la cadence")</f>
        <v>150</v>
      </c>
      <c r="K55" s="0" t="n">
        <v>1</v>
      </c>
      <c r="L55" s="0" t="n">
        <f aca="false">(G55-F55)*K55</f>
        <v>1560</v>
      </c>
      <c r="M55" s="0" t="n">
        <f aca="false">(H55-G55)*K55</f>
        <v>0</v>
      </c>
      <c r="N55" s="0" t="n">
        <f aca="false">(I55-H55)*K55</f>
        <v>0</v>
      </c>
      <c r="O55" s="0" t="n">
        <f aca="false">IF(J55=0,0,L55/J55)</f>
        <v>10.4</v>
      </c>
      <c r="P55" s="0" t="n">
        <f aca="false">IF(J55=0,0,M55/J55)</f>
        <v>0</v>
      </c>
      <c r="Q55" s="0" t="n">
        <f aca="false">IF(J55=0,0,N55/J55)</f>
        <v>0</v>
      </c>
      <c r="R55" s="0" t="n">
        <v>13</v>
      </c>
      <c r="T55" s="0" t="n">
        <f aca="false">V55+U55-L55-M55-N55</f>
        <v>0</v>
      </c>
      <c r="U55" s="0" t="n">
        <f aca="true">SUM(INDIRECT(ADDRESS(MATCH("Nombre des NC poubelle ",ChoixRJ!$B$1:$B$29,0),MATCH($C55,ChoixRJ!$13:$13,0),4,1,"ChoixRJ"),1)*1,INDIRECT(ADDRESS(MATCH("Nombre des NC à retoucher",ChoixRJ!$B$1:$B$29,0),MATCH($C55,ChoixRJ!$13:$13,0),4,1,"ChoixRJ"),1)*1)</f>
        <v>0</v>
      </c>
      <c r="V55" s="0" t="n">
        <v>1560</v>
      </c>
      <c r="AA55" s="0" t="n">
        <f aca="false">IF(J55=0,0,(V55+U55)/J55)</f>
        <v>10.4</v>
      </c>
      <c r="AB55" s="0" t="n">
        <f aca="false">IF(OR(R55=0,J55=0),"",AA55/R55*100)</f>
        <v>80</v>
      </c>
      <c r="AF55" s="0" t="str">
        <f aca="false">IF(AB55&gt;85," ","WARNING")</f>
        <v>WARNING</v>
      </c>
      <c r="AG55" s="0" t="str">
        <f aca="false">IF(A55=ChoixJour!$A$5,ROW(),"")</f>
        <v/>
      </c>
    </row>
    <row r="56" customFormat="false" ht="13.8" hidden="false" customHeight="false" outlineLevel="0" collapsed="false">
      <c r="A56" s="81" t="n">
        <v>43837</v>
      </c>
      <c r="B56" s="83" t="s">
        <v>40</v>
      </c>
      <c r="C56" s="0" t="s">
        <v>54</v>
      </c>
      <c r="D56" s="0" t="str">
        <f aca="false">IFERROR(VLOOKUP(E56,Pieces!B:C,2,0)," ")</f>
        <v> </v>
      </c>
      <c r="E56" s="0" t="s">
        <v>896</v>
      </c>
      <c r="F56" s="0" t="n">
        <v>455</v>
      </c>
      <c r="G56" s="0" t="n">
        <v>732</v>
      </c>
      <c r="H56" s="0" t="n">
        <v>732</v>
      </c>
      <c r="I56" s="0" t="n">
        <v>732</v>
      </c>
      <c r="J56" s="0" t="n">
        <f aca="false">IFERROR(VLOOKUP(E56,Pieces!A:C,3,0),"Entrer la cadence")</f>
        <v>50</v>
      </c>
      <c r="K56" s="0" t="n">
        <v>1</v>
      </c>
      <c r="L56" s="0" t="n">
        <f aca="false">(G56-F56)*K56</f>
        <v>277</v>
      </c>
      <c r="M56" s="0" t="n">
        <f aca="false">(H56-G56)*K56</f>
        <v>0</v>
      </c>
      <c r="N56" s="0" t="n">
        <f aca="false">(I56-H56)*K56</f>
        <v>0</v>
      </c>
      <c r="O56" s="0" t="n">
        <f aca="false">IF(J56=0,0,L56/J56)</f>
        <v>5.54</v>
      </c>
      <c r="P56" s="0" t="n">
        <f aca="false">IF(J56=0,0,M56/J56)</f>
        <v>0</v>
      </c>
      <c r="Q56" s="0" t="n">
        <f aca="false">IF(J56=0,0,N56/J56)</f>
        <v>0</v>
      </c>
      <c r="R56" s="0" t="n">
        <v>13</v>
      </c>
      <c r="U56" s="0" t="n">
        <f aca="true">SUM(INDIRECT(ADDRESS(MATCH("Nombre des NC poubelle ",ChoixRJ!$B$1:$B$29,0),MATCH($C56,ChoixRJ!$13:$13,0),4,1,"ChoixRJ"),1)*1,INDIRECT(ADDRESS(MATCH("Nombre des NC à retoucher",ChoixRJ!$B$1:$B$29,0),MATCH($C56,ChoixRJ!$13:$13,0),4,1,"ChoixRJ"),1)*1)</f>
        <v>0</v>
      </c>
      <c r="AA56" s="0" t="n">
        <f aca="false">IF(J56=0,0,(V56+U56)/J56)</f>
        <v>0</v>
      </c>
      <c r="AB56" s="0" t="n">
        <f aca="false">IF(OR(R56=0,J56=0),"",AA56/R56*100)</f>
        <v>0</v>
      </c>
      <c r="AF56" s="0" t="str">
        <f aca="false">IF(AB56&gt;85," ","WARNING")</f>
        <v>WARNING</v>
      </c>
      <c r="AG56" s="0" t="str">
        <f aca="false">IF(A56=ChoixJour!$A$5,ROW(),"")</f>
        <v/>
      </c>
    </row>
    <row r="57" customFormat="false" ht="13.8" hidden="false" customHeight="false" outlineLevel="0" collapsed="false">
      <c r="A57" s="81" t="n">
        <v>43837</v>
      </c>
      <c r="B57" s="83" t="s">
        <v>42</v>
      </c>
      <c r="C57" s="0" t="s">
        <v>55</v>
      </c>
      <c r="D57" s="0" t="str">
        <f aca="false">IFERROR(VLOOKUP(E57,Pieces!B:C,2,0)," ")</f>
        <v> </v>
      </c>
      <c r="E57" s="0" t="s">
        <v>147</v>
      </c>
      <c r="F57" s="0" t="n">
        <v>582</v>
      </c>
      <c r="G57" s="0" t="n">
        <v>708</v>
      </c>
      <c r="H57" s="0" t="n">
        <v>708</v>
      </c>
      <c r="I57" s="0" t="n">
        <v>708</v>
      </c>
      <c r="J57" s="0" t="n">
        <f aca="false">IFERROR(VLOOKUP(E57,Pieces!A:C,3,0),"Entrer la cadence")</f>
        <v>28</v>
      </c>
      <c r="K57" s="0" t="n">
        <v>1</v>
      </c>
      <c r="L57" s="0" t="n">
        <f aca="false">(G57-F57)*K57</f>
        <v>126</v>
      </c>
      <c r="M57" s="0" t="n">
        <f aca="false">(H57-G57)*K57</f>
        <v>0</v>
      </c>
      <c r="N57" s="0" t="n">
        <f aca="false">(I57-H57)*K57</f>
        <v>0</v>
      </c>
      <c r="O57" s="0" t="n">
        <f aca="false">IF(J57=0,0,L57/J57)</f>
        <v>4.5</v>
      </c>
      <c r="P57" s="0" t="n">
        <f aca="false">IF(J57=0,0,M57/J57)</f>
        <v>0</v>
      </c>
      <c r="Q57" s="0" t="n">
        <f aca="false">IF(J57=0,0,N57/J57)</f>
        <v>0</v>
      </c>
      <c r="R57" s="0" t="n">
        <v>13</v>
      </c>
      <c r="T57" s="0" t="n">
        <f aca="false">V57+U57-L57-M57-N57</f>
        <v>9</v>
      </c>
      <c r="U57" s="0" t="n">
        <f aca="true">SUM(INDIRECT(ADDRESS(MATCH("Nombre des NC poubelle ",ChoixRJ!$B$1:$B$29,0),MATCH($C57,ChoixRJ!$13:$13,0),4,1,"ChoixRJ"),1)*1,INDIRECT(ADDRESS(MATCH("Nombre des NC à retoucher",ChoixRJ!$B$1:$B$29,0),MATCH($C57,ChoixRJ!$13:$13,0),4,1,"ChoixRJ"),1)*1)</f>
        <v>9</v>
      </c>
      <c r="V57" s="0" t="n">
        <v>126</v>
      </c>
      <c r="AA57" s="0" t="n">
        <f aca="false">IF(J57=0,0,(V57+U57)/J57)</f>
        <v>4.82142857142857</v>
      </c>
      <c r="AB57" s="0" t="n">
        <f aca="false">IF(OR(R57=0,J57=0),"",AA57/R57*100)</f>
        <v>37.0879120879121</v>
      </c>
      <c r="AF57" s="0" t="str">
        <f aca="false">IF(AB57&gt;85," ","WARNING")</f>
        <v>WARNING</v>
      </c>
      <c r="AG57" s="0" t="str">
        <f aca="false">IF(A57=ChoixJour!$A$5,ROW(),"")</f>
        <v/>
      </c>
    </row>
    <row r="58" customFormat="false" ht="13.8" hidden="false" customHeight="false" outlineLevel="0" collapsed="false">
      <c r="A58" s="81" t="n">
        <v>43837</v>
      </c>
      <c r="B58" s="83" t="s">
        <v>44</v>
      </c>
      <c r="C58" s="0" t="s">
        <v>56</v>
      </c>
      <c r="D58" s="0" t="str">
        <f aca="false">IFERROR(VLOOKUP(E58,Pieces!B:C,2,0)," ")</f>
        <v> </v>
      </c>
      <c r="E58" s="0" t="s">
        <v>759</v>
      </c>
      <c r="F58" s="0" t="n">
        <v>0</v>
      </c>
      <c r="G58" s="0" t="n">
        <v>0</v>
      </c>
      <c r="H58" s="0" t="n">
        <v>0</v>
      </c>
      <c r="I58" s="0" t="n">
        <v>0</v>
      </c>
      <c r="J58" s="0" t="n">
        <f aca="false">IFERROR(VLOOKUP(E58,Pieces!A:C,3,0),"Entrer la cadence")</f>
        <v>20</v>
      </c>
      <c r="K58" s="0" t="n">
        <v>1</v>
      </c>
      <c r="L58" s="0" t="n">
        <f aca="false">(G58-F58)*K58</f>
        <v>0</v>
      </c>
      <c r="M58" s="0" t="n">
        <f aca="false">(H58-G58)*K58</f>
        <v>0</v>
      </c>
      <c r="N58" s="0" t="n">
        <f aca="false">(I58-H58)*K58</f>
        <v>0</v>
      </c>
      <c r="O58" s="0" t="n">
        <f aca="false">IF(J58=0,0,L58/J58)</f>
        <v>0</v>
      </c>
      <c r="P58" s="0" t="n">
        <f aca="false">IF(J58=0,0,M58/J58)</f>
        <v>0</v>
      </c>
      <c r="Q58" s="0" t="n">
        <f aca="false">IF(J58=0,0,N58/J58)</f>
        <v>0</v>
      </c>
      <c r="R58" s="0" t="n">
        <v>13</v>
      </c>
      <c r="T58" s="0" t="n">
        <f aca="false">V58+U58-L58-M58-N58</f>
        <v>0</v>
      </c>
      <c r="U58" s="0" t="n">
        <f aca="true">SUM(INDIRECT(ADDRESS(MATCH("Nombre des NC poubelle ",ChoixRJ!$B$1:$B$29,0),MATCH($C58,ChoixRJ!$13:$13,0),4,1,"ChoixRJ"),1)*1,INDIRECT(ADDRESS(MATCH("Nombre des NC à retoucher",ChoixRJ!$B$1:$B$29,0),MATCH($C58,ChoixRJ!$13:$13,0),4,1,"ChoixRJ"),1)*1)</f>
        <v>0</v>
      </c>
      <c r="V58" s="0" t="n">
        <v>0</v>
      </c>
      <c r="AA58" s="0" t="n">
        <f aca="false">IF(J58=0,0,(V58+U58)/J58)</f>
        <v>0</v>
      </c>
      <c r="AB58" s="0" t="n">
        <f aca="false">IF(OR(R58=0,J58=0),"",AA58/R58*100)</f>
        <v>0</v>
      </c>
      <c r="AF58" s="0" t="str">
        <f aca="false">IF(AB58&gt;85," ","WARNING")</f>
        <v>WARNING</v>
      </c>
      <c r="AG58" s="0" t="str">
        <f aca="false">IF(A58=ChoixJour!$A$5,ROW(),"")</f>
        <v/>
      </c>
    </row>
    <row r="59" customFormat="false" ht="13.8" hidden="false" customHeight="false" outlineLevel="0" collapsed="false">
      <c r="A59" s="81" t="n">
        <v>43837</v>
      </c>
      <c r="B59" s="83" t="s">
        <v>62</v>
      </c>
      <c r="C59" s="0" t="s">
        <v>63</v>
      </c>
      <c r="D59" s="0" t="str">
        <f aca="false">IFERROR(VLOOKUP(E59,Pieces!B:C,2,0)," ")</f>
        <v> </v>
      </c>
      <c r="E59" s="0" t="s">
        <v>136</v>
      </c>
      <c r="F59" s="0" t="n">
        <v>0</v>
      </c>
      <c r="G59" s="0" t="n">
        <v>0</v>
      </c>
      <c r="H59" s="0" t="n">
        <v>0</v>
      </c>
      <c r="I59" s="0" t="n">
        <v>0</v>
      </c>
      <c r="J59" s="0" t="n">
        <f aca="false">IFERROR(VLOOKUP(E59,Pieces!A:C,3,0),"Entrer la cadence")</f>
        <v>1</v>
      </c>
      <c r="K59" s="0" t="n">
        <v>1</v>
      </c>
      <c r="L59" s="0" t="n">
        <f aca="false">(G59-F59)*K59</f>
        <v>0</v>
      </c>
      <c r="M59" s="0" t="n">
        <f aca="false">(H59-G59)*K59</f>
        <v>0</v>
      </c>
      <c r="N59" s="0" t="n">
        <f aca="false">(I59-H59)*K59</f>
        <v>0</v>
      </c>
      <c r="O59" s="0" t="n">
        <f aca="false">IF(J59=0,0,L59/J59)</f>
        <v>0</v>
      </c>
      <c r="P59" s="0" t="n">
        <f aca="false">IF(J59=0,0,M59/J59)</f>
        <v>0</v>
      </c>
      <c r="Q59" s="0" t="n">
        <f aca="false">IF(J59=0,0,N59/J59)</f>
        <v>0</v>
      </c>
      <c r="R59" s="0" t="n">
        <v>13</v>
      </c>
      <c r="T59" s="0" t="n">
        <f aca="false">V59+U59-L59-M59-N59</f>
        <v>0</v>
      </c>
      <c r="U59" s="0" t="n">
        <f aca="true">SUM(INDIRECT(ADDRESS(MATCH("Nombre des NC poubelle ",ChoixRJ!$B$1:$B$29,0),MATCH($C59,ChoixRJ!$13:$13,0),4,1,"ChoixRJ"),1)*1,INDIRECT(ADDRESS(MATCH("Nombre des NC à retoucher",ChoixRJ!$B$1:$B$29,0),MATCH($C59,ChoixRJ!$13:$13,0),4,1,"ChoixRJ"),1)*1)</f>
        <v>0</v>
      </c>
      <c r="V59" s="0" t="n">
        <v>0</v>
      </c>
      <c r="AA59" s="0" t="n">
        <f aca="false">IF(J59=0,0,(V59+U59)/J59)</f>
        <v>0</v>
      </c>
      <c r="AB59" s="0" t="n">
        <f aca="false">IF(OR(R59=0,J59=0),"",AA59/R59*100)</f>
        <v>0</v>
      </c>
      <c r="AF59" s="0" t="str">
        <f aca="false">IF(AB59&gt;85," ","WARNING")</f>
        <v>WARNING</v>
      </c>
      <c r="AG59" s="0" t="str">
        <f aca="false">IF(A59=ChoixJour!$A$5,ROW(),"")</f>
        <v/>
      </c>
    </row>
    <row r="60" customFormat="false" ht="13.8" hidden="false" customHeight="false" outlineLevel="0" collapsed="false">
      <c r="A60" s="81" t="n">
        <v>43837</v>
      </c>
      <c r="B60" s="83" t="s">
        <v>58</v>
      </c>
      <c r="C60" s="0" t="s">
        <v>59</v>
      </c>
      <c r="D60" s="0" t="str">
        <f aca="false">IFERROR(VLOOKUP(E60,Pieces!B:C,2,0)," ")</f>
        <v> </v>
      </c>
      <c r="E60" s="0" t="s">
        <v>883</v>
      </c>
      <c r="F60" s="0" t="n">
        <v>887</v>
      </c>
      <c r="G60" s="0" t="n">
        <v>887</v>
      </c>
      <c r="H60" s="0" t="n">
        <v>887</v>
      </c>
      <c r="I60" s="0" t="n">
        <v>887</v>
      </c>
      <c r="J60" s="0" t="n">
        <f aca="false">IFERROR(VLOOKUP(E60,Pieces!A:C,3,0),"Entrer la cadence")</f>
        <v>28</v>
      </c>
      <c r="K60" s="0" t="n">
        <v>7</v>
      </c>
      <c r="L60" s="0" t="n">
        <f aca="false">(G60-F60)*K60</f>
        <v>0</v>
      </c>
      <c r="M60" s="0" t="n">
        <f aca="false">(H60-G60)*K60</f>
        <v>0</v>
      </c>
      <c r="N60" s="0" t="n">
        <f aca="false">(I60-H60)*K60</f>
        <v>0</v>
      </c>
      <c r="O60" s="0" t="n">
        <f aca="false">IF(J60=0,0,L60/J60)</f>
        <v>0</v>
      </c>
      <c r="P60" s="0" t="n">
        <f aca="false">IF(J60=0,0,M60/J60)</f>
        <v>0</v>
      </c>
      <c r="Q60" s="0" t="n">
        <f aca="false">IF(J60=0,0,N60/J60)</f>
        <v>0</v>
      </c>
      <c r="R60" s="0" t="n">
        <v>9</v>
      </c>
      <c r="T60" s="0" t="n">
        <f aca="false">V60+U60-L60-M60-N60</f>
        <v>0</v>
      </c>
      <c r="U60" s="0" t="n">
        <f aca="true">SUM(INDIRECT(ADDRESS(MATCH("Nombre des NC poubelle ",ChoixRJ!$B$1:$B$29,0),MATCH($C60,ChoixRJ!$13:$13,0),4,1,"ChoixRJ"),1)*1,INDIRECT(ADDRESS(MATCH("Nombre des NC à retoucher",ChoixRJ!$B$1:$B$29,0),MATCH($C60,ChoixRJ!$13:$13,0),4,1,"ChoixRJ"),1)*1)</f>
        <v>0</v>
      </c>
      <c r="V60" s="0" t="n">
        <v>0</v>
      </c>
      <c r="AA60" s="0" t="n">
        <f aca="false">IF(J60=0,0,(V60+U60)/J60)</f>
        <v>0</v>
      </c>
      <c r="AB60" s="0" t="n">
        <f aca="false">IF(OR(R60=0,J60=0),"",AA60/R60*100)</f>
        <v>0</v>
      </c>
      <c r="AF60" s="0" t="str">
        <f aca="false">IF(AB60&gt;85," ","WARNING")</f>
        <v>WARNING</v>
      </c>
      <c r="AG60" s="0" t="str">
        <f aca="false">IF(A60=ChoixJour!$A$5,ROW(),"")</f>
        <v/>
      </c>
    </row>
    <row r="61" customFormat="false" ht="13.8" hidden="false" customHeight="false" outlineLevel="0" collapsed="false">
      <c r="A61" s="81" t="n">
        <v>43837</v>
      </c>
      <c r="B61" s="83" t="s">
        <v>60</v>
      </c>
      <c r="C61" s="0" t="s">
        <v>61</v>
      </c>
      <c r="D61" s="0" t="str">
        <f aca="false">IFERROR(VLOOKUP(E61,Pieces!B:C,2,0)," ")</f>
        <v> </v>
      </c>
      <c r="E61" s="0" t="s">
        <v>758</v>
      </c>
      <c r="F61" s="0" t="n">
        <v>80</v>
      </c>
      <c r="G61" s="0" t="n">
        <v>80</v>
      </c>
      <c r="H61" s="0" t="n">
        <v>80</v>
      </c>
      <c r="I61" s="0" t="n">
        <v>80</v>
      </c>
      <c r="J61" s="0" t="n">
        <f aca="false">IFERROR(VLOOKUP(E61,Pieces!A:C,3,0),"Entrer la cadence")</f>
        <v>60</v>
      </c>
      <c r="K61" s="0" t="n">
        <v>20</v>
      </c>
      <c r="L61" s="0" t="n">
        <f aca="false">(G61-F61)*K61</f>
        <v>0</v>
      </c>
      <c r="M61" s="0" t="n">
        <f aca="false">(H61-G61)*K61</f>
        <v>0</v>
      </c>
      <c r="N61" s="0" t="n">
        <f aca="false">(I61-H61)*K61</f>
        <v>0</v>
      </c>
      <c r="O61" s="0" t="n">
        <f aca="false">IF(J61=0,0,L61/J61)</f>
        <v>0</v>
      </c>
      <c r="P61" s="0" t="n">
        <f aca="false">IF(J61=0,0,M61/J61)</f>
        <v>0</v>
      </c>
      <c r="Q61" s="0" t="n">
        <f aca="false">IF(J61=0,0,N61/J61)</f>
        <v>0</v>
      </c>
      <c r="R61" s="0" t="n">
        <v>9</v>
      </c>
      <c r="T61" s="0" t="n">
        <f aca="false">V61+U61-L61-M61-N61</f>
        <v>0</v>
      </c>
      <c r="U61" s="0" t="n">
        <f aca="true">SUM(INDIRECT(ADDRESS(MATCH("Nombre des NC poubelle ",ChoixRJ!$B$1:$B$29,0),MATCH($C61,ChoixRJ!$13:$13,0),4,1,"ChoixRJ"),1)*1,INDIRECT(ADDRESS(MATCH("Nombre des NC à retoucher",ChoixRJ!$B$1:$B$29,0),MATCH($C61,ChoixRJ!$13:$13,0),4,1,"ChoixRJ"),1)*1)</f>
        <v>0</v>
      </c>
      <c r="V61" s="0" t="n">
        <v>0</v>
      </c>
      <c r="AA61" s="0" t="n">
        <f aca="false">IF(J61=0,0,(V61+U61)/J61)</f>
        <v>0</v>
      </c>
      <c r="AB61" s="0" t="n">
        <f aca="false">IF(OR(R61=0,J61=0),"",AA61/R61*100)</f>
        <v>0</v>
      </c>
      <c r="AF61" s="0" t="str">
        <f aca="false">IF(AB61&gt;85," ","WARNING")</f>
        <v>WARNING</v>
      </c>
      <c r="AG61" s="0" t="str">
        <f aca="false">IF(A61=ChoixJour!$A$5,ROW(),"")</f>
        <v/>
      </c>
    </row>
    <row r="62" customFormat="false" ht="13.8" hidden="false" customHeight="false" outlineLevel="0" collapsed="false">
      <c r="A62" s="81" t="n">
        <v>43837</v>
      </c>
      <c r="B62" s="83" t="s">
        <v>68</v>
      </c>
      <c r="C62" s="0" t="s">
        <v>69</v>
      </c>
      <c r="D62" s="0" t="str">
        <f aca="false">IFERROR(VLOOKUP(E62,Pieces!B:C,2,0)," ")</f>
        <v> </v>
      </c>
      <c r="E62" s="0" t="s">
        <v>928</v>
      </c>
      <c r="F62" s="0" t="n">
        <v>24</v>
      </c>
      <c r="G62" s="0" t="n">
        <v>31</v>
      </c>
      <c r="H62" s="0" t="n">
        <v>31</v>
      </c>
      <c r="I62" s="0" t="n">
        <v>31</v>
      </c>
      <c r="J62" s="0" t="n">
        <f aca="false">IFERROR(VLOOKUP(E62,Pieces!A:C,3,0),"Entrer la cadence")</f>
        <v>38</v>
      </c>
      <c r="K62" s="0" t="n">
        <v>51</v>
      </c>
      <c r="L62" s="0" t="n">
        <f aca="false">(G62-F62)*K62</f>
        <v>357</v>
      </c>
      <c r="M62" s="0" t="n">
        <f aca="false">(H62-G62)*K62</f>
        <v>0</v>
      </c>
      <c r="N62" s="0" t="n">
        <f aca="false">(I62-H62)*K62</f>
        <v>0</v>
      </c>
      <c r="O62" s="0" t="n">
        <f aca="false">IF(J62=0,0,L62/J62)</f>
        <v>9.39473684210526</v>
      </c>
      <c r="P62" s="0" t="n">
        <f aca="false">IF(J62=0,0,M62/J62)</f>
        <v>0</v>
      </c>
      <c r="Q62" s="0" t="n">
        <f aca="false">IF(J62=0,0,N62/J62)</f>
        <v>0</v>
      </c>
      <c r="R62" s="0" t="n">
        <v>13</v>
      </c>
      <c r="T62" s="0" t="n">
        <f aca="false">V62+U62-L62-M62-N62</f>
        <v>0</v>
      </c>
      <c r="U62" s="0" t="n">
        <f aca="true">SUM(INDIRECT(ADDRESS(MATCH("Nombre des NC poubelle ",ChoixRJ!$B$1:$B$29,0),MATCH($C62,ChoixRJ!$13:$13,0),4,1,"ChoixRJ"),1)*1,INDIRECT(ADDRESS(MATCH("Nombre des NC à retoucher",ChoixRJ!$B$1:$B$29,0),MATCH($C62,ChoixRJ!$13:$13,0),4,1,"ChoixRJ"),1)*1)</f>
        <v>0</v>
      </c>
      <c r="V62" s="0" t="n">
        <v>357</v>
      </c>
      <c r="AA62" s="0" t="n">
        <f aca="false">IF(J62=0,0,(V62+U62)/J62)</f>
        <v>9.39473684210526</v>
      </c>
      <c r="AB62" s="0" t="n">
        <f aca="false">IF(OR(R62=0,J62=0),"",AA62/R62*100)</f>
        <v>72.2672064777328</v>
      </c>
      <c r="AF62" s="0" t="str">
        <f aca="false">IF(AB62&gt;85," ","WARNING")</f>
        <v>WARNING</v>
      </c>
      <c r="AG62" s="0" t="str">
        <f aca="false">IF(A62=ChoixJour!$A$5,ROW(),"")</f>
        <v/>
      </c>
    </row>
    <row r="63" customFormat="false" ht="13.8" hidden="false" customHeight="false" outlineLevel="0" collapsed="false">
      <c r="A63" s="81" t="n">
        <v>43837</v>
      </c>
      <c r="B63" s="83" t="s">
        <v>66</v>
      </c>
      <c r="C63" s="0" t="s">
        <v>67</v>
      </c>
      <c r="D63" s="0" t="str">
        <f aca="false">IFERROR(VLOOKUP(E63,Pieces!B:C,2,0)," ")</f>
        <v> </v>
      </c>
      <c r="E63" s="0" t="s">
        <v>136</v>
      </c>
      <c r="F63" s="0" t="n">
        <v>0</v>
      </c>
      <c r="G63" s="0" t="n">
        <v>0</v>
      </c>
      <c r="H63" s="0" t="n">
        <v>0</v>
      </c>
      <c r="I63" s="0" t="n">
        <v>0</v>
      </c>
      <c r="J63" s="0" t="n">
        <f aca="false">IFERROR(VLOOKUP(E63,Pieces!A:C,3,0),"Entrer la cadence")</f>
        <v>1</v>
      </c>
      <c r="K63" s="0" t="n">
        <v>1</v>
      </c>
      <c r="L63" s="0" t="n">
        <f aca="false">(G63-F63)*K63</f>
        <v>0</v>
      </c>
      <c r="M63" s="0" t="n">
        <f aca="false">(H63-G63)*K63</f>
        <v>0</v>
      </c>
      <c r="N63" s="0" t="n">
        <f aca="false">(I63-H63)*K63</f>
        <v>0</v>
      </c>
      <c r="O63" s="0" t="n">
        <f aca="false">IF(J63=0,0,L63/J63)</f>
        <v>0</v>
      </c>
      <c r="P63" s="0" t="n">
        <f aca="false">IF(J63=0,0,M63/J63)</f>
        <v>0</v>
      </c>
      <c r="Q63" s="0" t="n">
        <f aca="false">IF(J63=0,0,N63/J63)</f>
        <v>0</v>
      </c>
      <c r="R63" s="0" t="n">
        <v>9</v>
      </c>
      <c r="T63" s="0" t="n">
        <f aca="false">V63+U63-L63-M63-N63</f>
        <v>0</v>
      </c>
      <c r="U63" s="0" t="n">
        <f aca="true">SUM(INDIRECT(ADDRESS(MATCH("Nombre des NC poubelle ",ChoixRJ!$B$1:$B$29,0),MATCH($C63,ChoixRJ!$13:$13,0),4,1,"ChoixRJ"),1)*1,INDIRECT(ADDRESS(MATCH("Nombre des NC à retoucher",ChoixRJ!$B$1:$B$29,0),MATCH($C63,ChoixRJ!$13:$13,0),4,1,"ChoixRJ"),1)*1)</f>
        <v>0</v>
      </c>
      <c r="V63" s="0" t="n">
        <v>0</v>
      </c>
      <c r="AA63" s="0" t="n">
        <f aca="false">IF(J63=0,0,(V63+U63)/J63)</f>
        <v>0</v>
      </c>
      <c r="AB63" s="0" t="n">
        <f aca="false">IF(OR(R63=0,J63=0),"",AA63/R63*100)</f>
        <v>0</v>
      </c>
      <c r="AF63" s="0" t="str">
        <f aca="false">IF(AB63&gt;85," ","WARNING")</f>
        <v>WARNING</v>
      </c>
      <c r="AG63" s="0" t="str">
        <f aca="false">IF(A63=ChoixJour!$A$5,ROW(),"")</f>
        <v/>
      </c>
    </row>
    <row r="64" customFormat="false" ht="13.8" hidden="false" customHeight="false" outlineLevel="0" collapsed="false">
      <c r="A64" s="81" t="n">
        <v>43837</v>
      </c>
      <c r="B64" s="83" t="s">
        <v>46</v>
      </c>
      <c r="C64" s="0" t="s">
        <v>57</v>
      </c>
      <c r="D64" s="0" t="str">
        <f aca="false">IFERROR(VLOOKUP(E64,Pieces!B:C,2,0)," ")</f>
        <v> </v>
      </c>
      <c r="E64" s="0" t="s">
        <v>958</v>
      </c>
      <c r="F64" s="0" t="n">
        <v>180777</v>
      </c>
      <c r="G64" s="0" t="n">
        <v>180777</v>
      </c>
      <c r="H64" s="0" t="n">
        <v>180777</v>
      </c>
      <c r="I64" s="0" t="n">
        <v>180777</v>
      </c>
      <c r="J64" s="0" t="n">
        <f aca="false">IFERROR(VLOOKUP(E64,Pieces!A:C,3,0),"Entrer la cadence")</f>
        <v>454</v>
      </c>
      <c r="K64" s="0" t="n">
        <v>1</v>
      </c>
      <c r="L64" s="0" t="n">
        <f aca="false">(G64-F64)*K64</f>
        <v>0</v>
      </c>
      <c r="M64" s="0" t="n">
        <f aca="false">(H64-G64)*K64</f>
        <v>0</v>
      </c>
      <c r="N64" s="0" t="n">
        <f aca="false">(I64-H64)*K64</f>
        <v>0</v>
      </c>
      <c r="O64" s="0" t="n">
        <f aca="false">IF(J64=0,0,L64/J64)</f>
        <v>0</v>
      </c>
      <c r="P64" s="0" t="n">
        <f aca="false">IF(J64=0,0,M64/J64)</f>
        <v>0</v>
      </c>
      <c r="Q64" s="0" t="n">
        <f aca="false">IF(J64=0,0,N64/J64)</f>
        <v>0</v>
      </c>
      <c r="R64" s="0" t="n">
        <v>9</v>
      </c>
      <c r="T64" s="0" t="n">
        <f aca="false">V64+U64-L64-M64-N64</f>
        <v>0</v>
      </c>
      <c r="U64" s="0" t="n">
        <f aca="true">SUM(INDIRECT(ADDRESS(MATCH("Nombre des NC poubelle ",ChoixRJ!$B$1:$B$29,0),MATCH($C64,ChoixRJ!$13:$13,0),4,1,"ChoixRJ"),1)*1,INDIRECT(ADDRESS(MATCH("Nombre des NC à retoucher",ChoixRJ!$B$1:$B$29,0),MATCH($C64,ChoixRJ!$13:$13,0),4,1,"ChoixRJ"),1)*1)</f>
        <v>0</v>
      </c>
      <c r="V64" s="0" t="n">
        <v>0</v>
      </c>
      <c r="AA64" s="0" t="n">
        <f aca="false">IF(J64=0,0,(V64+U64)/J64)</f>
        <v>0</v>
      </c>
      <c r="AB64" s="0" t="n">
        <f aca="false">IF(OR(R64=0,J64=0),"",AA64/R64*100)</f>
        <v>0</v>
      </c>
      <c r="AF64" s="0" t="str">
        <f aca="false">IF(AB64&gt;85," ","WARNING")</f>
        <v>WARNING</v>
      </c>
      <c r="AG64" s="0" t="str">
        <f aca="false">IF(A64=ChoixJour!$A$5,ROW(),"")</f>
        <v/>
      </c>
    </row>
    <row r="65" customFormat="false" ht="13.8" hidden="false" customHeight="false" outlineLevel="0" collapsed="false">
      <c r="A65" s="81" t="n">
        <v>43837</v>
      </c>
      <c r="B65" s="83" t="s">
        <v>64</v>
      </c>
      <c r="C65" s="0" t="s">
        <v>65</v>
      </c>
      <c r="D65" s="0" t="str">
        <f aca="false">IFERROR(VLOOKUP(E65,Pieces!B:C,2,0)," ")</f>
        <v> </v>
      </c>
      <c r="E65" s="0" t="s">
        <v>699</v>
      </c>
      <c r="F65" s="0" t="n">
        <v>122</v>
      </c>
      <c r="G65" s="0" t="n">
        <v>370</v>
      </c>
      <c r="H65" s="0" t="n">
        <v>370</v>
      </c>
      <c r="I65" s="0" t="n">
        <v>370</v>
      </c>
      <c r="J65" s="0" t="n">
        <f aca="false">IFERROR(VLOOKUP(E65,Pieces!A:C,3,0),"Entrer la cadence")</f>
        <v>50</v>
      </c>
      <c r="K65" s="0" t="n">
        <v>1</v>
      </c>
      <c r="L65" s="0" t="n">
        <f aca="false">(G65-F65)*K65</f>
        <v>248</v>
      </c>
      <c r="M65" s="0" t="n">
        <f aca="false">(H65-G65)*K65</f>
        <v>0</v>
      </c>
      <c r="N65" s="0" t="n">
        <f aca="false">(I65-H65)*K65</f>
        <v>0</v>
      </c>
      <c r="O65" s="0" t="n">
        <f aca="false">IF(J65=0,0,L65/J65)</f>
        <v>4.96</v>
      </c>
      <c r="P65" s="0" t="n">
        <f aca="false">IF(J65=0,0,M65/J65)</f>
        <v>0</v>
      </c>
      <c r="Q65" s="0" t="n">
        <f aca="false">IF(J65=0,0,N65/J65)</f>
        <v>0</v>
      </c>
      <c r="R65" s="0" t="n">
        <v>9</v>
      </c>
      <c r="T65" s="0" t="n">
        <f aca="false">V65+U65-L65-M65-N65</f>
        <v>0</v>
      </c>
      <c r="U65" s="0" t="n">
        <f aca="true">SUM(INDIRECT(ADDRESS(MATCH("Nombre des NC poubelle ",ChoixRJ!$B$1:$B$29,0),MATCH($C65,ChoixRJ!$13:$13,0),4,1,"ChoixRJ"),1)*1,INDIRECT(ADDRESS(MATCH("Nombre des NC à retoucher",ChoixRJ!$B$1:$B$29,0),MATCH($C65,ChoixRJ!$13:$13,0),4,1,"ChoixRJ"),1)*1)</f>
        <v>0</v>
      </c>
      <c r="V65" s="0" t="n">
        <v>248</v>
      </c>
      <c r="AA65" s="0" t="n">
        <f aca="false">IF(J65=0,0,(V65+U65)/J65)</f>
        <v>4.96</v>
      </c>
      <c r="AB65" s="0" t="n">
        <f aca="false">IF(OR(R65=0,J65=0),"",AA65/R65*100)</f>
        <v>55.1111111111111</v>
      </c>
      <c r="AF65" s="0" t="str">
        <f aca="false">IF(AB65&gt;85," ","WARNING")</f>
        <v>WARNING</v>
      </c>
      <c r="AG65" s="0" t="str">
        <f aca="false">IF(A65=ChoixJour!$A$5,ROW(),"")</f>
        <v/>
      </c>
    </row>
    <row r="66" customFormat="false" ht="13.8" hidden="false" customHeight="false" outlineLevel="0" collapsed="false">
      <c r="A66" s="81" t="n">
        <v>43837</v>
      </c>
      <c r="B66" s="83" t="s">
        <v>96</v>
      </c>
      <c r="C66" s="0" t="s">
        <v>71</v>
      </c>
      <c r="D66" s="0" t="str">
        <f aca="false">IFERROR(VLOOKUP(E66,Pieces!B:C,2,0)," ")</f>
        <v> </v>
      </c>
      <c r="E66" s="0" t="s">
        <v>1042</v>
      </c>
      <c r="F66" s="0" t="n">
        <v>272</v>
      </c>
      <c r="G66" s="0" t="n">
        <v>454</v>
      </c>
      <c r="H66" s="0" t="n">
        <v>454</v>
      </c>
      <c r="I66" s="0" t="n">
        <v>454</v>
      </c>
      <c r="J66" s="0" t="n">
        <f aca="false">IFERROR(VLOOKUP(E66,Pieces!A:C,3,0),"Entrer la cadence")</f>
        <v>20</v>
      </c>
      <c r="K66" s="0" t="n">
        <v>1</v>
      </c>
      <c r="L66" s="0" t="n">
        <f aca="false">(G66-F66)*K66</f>
        <v>182</v>
      </c>
      <c r="M66" s="0" t="n">
        <f aca="false">(H66-G66)*K66</f>
        <v>0</v>
      </c>
      <c r="N66" s="0" t="n">
        <f aca="false">(I66-H66)*K66</f>
        <v>0</v>
      </c>
      <c r="O66" s="0" t="n">
        <f aca="false">IF(J66=0,0,L66/J66)</f>
        <v>9.1</v>
      </c>
      <c r="P66" s="0" t="n">
        <f aca="false">IF(J66=0,0,M66/J66)</f>
        <v>0</v>
      </c>
      <c r="Q66" s="0" t="n">
        <f aca="false">IF(J66=0,0,N66/J66)</f>
        <v>0</v>
      </c>
      <c r="R66" s="0" t="n">
        <v>9</v>
      </c>
      <c r="T66" s="0" t="n">
        <f aca="false">V66+U66-L66-M66-N66</f>
        <v>0</v>
      </c>
      <c r="U66" s="0" t="n">
        <f aca="true">SUM(INDIRECT(ADDRESS(MATCH("Nombre des NC poubelle ",ChoixRJ!$B$1:$B$29,0),MATCH($C66,ChoixRJ!$13:$13,0),4,1,"ChoixRJ"),1)*1,INDIRECT(ADDRESS(MATCH("Nombre des NC à retoucher",ChoixRJ!$B$1:$B$29,0),MATCH($C66,ChoixRJ!$13:$13,0),4,1,"ChoixRJ"),1)*1)</f>
        <v>0</v>
      </c>
      <c r="V66" s="0" t="n">
        <v>182</v>
      </c>
      <c r="AA66" s="0" t="n">
        <f aca="false">IF(J66=0,0,(V66+U66)/J66)</f>
        <v>9.1</v>
      </c>
      <c r="AB66" s="0" t="n">
        <f aca="false">IF(OR(R66=0,J66=0),"",AA66/R66*100)</f>
        <v>101.111111111111</v>
      </c>
      <c r="AF66" s="0" t="str">
        <f aca="false">IF(AB66&gt;85," ","WARNING")</f>
        <v> </v>
      </c>
      <c r="AG66" s="0" t="str">
        <f aca="false">IF(A66=ChoixJour!$A$5,ROW(),"")</f>
        <v/>
      </c>
    </row>
    <row r="67" customFormat="false" ht="13.8" hidden="false" customHeight="false" outlineLevel="0" collapsed="false">
      <c r="A67" s="81" t="n">
        <v>43838</v>
      </c>
      <c r="B67" s="83" t="s">
        <v>36</v>
      </c>
      <c r="C67" s="0" t="s">
        <v>52</v>
      </c>
      <c r="D67" s="0" t="str">
        <f aca="false">IFERROR(VLOOKUP(E67,Pieces!B:C,2,0)," ")</f>
        <v> </v>
      </c>
      <c r="E67" s="0" t="s">
        <v>940</v>
      </c>
      <c r="F67" s="0" t="n">
        <v>30685</v>
      </c>
      <c r="G67" s="0" t="n">
        <v>30685</v>
      </c>
      <c r="H67" s="0" t="n">
        <v>30685</v>
      </c>
      <c r="I67" s="0" t="n">
        <v>30685</v>
      </c>
      <c r="J67" s="0" t="n">
        <f aca="false">IFERROR(VLOOKUP(E67,Pieces!A:C,3,0),"Entrer la cadence")</f>
        <v>75</v>
      </c>
      <c r="K67" s="0" t="n">
        <v>1</v>
      </c>
      <c r="L67" s="0" t="n">
        <f aca="false">(G67-F67)*K67</f>
        <v>0</v>
      </c>
      <c r="M67" s="0" t="n">
        <f aca="false">(H67-G67)*K67</f>
        <v>0</v>
      </c>
      <c r="N67" s="0" t="n">
        <f aca="false">(I67-H67)*K67</f>
        <v>0</v>
      </c>
      <c r="O67" s="0" t="n">
        <f aca="false">IF(J67=0,0,L67/J67)</f>
        <v>0</v>
      </c>
      <c r="P67" s="0" t="n">
        <f aca="false">IF(J67=0,0,M67/J67)</f>
        <v>0</v>
      </c>
      <c r="Q67" s="0" t="n">
        <f aca="false">IF(J67=0,0,N67/J67)</f>
        <v>0</v>
      </c>
      <c r="R67" s="0" t="n">
        <v>9</v>
      </c>
      <c r="T67" s="0" t="n">
        <f aca="false">V67+U67-L67-M67-N67</f>
        <v>900</v>
      </c>
      <c r="U67" s="0" t="n">
        <f aca="true">SUM(INDIRECT(ADDRESS(MATCH("Nombre des NC poubelle ",ChoixRJ!$B$1:$B$29,0),MATCH($C67,ChoixRJ!$13:$13,0),4,1,"ChoixRJ"),1)*1,INDIRECT(ADDRESS(MATCH("Nombre des NC à retoucher",ChoixRJ!$B$1:$B$29,0),MATCH($C67,ChoixRJ!$13:$13,0),4,1,"ChoixRJ"),1)*1)</f>
        <v>0</v>
      </c>
      <c r="V67" s="0" t="n">
        <v>900</v>
      </c>
      <c r="AA67" s="0" t="n">
        <f aca="false">IF(J67=0,0,(V67+U67)/J67)</f>
        <v>12</v>
      </c>
      <c r="AB67" s="0" t="n">
        <f aca="false">IF(OR(R67=0,J67=0),"",AA67/R67*100)</f>
        <v>133.333333333333</v>
      </c>
      <c r="AF67" s="0" t="str">
        <f aca="false">IF(AB67&gt;85," ","WARNING")</f>
        <v> </v>
      </c>
      <c r="AG67" s="0" t="str">
        <f aca="false">IF(A67=ChoixJour!$A$5,ROW(),"")</f>
        <v/>
      </c>
    </row>
    <row r="68" customFormat="false" ht="13.8" hidden="false" customHeight="false" outlineLevel="0" collapsed="false">
      <c r="A68" s="81" t="n">
        <v>43838</v>
      </c>
      <c r="B68" s="83" t="s">
        <v>38</v>
      </c>
      <c r="C68" s="0" t="s">
        <v>53</v>
      </c>
      <c r="D68" s="0" t="str">
        <f aca="false">IFERROR(VLOOKUP(E68,Pieces!B:C,2,0)," ")</f>
        <v> </v>
      </c>
      <c r="E68" s="0" t="s">
        <v>1024</v>
      </c>
      <c r="F68" s="0" t="n">
        <v>3290</v>
      </c>
      <c r="G68" s="0" t="n">
        <v>3290</v>
      </c>
      <c r="H68" s="0" t="n">
        <v>3290</v>
      </c>
      <c r="I68" s="0" t="n">
        <v>3290</v>
      </c>
      <c r="J68" s="0" t="n">
        <f aca="false">IFERROR(VLOOKUP(E68,Pieces!A:C,3,0),"Entrer la cadence")</f>
        <v>150</v>
      </c>
      <c r="K68" s="0" t="n">
        <v>1</v>
      </c>
      <c r="L68" s="0" t="n">
        <f aca="false">(G68-F68)*K68</f>
        <v>0</v>
      </c>
      <c r="M68" s="0" t="n">
        <f aca="false">(H68-G68)*K68</f>
        <v>0</v>
      </c>
      <c r="N68" s="0" t="n">
        <f aca="false">(I68-H68)*K68</f>
        <v>0</v>
      </c>
      <c r="O68" s="0" t="n">
        <f aca="false">IF(J68=0,0,L68/J68)</f>
        <v>0</v>
      </c>
      <c r="P68" s="0" t="n">
        <f aca="false">IF(J68=0,0,M68/J68)</f>
        <v>0</v>
      </c>
      <c r="Q68" s="0" t="n">
        <f aca="false">IF(J68=0,0,N68/J68)</f>
        <v>0</v>
      </c>
      <c r="R68" s="0" t="n">
        <v>9</v>
      </c>
      <c r="T68" s="0" t="n">
        <f aca="false">V68+U68-L68-M68-N68</f>
        <v>1048</v>
      </c>
      <c r="U68" s="0" t="n">
        <f aca="true">SUM(INDIRECT(ADDRESS(MATCH("Nombre des NC poubelle ",ChoixRJ!$B$1:$B$29,0),MATCH($C68,ChoixRJ!$13:$13,0),4,1,"ChoixRJ"),1)*1,INDIRECT(ADDRESS(MATCH("Nombre des NC à retoucher",ChoixRJ!$B$1:$B$29,0),MATCH($C68,ChoixRJ!$13:$13,0),4,1,"ChoixRJ"),1)*1)</f>
        <v>0</v>
      </c>
      <c r="V68" s="0" t="n">
        <v>1048</v>
      </c>
      <c r="AA68" s="0" t="n">
        <f aca="false">IF(J68=0,0,(V68+U68)/J68)</f>
        <v>6.98666666666667</v>
      </c>
      <c r="AB68" s="0" t="n">
        <f aca="false">IF(OR(R68=0,J68=0),"",AA68/R68*100)</f>
        <v>77.6296296296296</v>
      </c>
      <c r="AF68" s="0" t="str">
        <f aca="false">IF(AB68&gt;85," ","WARNING")</f>
        <v>WARNING</v>
      </c>
      <c r="AG68" s="0" t="str">
        <f aca="false">IF(A68=ChoixJour!$A$5,ROW(),"")</f>
        <v/>
      </c>
    </row>
    <row r="69" customFormat="false" ht="13.8" hidden="false" customHeight="false" outlineLevel="0" collapsed="false">
      <c r="A69" s="81" t="n">
        <v>43838</v>
      </c>
      <c r="B69" s="83" t="s">
        <v>40</v>
      </c>
      <c r="C69" s="0" t="s">
        <v>54</v>
      </c>
      <c r="D69" s="0" t="str">
        <f aca="false">IFERROR(VLOOKUP(E69,Pieces!B:C,2,0)," ")</f>
        <v> </v>
      </c>
      <c r="E69" s="0" t="s">
        <v>896</v>
      </c>
      <c r="F69" s="0" t="n">
        <v>732</v>
      </c>
      <c r="G69" s="0" t="n">
        <v>732</v>
      </c>
      <c r="H69" s="0" t="n">
        <v>732</v>
      </c>
      <c r="I69" s="0" t="n">
        <v>732</v>
      </c>
      <c r="J69" s="0" t="n">
        <f aca="false">IFERROR(VLOOKUP(E69,Pieces!A:C,3,0),"Entrer la cadence")</f>
        <v>50</v>
      </c>
      <c r="K69" s="0" t="n">
        <v>1</v>
      </c>
      <c r="L69" s="0" t="n">
        <f aca="false">(G69-F69)*K69</f>
        <v>0</v>
      </c>
      <c r="M69" s="0" t="n">
        <f aca="false">(H69-G69)*K69</f>
        <v>0</v>
      </c>
      <c r="N69" s="0" t="n">
        <f aca="false">(I69-H69)*K69</f>
        <v>0</v>
      </c>
      <c r="O69" s="0" t="n">
        <f aca="false">IF(J69=0,0,L69/J69)</f>
        <v>0</v>
      </c>
      <c r="P69" s="0" t="n">
        <f aca="false">IF(J69=0,0,M69/J69)</f>
        <v>0</v>
      </c>
      <c r="Q69" s="0" t="n">
        <f aca="false">IF(J69=0,0,N69/J69)</f>
        <v>0</v>
      </c>
      <c r="R69" s="0" t="n">
        <v>9</v>
      </c>
      <c r="U69" s="0" t="n">
        <f aca="true">SUM(INDIRECT(ADDRESS(MATCH("Nombre des NC poubelle ",ChoixRJ!$B$1:$B$29,0),MATCH($C69,ChoixRJ!$13:$13,0),4,1,"ChoixRJ"),1)*1,INDIRECT(ADDRESS(MATCH("Nombre des NC à retoucher",ChoixRJ!$B$1:$B$29,0),MATCH($C69,ChoixRJ!$13:$13,0),4,1,"ChoixRJ"),1)*1)</f>
        <v>0</v>
      </c>
      <c r="V69" s="0" t="n">
        <v>384</v>
      </c>
      <c r="AA69" s="0" t="n">
        <f aca="false">IF(J69=0,0,(V69+U69)/J69)</f>
        <v>7.68</v>
      </c>
      <c r="AB69" s="0" t="n">
        <f aca="false">IF(OR(R69=0,J69=0),"",AA69/R69*100)</f>
        <v>85.3333333333333</v>
      </c>
      <c r="AF69" s="0" t="str">
        <f aca="false">IF(AB69&gt;85," ","WARNING")</f>
        <v> </v>
      </c>
      <c r="AG69" s="0" t="str">
        <f aca="false">IF(A69=ChoixJour!$A$5,ROW(),"")</f>
        <v/>
      </c>
    </row>
    <row r="70" customFormat="false" ht="13.8" hidden="false" customHeight="false" outlineLevel="0" collapsed="false">
      <c r="A70" s="81" t="n">
        <v>43838</v>
      </c>
      <c r="B70" s="83" t="s">
        <v>42</v>
      </c>
      <c r="C70" s="0" t="s">
        <v>55</v>
      </c>
      <c r="D70" s="0" t="str">
        <f aca="false">IFERROR(VLOOKUP(E70,Pieces!B:C,2,0)," ")</f>
        <v> </v>
      </c>
      <c r="E70" s="0" t="s">
        <v>147</v>
      </c>
      <c r="F70" s="0" t="n">
        <v>708</v>
      </c>
      <c r="G70" s="0" t="n">
        <v>708</v>
      </c>
      <c r="H70" s="0" t="n">
        <v>708</v>
      </c>
      <c r="I70" s="0" t="n">
        <v>708</v>
      </c>
      <c r="J70" s="0" t="n">
        <f aca="false">IFERROR(VLOOKUP(E70,Pieces!A:C,3,0),"Entrer la cadence")</f>
        <v>28</v>
      </c>
      <c r="K70" s="0" t="n">
        <v>1</v>
      </c>
      <c r="L70" s="0" t="n">
        <f aca="false">(G70-F70)*K70</f>
        <v>0</v>
      </c>
      <c r="M70" s="0" t="n">
        <f aca="false">(H70-G70)*K70</f>
        <v>0</v>
      </c>
      <c r="N70" s="0" t="n">
        <f aca="false">(I70-H70)*K70</f>
        <v>0</v>
      </c>
      <c r="O70" s="0" t="n">
        <f aca="false">IF(J70=0,0,L70/J70)</f>
        <v>0</v>
      </c>
      <c r="P70" s="0" t="n">
        <f aca="false">IF(J70=0,0,M70/J70)</f>
        <v>0</v>
      </c>
      <c r="Q70" s="0" t="n">
        <f aca="false">IF(J70=0,0,N70/J70)</f>
        <v>0</v>
      </c>
      <c r="R70" s="0" t="n">
        <v>9</v>
      </c>
      <c r="T70" s="0" t="n">
        <f aca="false">V70+U70-L70-M70-N70</f>
        <v>110</v>
      </c>
      <c r="U70" s="0" t="n">
        <f aca="true">SUM(INDIRECT(ADDRESS(MATCH("Nombre des NC poubelle ",ChoixRJ!$B$1:$B$29,0),MATCH($C70,ChoixRJ!$13:$13,0),4,1,"ChoixRJ"),1)*1,INDIRECT(ADDRESS(MATCH("Nombre des NC à retoucher",ChoixRJ!$B$1:$B$29,0),MATCH($C70,ChoixRJ!$13:$13,0),4,1,"ChoixRJ"),1)*1)</f>
        <v>9</v>
      </c>
      <c r="V70" s="0" t="n">
        <v>101</v>
      </c>
      <c r="AA70" s="0" t="n">
        <f aca="false">IF(J70=0,0,(V70+U70)/J70)</f>
        <v>3.92857142857143</v>
      </c>
      <c r="AB70" s="0" t="n">
        <f aca="false">IF(OR(R70=0,J70=0),"",AA70/R70*100)</f>
        <v>43.6507936507937</v>
      </c>
      <c r="AF70" s="0" t="str">
        <f aca="false">IF(AB70&gt;85," ","WARNING")</f>
        <v>WARNING</v>
      </c>
      <c r="AG70" s="0" t="str">
        <f aca="false">IF(A70=ChoixJour!$A$5,ROW(),"")</f>
        <v/>
      </c>
    </row>
    <row r="71" customFormat="false" ht="13.8" hidden="false" customHeight="false" outlineLevel="0" collapsed="false">
      <c r="A71" s="81" t="n">
        <v>43838</v>
      </c>
      <c r="B71" s="83" t="s">
        <v>44</v>
      </c>
      <c r="C71" s="0" t="s">
        <v>56</v>
      </c>
      <c r="D71" s="0" t="str">
        <f aca="false">IFERROR(VLOOKUP(E71,Pieces!B:C,2,0)," ")</f>
        <v> </v>
      </c>
      <c r="E71" s="0" t="s">
        <v>759</v>
      </c>
      <c r="F71" s="0" t="n">
        <v>0</v>
      </c>
      <c r="G71" s="0" t="n">
        <v>0</v>
      </c>
      <c r="H71" s="0" t="n">
        <v>0</v>
      </c>
      <c r="I71" s="0" t="n">
        <v>0</v>
      </c>
      <c r="J71" s="0" t="n">
        <f aca="false">IFERROR(VLOOKUP(E71,Pieces!A:C,3,0),"Entrer la cadence")</f>
        <v>20</v>
      </c>
      <c r="K71" s="0" t="n">
        <v>1</v>
      </c>
      <c r="L71" s="0" t="n">
        <f aca="false">(G71-F71)*K71</f>
        <v>0</v>
      </c>
      <c r="M71" s="0" t="n">
        <f aca="false">(H71-G71)*K71</f>
        <v>0</v>
      </c>
      <c r="N71" s="0" t="n">
        <f aca="false">(I71-H71)*K71</f>
        <v>0</v>
      </c>
      <c r="O71" s="0" t="n">
        <f aca="false">IF(J71=0,0,L71/J71)</f>
        <v>0</v>
      </c>
      <c r="P71" s="0" t="n">
        <f aca="false">IF(J71=0,0,M71/J71)</f>
        <v>0</v>
      </c>
      <c r="Q71" s="0" t="n">
        <f aca="false">IF(J71=0,0,N71/J71)</f>
        <v>0</v>
      </c>
      <c r="R71" s="0" t="n">
        <v>9</v>
      </c>
      <c r="T71" s="0" t="n">
        <f aca="false">V71+U71-L71-M71-N71</f>
        <v>0</v>
      </c>
      <c r="U71" s="0" t="n">
        <f aca="true">SUM(INDIRECT(ADDRESS(MATCH("Nombre des NC poubelle ",ChoixRJ!$B$1:$B$29,0),MATCH($C71,ChoixRJ!$13:$13,0),4,1,"ChoixRJ"),1)*1,INDIRECT(ADDRESS(MATCH("Nombre des NC à retoucher",ChoixRJ!$B$1:$B$29,0),MATCH($C71,ChoixRJ!$13:$13,0),4,1,"ChoixRJ"),1)*1)</f>
        <v>0</v>
      </c>
      <c r="V71" s="0" t="n">
        <v>0</v>
      </c>
      <c r="AA71" s="0" t="n">
        <f aca="false">IF(J71=0,0,(V71+U71)/J71)</f>
        <v>0</v>
      </c>
      <c r="AB71" s="0" t="n">
        <f aca="false">IF(OR(R71=0,J71=0),"",AA71/R71*100)</f>
        <v>0</v>
      </c>
      <c r="AF71" s="0" t="str">
        <f aca="false">IF(AB71&gt;85," ","WARNING")</f>
        <v>WARNING</v>
      </c>
      <c r="AG71" s="0" t="str">
        <f aca="false">IF(A71=ChoixJour!$A$5,ROW(),"")</f>
        <v/>
      </c>
    </row>
    <row r="72" customFormat="false" ht="13.8" hidden="false" customHeight="false" outlineLevel="0" collapsed="false">
      <c r="A72" s="81" t="n">
        <v>43838</v>
      </c>
      <c r="B72" s="83" t="s">
        <v>62</v>
      </c>
      <c r="C72" s="0" t="s">
        <v>63</v>
      </c>
      <c r="D72" s="0" t="str">
        <f aca="false">IFERROR(VLOOKUP(E72,Pieces!B:C,2,0)," ")</f>
        <v> </v>
      </c>
      <c r="E72" s="0" t="s">
        <v>136</v>
      </c>
      <c r="F72" s="0" t="n">
        <v>0</v>
      </c>
      <c r="G72" s="0" t="n">
        <v>0</v>
      </c>
      <c r="H72" s="0" t="n">
        <v>0</v>
      </c>
      <c r="I72" s="0" t="n">
        <v>0</v>
      </c>
      <c r="J72" s="0" t="n">
        <f aca="false">IFERROR(VLOOKUP(E72,Pieces!A:C,3,0),"Entrer la cadence")</f>
        <v>1</v>
      </c>
      <c r="K72" s="0" t="n">
        <v>1</v>
      </c>
      <c r="L72" s="0" t="n">
        <f aca="false">(G72-F72)*K72</f>
        <v>0</v>
      </c>
      <c r="M72" s="0" t="n">
        <f aca="false">(H72-G72)*K72</f>
        <v>0</v>
      </c>
      <c r="N72" s="0" t="n">
        <f aca="false">(I72-H72)*K72</f>
        <v>0</v>
      </c>
      <c r="O72" s="0" t="n">
        <f aca="false">IF(J72=0,0,L72/J72)</f>
        <v>0</v>
      </c>
      <c r="P72" s="0" t="n">
        <f aca="false">IF(J72=0,0,M72/J72)</f>
        <v>0</v>
      </c>
      <c r="Q72" s="0" t="n">
        <f aca="false">IF(J72=0,0,N72/J72)</f>
        <v>0</v>
      </c>
      <c r="R72" s="0" t="n">
        <v>9</v>
      </c>
      <c r="T72" s="0" t="n">
        <f aca="false">V72+U72-L72-M72-N72</f>
        <v>0</v>
      </c>
      <c r="U72" s="0" t="n">
        <f aca="true">SUM(INDIRECT(ADDRESS(MATCH("Nombre des NC poubelle ",ChoixRJ!$B$1:$B$29,0),MATCH($C72,ChoixRJ!$13:$13,0),4,1,"ChoixRJ"),1)*1,INDIRECT(ADDRESS(MATCH("Nombre des NC à retoucher",ChoixRJ!$B$1:$B$29,0),MATCH($C72,ChoixRJ!$13:$13,0),4,1,"ChoixRJ"),1)*1)</f>
        <v>0</v>
      </c>
      <c r="V72" s="0" t="n">
        <v>0</v>
      </c>
      <c r="AA72" s="0" t="n">
        <f aca="false">IF(J72=0,0,(V72+U72)/J72)</f>
        <v>0</v>
      </c>
      <c r="AB72" s="0" t="n">
        <f aca="false">IF(OR(R72=0,J72=0),"",AA72/R72*100)</f>
        <v>0</v>
      </c>
      <c r="AF72" s="0" t="str">
        <f aca="false">IF(AB72&gt;85," ","WARNING")</f>
        <v>WARNING</v>
      </c>
      <c r="AG72" s="0" t="str">
        <f aca="false">IF(A72=ChoixJour!$A$5,ROW(),"")</f>
        <v/>
      </c>
    </row>
    <row r="73" customFormat="false" ht="13.8" hidden="false" customHeight="false" outlineLevel="0" collapsed="false">
      <c r="A73" s="81" t="n">
        <v>43838</v>
      </c>
      <c r="B73" s="83" t="s">
        <v>58</v>
      </c>
      <c r="C73" s="0" t="s">
        <v>59</v>
      </c>
      <c r="D73" s="0" t="str">
        <f aca="false">IFERROR(VLOOKUP(E73,Pieces!B:C,2,0)," ")</f>
        <v> </v>
      </c>
      <c r="E73" s="0" t="s">
        <v>883</v>
      </c>
      <c r="F73" s="0" t="n">
        <v>887</v>
      </c>
      <c r="G73" s="0" t="n">
        <v>887</v>
      </c>
      <c r="H73" s="0" t="n">
        <v>887</v>
      </c>
      <c r="I73" s="0" t="n">
        <v>887</v>
      </c>
      <c r="J73" s="0" t="n">
        <f aca="false">IFERROR(VLOOKUP(E73,Pieces!A:C,3,0),"Entrer la cadence")</f>
        <v>28</v>
      </c>
      <c r="K73" s="0" t="n">
        <v>7</v>
      </c>
      <c r="L73" s="0" t="n">
        <f aca="false">(G73-F73)*K73</f>
        <v>0</v>
      </c>
      <c r="M73" s="0" t="n">
        <f aca="false">(H73-G73)*K73</f>
        <v>0</v>
      </c>
      <c r="N73" s="0" t="n">
        <f aca="false">(I73-H73)*K73</f>
        <v>0</v>
      </c>
      <c r="O73" s="0" t="n">
        <f aca="false">IF(J73=0,0,L73/J73)</f>
        <v>0</v>
      </c>
      <c r="P73" s="0" t="n">
        <f aca="false">IF(J73=0,0,M73/J73)</f>
        <v>0</v>
      </c>
      <c r="Q73" s="0" t="n">
        <f aca="false">IF(J73=0,0,N73/J73)</f>
        <v>0</v>
      </c>
      <c r="R73" s="0" t="n">
        <v>9</v>
      </c>
      <c r="T73" s="0" t="n">
        <f aca="false">V73+U73-L73-M73-N73</f>
        <v>0</v>
      </c>
      <c r="U73" s="0" t="n">
        <f aca="true">SUM(INDIRECT(ADDRESS(MATCH("Nombre des NC poubelle ",ChoixRJ!$B$1:$B$29,0),MATCH($C73,ChoixRJ!$13:$13,0),4,1,"ChoixRJ"),1)*1,INDIRECT(ADDRESS(MATCH("Nombre des NC à retoucher",ChoixRJ!$B$1:$B$29,0),MATCH($C73,ChoixRJ!$13:$13,0),4,1,"ChoixRJ"),1)*1)</f>
        <v>0</v>
      </c>
      <c r="V73" s="0" t="n">
        <v>0</v>
      </c>
      <c r="AA73" s="0" t="n">
        <f aca="false">IF(J73=0,0,(V73+U73)/J73)</f>
        <v>0</v>
      </c>
      <c r="AB73" s="0" t="n">
        <f aca="false">IF(OR(R73=0,J73=0),"",AA73/R73*100)</f>
        <v>0</v>
      </c>
      <c r="AF73" s="0" t="str">
        <f aca="false">IF(AB73&gt;85," ","WARNING")</f>
        <v>WARNING</v>
      </c>
      <c r="AG73" s="0" t="str">
        <f aca="false">IF(A73=ChoixJour!$A$5,ROW(),"")</f>
        <v/>
      </c>
    </row>
    <row r="74" customFormat="false" ht="13.8" hidden="false" customHeight="false" outlineLevel="0" collapsed="false">
      <c r="A74" s="81" t="n">
        <v>43838</v>
      </c>
      <c r="B74" s="83" t="s">
        <v>60</v>
      </c>
      <c r="C74" s="0" t="s">
        <v>61</v>
      </c>
      <c r="D74" s="0" t="str">
        <f aca="false">IFERROR(VLOOKUP(E74,Pieces!B:C,2,0)," ")</f>
        <v> </v>
      </c>
      <c r="E74" s="0" t="s">
        <v>758</v>
      </c>
      <c r="F74" s="0" t="n">
        <v>80</v>
      </c>
      <c r="G74" s="0" t="n">
        <v>80</v>
      </c>
      <c r="H74" s="0" t="n">
        <v>80</v>
      </c>
      <c r="I74" s="0" t="n">
        <v>80</v>
      </c>
      <c r="J74" s="0" t="n">
        <f aca="false">IFERROR(VLOOKUP(E74,Pieces!A:C,3,0),"Entrer la cadence")</f>
        <v>60</v>
      </c>
      <c r="K74" s="0" t="n">
        <v>20</v>
      </c>
      <c r="L74" s="0" t="n">
        <f aca="false">(G74-F74)*K74</f>
        <v>0</v>
      </c>
      <c r="M74" s="0" t="n">
        <f aca="false">(H74-G74)*K74</f>
        <v>0</v>
      </c>
      <c r="N74" s="0" t="n">
        <f aca="false">(I74-H74)*K74</f>
        <v>0</v>
      </c>
      <c r="O74" s="0" t="n">
        <f aca="false">IF(J74=0,0,L74/J74)</f>
        <v>0</v>
      </c>
      <c r="P74" s="0" t="n">
        <f aca="false">IF(J74=0,0,M74/J74)</f>
        <v>0</v>
      </c>
      <c r="Q74" s="0" t="n">
        <f aca="false">IF(J74=0,0,N74/J74)</f>
        <v>0</v>
      </c>
      <c r="R74" s="0" t="n">
        <v>9</v>
      </c>
      <c r="T74" s="0" t="n">
        <f aca="false">V74+U74-L74-M74-N74</f>
        <v>0</v>
      </c>
      <c r="U74" s="0" t="n">
        <f aca="true">SUM(INDIRECT(ADDRESS(MATCH("Nombre des NC poubelle ",ChoixRJ!$B$1:$B$29,0),MATCH($C74,ChoixRJ!$13:$13,0),4,1,"ChoixRJ"),1)*1,INDIRECT(ADDRESS(MATCH("Nombre des NC à retoucher",ChoixRJ!$B$1:$B$29,0),MATCH($C74,ChoixRJ!$13:$13,0),4,1,"ChoixRJ"),1)*1)</f>
        <v>0</v>
      </c>
      <c r="V74" s="0" t="n">
        <v>0</v>
      </c>
      <c r="AA74" s="0" t="n">
        <f aca="false">IF(J74=0,0,(V74+U74)/J74)</f>
        <v>0</v>
      </c>
      <c r="AB74" s="0" t="n">
        <f aca="false">IF(OR(R74=0,J74=0),"",AA74/R74*100)</f>
        <v>0</v>
      </c>
      <c r="AF74" s="0" t="str">
        <f aca="false">IF(AB74&gt;85," ","WARNING")</f>
        <v>WARNING</v>
      </c>
      <c r="AG74" s="0" t="str">
        <f aca="false">IF(A74=ChoixJour!$A$5,ROW(),"")</f>
        <v/>
      </c>
    </row>
    <row r="75" customFormat="false" ht="13.8" hidden="false" customHeight="false" outlineLevel="0" collapsed="false">
      <c r="A75" s="81" t="n">
        <v>43838</v>
      </c>
      <c r="B75" s="83" t="s">
        <v>68</v>
      </c>
      <c r="C75" s="0" t="s">
        <v>69</v>
      </c>
      <c r="D75" s="0" t="str">
        <f aca="false">IFERROR(VLOOKUP(E75,Pieces!B:C,2,0)," ")</f>
        <v> </v>
      </c>
      <c r="E75" s="0" t="s">
        <v>928</v>
      </c>
      <c r="F75" s="0" t="n">
        <v>31</v>
      </c>
      <c r="G75" s="0" t="n">
        <v>31</v>
      </c>
      <c r="H75" s="0" t="n">
        <v>31</v>
      </c>
      <c r="I75" s="0" t="n">
        <v>31</v>
      </c>
      <c r="J75" s="0" t="n">
        <f aca="false">IFERROR(VLOOKUP(E75,Pieces!A:C,3,0),"Entrer la cadence")</f>
        <v>38</v>
      </c>
      <c r="K75" s="0" t="n">
        <v>51</v>
      </c>
      <c r="L75" s="0" t="n">
        <f aca="false">(G75-F75)*K75</f>
        <v>0</v>
      </c>
      <c r="M75" s="0" t="n">
        <f aca="false">(H75-G75)*K75</f>
        <v>0</v>
      </c>
      <c r="N75" s="0" t="n">
        <f aca="false">(I75-H75)*K75</f>
        <v>0</v>
      </c>
      <c r="O75" s="0" t="n">
        <f aca="false">IF(J75=0,0,L75/J75)</f>
        <v>0</v>
      </c>
      <c r="P75" s="0" t="n">
        <f aca="false">IF(J75=0,0,M75/J75)</f>
        <v>0</v>
      </c>
      <c r="Q75" s="0" t="n">
        <f aca="false">IF(J75=0,0,N75/J75)</f>
        <v>0</v>
      </c>
      <c r="R75" s="0" t="n">
        <v>9</v>
      </c>
      <c r="T75" s="0" t="n">
        <f aca="false">V75+U75-L75-M75-N75</f>
        <v>408</v>
      </c>
      <c r="U75" s="0" t="n">
        <f aca="true">SUM(INDIRECT(ADDRESS(MATCH("Nombre des NC poubelle ",ChoixRJ!$B$1:$B$29,0),MATCH($C75,ChoixRJ!$13:$13,0),4,1,"ChoixRJ"),1)*1,INDIRECT(ADDRESS(MATCH("Nombre des NC à retoucher",ChoixRJ!$B$1:$B$29,0),MATCH($C75,ChoixRJ!$13:$13,0),4,1,"ChoixRJ"),1)*1)</f>
        <v>0</v>
      </c>
      <c r="V75" s="0" t="n">
        <v>408</v>
      </c>
      <c r="AA75" s="0" t="n">
        <f aca="false">IF(J75=0,0,(V75+U75)/J75)</f>
        <v>10.7368421052632</v>
      </c>
      <c r="AB75" s="0" t="n">
        <f aca="false">IF(OR(R75=0,J75=0),"",AA75/R75*100)</f>
        <v>119.298245614035</v>
      </c>
      <c r="AF75" s="0" t="str">
        <f aca="false">IF(AB75&gt;85," ","WARNING")</f>
        <v> </v>
      </c>
      <c r="AG75" s="0" t="str">
        <f aca="false">IF(A75=ChoixJour!$A$5,ROW(),"")</f>
        <v/>
      </c>
    </row>
    <row r="76" customFormat="false" ht="13.8" hidden="false" customHeight="false" outlineLevel="0" collapsed="false">
      <c r="A76" s="81" t="n">
        <v>43838</v>
      </c>
      <c r="B76" s="83" t="s">
        <v>66</v>
      </c>
      <c r="C76" s="0" t="s">
        <v>67</v>
      </c>
      <c r="D76" s="0" t="str">
        <f aca="false">IFERROR(VLOOKUP(E76,Pieces!B:C,2,0)," ")</f>
        <v> </v>
      </c>
      <c r="E76" s="0" t="s">
        <v>136</v>
      </c>
      <c r="F76" s="0" t="n">
        <v>0</v>
      </c>
      <c r="G76" s="0" t="n">
        <v>0</v>
      </c>
      <c r="H76" s="0" t="n">
        <v>0</v>
      </c>
      <c r="I76" s="0" t="n">
        <v>0</v>
      </c>
      <c r="J76" s="0" t="n">
        <f aca="false">IFERROR(VLOOKUP(E76,Pieces!A:C,3,0),"Entrer la cadence")</f>
        <v>1</v>
      </c>
      <c r="K76" s="0" t="n">
        <v>1</v>
      </c>
      <c r="L76" s="0" t="n">
        <f aca="false">(G76-F76)*K76</f>
        <v>0</v>
      </c>
      <c r="M76" s="0" t="n">
        <f aca="false">(H76-G76)*K76</f>
        <v>0</v>
      </c>
      <c r="N76" s="0" t="n">
        <f aca="false">(I76-H76)*K76</f>
        <v>0</v>
      </c>
      <c r="O76" s="0" t="n">
        <f aca="false">IF(J76=0,0,L76/J76)</f>
        <v>0</v>
      </c>
      <c r="P76" s="0" t="n">
        <f aca="false">IF(J76=0,0,M76/J76)</f>
        <v>0</v>
      </c>
      <c r="Q76" s="0" t="n">
        <f aca="false">IF(J76=0,0,N76/J76)</f>
        <v>0</v>
      </c>
      <c r="R76" s="0" t="n">
        <v>9</v>
      </c>
      <c r="T76" s="0" t="n">
        <f aca="false">V76+U76-L76-M76-N76</f>
        <v>0</v>
      </c>
      <c r="U76" s="0" t="n">
        <f aca="true">SUM(INDIRECT(ADDRESS(MATCH("Nombre des NC poubelle ",ChoixRJ!$B$1:$B$29,0),MATCH($C76,ChoixRJ!$13:$13,0),4,1,"ChoixRJ"),1)*1,INDIRECT(ADDRESS(MATCH("Nombre des NC à retoucher",ChoixRJ!$B$1:$B$29,0),MATCH($C76,ChoixRJ!$13:$13,0),4,1,"ChoixRJ"),1)*1)</f>
        <v>0</v>
      </c>
      <c r="V76" s="0" t="n">
        <v>0</v>
      </c>
      <c r="AA76" s="0" t="n">
        <f aca="false">IF(J76=0,0,(V76+U76)/J76)</f>
        <v>0</v>
      </c>
      <c r="AB76" s="0" t="n">
        <f aca="false">IF(OR(R76=0,J76=0),"",AA76/R76*100)</f>
        <v>0</v>
      </c>
      <c r="AF76" s="0" t="str">
        <f aca="false">IF(AB76&gt;85," ","WARNING")</f>
        <v>WARNING</v>
      </c>
      <c r="AG76" s="0" t="str">
        <f aca="false">IF(A76=ChoixJour!$A$5,ROW(),"")</f>
        <v/>
      </c>
    </row>
    <row r="77" customFormat="false" ht="13.8" hidden="false" customHeight="false" outlineLevel="0" collapsed="false">
      <c r="A77" s="81" t="n">
        <v>43838</v>
      </c>
      <c r="B77" s="83" t="s">
        <v>46</v>
      </c>
      <c r="C77" s="0" t="s">
        <v>57</v>
      </c>
      <c r="D77" s="0" t="str">
        <f aca="false">IFERROR(VLOOKUP(E77,Pieces!B:C,2,0)," ")</f>
        <v> </v>
      </c>
      <c r="E77" s="0" t="s">
        <v>958</v>
      </c>
      <c r="F77" s="0" t="n">
        <v>180777</v>
      </c>
      <c r="G77" s="0" t="n">
        <v>180777</v>
      </c>
      <c r="H77" s="0" t="n">
        <v>180777</v>
      </c>
      <c r="I77" s="0" t="n">
        <v>180777</v>
      </c>
      <c r="J77" s="0" t="n">
        <f aca="false">IFERROR(VLOOKUP(E77,Pieces!A:C,3,0),"Entrer la cadence")</f>
        <v>454</v>
      </c>
      <c r="K77" s="0" t="n">
        <v>1</v>
      </c>
      <c r="L77" s="0" t="n">
        <f aca="false">(G77-F77)*K77</f>
        <v>0</v>
      </c>
      <c r="M77" s="0" t="n">
        <f aca="false">(H77-G77)*K77</f>
        <v>0</v>
      </c>
      <c r="N77" s="0" t="n">
        <f aca="false">(I77-H77)*K77</f>
        <v>0</v>
      </c>
      <c r="O77" s="0" t="n">
        <f aca="false">IF(J77=0,0,L77/J77)</f>
        <v>0</v>
      </c>
      <c r="P77" s="0" t="n">
        <f aca="false">IF(J77=0,0,M77/J77)</f>
        <v>0</v>
      </c>
      <c r="Q77" s="0" t="n">
        <f aca="false">IF(J77=0,0,N77/J77)</f>
        <v>0</v>
      </c>
      <c r="R77" s="0" t="n">
        <v>9</v>
      </c>
      <c r="T77" s="0" t="n">
        <f aca="false">V77+U77-L77-M77-N77</f>
        <v>0</v>
      </c>
      <c r="U77" s="0" t="n">
        <f aca="true">SUM(INDIRECT(ADDRESS(MATCH("Nombre des NC poubelle ",ChoixRJ!$B$1:$B$29,0),MATCH($C77,ChoixRJ!$13:$13,0),4,1,"ChoixRJ"),1)*1,INDIRECT(ADDRESS(MATCH("Nombre des NC à retoucher",ChoixRJ!$B$1:$B$29,0),MATCH($C77,ChoixRJ!$13:$13,0),4,1,"ChoixRJ"),1)*1)</f>
        <v>0</v>
      </c>
      <c r="V77" s="0" t="n">
        <v>0</v>
      </c>
      <c r="AA77" s="0" t="n">
        <f aca="false">IF(J77=0,0,(V77+U77)/J77)</f>
        <v>0</v>
      </c>
      <c r="AB77" s="0" t="n">
        <f aca="false">IF(OR(R77=0,J77=0),"",AA77/R77*100)</f>
        <v>0</v>
      </c>
      <c r="AF77" s="0" t="str">
        <f aca="false">IF(AB77&gt;85," ","WARNING")</f>
        <v>WARNING</v>
      </c>
      <c r="AG77" s="0" t="str">
        <f aca="false">IF(A77=ChoixJour!$A$5,ROW(),"")</f>
        <v/>
      </c>
    </row>
    <row r="78" customFormat="false" ht="13.8" hidden="false" customHeight="false" outlineLevel="0" collapsed="false">
      <c r="A78" s="81" t="n">
        <v>43838</v>
      </c>
      <c r="B78" s="83" t="s">
        <v>64</v>
      </c>
      <c r="C78" s="0" t="s">
        <v>65</v>
      </c>
      <c r="D78" s="0" t="str">
        <f aca="false">IFERROR(VLOOKUP(E78,Pieces!B:C,2,0)," ")</f>
        <v> </v>
      </c>
      <c r="E78" s="0" t="s">
        <v>699</v>
      </c>
      <c r="F78" s="0" t="n">
        <v>370</v>
      </c>
      <c r="G78" s="0" t="n">
        <v>370</v>
      </c>
      <c r="H78" s="0" t="n">
        <v>370</v>
      </c>
      <c r="I78" s="0" t="n">
        <v>370</v>
      </c>
      <c r="J78" s="0" t="n">
        <f aca="false">IFERROR(VLOOKUP(E78,Pieces!A:C,3,0),"Entrer la cadence")</f>
        <v>50</v>
      </c>
      <c r="K78" s="0" t="n">
        <v>1</v>
      </c>
      <c r="L78" s="0" t="n">
        <f aca="false">(G78-F78)*K78</f>
        <v>0</v>
      </c>
      <c r="M78" s="0" t="n">
        <f aca="false">(H78-G78)*K78</f>
        <v>0</v>
      </c>
      <c r="N78" s="0" t="n">
        <f aca="false">(I78-H78)*K78</f>
        <v>0</v>
      </c>
      <c r="O78" s="0" t="n">
        <f aca="false">IF(J78=0,0,L78/J78)</f>
        <v>0</v>
      </c>
      <c r="P78" s="0" t="n">
        <f aca="false">IF(J78=0,0,M78/J78)</f>
        <v>0</v>
      </c>
      <c r="Q78" s="0" t="n">
        <f aca="false">IF(J78=0,0,N78/J78)</f>
        <v>0</v>
      </c>
      <c r="R78" s="0" t="n">
        <v>9</v>
      </c>
      <c r="T78" s="0" t="n">
        <f aca="false">V78+U78-L78-M78-N78</f>
        <v>398</v>
      </c>
      <c r="U78" s="0" t="n">
        <f aca="true">SUM(INDIRECT(ADDRESS(MATCH("Nombre des NC poubelle ",ChoixRJ!$B$1:$B$29,0),MATCH($C78,ChoixRJ!$13:$13,0),4,1,"ChoixRJ"),1)*1,INDIRECT(ADDRESS(MATCH("Nombre des NC à retoucher",ChoixRJ!$B$1:$B$29,0),MATCH($C78,ChoixRJ!$13:$13,0),4,1,"ChoixRJ"),1)*1)</f>
        <v>0</v>
      </c>
      <c r="V78" s="0" t="n">
        <v>398</v>
      </c>
      <c r="AA78" s="0" t="n">
        <f aca="false">IF(J78=0,0,(V78+U78)/J78)</f>
        <v>7.96</v>
      </c>
      <c r="AB78" s="0" t="n">
        <f aca="false">IF(OR(R78=0,J78=0),"",AA78/R78*100)</f>
        <v>88.4444444444445</v>
      </c>
      <c r="AF78" s="0" t="str">
        <f aca="false">IF(AB78&gt;85," ","WARNING")</f>
        <v> </v>
      </c>
      <c r="AG78" s="0" t="str">
        <f aca="false">IF(A78=ChoixJour!$A$5,ROW(),"")</f>
        <v/>
      </c>
    </row>
    <row r="79" customFormat="false" ht="13.8" hidden="false" customHeight="false" outlineLevel="0" collapsed="false">
      <c r="A79" s="81" t="n">
        <v>43838</v>
      </c>
      <c r="B79" s="83" t="s">
        <v>96</v>
      </c>
      <c r="C79" s="0" t="s">
        <v>71</v>
      </c>
      <c r="D79" s="0" t="str">
        <f aca="false">IFERROR(VLOOKUP(E79,Pieces!B:C,2,0)," ")</f>
        <v> </v>
      </c>
      <c r="E79" s="0" t="s">
        <v>1042</v>
      </c>
      <c r="F79" s="0" t="n">
        <v>454</v>
      </c>
      <c r="G79" s="0" t="n">
        <v>454</v>
      </c>
      <c r="H79" s="0" t="n">
        <v>454</v>
      </c>
      <c r="I79" s="0" t="n">
        <v>454</v>
      </c>
      <c r="J79" s="0" t="n">
        <f aca="false">IFERROR(VLOOKUP(E79,Pieces!A:C,3,0),"Entrer la cadence")</f>
        <v>20</v>
      </c>
      <c r="K79" s="0" t="n">
        <v>1</v>
      </c>
      <c r="L79" s="0" t="n">
        <f aca="false">(G79-F79)*K79</f>
        <v>0</v>
      </c>
      <c r="M79" s="0" t="n">
        <f aca="false">(H79-G79)*K79</f>
        <v>0</v>
      </c>
      <c r="N79" s="0" t="n">
        <f aca="false">(I79-H79)*K79</f>
        <v>0</v>
      </c>
      <c r="O79" s="0" t="n">
        <f aca="false">IF(J79=0,0,L79/J79)</f>
        <v>0</v>
      </c>
      <c r="P79" s="0" t="n">
        <f aca="false">IF(J79=0,0,M79/J79)</f>
        <v>0</v>
      </c>
      <c r="Q79" s="0" t="n">
        <f aca="false">IF(J79=0,0,N79/J79)</f>
        <v>0</v>
      </c>
      <c r="R79" s="0" t="n">
        <v>9</v>
      </c>
      <c r="T79" s="0" t="n">
        <f aca="false">V79+U79-L79-M79-N79</f>
        <v>170</v>
      </c>
      <c r="U79" s="0" t="n">
        <f aca="true">SUM(INDIRECT(ADDRESS(MATCH("Nombre des NC poubelle ",ChoixRJ!$B$1:$B$29,0),MATCH($C79,ChoixRJ!$13:$13,0),4,1,"ChoixRJ"),1)*1,INDIRECT(ADDRESS(MATCH("Nombre des NC à retoucher",ChoixRJ!$B$1:$B$29,0),MATCH($C79,ChoixRJ!$13:$13,0),4,1,"ChoixRJ"),1)*1)</f>
        <v>0</v>
      </c>
      <c r="V79" s="0" t="n">
        <v>170</v>
      </c>
      <c r="AA79" s="0" t="n">
        <f aca="false">IF(J79=0,0,(V79+U79)/J79)</f>
        <v>8.5</v>
      </c>
      <c r="AB79" s="0" t="n">
        <f aca="false">IF(OR(R79=0,J79=0),"",AA79/R79*100)</f>
        <v>94.4444444444444</v>
      </c>
      <c r="AF79" s="0" t="str">
        <f aca="false">IF(AB79&gt;85," ","WARNING")</f>
        <v> </v>
      </c>
      <c r="AG79" s="0" t="str">
        <f aca="false">IF(A79=ChoixJour!$A$5,ROW(),"")</f>
        <v/>
      </c>
    </row>
    <row r="80" customFormat="false" ht="13.8" hidden="false" customHeight="false" outlineLevel="0" collapsed="false">
      <c r="A80" s="81" t="n">
        <v>43839</v>
      </c>
      <c r="B80" s="83" t="s">
        <v>36</v>
      </c>
      <c r="C80" s="0" t="s">
        <v>52</v>
      </c>
      <c r="D80" s="0" t="str">
        <f aca="false">IFERROR(VLOOKUP(E80,Pieces!B:C,2,0)," ")</f>
        <v> </v>
      </c>
      <c r="E80" s="0" t="s">
        <v>940</v>
      </c>
      <c r="F80" s="0" t="n">
        <v>30685</v>
      </c>
      <c r="G80" s="0" t="n">
        <v>31325</v>
      </c>
      <c r="H80" s="0" t="n">
        <v>31325</v>
      </c>
      <c r="I80" s="0" t="n">
        <v>31325</v>
      </c>
      <c r="J80" s="0" t="n">
        <f aca="false">IFERROR(VLOOKUP(E80,Pieces!A:C,3,0),"Entrer la cadence")</f>
        <v>75</v>
      </c>
      <c r="K80" s="0" t="n">
        <v>1</v>
      </c>
      <c r="L80" s="0" t="n">
        <f aca="false">(G80-F80)*K80</f>
        <v>640</v>
      </c>
      <c r="M80" s="0" t="n">
        <f aca="false">(H80-G80)*K80</f>
        <v>0</v>
      </c>
      <c r="N80" s="0" t="n">
        <f aca="false">(I80-H80)*K80</f>
        <v>0</v>
      </c>
      <c r="O80" s="0" t="n">
        <f aca="false">IF(J80=0,0,L80/J80)</f>
        <v>8.53333333333333</v>
      </c>
      <c r="P80" s="0" t="n">
        <f aca="false">IF(J80=0,0,M80/J80)</f>
        <v>0</v>
      </c>
      <c r="Q80" s="0" t="n">
        <f aca="false">IF(J80=0,0,N80/J80)</f>
        <v>0</v>
      </c>
      <c r="R80" s="0" t="n">
        <v>9</v>
      </c>
      <c r="T80" s="0" t="n">
        <f aca="false">V80+U80-L80-M80-N80</f>
        <v>0</v>
      </c>
      <c r="U80" s="0" t="n">
        <f aca="true">SUM(INDIRECT(ADDRESS(MATCH("Nombre des NC poubelle ",ChoixRJ!$B$1:$B$29,0),MATCH($C80,ChoixRJ!$13:$13,0),4,1,"ChoixRJ"),1)*1,INDIRECT(ADDRESS(MATCH("Nombre des NC à retoucher",ChoixRJ!$B$1:$B$29,0),MATCH($C80,ChoixRJ!$13:$13,0),4,1,"ChoixRJ"),1)*1)</f>
        <v>0</v>
      </c>
      <c r="V80" s="0" t="n">
        <v>640</v>
      </c>
      <c r="AA80" s="0" t="n">
        <f aca="false">IF(J80=0,0,(V80+U80)/J80)</f>
        <v>8.53333333333333</v>
      </c>
      <c r="AB80" s="0" t="n">
        <f aca="false">IF(OR(R80=0,J80=0),"",AA80/R80*100)</f>
        <v>94.8148148148148</v>
      </c>
      <c r="AF80" s="0" t="str">
        <f aca="false">IF(AB80&gt;85," ","WARNING")</f>
        <v> </v>
      </c>
      <c r="AG80" s="0" t="str">
        <f aca="false">IF(A80=ChoixJour!$A$5,ROW(),"")</f>
        <v/>
      </c>
    </row>
    <row r="81" customFormat="false" ht="13.8" hidden="false" customHeight="false" outlineLevel="0" collapsed="false">
      <c r="A81" s="81" t="n">
        <v>43839</v>
      </c>
      <c r="B81" s="83" t="s">
        <v>38</v>
      </c>
      <c r="C81" s="0" t="s">
        <v>53</v>
      </c>
      <c r="D81" s="0" t="str">
        <f aca="false">IFERROR(VLOOKUP(E81,Pieces!B:C,2,0)," ")</f>
        <v> </v>
      </c>
      <c r="E81" s="0" t="s">
        <v>1024</v>
      </c>
      <c r="F81" s="0" t="n">
        <v>3290</v>
      </c>
      <c r="G81" s="0" t="n">
        <v>4751</v>
      </c>
      <c r="H81" s="0" t="n">
        <v>4751</v>
      </c>
      <c r="I81" s="0" t="n">
        <v>4751</v>
      </c>
      <c r="J81" s="0" t="n">
        <f aca="false">IFERROR(VLOOKUP(E81,Pieces!A:C,3,0),"Entrer la cadence")</f>
        <v>150</v>
      </c>
      <c r="K81" s="0" t="n">
        <v>1</v>
      </c>
      <c r="L81" s="0" t="n">
        <f aca="false">(G81-F81)*K81</f>
        <v>1461</v>
      </c>
      <c r="M81" s="0" t="n">
        <f aca="false">(H81-G81)*K81</f>
        <v>0</v>
      </c>
      <c r="N81" s="0" t="n">
        <f aca="false">(I81-H81)*K81</f>
        <v>0</v>
      </c>
      <c r="O81" s="0" t="n">
        <f aca="false">IF(J81=0,0,L81/J81)</f>
        <v>9.74</v>
      </c>
      <c r="P81" s="0" t="n">
        <f aca="false">IF(J81=0,0,M81/J81)</f>
        <v>0</v>
      </c>
      <c r="Q81" s="0" t="n">
        <f aca="false">IF(J81=0,0,N81/J81)</f>
        <v>0</v>
      </c>
      <c r="R81" s="0" t="n">
        <v>9</v>
      </c>
      <c r="T81" s="0" t="n">
        <f aca="false">V81+U81-L81-M81-N81</f>
        <v>0</v>
      </c>
      <c r="U81" s="0" t="n">
        <f aca="true">SUM(INDIRECT(ADDRESS(MATCH("Nombre des NC poubelle ",ChoixRJ!$B$1:$B$29,0),MATCH($C81,ChoixRJ!$13:$13,0),4,1,"ChoixRJ"),1)*1,INDIRECT(ADDRESS(MATCH("Nombre des NC à retoucher",ChoixRJ!$B$1:$B$29,0),MATCH($C81,ChoixRJ!$13:$13,0),4,1,"ChoixRJ"),1)*1)</f>
        <v>0</v>
      </c>
      <c r="V81" s="0" t="n">
        <v>1461</v>
      </c>
      <c r="AA81" s="0" t="n">
        <f aca="false">IF(J81=0,0,(V81+U81)/J81)</f>
        <v>9.74</v>
      </c>
      <c r="AB81" s="0" t="n">
        <f aca="false">IF(OR(R81=0,J81=0),"",AA81/R81*100)</f>
        <v>108.222222222222</v>
      </c>
      <c r="AF81" s="0" t="str">
        <f aca="false">IF(AB81&gt;85," ","WARNING")</f>
        <v> </v>
      </c>
      <c r="AG81" s="0" t="str">
        <f aca="false">IF(A81=ChoixJour!$A$5,ROW(),"")</f>
        <v/>
      </c>
    </row>
    <row r="82" customFormat="false" ht="13.8" hidden="false" customHeight="false" outlineLevel="0" collapsed="false">
      <c r="A82" s="81" t="n">
        <v>43839</v>
      </c>
      <c r="B82" s="83" t="s">
        <v>40</v>
      </c>
      <c r="C82" s="0" t="s">
        <v>54</v>
      </c>
      <c r="D82" s="0" t="str">
        <f aca="false">IFERROR(VLOOKUP(E82,Pieces!B:C,2,0)," ")</f>
        <v> </v>
      </c>
      <c r="E82" s="0" t="s">
        <v>896</v>
      </c>
      <c r="F82" s="0" t="n">
        <v>732</v>
      </c>
      <c r="G82" s="0" t="n">
        <v>955</v>
      </c>
      <c r="H82" s="0" t="n">
        <v>955</v>
      </c>
      <c r="I82" s="0" t="n">
        <v>955</v>
      </c>
      <c r="J82" s="0" t="n">
        <f aca="false">IFERROR(VLOOKUP(E82,Pieces!A:C,3,0),"Entrer la cadence")</f>
        <v>50</v>
      </c>
      <c r="K82" s="0" t="n">
        <v>1</v>
      </c>
      <c r="L82" s="0" t="n">
        <f aca="false">(G82-F82)*K82</f>
        <v>223</v>
      </c>
      <c r="M82" s="0" t="n">
        <f aca="false">(H82-G82)*K82</f>
        <v>0</v>
      </c>
      <c r="N82" s="0" t="n">
        <f aca="false">(I82-H82)*K82</f>
        <v>0</v>
      </c>
      <c r="O82" s="0" t="n">
        <f aca="false">IF(J82=0,0,L82/J82)</f>
        <v>4.46</v>
      </c>
      <c r="P82" s="0" t="n">
        <f aca="false">IF(J82=0,0,M82/J82)</f>
        <v>0</v>
      </c>
      <c r="Q82" s="0" t="n">
        <f aca="false">IF(J82=0,0,N82/J82)</f>
        <v>0</v>
      </c>
      <c r="R82" s="0" t="n">
        <v>9</v>
      </c>
      <c r="U82" s="0" t="n">
        <f aca="true">SUM(INDIRECT(ADDRESS(MATCH("Nombre des NC poubelle ",ChoixRJ!$B$1:$B$29,0),MATCH($C82,ChoixRJ!$13:$13,0),4,1,"ChoixRJ"),1)*1,INDIRECT(ADDRESS(MATCH("Nombre des NC à retoucher",ChoixRJ!$B$1:$B$29,0),MATCH($C82,ChoixRJ!$13:$13,0),4,1,"ChoixRJ"),1)*1)</f>
        <v>0</v>
      </c>
      <c r="AA82" s="0" t="n">
        <f aca="false">IF(J82=0,0,(V82+U82)/J82)</f>
        <v>0</v>
      </c>
      <c r="AB82" s="0" t="n">
        <f aca="false">IF(OR(R82=0,J82=0),"",AA82/R82*100)</f>
        <v>0</v>
      </c>
      <c r="AF82" s="0" t="str">
        <f aca="false">IF(AB82&gt;85," ","WARNING")</f>
        <v>WARNING</v>
      </c>
      <c r="AG82" s="0" t="str">
        <f aca="false">IF(A82=ChoixJour!$A$5,ROW(),"")</f>
        <v/>
      </c>
    </row>
    <row r="83" customFormat="false" ht="13.8" hidden="false" customHeight="false" outlineLevel="0" collapsed="false">
      <c r="A83" s="81" t="n">
        <v>43839</v>
      </c>
      <c r="B83" s="83" t="s">
        <v>42</v>
      </c>
      <c r="C83" s="0" t="s">
        <v>55</v>
      </c>
      <c r="D83" s="0" t="str">
        <f aca="false">IFERROR(VLOOKUP(E83,Pieces!B:C,2,0)," ")</f>
        <v> </v>
      </c>
      <c r="E83" s="0" t="s">
        <v>147</v>
      </c>
      <c r="F83" s="0" t="n">
        <v>708</v>
      </c>
      <c r="G83" s="0" t="n">
        <v>820</v>
      </c>
      <c r="H83" s="0" t="n">
        <v>820</v>
      </c>
      <c r="I83" s="0" t="n">
        <v>820</v>
      </c>
      <c r="J83" s="0" t="n">
        <f aca="false">IFERROR(VLOOKUP(E83,Pieces!A:C,3,0),"Entrer la cadence")</f>
        <v>28</v>
      </c>
      <c r="K83" s="0" t="n">
        <v>1</v>
      </c>
      <c r="L83" s="0" t="n">
        <f aca="false">(G83-F83)*K83</f>
        <v>112</v>
      </c>
      <c r="M83" s="0" t="n">
        <f aca="false">(H83-G83)*K83</f>
        <v>0</v>
      </c>
      <c r="N83" s="0" t="n">
        <f aca="false">(I83-H83)*K83</f>
        <v>0</v>
      </c>
      <c r="O83" s="0" t="n">
        <f aca="false">IF(J83=0,0,L83/J83)</f>
        <v>4</v>
      </c>
      <c r="P83" s="0" t="n">
        <f aca="false">IF(J83=0,0,M83/J83)</f>
        <v>0</v>
      </c>
      <c r="Q83" s="0" t="n">
        <f aca="false">IF(J83=0,0,N83/J83)</f>
        <v>0</v>
      </c>
      <c r="R83" s="0" t="n">
        <v>9</v>
      </c>
      <c r="T83" s="0" t="n">
        <f aca="false">V83+U83-L83-M83-N83</f>
        <v>9</v>
      </c>
      <c r="U83" s="0" t="n">
        <f aca="true">SUM(INDIRECT(ADDRESS(MATCH("Nombre des NC poubelle ",ChoixRJ!$B$1:$B$29,0),MATCH($C83,ChoixRJ!$13:$13,0),4,1,"ChoixRJ"),1)*1,INDIRECT(ADDRESS(MATCH("Nombre des NC à retoucher",ChoixRJ!$B$1:$B$29,0),MATCH($C83,ChoixRJ!$13:$13,0),4,1,"ChoixRJ"),1)*1)</f>
        <v>9</v>
      </c>
      <c r="V83" s="0" t="n">
        <v>112</v>
      </c>
      <c r="AA83" s="0" t="n">
        <f aca="false">IF(J83=0,0,(V83+U83)/J83)</f>
        <v>4.32142857142857</v>
      </c>
      <c r="AB83" s="0" t="n">
        <f aca="false">IF(OR(R83=0,J83=0),"",AA83/R83*100)</f>
        <v>48.015873015873</v>
      </c>
      <c r="AF83" s="0" t="str">
        <f aca="false">IF(AB83&gt;85," ","WARNING")</f>
        <v>WARNING</v>
      </c>
      <c r="AG83" s="0" t="str">
        <f aca="false">IF(A83=ChoixJour!$A$5,ROW(),"")</f>
        <v/>
      </c>
    </row>
    <row r="84" customFormat="false" ht="13.8" hidden="false" customHeight="false" outlineLevel="0" collapsed="false">
      <c r="A84" s="81" t="n">
        <v>43839</v>
      </c>
      <c r="B84" s="83" t="s">
        <v>44</v>
      </c>
      <c r="C84" s="0" t="s">
        <v>56</v>
      </c>
      <c r="D84" s="0" t="str">
        <f aca="false">IFERROR(VLOOKUP(E84,Pieces!B:C,2,0)," ")</f>
        <v> </v>
      </c>
      <c r="E84" s="0" t="s">
        <v>759</v>
      </c>
      <c r="F84" s="0" t="n">
        <v>0</v>
      </c>
      <c r="G84" s="0" t="n">
        <v>0</v>
      </c>
      <c r="H84" s="0" t="n">
        <v>0</v>
      </c>
      <c r="I84" s="0" t="n">
        <v>0</v>
      </c>
      <c r="J84" s="0" t="n">
        <f aca="false">IFERROR(VLOOKUP(E84,Pieces!A:C,3,0),"Entrer la cadence")</f>
        <v>20</v>
      </c>
      <c r="K84" s="0" t="n">
        <v>1</v>
      </c>
      <c r="L84" s="0" t="n">
        <f aca="false">(G84-F84)*K84</f>
        <v>0</v>
      </c>
      <c r="M84" s="0" t="n">
        <f aca="false">(H84-G84)*K84</f>
        <v>0</v>
      </c>
      <c r="N84" s="0" t="n">
        <f aca="false">(I84-H84)*K84</f>
        <v>0</v>
      </c>
      <c r="O84" s="0" t="n">
        <f aca="false">IF(J84=0,0,L84/J84)</f>
        <v>0</v>
      </c>
      <c r="P84" s="0" t="n">
        <f aca="false">IF(J84=0,0,M84/J84)</f>
        <v>0</v>
      </c>
      <c r="Q84" s="0" t="n">
        <f aca="false">IF(J84=0,0,N84/J84)</f>
        <v>0</v>
      </c>
      <c r="R84" s="0" t="n">
        <v>9</v>
      </c>
      <c r="T84" s="0" t="n">
        <f aca="false">V84+U84-L84-M84-N84</f>
        <v>0</v>
      </c>
      <c r="U84" s="0" t="n">
        <f aca="true">SUM(INDIRECT(ADDRESS(MATCH("Nombre des NC poubelle ",ChoixRJ!$B$1:$B$29,0),MATCH($C84,ChoixRJ!$13:$13,0),4,1,"ChoixRJ"),1)*1,INDIRECT(ADDRESS(MATCH("Nombre des NC à retoucher",ChoixRJ!$B$1:$B$29,0),MATCH($C84,ChoixRJ!$13:$13,0),4,1,"ChoixRJ"),1)*1)</f>
        <v>0</v>
      </c>
      <c r="V84" s="0" t="n">
        <v>0</v>
      </c>
      <c r="AA84" s="0" t="n">
        <f aca="false">IF(J84=0,0,(V84+U84)/J84)</f>
        <v>0</v>
      </c>
      <c r="AB84" s="0" t="n">
        <f aca="false">IF(OR(R84=0,J84=0),"",AA84/R84*100)</f>
        <v>0</v>
      </c>
      <c r="AF84" s="0" t="str">
        <f aca="false">IF(AB84&gt;85," ","WARNING")</f>
        <v>WARNING</v>
      </c>
      <c r="AG84" s="0" t="str">
        <f aca="false">IF(A84=ChoixJour!$A$5,ROW(),"")</f>
        <v/>
      </c>
    </row>
    <row r="85" customFormat="false" ht="13.8" hidden="false" customHeight="false" outlineLevel="0" collapsed="false">
      <c r="A85" s="81" t="n">
        <v>43839</v>
      </c>
      <c r="B85" s="83" t="s">
        <v>62</v>
      </c>
      <c r="C85" s="0" t="s">
        <v>63</v>
      </c>
      <c r="D85" s="0" t="str">
        <f aca="false">IFERROR(VLOOKUP(E85,Pieces!B:C,2,0)," ")</f>
        <v> </v>
      </c>
      <c r="E85" s="0" t="s">
        <v>136</v>
      </c>
      <c r="F85" s="0" t="n">
        <v>0</v>
      </c>
      <c r="G85" s="0" t="n">
        <v>0</v>
      </c>
      <c r="H85" s="0" t="n">
        <v>0</v>
      </c>
      <c r="I85" s="0" t="n">
        <v>0</v>
      </c>
      <c r="J85" s="0" t="n">
        <f aca="false">IFERROR(VLOOKUP(E85,Pieces!A:C,3,0),"Entrer la cadence")</f>
        <v>1</v>
      </c>
      <c r="K85" s="0" t="n">
        <v>1</v>
      </c>
      <c r="L85" s="0" t="n">
        <f aca="false">(G85-F85)*K85</f>
        <v>0</v>
      </c>
      <c r="M85" s="0" t="n">
        <f aca="false">(H85-G85)*K85</f>
        <v>0</v>
      </c>
      <c r="N85" s="0" t="n">
        <f aca="false">(I85-H85)*K85</f>
        <v>0</v>
      </c>
      <c r="O85" s="0" t="n">
        <f aca="false">IF(J85=0,0,L85/J85)</f>
        <v>0</v>
      </c>
      <c r="P85" s="0" t="n">
        <f aca="false">IF(J85=0,0,M85/J85)</f>
        <v>0</v>
      </c>
      <c r="Q85" s="0" t="n">
        <f aca="false">IF(J85=0,0,N85/J85)</f>
        <v>0</v>
      </c>
      <c r="R85" s="0" t="n">
        <v>9</v>
      </c>
      <c r="T85" s="0" t="n">
        <f aca="false">V85+U85-L85-M85-N85</f>
        <v>0</v>
      </c>
      <c r="U85" s="0" t="n">
        <f aca="true">SUM(INDIRECT(ADDRESS(MATCH("Nombre des NC poubelle ",ChoixRJ!$B$1:$B$29,0),MATCH($C85,ChoixRJ!$13:$13,0),4,1,"ChoixRJ"),1)*1,INDIRECT(ADDRESS(MATCH("Nombre des NC à retoucher",ChoixRJ!$B$1:$B$29,0),MATCH($C85,ChoixRJ!$13:$13,0),4,1,"ChoixRJ"),1)*1)</f>
        <v>0</v>
      </c>
      <c r="V85" s="0" t="n">
        <v>0</v>
      </c>
      <c r="AA85" s="0" t="n">
        <f aca="false">IF(J85=0,0,(V85+U85)/J85)</f>
        <v>0</v>
      </c>
      <c r="AB85" s="0" t="n">
        <f aca="false">IF(OR(R85=0,J85=0),"",AA85/R85*100)</f>
        <v>0</v>
      </c>
      <c r="AF85" s="0" t="str">
        <f aca="false">IF(AB85&gt;85," ","WARNING")</f>
        <v>WARNING</v>
      </c>
      <c r="AG85" s="0" t="str">
        <f aca="false">IF(A85=ChoixJour!$A$5,ROW(),"")</f>
        <v/>
      </c>
    </row>
    <row r="86" customFormat="false" ht="13.8" hidden="false" customHeight="false" outlineLevel="0" collapsed="false">
      <c r="A86" s="81" t="n">
        <v>43839</v>
      </c>
      <c r="B86" s="83" t="s">
        <v>58</v>
      </c>
      <c r="C86" s="0" t="s">
        <v>59</v>
      </c>
      <c r="D86" s="0" t="str">
        <f aca="false">IFERROR(VLOOKUP(E86,Pieces!B:C,2,0)," ")</f>
        <v> </v>
      </c>
      <c r="E86" s="0" t="s">
        <v>883</v>
      </c>
      <c r="F86" s="0" t="n">
        <v>887</v>
      </c>
      <c r="G86" s="0" t="n">
        <v>887</v>
      </c>
      <c r="H86" s="0" t="n">
        <v>887</v>
      </c>
      <c r="I86" s="0" t="n">
        <v>887</v>
      </c>
      <c r="J86" s="0" t="n">
        <f aca="false">IFERROR(VLOOKUP(E86,Pieces!A:C,3,0),"Entrer la cadence")</f>
        <v>28</v>
      </c>
      <c r="K86" s="0" t="n">
        <v>7</v>
      </c>
      <c r="L86" s="0" t="n">
        <f aca="false">(G86-F86)*K86</f>
        <v>0</v>
      </c>
      <c r="M86" s="0" t="n">
        <f aca="false">(H86-G86)*K86</f>
        <v>0</v>
      </c>
      <c r="N86" s="0" t="n">
        <f aca="false">(I86-H86)*K86</f>
        <v>0</v>
      </c>
      <c r="O86" s="0" t="n">
        <f aca="false">IF(J86=0,0,L86/J86)</f>
        <v>0</v>
      </c>
      <c r="P86" s="0" t="n">
        <f aca="false">IF(J86=0,0,M86/J86)</f>
        <v>0</v>
      </c>
      <c r="Q86" s="0" t="n">
        <f aca="false">IF(J86=0,0,N86/J86)</f>
        <v>0</v>
      </c>
      <c r="R86" s="0" t="n">
        <v>9</v>
      </c>
      <c r="T86" s="0" t="n">
        <f aca="false">V86+U86-L86-M86-N86</f>
        <v>0</v>
      </c>
      <c r="U86" s="0" t="n">
        <f aca="true">SUM(INDIRECT(ADDRESS(MATCH("Nombre des NC poubelle ",ChoixRJ!$B$1:$B$29,0),MATCH($C86,ChoixRJ!$13:$13,0),4,1,"ChoixRJ"),1)*1,INDIRECT(ADDRESS(MATCH("Nombre des NC à retoucher",ChoixRJ!$B$1:$B$29,0),MATCH($C86,ChoixRJ!$13:$13,0),4,1,"ChoixRJ"),1)*1)</f>
        <v>0</v>
      </c>
      <c r="V86" s="0" t="n">
        <v>0</v>
      </c>
      <c r="AA86" s="0" t="n">
        <f aca="false">IF(J86=0,0,(V86+U86)/J86)</f>
        <v>0</v>
      </c>
      <c r="AB86" s="0" t="n">
        <f aca="false">IF(OR(R86=0,J86=0),"",AA86/R86*100)</f>
        <v>0</v>
      </c>
      <c r="AF86" s="0" t="str">
        <f aca="false">IF(AB86&gt;85," ","WARNING")</f>
        <v>WARNING</v>
      </c>
      <c r="AG86" s="0" t="str">
        <f aca="false">IF(A86=ChoixJour!$A$5,ROW(),"")</f>
        <v/>
      </c>
    </row>
    <row r="87" customFormat="false" ht="13.8" hidden="false" customHeight="false" outlineLevel="0" collapsed="false">
      <c r="A87" s="81" t="n">
        <v>43839</v>
      </c>
      <c r="B87" s="83" t="s">
        <v>60</v>
      </c>
      <c r="C87" s="0" t="s">
        <v>61</v>
      </c>
      <c r="D87" s="0" t="str">
        <f aca="false">IFERROR(VLOOKUP(E87,Pieces!B:C,2,0)," ")</f>
        <v> </v>
      </c>
      <c r="E87" s="0" t="s">
        <v>758</v>
      </c>
      <c r="F87" s="0" t="n">
        <v>80</v>
      </c>
      <c r="G87" s="0" t="n">
        <v>80</v>
      </c>
      <c r="H87" s="0" t="n">
        <v>80</v>
      </c>
      <c r="I87" s="0" t="n">
        <v>80</v>
      </c>
      <c r="J87" s="0" t="n">
        <f aca="false">IFERROR(VLOOKUP(E87,Pieces!A:C,3,0),"Entrer la cadence")</f>
        <v>60</v>
      </c>
      <c r="K87" s="0" t="n">
        <v>20</v>
      </c>
      <c r="L87" s="0" t="n">
        <f aca="false">(G87-F87)*K87</f>
        <v>0</v>
      </c>
      <c r="M87" s="0" t="n">
        <f aca="false">(H87-G87)*K87</f>
        <v>0</v>
      </c>
      <c r="N87" s="0" t="n">
        <f aca="false">(I87-H87)*K87</f>
        <v>0</v>
      </c>
      <c r="O87" s="0" t="n">
        <f aca="false">IF(J87=0,0,L87/J87)</f>
        <v>0</v>
      </c>
      <c r="P87" s="0" t="n">
        <f aca="false">IF(J87=0,0,M87/J87)</f>
        <v>0</v>
      </c>
      <c r="Q87" s="0" t="n">
        <f aca="false">IF(J87=0,0,N87/J87)</f>
        <v>0</v>
      </c>
      <c r="R87" s="0" t="n">
        <v>9</v>
      </c>
      <c r="T87" s="0" t="n">
        <f aca="false">V87+U87-L87-M87-N87</f>
        <v>0</v>
      </c>
      <c r="U87" s="0" t="n">
        <f aca="true">SUM(INDIRECT(ADDRESS(MATCH("Nombre des NC poubelle ",ChoixRJ!$B$1:$B$29,0),MATCH($C87,ChoixRJ!$13:$13,0),4,1,"ChoixRJ"),1)*1,INDIRECT(ADDRESS(MATCH("Nombre des NC à retoucher",ChoixRJ!$B$1:$B$29,0),MATCH($C87,ChoixRJ!$13:$13,0),4,1,"ChoixRJ"),1)*1)</f>
        <v>0</v>
      </c>
      <c r="V87" s="0" t="n">
        <v>0</v>
      </c>
      <c r="AA87" s="0" t="n">
        <f aca="false">IF(J87=0,0,(V87+U87)/J87)</f>
        <v>0</v>
      </c>
      <c r="AB87" s="0" t="n">
        <f aca="false">IF(OR(R87=0,J87=0),"",AA87/R87*100)</f>
        <v>0</v>
      </c>
      <c r="AF87" s="0" t="str">
        <f aca="false">IF(AB87&gt;85," ","WARNING")</f>
        <v>WARNING</v>
      </c>
      <c r="AG87" s="0" t="str">
        <f aca="false">IF(A87=ChoixJour!$A$5,ROW(),"")</f>
        <v/>
      </c>
    </row>
    <row r="88" customFormat="false" ht="13.8" hidden="false" customHeight="false" outlineLevel="0" collapsed="false">
      <c r="A88" s="81" t="n">
        <v>43839</v>
      </c>
      <c r="B88" s="83" t="s">
        <v>68</v>
      </c>
      <c r="C88" s="0" t="s">
        <v>69</v>
      </c>
      <c r="D88" s="0" t="str">
        <f aca="false">IFERROR(VLOOKUP(E88,Pieces!B:C,2,0)," ")</f>
        <v> </v>
      </c>
      <c r="E88" s="0" t="s">
        <v>928</v>
      </c>
      <c r="F88" s="0" t="n">
        <v>31</v>
      </c>
      <c r="G88" s="0" t="n">
        <v>31</v>
      </c>
      <c r="H88" s="0" t="n">
        <v>31</v>
      </c>
      <c r="I88" s="0" t="n">
        <v>31</v>
      </c>
      <c r="J88" s="0" t="n">
        <f aca="false">IFERROR(VLOOKUP(E88,Pieces!A:C,3,0),"Entrer la cadence")</f>
        <v>38</v>
      </c>
      <c r="K88" s="0" t="n">
        <v>51</v>
      </c>
      <c r="L88" s="0" t="n">
        <f aca="false">(G88-F88)*K88</f>
        <v>0</v>
      </c>
      <c r="M88" s="0" t="n">
        <f aca="false">(H88-G88)*K88</f>
        <v>0</v>
      </c>
      <c r="N88" s="0" t="n">
        <f aca="false">(I88-H88)*K88</f>
        <v>0</v>
      </c>
      <c r="O88" s="0" t="n">
        <f aca="false">IF(J88=0,0,L88/J88)</f>
        <v>0</v>
      </c>
      <c r="P88" s="0" t="n">
        <f aca="false">IF(J88=0,0,M88/J88)</f>
        <v>0</v>
      </c>
      <c r="Q88" s="0" t="n">
        <f aca="false">IF(J88=0,0,N88/J88)</f>
        <v>0</v>
      </c>
      <c r="R88" s="0" t="n">
        <v>9</v>
      </c>
      <c r="T88" s="0" t="n">
        <f aca="false">V88+U88-L88-M88-N88</f>
        <v>0</v>
      </c>
      <c r="U88" s="0" t="n">
        <f aca="true">SUM(INDIRECT(ADDRESS(MATCH("Nombre des NC poubelle ",ChoixRJ!$B$1:$B$29,0),MATCH($C88,ChoixRJ!$13:$13,0),4,1,"ChoixRJ"),1)*1,INDIRECT(ADDRESS(MATCH("Nombre des NC à retoucher",ChoixRJ!$B$1:$B$29,0),MATCH($C88,ChoixRJ!$13:$13,0),4,1,"ChoixRJ"),1)*1)</f>
        <v>0</v>
      </c>
      <c r="V88" s="0" t="n">
        <v>0</v>
      </c>
      <c r="AA88" s="0" t="n">
        <f aca="false">IF(J88=0,0,(V88+U88)/J88)</f>
        <v>0</v>
      </c>
      <c r="AB88" s="0" t="n">
        <f aca="false">IF(OR(R88=0,J88=0),"",AA88/R88*100)</f>
        <v>0</v>
      </c>
      <c r="AF88" s="0" t="str">
        <f aca="false">IF(AB88&gt;85," ","WARNING")</f>
        <v>WARNING</v>
      </c>
      <c r="AG88" s="0" t="str">
        <f aca="false">IF(A88=ChoixJour!$A$5,ROW(),"")</f>
        <v/>
      </c>
    </row>
    <row r="89" customFormat="false" ht="13.8" hidden="false" customHeight="false" outlineLevel="0" collapsed="false">
      <c r="A89" s="81" t="n">
        <v>43839</v>
      </c>
      <c r="B89" s="83" t="s">
        <v>66</v>
      </c>
      <c r="C89" s="0" t="s">
        <v>67</v>
      </c>
      <c r="D89" s="0" t="str">
        <f aca="false">IFERROR(VLOOKUP(E89,Pieces!B:C,2,0)," ")</f>
        <v> </v>
      </c>
      <c r="E89" s="0" t="s">
        <v>136</v>
      </c>
      <c r="F89" s="0" t="n">
        <v>0</v>
      </c>
      <c r="G89" s="0" t="n">
        <v>0</v>
      </c>
      <c r="H89" s="0" t="n">
        <v>0</v>
      </c>
      <c r="I89" s="0" t="n">
        <v>0</v>
      </c>
      <c r="J89" s="0" t="n">
        <f aca="false">IFERROR(VLOOKUP(E89,Pieces!A:C,3,0),"Entrer la cadence")</f>
        <v>1</v>
      </c>
      <c r="K89" s="0" t="n">
        <v>1</v>
      </c>
      <c r="L89" s="0" t="n">
        <f aca="false">(G89-F89)*K89</f>
        <v>0</v>
      </c>
      <c r="M89" s="0" t="n">
        <f aca="false">(H89-G89)*K89</f>
        <v>0</v>
      </c>
      <c r="N89" s="0" t="n">
        <f aca="false">(I89-H89)*K89</f>
        <v>0</v>
      </c>
      <c r="O89" s="0" t="n">
        <f aca="false">IF(J89=0,0,L89/J89)</f>
        <v>0</v>
      </c>
      <c r="P89" s="0" t="n">
        <f aca="false">IF(J89=0,0,M89/J89)</f>
        <v>0</v>
      </c>
      <c r="Q89" s="0" t="n">
        <f aca="false">IF(J89=0,0,N89/J89)</f>
        <v>0</v>
      </c>
      <c r="R89" s="0" t="n">
        <v>9</v>
      </c>
      <c r="T89" s="0" t="n">
        <f aca="false">V89+U89-L89-M89-N89</f>
        <v>0</v>
      </c>
      <c r="U89" s="0" t="n">
        <f aca="true">SUM(INDIRECT(ADDRESS(MATCH("Nombre des NC poubelle ",ChoixRJ!$B$1:$B$29,0),MATCH($C89,ChoixRJ!$13:$13,0),4,1,"ChoixRJ"),1)*1,INDIRECT(ADDRESS(MATCH("Nombre des NC à retoucher",ChoixRJ!$B$1:$B$29,0),MATCH($C89,ChoixRJ!$13:$13,0),4,1,"ChoixRJ"),1)*1)</f>
        <v>0</v>
      </c>
      <c r="V89" s="0" t="n">
        <v>0</v>
      </c>
      <c r="AA89" s="0" t="n">
        <f aca="false">IF(J89=0,0,(V89+U89)/J89)</f>
        <v>0</v>
      </c>
      <c r="AB89" s="0" t="n">
        <f aca="false">IF(OR(R89=0,J89=0),"",AA89/R89*100)</f>
        <v>0</v>
      </c>
      <c r="AF89" s="0" t="str">
        <f aca="false">IF(AB89&gt;85," ","WARNING")</f>
        <v>WARNING</v>
      </c>
      <c r="AG89" s="0" t="str">
        <f aca="false">IF(A89=ChoixJour!$A$5,ROW(),"")</f>
        <v/>
      </c>
    </row>
    <row r="90" customFormat="false" ht="13.8" hidden="false" customHeight="false" outlineLevel="0" collapsed="false">
      <c r="A90" s="81" t="n">
        <v>43839</v>
      </c>
      <c r="B90" s="83" t="s">
        <v>46</v>
      </c>
      <c r="C90" s="0" t="s">
        <v>57</v>
      </c>
      <c r="D90" s="0" t="str">
        <f aca="false">IFERROR(VLOOKUP(E90,Pieces!B:C,2,0)," ")</f>
        <v> </v>
      </c>
      <c r="E90" s="0" t="s">
        <v>958</v>
      </c>
      <c r="F90" s="0" t="n">
        <v>180777</v>
      </c>
      <c r="G90" s="0" t="n">
        <v>180777</v>
      </c>
      <c r="H90" s="0" t="n">
        <v>180777</v>
      </c>
      <c r="I90" s="0" t="n">
        <v>180777</v>
      </c>
      <c r="J90" s="0" t="n">
        <f aca="false">IFERROR(VLOOKUP(E90,Pieces!A:C,3,0),"Entrer la cadence")</f>
        <v>454</v>
      </c>
      <c r="K90" s="0" t="n">
        <v>1</v>
      </c>
      <c r="L90" s="0" t="n">
        <f aca="false">(G90-F90)*K90</f>
        <v>0</v>
      </c>
      <c r="M90" s="0" t="n">
        <f aca="false">(H90-G90)*K90</f>
        <v>0</v>
      </c>
      <c r="N90" s="0" t="n">
        <f aca="false">(I90-H90)*K90</f>
        <v>0</v>
      </c>
      <c r="O90" s="0" t="n">
        <f aca="false">IF(J90=0,0,L90/J90)</f>
        <v>0</v>
      </c>
      <c r="P90" s="0" t="n">
        <f aca="false">IF(J90=0,0,M90/J90)</f>
        <v>0</v>
      </c>
      <c r="Q90" s="0" t="n">
        <f aca="false">IF(J90=0,0,N90/J90)</f>
        <v>0</v>
      </c>
      <c r="R90" s="0" t="n">
        <v>9</v>
      </c>
      <c r="T90" s="0" t="n">
        <f aca="false">V90+U90-L90-M90-N90</f>
        <v>0</v>
      </c>
      <c r="U90" s="0" t="n">
        <f aca="true">SUM(INDIRECT(ADDRESS(MATCH("Nombre des NC poubelle ",ChoixRJ!$B$1:$B$29,0),MATCH($C90,ChoixRJ!$13:$13,0),4,1,"ChoixRJ"),1)*1,INDIRECT(ADDRESS(MATCH("Nombre des NC à retoucher",ChoixRJ!$B$1:$B$29,0),MATCH($C90,ChoixRJ!$13:$13,0),4,1,"ChoixRJ"),1)*1)</f>
        <v>0</v>
      </c>
      <c r="V90" s="0" t="n">
        <v>0</v>
      </c>
      <c r="AA90" s="0" t="n">
        <f aca="false">IF(J90=0,0,(V90+U90)/J90)</f>
        <v>0</v>
      </c>
      <c r="AB90" s="0" t="n">
        <f aca="false">IF(OR(R90=0,J90=0),"",AA90/R90*100)</f>
        <v>0</v>
      </c>
      <c r="AF90" s="0" t="str">
        <f aca="false">IF(AB90&gt;85," ","WARNING")</f>
        <v>WARNING</v>
      </c>
      <c r="AG90" s="0" t="str">
        <f aca="false">IF(A90=ChoixJour!$A$5,ROW(),"")</f>
        <v/>
      </c>
    </row>
    <row r="91" customFormat="false" ht="13.8" hidden="false" customHeight="false" outlineLevel="0" collapsed="false">
      <c r="A91" s="81" t="n">
        <v>43839</v>
      </c>
      <c r="B91" s="83" t="s">
        <v>64</v>
      </c>
      <c r="C91" s="0" t="s">
        <v>65</v>
      </c>
      <c r="D91" s="0" t="str">
        <f aca="false">IFERROR(VLOOKUP(E91,Pieces!B:C,2,0)," ")</f>
        <v> </v>
      </c>
      <c r="E91" s="0" t="s">
        <v>699</v>
      </c>
      <c r="F91" s="0" t="n">
        <v>370</v>
      </c>
      <c r="G91" s="0" t="n">
        <v>671</v>
      </c>
      <c r="H91" s="0" t="n">
        <v>671</v>
      </c>
      <c r="I91" s="0" t="n">
        <v>671</v>
      </c>
      <c r="J91" s="0" t="n">
        <f aca="false">IFERROR(VLOOKUP(E91,Pieces!A:C,3,0),"Entrer la cadence")</f>
        <v>50</v>
      </c>
      <c r="K91" s="0" t="n">
        <v>1</v>
      </c>
      <c r="L91" s="0" t="n">
        <f aca="false">(G91-F91)*K91</f>
        <v>301</v>
      </c>
      <c r="M91" s="0" t="n">
        <f aca="false">(H91-G91)*K91</f>
        <v>0</v>
      </c>
      <c r="N91" s="0" t="n">
        <f aca="false">(I91-H91)*K91</f>
        <v>0</v>
      </c>
      <c r="O91" s="0" t="n">
        <f aca="false">IF(J91=0,0,L91/J91)</f>
        <v>6.02</v>
      </c>
      <c r="P91" s="0" t="n">
        <f aca="false">IF(J91=0,0,M91/J91)</f>
        <v>0</v>
      </c>
      <c r="Q91" s="0" t="n">
        <f aca="false">IF(J91=0,0,N91/J91)</f>
        <v>0</v>
      </c>
      <c r="R91" s="0" t="n">
        <v>9</v>
      </c>
      <c r="T91" s="0" t="n">
        <f aca="false">V91+U91-L91-M91-N91</f>
        <v>0</v>
      </c>
      <c r="U91" s="0" t="n">
        <f aca="true">SUM(INDIRECT(ADDRESS(MATCH("Nombre des NC poubelle ",ChoixRJ!$B$1:$B$29,0),MATCH($C91,ChoixRJ!$13:$13,0),4,1,"ChoixRJ"),1)*1,INDIRECT(ADDRESS(MATCH("Nombre des NC à retoucher",ChoixRJ!$B$1:$B$29,0),MATCH($C91,ChoixRJ!$13:$13,0),4,1,"ChoixRJ"),1)*1)</f>
        <v>0</v>
      </c>
      <c r="V91" s="0" t="n">
        <v>301</v>
      </c>
      <c r="AA91" s="0" t="n">
        <f aca="false">IF(J91=0,0,(V91+U91)/J91)</f>
        <v>6.02</v>
      </c>
      <c r="AB91" s="0" t="n">
        <f aca="false">IF(OR(R91=0,J91=0),"",AA91/R91*100)</f>
        <v>66.8888888888889</v>
      </c>
      <c r="AF91" s="0" t="str">
        <f aca="false">IF(AB91&gt;85," ","WARNING")</f>
        <v>WARNING</v>
      </c>
      <c r="AG91" s="0" t="str">
        <f aca="false">IF(A91=ChoixJour!$A$5,ROW(),"")</f>
        <v/>
      </c>
    </row>
    <row r="92" customFormat="false" ht="13.8" hidden="false" customHeight="false" outlineLevel="0" collapsed="false">
      <c r="A92" s="81" t="n">
        <v>43839</v>
      </c>
      <c r="B92" s="83" t="s">
        <v>96</v>
      </c>
      <c r="C92" s="0" t="s">
        <v>71</v>
      </c>
      <c r="D92" s="0" t="str">
        <f aca="false">IFERROR(VLOOKUP(E92,Pieces!B:C,2,0)," ")</f>
        <v> </v>
      </c>
      <c r="E92" s="0" t="s">
        <v>1042</v>
      </c>
      <c r="F92" s="0" t="n">
        <v>454</v>
      </c>
      <c r="G92" s="0" t="n">
        <v>656</v>
      </c>
      <c r="H92" s="0" t="n">
        <v>656</v>
      </c>
      <c r="I92" s="0" t="n">
        <v>656</v>
      </c>
      <c r="J92" s="0" t="n">
        <f aca="false">IFERROR(VLOOKUP(E92,Pieces!A:C,3,0),"Entrer la cadence")</f>
        <v>20</v>
      </c>
      <c r="K92" s="0" t="n">
        <v>1</v>
      </c>
      <c r="L92" s="0" t="n">
        <f aca="false">(G92-F92)*K92</f>
        <v>202</v>
      </c>
      <c r="M92" s="0" t="n">
        <f aca="false">(H92-G92)*K92</f>
        <v>0</v>
      </c>
      <c r="N92" s="0" t="n">
        <f aca="false">(I92-H92)*K92</f>
        <v>0</v>
      </c>
      <c r="O92" s="0" t="n">
        <f aca="false">IF(J92=0,0,L92/J92)</f>
        <v>10.1</v>
      </c>
      <c r="P92" s="0" t="n">
        <f aca="false">IF(J92=0,0,M92/J92)</f>
        <v>0</v>
      </c>
      <c r="Q92" s="0" t="n">
        <f aca="false">IF(J92=0,0,N92/J92)</f>
        <v>0</v>
      </c>
      <c r="R92" s="0" t="n">
        <v>9</v>
      </c>
      <c r="T92" s="0" t="n">
        <f aca="false">V92+U92-L92-M92-N92</f>
        <v>0</v>
      </c>
      <c r="U92" s="0" t="n">
        <f aca="true">SUM(INDIRECT(ADDRESS(MATCH("Nombre des NC poubelle ",ChoixRJ!$B$1:$B$29,0),MATCH($C92,ChoixRJ!$13:$13,0),4,1,"ChoixRJ"),1)*1,INDIRECT(ADDRESS(MATCH("Nombre des NC à retoucher",ChoixRJ!$B$1:$B$29,0),MATCH($C92,ChoixRJ!$13:$13,0),4,1,"ChoixRJ"),1)*1)</f>
        <v>0</v>
      </c>
      <c r="V92" s="0" t="n">
        <v>202</v>
      </c>
      <c r="AA92" s="0" t="n">
        <f aca="false">IF(J92=0,0,(V92+U92)/J92)</f>
        <v>10.1</v>
      </c>
      <c r="AB92" s="0" t="n">
        <f aca="false">IF(OR(R92=0,J92=0),"",AA92/R92*100)</f>
        <v>112.222222222222</v>
      </c>
      <c r="AF92" s="0" t="str">
        <f aca="false">IF(AB92&gt;85," ","WARNING")</f>
        <v> </v>
      </c>
      <c r="AG92" s="0" t="str">
        <f aca="false">IF(A92=ChoixJour!$A$5,ROW(),"")</f>
        <v/>
      </c>
    </row>
    <row r="93" customFormat="false" ht="13.8" hidden="false" customHeight="false" outlineLevel="0" collapsed="false">
      <c r="A93" s="81" t="n">
        <v>43840</v>
      </c>
      <c r="B93" s="83" t="s">
        <v>36</v>
      </c>
      <c r="C93" s="0" t="s">
        <v>52</v>
      </c>
      <c r="D93" s="0" t="str">
        <f aca="false">IFERROR(VLOOKUP(E93,Pieces!B:C,2,0)," ")</f>
        <v> </v>
      </c>
      <c r="E93" s="0" t="s">
        <v>940</v>
      </c>
      <c r="F93" s="0" t="n">
        <v>31325</v>
      </c>
      <c r="G93" s="0" t="n">
        <v>32075</v>
      </c>
      <c r="H93" s="0" t="n">
        <v>32075</v>
      </c>
      <c r="I93" s="0" t="n">
        <v>32075</v>
      </c>
      <c r="J93" s="0" t="n">
        <f aca="false">IFERROR(VLOOKUP(E93,Pieces!A:C,3,0),"Entrer la cadence")</f>
        <v>75</v>
      </c>
      <c r="K93" s="0" t="n">
        <v>1</v>
      </c>
      <c r="L93" s="0" t="n">
        <f aca="false">(G93-F93)*K93</f>
        <v>750</v>
      </c>
      <c r="M93" s="0" t="n">
        <f aca="false">(H93-G93)*K93</f>
        <v>0</v>
      </c>
      <c r="N93" s="0" t="n">
        <f aca="false">(I93-H93)*K93</f>
        <v>0</v>
      </c>
      <c r="O93" s="0" t="n">
        <f aca="false">IF(J93=0,0,L93/J93)</f>
        <v>10</v>
      </c>
      <c r="P93" s="0" t="n">
        <f aca="false">IF(J93=0,0,M93/J93)</f>
        <v>0</v>
      </c>
      <c r="Q93" s="0" t="n">
        <f aca="false">IF(J93=0,0,N93/J93)</f>
        <v>0</v>
      </c>
      <c r="R93" s="0" t="n">
        <v>9</v>
      </c>
      <c r="T93" s="0" t="n">
        <f aca="false">V93+U93-L93-M93-N93</f>
        <v>0</v>
      </c>
      <c r="U93" s="0" t="n">
        <f aca="true">SUM(INDIRECT(ADDRESS(MATCH("Nombre des NC poubelle ",ChoixRJ!$B$1:$B$29,0),MATCH($C93,ChoixRJ!$13:$13,0),4,1,"ChoixRJ"),1)*1,INDIRECT(ADDRESS(MATCH("Nombre des NC à retoucher",ChoixRJ!$B$1:$B$29,0),MATCH($C93,ChoixRJ!$13:$13,0),4,1,"ChoixRJ"),1)*1)</f>
        <v>0</v>
      </c>
      <c r="V93" s="0" t="n">
        <v>750</v>
      </c>
      <c r="AA93" s="0" t="n">
        <f aca="false">IF(J93=0,0,(V93+U93)/J93)</f>
        <v>10</v>
      </c>
      <c r="AB93" s="0" t="n">
        <f aca="false">IF(OR(R93=0,J93=0),"",AA93/R93*100)</f>
        <v>111.111111111111</v>
      </c>
      <c r="AF93" s="0" t="str">
        <f aca="false">IF(AB93&gt;85," ","WARNING")</f>
        <v> </v>
      </c>
      <c r="AG93" s="0" t="str">
        <f aca="false">IF(A93=ChoixJour!$A$5,ROW(),"")</f>
        <v/>
      </c>
    </row>
    <row r="94" customFormat="false" ht="13.8" hidden="false" customHeight="false" outlineLevel="0" collapsed="false">
      <c r="A94" s="81" t="n">
        <v>43840</v>
      </c>
      <c r="B94" s="83" t="s">
        <v>38</v>
      </c>
      <c r="C94" s="0" t="s">
        <v>53</v>
      </c>
      <c r="D94" s="0" t="str">
        <f aca="false">IFERROR(VLOOKUP(E94,Pieces!B:C,2,0)," ")</f>
        <v> </v>
      </c>
      <c r="E94" s="0" t="s">
        <v>1024</v>
      </c>
      <c r="F94" s="0" t="n">
        <v>4751</v>
      </c>
      <c r="G94" s="0" t="n">
        <v>6250</v>
      </c>
      <c r="H94" s="0" t="n">
        <v>6250</v>
      </c>
      <c r="I94" s="0" t="n">
        <v>6250</v>
      </c>
      <c r="J94" s="0" t="n">
        <f aca="false">IFERROR(VLOOKUP(E94,Pieces!A:C,3,0),"Entrer la cadence")</f>
        <v>150</v>
      </c>
      <c r="K94" s="0" t="n">
        <v>1</v>
      </c>
      <c r="L94" s="0" t="n">
        <f aca="false">(G94-F94)*K94</f>
        <v>1499</v>
      </c>
      <c r="M94" s="0" t="n">
        <f aca="false">(H94-G94)*K94</f>
        <v>0</v>
      </c>
      <c r="N94" s="0" t="n">
        <f aca="false">(I94-H94)*K94</f>
        <v>0</v>
      </c>
      <c r="O94" s="0" t="n">
        <f aca="false">IF(J94=0,0,L94/J94)</f>
        <v>9.99333333333333</v>
      </c>
      <c r="P94" s="0" t="n">
        <f aca="false">IF(J94=0,0,M94/J94)</f>
        <v>0</v>
      </c>
      <c r="Q94" s="0" t="n">
        <f aca="false">IF(J94=0,0,N94/J94)</f>
        <v>0</v>
      </c>
      <c r="R94" s="0" t="n">
        <v>9</v>
      </c>
      <c r="T94" s="0" t="n">
        <f aca="false">V94+U94-L94-M94-N94</f>
        <v>0</v>
      </c>
      <c r="U94" s="0" t="n">
        <f aca="true">SUM(INDIRECT(ADDRESS(MATCH("Nombre des NC poubelle ",ChoixRJ!$B$1:$B$29,0),MATCH($C94,ChoixRJ!$13:$13,0),4,1,"ChoixRJ"),1)*1,INDIRECT(ADDRESS(MATCH("Nombre des NC à retoucher",ChoixRJ!$B$1:$B$29,0),MATCH($C94,ChoixRJ!$13:$13,0),4,1,"ChoixRJ"),1)*1)</f>
        <v>0</v>
      </c>
      <c r="V94" s="0" t="n">
        <v>1499</v>
      </c>
      <c r="AA94" s="0" t="n">
        <f aca="false">IF(J94=0,0,(V94+U94)/J94)</f>
        <v>9.99333333333333</v>
      </c>
      <c r="AB94" s="0" t="n">
        <f aca="false">IF(OR(R94=0,J94=0),"",AA94/R94*100)</f>
        <v>111.037037037037</v>
      </c>
      <c r="AF94" s="0" t="str">
        <f aca="false">IF(AB94&gt;85," ","WARNING")</f>
        <v> </v>
      </c>
      <c r="AG94" s="0" t="str">
        <f aca="false">IF(A94=ChoixJour!$A$5,ROW(),"")</f>
        <v/>
      </c>
    </row>
    <row r="95" customFormat="false" ht="13.8" hidden="false" customHeight="false" outlineLevel="0" collapsed="false">
      <c r="A95" s="81" t="n">
        <v>43840</v>
      </c>
      <c r="B95" s="83" t="s">
        <v>40</v>
      </c>
      <c r="C95" s="0" t="s">
        <v>54</v>
      </c>
      <c r="D95" s="0" t="str">
        <f aca="false">IFERROR(VLOOKUP(E95,Pieces!B:C,2,0)," ")</f>
        <v> </v>
      </c>
      <c r="E95" s="0" t="s">
        <v>896</v>
      </c>
      <c r="F95" s="0" t="n">
        <v>955</v>
      </c>
      <c r="G95" s="0" t="n">
        <v>1026</v>
      </c>
      <c r="H95" s="0" t="n">
        <v>1026</v>
      </c>
      <c r="I95" s="0" t="n">
        <v>1026</v>
      </c>
      <c r="J95" s="0" t="n">
        <f aca="false">IFERROR(VLOOKUP(E95,Pieces!A:C,3,0),"Entrer la cadence")</f>
        <v>50</v>
      </c>
      <c r="K95" s="0" t="n">
        <v>1</v>
      </c>
      <c r="L95" s="0" t="n">
        <f aca="false">(G95-F95)*K95</f>
        <v>71</v>
      </c>
      <c r="M95" s="0" t="n">
        <f aca="false">(H95-G95)*K95</f>
        <v>0</v>
      </c>
      <c r="N95" s="0" t="n">
        <f aca="false">(I95-H95)*K95</f>
        <v>0</v>
      </c>
      <c r="O95" s="0" t="n">
        <f aca="false">IF(J95=0,0,L95/J95)</f>
        <v>1.42</v>
      </c>
      <c r="P95" s="0" t="n">
        <f aca="false">IF(J95=0,0,M95/J95)</f>
        <v>0</v>
      </c>
      <c r="Q95" s="0" t="n">
        <f aca="false">IF(J95=0,0,N95/J95)</f>
        <v>0</v>
      </c>
      <c r="R95" s="0" t="n">
        <v>9</v>
      </c>
      <c r="U95" s="0" t="n">
        <f aca="true">SUM(INDIRECT(ADDRESS(MATCH("Nombre des NC poubelle ",ChoixRJ!$B$1:$B$29,0),MATCH($C95,ChoixRJ!$13:$13,0),4,1,"ChoixRJ"),1)*1,INDIRECT(ADDRESS(MATCH("Nombre des NC à retoucher",ChoixRJ!$B$1:$B$29,0),MATCH($C95,ChoixRJ!$13:$13,0),4,1,"ChoixRJ"),1)*1)</f>
        <v>0</v>
      </c>
      <c r="AA95" s="0" t="n">
        <f aca="false">IF(J95=0,0,(V95+U95)/J95)</f>
        <v>0</v>
      </c>
      <c r="AB95" s="0" t="n">
        <f aca="false">IF(OR(R95=0,J95=0),"",AA95/R95*100)</f>
        <v>0</v>
      </c>
      <c r="AF95" s="0" t="str">
        <f aca="false">IF(AB95&gt;85," ","WARNING")</f>
        <v>WARNING</v>
      </c>
      <c r="AG95" s="0" t="str">
        <f aca="false">IF(A95=ChoixJour!$A$5,ROW(),"")</f>
        <v/>
      </c>
    </row>
    <row r="96" customFormat="false" ht="13.8" hidden="false" customHeight="false" outlineLevel="0" collapsed="false">
      <c r="A96" s="81" t="n">
        <v>43840</v>
      </c>
      <c r="B96" s="83" t="s">
        <v>42</v>
      </c>
      <c r="C96" s="0" t="s">
        <v>55</v>
      </c>
      <c r="D96" s="0" t="str">
        <f aca="false">IFERROR(VLOOKUP(E96,Pieces!B:C,2,0)," ")</f>
        <v> </v>
      </c>
      <c r="E96" s="0" t="s">
        <v>147</v>
      </c>
      <c r="F96" s="0" t="n">
        <v>820</v>
      </c>
      <c r="G96" s="0" t="n">
        <v>898</v>
      </c>
      <c r="H96" s="0" t="n">
        <v>898</v>
      </c>
      <c r="I96" s="0" t="n">
        <v>898</v>
      </c>
      <c r="J96" s="0" t="n">
        <f aca="false">IFERROR(VLOOKUP(E96,Pieces!A:C,3,0),"Entrer la cadence")</f>
        <v>28</v>
      </c>
      <c r="K96" s="0" t="n">
        <v>1</v>
      </c>
      <c r="L96" s="0" t="n">
        <f aca="false">(G96-F96)*K96</f>
        <v>78</v>
      </c>
      <c r="M96" s="0" t="n">
        <f aca="false">(H96-G96)*K96</f>
        <v>0</v>
      </c>
      <c r="N96" s="0" t="n">
        <f aca="false">(I96-H96)*K96</f>
        <v>0</v>
      </c>
      <c r="O96" s="0" t="n">
        <f aca="false">IF(J96=0,0,L96/J96)</f>
        <v>2.78571428571429</v>
      </c>
      <c r="P96" s="0" t="n">
        <f aca="false">IF(J96=0,0,M96/J96)</f>
        <v>0</v>
      </c>
      <c r="Q96" s="0" t="n">
        <f aca="false">IF(J96=0,0,N96/J96)</f>
        <v>0</v>
      </c>
      <c r="R96" s="0" t="n">
        <v>9</v>
      </c>
      <c r="T96" s="0" t="n">
        <f aca="false">V96+U96-L96-M96-N96</f>
        <v>9</v>
      </c>
      <c r="U96" s="0" t="n">
        <f aca="true">SUM(INDIRECT(ADDRESS(MATCH("Nombre des NC poubelle ",ChoixRJ!$B$1:$B$29,0),MATCH($C96,ChoixRJ!$13:$13,0),4,1,"ChoixRJ"),1)*1,INDIRECT(ADDRESS(MATCH("Nombre des NC à retoucher",ChoixRJ!$B$1:$B$29,0),MATCH($C96,ChoixRJ!$13:$13,0),4,1,"ChoixRJ"),1)*1)</f>
        <v>9</v>
      </c>
      <c r="V96" s="0" t="n">
        <v>78</v>
      </c>
      <c r="AA96" s="0" t="n">
        <f aca="false">IF(J96=0,0,(V96+U96)/J96)</f>
        <v>3.10714285714286</v>
      </c>
      <c r="AB96" s="0" t="n">
        <f aca="false">IF(OR(R96=0,J96=0),"",AA96/R96*100)</f>
        <v>34.5238095238095</v>
      </c>
      <c r="AF96" s="0" t="str">
        <f aca="false">IF(AB96&gt;85," ","WARNING")</f>
        <v>WARNING</v>
      </c>
      <c r="AG96" s="0" t="str">
        <f aca="false">IF(A96=ChoixJour!$A$5,ROW(),"")</f>
        <v/>
      </c>
    </row>
    <row r="97" customFormat="false" ht="13.8" hidden="false" customHeight="false" outlineLevel="0" collapsed="false">
      <c r="A97" s="81" t="n">
        <v>43840</v>
      </c>
      <c r="B97" s="83" t="s">
        <v>44</v>
      </c>
      <c r="C97" s="0" t="s">
        <v>56</v>
      </c>
      <c r="D97" s="0" t="str">
        <f aca="false">IFERROR(VLOOKUP(E97,Pieces!B:C,2,0)," ")</f>
        <v> </v>
      </c>
      <c r="E97" s="0" t="s">
        <v>759</v>
      </c>
      <c r="F97" s="0" t="n">
        <v>0</v>
      </c>
      <c r="G97" s="0" t="n">
        <v>0</v>
      </c>
      <c r="H97" s="0" t="n">
        <v>0</v>
      </c>
      <c r="I97" s="0" t="n">
        <v>0</v>
      </c>
      <c r="J97" s="0" t="n">
        <f aca="false">IFERROR(VLOOKUP(E97,Pieces!A:C,3,0),"Entrer la cadence")</f>
        <v>20</v>
      </c>
      <c r="K97" s="0" t="n">
        <v>1</v>
      </c>
      <c r="L97" s="0" t="n">
        <f aca="false">(G97-F97)*K97</f>
        <v>0</v>
      </c>
      <c r="M97" s="0" t="n">
        <f aca="false">(H97-G97)*K97</f>
        <v>0</v>
      </c>
      <c r="N97" s="0" t="n">
        <f aca="false">(I97-H97)*K97</f>
        <v>0</v>
      </c>
      <c r="O97" s="0" t="n">
        <f aca="false">IF(J97=0,0,L97/J97)</f>
        <v>0</v>
      </c>
      <c r="P97" s="0" t="n">
        <f aca="false">IF(J97=0,0,M97/J97)</f>
        <v>0</v>
      </c>
      <c r="Q97" s="0" t="n">
        <f aca="false">IF(J97=0,0,N97/J97)</f>
        <v>0</v>
      </c>
      <c r="R97" s="0" t="n">
        <v>9</v>
      </c>
      <c r="T97" s="0" t="n">
        <f aca="false">V97+U97-L97-M97-N97</f>
        <v>0</v>
      </c>
      <c r="U97" s="0" t="n">
        <f aca="true">SUM(INDIRECT(ADDRESS(MATCH("Nombre des NC poubelle ",ChoixRJ!$B$1:$B$29,0),MATCH($C97,ChoixRJ!$13:$13,0),4,1,"ChoixRJ"),1)*1,INDIRECT(ADDRESS(MATCH("Nombre des NC à retoucher",ChoixRJ!$B$1:$B$29,0),MATCH($C97,ChoixRJ!$13:$13,0),4,1,"ChoixRJ"),1)*1)</f>
        <v>0</v>
      </c>
      <c r="V97" s="0" t="n">
        <v>0</v>
      </c>
      <c r="AA97" s="0" t="n">
        <f aca="false">IF(J97=0,0,(V97+U97)/J97)</f>
        <v>0</v>
      </c>
      <c r="AB97" s="0" t="n">
        <f aca="false">IF(OR(R97=0,J97=0),"",AA97/R97*100)</f>
        <v>0</v>
      </c>
      <c r="AF97" s="0" t="str">
        <f aca="false">IF(AB97&gt;85," ","WARNING")</f>
        <v>WARNING</v>
      </c>
      <c r="AG97" s="0" t="str">
        <f aca="false">IF(A97=ChoixJour!$A$5,ROW(),"")</f>
        <v/>
      </c>
    </row>
    <row r="98" customFormat="false" ht="13.8" hidden="false" customHeight="false" outlineLevel="0" collapsed="false">
      <c r="A98" s="81" t="n">
        <v>43840</v>
      </c>
      <c r="B98" s="83" t="s">
        <v>62</v>
      </c>
      <c r="C98" s="0" t="s">
        <v>63</v>
      </c>
      <c r="D98" s="0" t="str">
        <f aca="false">IFERROR(VLOOKUP(E98,Pieces!B:C,2,0)," ")</f>
        <v> </v>
      </c>
      <c r="E98" s="0" t="s">
        <v>136</v>
      </c>
      <c r="F98" s="0" t="n">
        <v>0</v>
      </c>
      <c r="G98" s="0" t="n">
        <v>0</v>
      </c>
      <c r="H98" s="0" t="n">
        <v>0</v>
      </c>
      <c r="I98" s="0" t="n">
        <v>0</v>
      </c>
      <c r="J98" s="0" t="n">
        <f aca="false">IFERROR(VLOOKUP(E98,Pieces!A:C,3,0),"Entrer la cadence")</f>
        <v>1</v>
      </c>
      <c r="K98" s="0" t="n">
        <v>1</v>
      </c>
      <c r="L98" s="0" t="n">
        <f aca="false">(G98-F98)*K98</f>
        <v>0</v>
      </c>
      <c r="M98" s="0" t="n">
        <f aca="false">(H98-G98)*K98</f>
        <v>0</v>
      </c>
      <c r="N98" s="0" t="n">
        <f aca="false">(I98-H98)*K98</f>
        <v>0</v>
      </c>
      <c r="O98" s="0" t="n">
        <f aca="false">IF(J98=0,0,L98/J98)</f>
        <v>0</v>
      </c>
      <c r="P98" s="0" t="n">
        <f aca="false">IF(J98=0,0,M98/J98)</f>
        <v>0</v>
      </c>
      <c r="Q98" s="0" t="n">
        <f aca="false">IF(J98=0,0,N98/J98)</f>
        <v>0</v>
      </c>
      <c r="R98" s="0" t="n">
        <v>9</v>
      </c>
      <c r="T98" s="0" t="n">
        <f aca="false">V98+U98-L98-M98-N98</f>
        <v>0</v>
      </c>
      <c r="U98" s="0" t="n">
        <f aca="true">SUM(INDIRECT(ADDRESS(MATCH("Nombre des NC poubelle ",ChoixRJ!$B$1:$B$29,0),MATCH($C98,ChoixRJ!$13:$13,0),4,1,"ChoixRJ"),1)*1,INDIRECT(ADDRESS(MATCH("Nombre des NC à retoucher",ChoixRJ!$B$1:$B$29,0),MATCH($C98,ChoixRJ!$13:$13,0),4,1,"ChoixRJ"),1)*1)</f>
        <v>0</v>
      </c>
      <c r="V98" s="0" t="n">
        <v>0</v>
      </c>
      <c r="AA98" s="0" t="n">
        <f aca="false">IF(J98=0,0,(V98+U98)/J98)</f>
        <v>0</v>
      </c>
      <c r="AB98" s="0" t="n">
        <f aca="false">IF(OR(R98=0,J98=0),"",AA98/R98*100)</f>
        <v>0</v>
      </c>
      <c r="AF98" s="0" t="str">
        <f aca="false">IF(AB98&gt;85," ","WARNING")</f>
        <v>WARNING</v>
      </c>
      <c r="AG98" s="0" t="str">
        <f aca="false">IF(A98=ChoixJour!$A$5,ROW(),"")</f>
        <v/>
      </c>
    </row>
    <row r="99" customFormat="false" ht="13.8" hidden="false" customHeight="false" outlineLevel="0" collapsed="false">
      <c r="A99" s="81" t="n">
        <v>43840</v>
      </c>
      <c r="B99" s="83" t="s">
        <v>58</v>
      </c>
      <c r="C99" s="0" t="s">
        <v>59</v>
      </c>
      <c r="D99" s="0" t="str">
        <f aca="false">IFERROR(VLOOKUP(E99,Pieces!B:C,2,0)," ")</f>
        <v> </v>
      </c>
      <c r="E99" s="0" t="s">
        <v>883</v>
      </c>
      <c r="F99" s="0" t="n">
        <v>887</v>
      </c>
      <c r="G99" s="0" t="n">
        <v>887</v>
      </c>
      <c r="H99" s="0" t="n">
        <v>887</v>
      </c>
      <c r="I99" s="0" t="n">
        <v>887</v>
      </c>
      <c r="J99" s="0" t="n">
        <f aca="false">IFERROR(VLOOKUP(E99,Pieces!A:C,3,0),"Entrer la cadence")</f>
        <v>28</v>
      </c>
      <c r="K99" s="0" t="n">
        <v>7</v>
      </c>
      <c r="L99" s="0" t="n">
        <f aca="false">(G99-F99)*K99</f>
        <v>0</v>
      </c>
      <c r="M99" s="0" t="n">
        <f aca="false">(H99-G99)*K99</f>
        <v>0</v>
      </c>
      <c r="N99" s="0" t="n">
        <f aca="false">(I99-H99)*K99</f>
        <v>0</v>
      </c>
      <c r="O99" s="0" t="n">
        <f aca="false">IF(J99=0,0,L99/J99)</f>
        <v>0</v>
      </c>
      <c r="P99" s="0" t="n">
        <f aca="false">IF(J99=0,0,M99/J99)</f>
        <v>0</v>
      </c>
      <c r="Q99" s="0" t="n">
        <f aca="false">IF(J99=0,0,N99/J99)</f>
        <v>0</v>
      </c>
      <c r="R99" s="0" t="n">
        <v>9</v>
      </c>
      <c r="T99" s="0" t="n">
        <f aca="false">V99+U99-L99-M99-N99</f>
        <v>0</v>
      </c>
      <c r="U99" s="0" t="n">
        <f aca="true">SUM(INDIRECT(ADDRESS(MATCH("Nombre des NC poubelle ",ChoixRJ!$B$1:$B$29,0),MATCH($C99,ChoixRJ!$13:$13,0),4,1,"ChoixRJ"),1)*1,INDIRECT(ADDRESS(MATCH("Nombre des NC à retoucher",ChoixRJ!$B$1:$B$29,0),MATCH($C99,ChoixRJ!$13:$13,0),4,1,"ChoixRJ"),1)*1)</f>
        <v>0</v>
      </c>
      <c r="V99" s="0" t="n">
        <v>0</v>
      </c>
      <c r="AA99" s="0" t="n">
        <f aca="false">IF(J99=0,0,(V99+U99)/J99)</f>
        <v>0</v>
      </c>
      <c r="AB99" s="0" t="n">
        <f aca="false">IF(OR(R99=0,J99=0),"",AA99/R99*100)</f>
        <v>0</v>
      </c>
      <c r="AF99" s="0" t="str">
        <f aca="false">IF(AB99&gt;85," ","WARNING")</f>
        <v>WARNING</v>
      </c>
      <c r="AG99" s="0" t="str">
        <f aca="false">IF(A99=ChoixJour!$A$5,ROW(),"")</f>
        <v/>
      </c>
    </row>
    <row r="100" customFormat="false" ht="13.8" hidden="false" customHeight="false" outlineLevel="0" collapsed="false">
      <c r="A100" s="81" t="n">
        <v>43840</v>
      </c>
      <c r="B100" s="83" t="s">
        <v>60</v>
      </c>
      <c r="C100" s="0" t="s">
        <v>61</v>
      </c>
      <c r="D100" s="0" t="str">
        <f aca="false">IFERROR(VLOOKUP(E100,Pieces!B:C,2,0)," ")</f>
        <v> </v>
      </c>
      <c r="E100" s="0" t="s">
        <v>758</v>
      </c>
      <c r="F100" s="0" t="n">
        <v>80</v>
      </c>
      <c r="G100" s="0" t="n">
        <v>80</v>
      </c>
      <c r="H100" s="0" t="n">
        <v>80</v>
      </c>
      <c r="I100" s="0" t="n">
        <v>80</v>
      </c>
      <c r="J100" s="0" t="n">
        <f aca="false">IFERROR(VLOOKUP(E100,Pieces!A:C,3,0),"Entrer la cadence")</f>
        <v>60</v>
      </c>
      <c r="K100" s="0" t="n">
        <v>20</v>
      </c>
      <c r="L100" s="0" t="n">
        <f aca="false">(G100-F100)*K100</f>
        <v>0</v>
      </c>
      <c r="M100" s="0" t="n">
        <f aca="false">(H100-G100)*K100</f>
        <v>0</v>
      </c>
      <c r="N100" s="0" t="n">
        <f aca="false">(I100-H100)*K100</f>
        <v>0</v>
      </c>
      <c r="O100" s="0" t="n">
        <f aca="false">IF(J100=0,0,L100/J100)</f>
        <v>0</v>
      </c>
      <c r="P100" s="0" t="n">
        <f aca="false">IF(J100=0,0,M100/J100)</f>
        <v>0</v>
      </c>
      <c r="Q100" s="0" t="n">
        <f aca="false">IF(J100=0,0,N100/J100)</f>
        <v>0</v>
      </c>
      <c r="R100" s="0" t="n">
        <v>9</v>
      </c>
      <c r="T100" s="0" t="n">
        <f aca="false">V100+U100-L100-M100-N100</f>
        <v>0</v>
      </c>
      <c r="U100" s="0" t="n">
        <f aca="true">SUM(INDIRECT(ADDRESS(MATCH("Nombre des NC poubelle ",ChoixRJ!$B$1:$B$29,0),MATCH($C100,ChoixRJ!$13:$13,0),4,1,"ChoixRJ"),1)*1,INDIRECT(ADDRESS(MATCH("Nombre des NC à retoucher",ChoixRJ!$B$1:$B$29,0),MATCH($C100,ChoixRJ!$13:$13,0),4,1,"ChoixRJ"),1)*1)</f>
        <v>0</v>
      </c>
      <c r="V100" s="0" t="n">
        <v>0</v>
      </c>
      <c r="AA100" s="0" t="n">
        <f aca="false">IF(J100=0,0,(V100+U100)/J100)</f>
        <v>0</v>
      </c>
      <c r="AB100" s="0" t="n">
        <f aca="false">IF(OR(R100=0,J100=0),"",AA100/R100*100)</f>
        <v>0</v>
      </c>
      <c r="AF100" s="0" t="str">
        <f aca="false">IF(AB100&gt;85," ","WARNING")</f>
        <v>WARNING</v>
      </c>
      <c r="AG100" s="0" t="str">
        <f aca="false">IF(A100=ChoixJour!$A$5,ROW(),"")</f>
        <v/>
      </c>
    </row>
    <row r="101" customFormat="false" ht="13.8" hidden="false" customHeight="false" outlineLevel="0" collapsed="false">
      <c r="A101" s="81" t="n">
        <v>43840</v>
      </c>
      <c r="B101" s="83" t="s">
        <v>68</v>
      </c>
      <c r="C101" s="0" t="s">
        <v>69</v>
      </c>
      <c r="D101" s="0" t="str">
        <f aca="false">IFERROR(VLOOKUP(E101,Pieces!B:C,2,0)," ")</f>
        <v> </v>
      </c>
      <c r="E101" s="0" t="s">
        <v>928</v>
      </c>
      <c r="F101" s="0" t="n">
        <v>0</v>
      </c>
      <c r="G101" s="0" t="n">
        <v>12</v>
      </c>
      <c r="H101" s="0" t="n">
        <v>12</v>
      </c>
      <c r="I101" s="0" t="n">
        <v>12</v>
      </c>
      <c r="J101" s="0" t="n">
        <f aca="false">IFERROR(VLOOKUP(E101,Pieces!A:C,3,0),"Entrer la cadence")</f>
        <v>38</v>
      </c>
      <c r="K101" s="0" t="n">
        <v>51</v>
      </c>
      <c r="L101" s="0" t="n">
        <f aca="false">(G101-F101)*K101</f>
        <v>612</v>
      </c>
      <c r="M101" s="0" t="n">
        <f aca="false">(H101-G101)*K101</f>
        <v>0</v>
      </c>
      <c r="N101" s="0" t="n">
        <f aca="false">(I101-H101)*K101</f>
        <v>0</v>
      </c>
      <c r="O101" s="0" t="n">
        <f aca="false">IF(J101=0,0,L101/J101)</f>
        <v>16.1052631578947</v>
      </c>
      <c r="P101" s="0" t="n">
        <f aca="false">IF(J101=0,0,M101/J101)</f>
        <v>0</v>
      </c>
      <c r="Q101" s="0" t="n">
        <f aca="false">IF(J101=0,0,N101/J101)</f>
        <v>0</v>
      </c>
      <c r="R101" s="0" t="n">
        <v>9</v>
      </c>
      <c r="S101" s="0" t="s">
        <v>1060</v>
      </c>
      <c r="T101" s="0" t="n">
        <f aca="false">V101+U101-L101-M101-N101</f>
        <v>0</v>
      </c>
      <c r="U101" s="0" t="n">
        <f aca="true">SUM(INDIRECT(ADDRESS(MATCH("Nombre des NC poubelle ",ChoixRJ!$B$1:$B$29,0),MATCH($C101,ChoixRJ!$13:$13,0),4,1,"ChoixRJ"),1)*1,INDIRECT(ADDRESS(MATCH("Nombre des NC à retoucher",ChoixRJ!$B$1:$B$29,0),MATCH($C101,ChoixRJ!$13:$13,0),4,1,"ChoixRJ"),1)*1)</f>
        <v>0</v>
      </c>
      <c r="V101" s="0" t="n">
        <v>612</v>
      </c>
      <c r="AA101" s="0" t="n">
        <f aca="false">IF(J101=0,0,(V101+U101)/J101)</f>
        <v>16.1052631578947</v>
      </c>
      <c r="AB101" s="0" t="n">
        <f aca="false">IF(OR(R101=0,J101=0),"",AA101/R101*100)</f>
        <v>178.947368421053</v>
      </c>
      <c r="AF101" s="0" t="str">
        <f aca="false">IF(AB101&gt;85," ","WARNING")</f>
        <v> </v>
      </c>
      <c r="AG101" s="0" t="str">
        <f aca="false">IF(A101=ChoixJour!$A$5,ROW(),"")</f>
        <v/>
      </c>
    </row>
    <row r="102" customFormat="false" ht="13.8" hidden="false" customHeight="false" outlineLevel="0" collapsed="false">
      <c r="A102" s="81" t="n">
        <v>43840</v>
      </c>
      <c r="B102" s="83" t="s">
        <v>66</v>
      </c>
      <c r="C102" s="0" t="s">
        <v>67</v>
      </c>
      <c r="D102" s="0" t="str">
        <f aca="false">IFERROR(VLOOKUP(E102,Pieces!B:C,2,0)," ")</f>
        <v> </v>
      </c>
      <c r="E102" s="0" t="s">
        <v>136</v>
      </c>
      <c r="F102" s="0" t="n">
        <v>0</v>
      </c>
      <c r="G102" s="0" t="n">
        <v>0</v>
      </c>
      <c r="H102" s="0" t="n">
        <v>0</v>
      </c>
      <c r="I102" s="0" t="n">
        <v>0</v>
      </c>
      <c r="J102" s="0" t="n">
        <f aca="false">IFERROR(VLOOKUP(E102,Pieces!A:C,3,0),"Entrer la cadence")</f>
        <v>1</v>
      </c>
      <c r="K102" s="0" t="n">
        <v>1</v>
      </c>
      <c r="L102" s="0" t="n">
        <f aca="false">(G102-F102)*K102</f>
        <v>0</v>
      </c>
      <c r="M102" s="0" t="n">
        <f aca="false">(H102-G102)*K102</f>
        <v>0</v>
      </c>
      <c r="N102" s="0" t="n">
        <f aca="false">(I102-H102)*K102</f>
        <v>0</v>
      </c>
      <c r="O102" s="0" t="n">
        <f aca="false">IF(J102=0,0,L102/J102)</f>
        <v>0</v>
      </c>
      <c r="P102" s="0" t="n">
        <f aca="false">IF(J102=0,0,M102/J102)</f>
        <v>0</v>
      </c>
      <c r="Q102" s="0" t="n">
        <f aca="false">IF(J102=0,0,N102/J102)</f>
        <v>0</v>
      </c>
      <c r="R102" s="0" t="n">
        <v>9</v>
      </c>
      <c r="T102" s="0" t="n">
        <f aca="false">V102+U102-L102-M102-N102</f>
        <v>0</v>
      </c>
      <c r="U102" s="0" t="n">
        <f aca="true">SUM(INDIRECT(ADDRESS(MATCH("Nombre des NC poubelle ",ChoixRJ!$B$1:$B$29,0),MATCH($C102,ChoixRJ!$13:$13,0),4,1,"ChoixRJ"),1)*1,INDIRECT(ADDRESS(MATCH("Nombre des NC à retoucher",ChoixRJ!$B$1:$B$29,0),MATCH($C102,ChoixRJ!$13:$13,0),4,1,"ChoixRJ"),1)*1)</f>
        <v>0</v>
      </c>
      <c r="V102" s="0" t="n">
        <v>0</v>
      </c>
      <c r="AA102" s="0" t="n">
        <f aca="false">IF(J102=0,0,(V102+U102)/J102)</f>
        <v>0</v>
      </c>
      <c r="AB102" s="0" t="n">
        <f aca="false">IF(OR(R102=0,J102=0),"",AA102/R102*100)</f>
        <v>0</v>
      </c>
      <c r="AF102" s="0" t="str">
        <f aca="false">IF(AB102&gt;85," ","WARNING")</f>
        <v>WARNING</v>
      </c>
      <c r="AG102" s="0" t="str">
        <f aca="false">IF(A102=ChoixJour!$A$5,ROW(),"")</f>
        <v/>
      </c>
    </row>
    <row r="103" customFormat="false" ht="13.8" hidden="false" customHeight="false" outlineLevel="0" collapsed="false">
      <c r="A103" s="81" t="n">
        <v>43840</v>
      </c>
      <c r="B103" s="83" t="s">
        <v>46</v>
      </c>
      <c r="C103" s="0" t="s">
        <v>57</v>
      </c>
      <c r="D103" s="0" t="str">
        <f aca="false">IFERROR(VLOOKUP(E103,Pieces!B:C,2,0)," ")</f>
        <v> </v>
      </c>
      <c r="E103" s="0" t="s">
        <v>958</v>
      </c>
      <c r="F103" s="0" t="n">
        <v>180777</v>
      </c>
      <c r="G103" s="0" t="n">
        <v>180777</v>
      </c>
      <c r="H103" s="0" t="n">
        <v>180777</v>
      </c>
      <c r="I103" s="0" t="n">
        <v>180777</v>
      </c>
      <c r="J103" s="0" t="n">
        <f aca="false">IFERROR(VLOOKUP(E103,Pieces!A:C,3,0),"Entrer la cadence")</f>
        <v>454</v>
      </c>
      <c r="K103" s="0" t="n">
        <v>1</v>
      </c>
      <c r="L103" s="0" t="n">
        <f aca="false">(G103-F103)*K103</f>
        <v>0</v>
      </c>
      <c r="M103" s="0" t="n">
        <f aca="false">(H103-G103)*K103</f>
        <v>0</v>
      </c>
      <c r="N103" s="0" t="n">
        <f aca="false">(I103-H103)*K103</f>
        <v>0</v>
      </c>
      <c r="O103" s="0" t="n">
        <f aca="false">IF(J103=0,0,L103/J103)</f>
        <v>0</v>
      </c>
      <c r="P103" s="0" t="n">
        <f aca="false">IF(J103=0,0,M103/J103)</f>
        <v>0</v>
      </c>
      <c r="Q103" s="0" t="n">
        <f aca="false">IF(J103=0,0,N103/J103)</f>
        <v>0</v>
      </c>
      <c r="R103" s="0" t="n">
        <v>9</v>
      </c>
      <c r="T103" s="0" t="n">
        <f aca="false">V103+U103-L103-M103-N103</f>
        <v>0</v>
      </c>
      <c r="U103" s="0" t="n">
        <f aca="true">SUM(INDIRECT(ADDRESS(MATCH("Nombre des NC poubelle ",ChoixRJ!$B$1:$B$29,0),MATCH($C103,ChoixRJ!$13:$13,0),4,1,"ChoixRJ"),1)*1,INDIRECT(ADDRESS(MATCH("Nombre des NC à retoucher",ChoixRJ!$B$1:$B$29,0),MATCH($C103,ChoixRJ!$13:$13,0),4,1,"ChoixRJ"),1)*1)</f>
        <v>0</v>
      </c>
      <c r="V103" s="0" t="n">
        <v>0</v>
      </c>
      <c r="AA103" s="0" t="n">
        <f aca="false">IF(J103=0,0,(V103+U103)/J103)</f>
        <v>0</v>
      </c>
      <c r="AB103" s="0" t="n">
        <f aca="false">IF(OR(R103=0,J103=0),"",AA103/R103*100)</f>
        <v>0</v>
      </c>
      <c r="AF103" s="0" t="str">
        <f aca="false">IF(AB103&gt;85," ","WARNING")</f>
        <v>WARNING</v>
      </c>
      <c r="AG103" s="0" t="str">
        <f aca="false">IF(A103=ChoixJour!$A$5,ROW(),"")</f>
        <v/>
      </c>
    </row>
    <row r="104" customFormat="false" ht="13.8" hidden="false" customHeight="false" outlineLevel="0" collapsed="false">
      <c r="A104" s="81" t="n">
        <v>43840</v>
      </c>
      <c r="B104" s="83" t="s">
        <v>64</v>
      </c>
      <c r="C104" s="0" t="s">
        <v>65</v>
      </c>
      <c r="D104" s="0" t="str">
        <f aca="false">IFERROR(VLOOKUP(E104,Pieces!B:C,2,0)," ")</f>
        <v> </v>
      </c>
      <c r="E104" s="0" t="s">
        <v>699</v>
      </c>
      <c r="F104" s="0" t="n">
        <v>671</v>
      </c>
      <c r="G104" s="0" t="n">
        <v>960</v>
      </c>
      <c r="H104" s="0" t="n">
        <v>960</v>
      </c>
      <c r="I104" s="0" t="n">
        <v>960</v>
      </c>
      <c r="J104" s="0" t="n">
        <f aca="false">IFERROR(VLOOKUP(E104,Pieces!A:C,3,0),"Entrer la cadence")</f>
        <v>50</v>
      </c>
      <c r="K104" s="0" t="n">
        <v>1</v>
      </c>
      <c r="L104" s="0" t="n">
        <f aca="false">(G104-F104)*K104</f>
        <v>289</v>
      </c>
      <c r="M104" s="0" t="n">
        <f aca="false">(H104-G104)*K104</f>
        <v>0</v>
      </c>
      <c r="N104" s="0" t="n">
        <f aca="false">(I104-H104)*K104</f>
        <v>0</v>
      </c>
      <c r="O104" s="0" t="n">
        <f aca="false">IF(J104=0,0,L104/J104)</f>
        <v>5.78</v>
      </c>
      <c r="P104" s="0" t="n">
        <f aca="false">IF(J104=0,0,M104/J104)</f>
        <v>0</v>
      </c>
      <c r="Q104" s="0" t="n">
        <f aca="false">IF(J104=0,0,N104/J104)</f>
        <v>0</v>
      </c>
      <c r="R104" s="0" t="n">
        <v>9</v>
      </c>
      <c r="T104" s="0" t="n">
        <f aca="false">V104+U104-L104-M104-N104</f>
        <v>0</v>
      </c>
      <c r="U104" s="0" t="n">
        <f aca="true">SUM(INDIRECT(ADDRESS(MATCH("Nombre des NC poubelle ",ChoixRJ!$B$1:$B$29,0),MATCH($C104,ChoixRJ!$13:$13,0),4,1,"ChoixRJ"),1)*1,INDIRECT(ADDRESS(MATCH("Nombre des NC à retoucher",ChoixRJ!$B$1:$B$29,0),MATCH($C104,ChoixRJ!$13:$13,0),4,1,"ChoixRJ"),1)*1)</f>
        <v>0</v>
      </c>
      <c r="V104" s="0" t="n">
        <v>289</v>
      </c>
      <c r="AA104" s="0" t="n">
        <f aca="false">IF(J104=0,0,(V104+U104)/J104)</f>
        <v>5.78</v>
      </c>
      <c r="AB104" s="0" t="n">
        <f aca="false">IF(OR(R104=0,J104=0),"",AA104/R104*100)</f>
        <v>64.2222222222222</v>
      </c>
      <c r="AF104" s="0" t="str">
        <f aca="false">IF(AB104&gt;85," ","WARNING")</f>
        <v>WARNING</v>
      </c>
      <c r="AG104" s="0" t="str">
        <f aca="false">IF(A104=ChoixJour!$A$5,ROW(),"")</f>
        <v/>
      </c>
    </row>
    <row r="105" customFormat="false" ht="13.8" hidden="false" customHeight="false" outlineLevel="0" collapsed="false">
      <c r="A105" s="81" t="n">
        <v>43840</v>
      </c>
      <c r="B105" s="83" t="s">
        <v>96</v>
      </c>
      <c r="C105" s="0" t="s">
        <v>71</v>
      </c>
      <c r="D105" s="0" t="str">
        <f aca="false">IFERROR(VLOOKUP(E105,Pieces!B:C,2,0)," ")</f>
        <v> </v>
      </c>
      <c r="E105" s="0" t="s">
        <v>1042</v>
      </c>
      <c r="F105" s="0" t="n">
        <v>656</v>
      </c>
      <c r="G105" s="0" t="n">
        <v>851</v>
      </c>
      <c r="H105" s="0" t="n">
        <v>851</v>
      </c>
      <c r="I105" s="0" t="n">
        <v>851</v>
      </c>
      <c r="J105" s="0" t="n">
        <f aca="false">IFERROR(VLOOKUP(E105,Pieces!A:C,3,0),"Entrer la cadence")</f>
        <v>20</v>
      </c>
      <c r="K105" s="0" t="n">
        <v>1</v>
      </c>
      <c r="L105" s="0" t="n">
        <f aca="false">(G105-F105)*K105</f>
        <v>195</v>
      </c>
      <c r="M105" s="0" t="n">
        <f aca="false">(H105-G105)*K105</f>
        <v>0</v>
      </c>
      <c r="N105" s="0" t="n">
        <f aca="false">(I105-H105)*K105</f>
        <v>0</v>
      </c>
      <c r="O105" s="0" t="n">
        <f aca="false">IF(J105=0,0,L105/J105)</f>
        <v>9.75</v>
      </c>
      <c r="P105" s="0" t="n">
        <f aca="false">IF(J105=0,0,M105/J105)</f>
        <v>0</v>
      </c>
      <c r="Q105" s="0" t="n">
        <f aca="false">IF(J105=0,0,N105/J105)</f>
        <v>0</v>
      </c>
      <c r="R105" s="0" t="n">
        <v>9</v>
      </c>
      <c r="T105" s="0" t="n">
        <f aca="false">V105+U105-L105-M105-N105</f>
        <v>0</v>
      </c>
      <c r="U105" s="0" t="n">
        <f aca="true">SUM(INDIRECT(ADDRESS(MATCH("Nombre des NC poubelle ",ChoixRJ!$B$1:$B$29,0),MATCH($C105,ChoixRJ!$13:$13,0),4,1,"ChoixRJ"),1)*1,INDIRECT(ADDRESS(MATCH("Nombre des NC à retoucher",ChoixRJ!$B$1:$B$29,0),MATCH($C105,ChoixRJ!$13:$13,0),4,1,"ChoixRJ"),1)*1)</f>
        <v>0</v>
      </c>
      <c r="V105" s="0" t="n">
        <v>195</v>
      </c>
      <c r="AA105" s="0" t="n">
        <f aca="false">IF(J105=0,0,(V105+U105)/J105)</f>
        <v>9.75</v>
      </c>
      <c r="AB105" s="0" t="n">
        <f aca="false">IF(OR(R105=0,J105=0),"",AA105/R105*100)</f>
        <v>108.333333333333</v>
      </c>
      <c r="AF105" s="0" t="str">
        <f aca="false">IF(AB105&gt;85," ","WARNING")</f>
        <v> </v>
      </c>
      <c r="AG105" s="0" t="str">
        <f aca="false">IF(A105=ChoixJour!$A$5,ROW(),"")</f>
        <v/>
      </c>
    </row>
    <row r="106" customFormat="false" ht="13.8" hidden="false" customHeight="false" outlineLevel="0" collapsed="false">
      <c r="A106" s="81" t="n">
        <v>43841</v>
      </c>
      <c r="B106" s="83" t="s">
        <v>36</v>
      </c>
      <c r="C106" s="0" t="s">
        <v>52</v>
      </c>
      <c r="D106" s="0" t="str">
        <f aca="false">IFERROR(VLOOKUP(E106,Pieces!B:C,2,0)," ")</f>
        <v> </v>
      </c>
      <c r="E106" s="0" t="s">
        <v>940</v>
      </c>
      <c r="F106" s="0" t="n">
        <v>32075</v>
      </c>
      <c r="G106" s="0" t="n">
        <v>33000</v>
      </c>
      <c r="H106" s="0" t="n">
        <v>33000</v>
      </c>
      <c r="I106" s="0" t="n">
        <v>33000</v>
      </c>
      <c r="J106" s="0" t="n">
        <f aca="false">IFERROR(VLOOKUP(E106,Pieces!A:C,3,0),"Entrer la cadence")</f>
        <v>75</v>
      </c>
      <c r="K106" s="0" t="n">
        <v>1</v>
      </c>
      <c r="L106" s="0" t="n">
        <f aca="false">(G106-F106)*K106</f>
        <v>925</v>
      </c>
      <c r="M106" s="0" t="n">
        <f aca="false">(H106-G106)*K106</f>
        <v>0</v>
      </c>
      <c r="N106" s="0" t="n">
        <f aca="false">(I106-H106)*K106</f>
        <v>0</v>
      </c>
      <c r="O106" s="0" t="n">
        <f aca="false">IF(J106=0,0,L106/J106)</f>
        <v>12.3333333333333</v>
      </c>
      <c r="P106" s="0" t="n">
        <f aca="false">IF(J106=0,0,M106/J106)</f>
        <v>0</v>
      </c>
      <c r="Q106" s="0" t="n">
        <f aca="false">IF(J106=0,0,N106/J106)</f>
        <v>0</v>
      </c>
      <c r="R106" s="0" t="n">
        <v>5</v>
      </c>
      <c r="T106" s="0" t="n">
        <f aca="false">V106+U106-L106-M106-N106</f>
        <v>0</v>
      </c>
      <c r="U106" s="0" t="n">
        <f aca="true">SUM(INDIRECT(ADDRESS(MATCH("Nombre des NC poubelle ",ChoixRJ!$B$1:$B$29,0),MATCH($C106,ChoixRJ!$13:$13,0),4,1,"ChoixRJ"),1)*1,INDIRECT(ADDRESS(MATCH("Nombre des NC à retoucher",ChoixRJ!$B$1:$B$29,0),MATCH($C106,ChoixRJ!$13:$13,0),4,1,"ChoixRJ"),1)*1)</f>
        <v>0</v>
      </c>
      <c r="V106" s="0" t="n">
        <v>925</v>
      </c>
      <c r="AA106" s="0" t="n">
        <f aca="false">IF(J106=0,0,(V106+U106)/J106)</f>
        <v>12.3333333333333</v>
      </c>
      <c r="AB106" s="0" t="n">
        <f aca="false">IF(OR(R106=0,J106=0),"",AA106/R106*100)</f>
        <v>246.666666666667</v>
      </c>
      <c r="AF106" s="0" t="str">
        <f aca="false">IF(AB106&gt;85," ","WARNING")</f>
        <v> </v>
      </c>
      <c r="AG106" s="0" t="str">
        <f aca="false">IF(A106=ChoixJour!$A$5,ROW(),"")</f>
        <v/>
      </c>
    </row>
    <row r="107" customFormat="false" ht="13.8" hidden="false" customHeight="false" outlineLevel="0" collapsed="false">
      <c r="A107" s="81" t="n">
        <v>43841</v>
      </c>
      <c r="B107" s="83" t="s">
        <v>38</v>
      </c>
      <c r="C107" s="0" t="s">
        <v>53</v>
      </c>
      <c r="D107" s="0" t="str">
        <f aca="false">IFERROR(VLOOKUP(E107,Pieces!B:C,2,0)," ")</f>
        <v> </v>
      </c>
      <c r="E107" s="0" t="s">
        <v>1024</v>
      </c>
      <c r="F107" s="0" t="n">
        <v>6250</v>
      </c>
      <c r="G107" s="0" t="n">
        <v>8700</v>
      </c>
      <c r="H107" s="0" t="n">
        <v>8700</v>
      </c>
      <c r="I107" s="0" t="n">
        <v>8700</v>
      </c>
      <c r="J107" s="0" t="n">
        <f aca="false">IFERROR(VLOOKUP(E107,Pieces!A:C,3,0),"Entrer la cadence")</f>
        <v>150</v>
      </c>
      <c r="K107" s="0" t="n">
        <v>1</v>
      </c>
      <c r="L107" s="0" t="n">
        <f aca="false">(G107-F107)*K107</f>
        <v>2450</v>
      </c>
      <c r="M107" s="0" t="n">
        <f aca="false">(H107-G107)*K107</f>
        <v>0</v>
      </c>
      <c r="N107" s="0" t="n">
        <f aca="false">(I107-H107)*K107</f>
        <v>0</v>
      </c>
      <c r="O107" s="0" t="n">
        <f aca="false">IF(J107=0,0,L107/J107)</f>
        <v>16.3333333333333</v>
      </c>
      <c r="P107" s="0" t="n">
        <f aca="false">IF(J107=0,0,M107/J107)</f>
        <v>0</v>
      </c>
      <c r="Q107" s="0" t="n">
        <f aca="false">IF(J107=0,0,N107/J107)</f>
        <v>0</v>
      </c>
      <c r="R107" s="0" t="n">
        <v>5</v>
      </c>
      <c r="T107" s="0" t="n">
        <f aca="false">V107+U107-L107-M107-N107</f>
        <v>0</v>
      </c>
      <c r="U107" s="0" t="n">
        <f aca="true">SUM(INDIRECT(ADDRESS(MATCH("Nombre des NC poubelle ",ChoixRJ!$B$1:$B$29,0),MATCH($C107,ChoixRJ!$13:$13,0),4,1,"ChoixRJ"),1)*1,INDIRECT(ADDRESS(MATCH("Nombre des NC à retoucher",ChoixRJ!$B$1:$B$29,0),MATCH($C107,ChoixRJ!$13:$13,0),4,1,"ChoixRJ"),1)*1)</f>
        <v>0</v>
      </c>
      <c r="V107" s="0" t="n">
        <v>2450</v>
      </c>
      <c r="AA107" s="0" t="n">
        <f aca="false">IF(J107=0,0,(V107+U107)/J107)</f>
        <v>16.3333333333333</v>
      </c>
      <c r="AB107" s="0" t="n">
        <f aca="false">IF(OR(R107=0,J107=0),"",AA107/R107*100)</f>
        <v>326.666666666667</v>
      </c>
      <c r="AF107" s="0" t="str">
        <f aca="false">IF(AB107&gt;85," ","WARNING")</f>
        <v> </v>
      </c>
      <c r="AG107" s="0" t="str">
        <f aca="false">IF(A107=ChoixJour!$A$5,ROW(),"")</f>
        <v/>
      </c>
    </row>
    <row r="108" customFormat="false" ht="13.8" hidden="false" customHeight="false" outlineLevel="0" collapsed="false">
      <c r="A108" s="81" t="n">
        <v>43841</v>
      </c>
      <c r="B108" s="83" t="s">
        <v>40</v>
      </c>
      <c r="C108" s="0" t="s">
        <v>54</v>
      </c>
      <c r="D108" s="0" t="str">
        <f aca="false">IFERROR(VLOOKUP(E108,Pieces!B:C,2,0)," ")</f>
        <v> </v>
      </c>
      <c r="E108" s="0" t="s">
        <v>896</v>
      </c>
      <c r="F108" s="0" t="n">
        <v>1026</v>
      </c>
      <c r="G108" s="0" t="n">
        <v>1480</v>
      </c>
      <c r="H108" s="0" t="n">
        <v>1480</v>
      </c>
      <c r="I108" s="0" t="n">
        <v>1480</v>
      </c>
      <c r="J108" s="0" t="n">
        <f aca="false">IFERROR(VLOOKUP(E108,Pieces!A:C,3,0),"Entrer la cadence")</f>
        <v>50</v>
      </c>
      <c r="K108" s="0" t="n">
        <v>1</v>
      </c>
      <c r="L108" s="0" t="n">
        <f aca="false">(G108-F108)*K108</f>
        <v>454</v>
      </c>
      <c r="M108" s="0" t="n">
        <f aca="false">(H108-G108)*K108</f>
        <v>0</v>
      </c>
      <c r="N108" s="0" t="n">
        <f aca="false">(I108-H108)*K108</f>
        <v>0</v>
      </c>
      <c r="O108" s="0" t="n">
        <f aca="false">IF(J108=0,0,L108/J108)</f>
        <v>9.08</v>
      </c>
      <c r="P108" s="0" t="n">
        <f aca="false">IF(J108=0,0,M108/J108)</f>
        <v>0</v>
      </c>
      <c r="Q108" s="0" t="n">
        <f aca="false">IF(J108=0,0,N108/J108)</f>
        <v>0</v>
      </c>
      <c r="R108" s="0" t="n">
        <v>5</v>
      </c>
      <c r="U108" s="0" t="n">
        <f aca="true">SUM(INDIRECT(ADDRESS(MATCH("Nombre des NC poubelle ",ChoixRJ!$B$1:$B$29,0),MATCH($C108,ChoixRJ!$13:$13,0),4,1,"ChoixRJ"),1)*1,INDIRECT(ADDRESS(MATCH("Nombre des NC à retoucher",ChoixRJ!$B$1:$B$29,0),MATCH($C108,ChoixRJ!$13:$13,0),4,1,"ChoixRJ"),1)*1)</f>
        <v>0</v>
      </c>
      <c r="AA108" s="0" t="n">
        <f aca="false">IF(J108=0,0,(V108+U108)/J108)</f>
        <v>0</v>
      </c>
      <c r="AB108" s="0" t="n">
        <f aca="false">IF(OR(R108=0,J108=0),"",AA108/R108*100)</f>
        <v>0</v>
      </c>
      <c r="AF108" s="0" t="str">
        <f aca="false">IF(AB108&gt;85," ","WARNING")</f>
        <v>WARNING</v>
      </c>
      <c r="AG108" s="0" t="str">
        <f aca="false">IF(A108=ChoixJour!$A$5,ROW(),"")</f>
        <v/>
      </c>
    </row>
    <row r="109" customFormat="false" ht="13.8" hidden="false" customHeight="false" outlineLevel="0" collapsed="false">
      <c r="A109" s="81" t="n">
        <v>43841</v>
      </c>
      <c r="B109" s="83" t="s">
        <v>42</v>
      </c>
      <c r="C109" s="0" t="s">
        <v>55</v>
      </c>
      <c r="D109" s="0" t="str">
        <f aca="false">IFERROR(VLOOKUP(E109,Pieces!B:C,2,0)," ")</f>
        <v> </v>
      </c>
      <c r="E109" s="0" t="s">
        <v>1045</v>
      </c>
      <c r="F109" s="0" t="n">
        <v>0</v>
      </c>
      <c r="G109" s="0" t="n">
        <v>123</v>
      </c>
      <c r="H109" s="0" t="n">
        <v>123</v>
      </c>
      <c r="I109" s="0" t="n">
        <v>123</v>
      </c>
      <c r="J109" s="0" t="n">
        <f aca="false">IFERROR(VLOOKUP(E109,Pieces!A:C,3,0),"Entrer la cadence")</f>
        <v>30</v>
      </c>
      <c r="K109" s="0" t="n">
        <v>1</v>
      </c>
      <c r="L109" s="0" t="n">
        <f aca="false">(G109-F109)*K109</f>
        <v>123</v>
      </c>
      <c r="M109" s="0" t="n">
        <f aca="false">(H109-G109)*K109</f>
        <v>0</v>
      </c>
      <c r="N109" s="0" t="n">
        <f aca="false">(I109-H109)*K109</f>
        <v>0</v>
      </c>
      <c r="O109" s="0" t="n">
        <f aca="false">IF(J109=0,0,L109/J109)</f>
        <v>4.1</v>
      </c>
      <c r="P109" s="0" t="n">
        <f aca="false">IF(J109=0,0,M109/J109)</f>
        <v>0</v>
      </c>
      <c r="Q109" s="0" t="n">
        <f aca="false">IF(J109=0,0,N109/J109)</f>
        <v>0</v>
      </c>
      <c r="R109" s="0" t="n">
        <v>5</v>
      </c>
      <c r="S109" s="0" t="s">
        <v>1061</v>
      </c>
      <c r="T109" s="0" t="n">
        <f aca="false">V109+U109-L109-M109-N109</f>
        <v>9</v>
      </c>
      <c r="U109" s="0" t="n">
        <f aca="true">SUM(INDIRECT(ADDRESS(MATCH("Nombre des NC poubelle ",ChoixRJ!$B$1:$B$29,0),MATCH($C109,ChoixRJ!$13:$13,0),4,1,"ChoixRJ"),1)*1,INDIRECT(ADDRESS(MATCH("Nombre des NC à retoucher",ChoixRJ!$B$1:$B$29,0),MATCH($C109,ChoixRJ!$13:$13,0),4,1,"ChoixRJ"),1)*1)</f>
        <v>9</v>
      </c>
      <c r="V109" s="0" t="n">
        <v>123</v>
      </c>
      <c r="AA109" s="0" t="n">
        <f aca="false">IF(J109=0,0,(V109+U109)/J109)</f>
        <v>4.4</v>
      </c>
      <c r="AB109" s="0" t="n">
        <f aca="false">IF(OR(R109=0,J109=0),"",AA109/R109*100)</f>
        <v>88</v>
      </c>
      <c r="AF109" s="0" t="str">
        <f aca="false">IF(AB109&gt;85," ","WARNING")</f>
        <v> </v>
      </c>
      <c r="AG109" s="0" t="str">
        <f aca="false">IF(A109=ChoixJour!$A$5,ROW(),"")</f>
        <v/>
      </c>
    </row>
    <row r="110" customFormat="false" ht="13.8" hidden="false" customHeight="false" outlineLevel="0" collapsed="false">
      <c r="A110" s="81" t="n">
        <v>43841</v>
      </c>
      <c r="B110" s="83" t="s">
        <v>44</v>
      </c>
      <c r="C110" s="0" t="s">
        <v>56</v>
      </c>
      <c r="D110" s="0" t="str">
        <f aca="false">IFERROR(VLOOKUP(E110,Pieces!B:C,2,0)," ")</f>
        <v> </v>
      </c>
      <c r="E110" s="0" t="s">
        <v>759</v>
      </c>
      <c r="F110" s="0" t="n">
        <v>0</v>
      </c>
      <c r="G110" s="0" t="n">
        <v>0</v>
      </c>
      <c r="H110" s="0" t="n">
        <v>0</v>
      </c>
      <c r="I110" s="0" t="n">
        <v>0</v>
      </c>
      <c r="J110" s="0" t="n">
        <f aca="false">IFERROR(VLOOKUP(E110,Pieces!A:C,3,0),"Entrer la cadence")</f>
        <v>20</v>
      </c>
      <c r="K110" s="0" t="n">
        <v>1</v>
      </c>
      <c r="L110" s="0" t="n">
        <f aca="false">(G110-F110)*K110</f>
        <v>0</v>
      </c>
      <c r="M110" s="0" t="n">
        <f aca="false">(H110-G110)*K110</f>
        <v>0</v>
      </c>
      <c r="N110" s="0" t="n">
        <f aca="false">(I110-H110)*K110</f>
        <v>0</v>
      </c>
      <c r="O110" s="0" t="n">
        <f aca="false">IF(J110=0,0,L110/J110)</f>
        <v>0</v>
      </c>
      <c r="P110" s="0" t="n">
        <f aca="false">IF(J110=0,0,M110/J110)</f>
        <v>0</v>
      </c>
      <c r="Q110" s="0" t="n">
        <f aca="false">IF(J110=0,0,N110/J110)</f>
        <v>0</v>
      </c>
      <c r="R110" s="0" t="n">
        <v>5</v>
      </c>
      <c r="T110" s="0" t="n">
        <f aca="false">V110+U110-L110-M110-N110</f>
        <v>0</v>
      </c>
      <c r="U110" s="0" t="n">
        <f aca="true">SUM(INDIRECT(ADDRESS(MATCH("Nombre des NC poubelle ",ChoixRJ!$B$1:$B$29,0),MATCH($C110,ChoixRJ!$13:$13,0),4,1,"ChoixRJ"),1)*1,INDIRECT(ADDRESS(MATCH("Nombre des NC à retoucher",ChoixRJ!$B$1:$B$29,0),MATCH($C110,ChoixRJ!$13:$13,0),4,1,"ChoixRJ"),1)*1)</f>
        <v>0</v>
      </c>
      <c r="V110" s="0" t="n">
        <v>0</v>
      </c>
      <c r="AA110" s="0" t="n">
        <f aca="false">IF(J110=0,0,(V110+U110)/J110)</f>
        <v>0</v>
      </c>
      <c r="AB110" s="0" t="n">
        <f aca="false">IF(OR(R110=0,J110=0),"",AA110/R110*100)</f>
        <v>0</v>
      </c>
      <c r="AF110" s="0" t="str">
        <f aca="false">IF(AB110&gt;85," ","WARNING")</f>
        <v>WARNING</v>
      </c>
      <c r="AG110" s="0" t="str">
        <f aca="false">IF(A110=ChoixJour!$A$5,ROW(),"")</f>
        <v/>
      </c>
    </row>
    <row r="111" customFormat="false" ht="13.8" hidden="false" customHeight="false" outlineLevel="0" collapsed="false">
      <c r="A111" s="81" t="n">
        <v>43841</v>
      </c>
      <c r="B111" s="83" t="s">
        <v>62</v>
      </c>
      <c r="C111" s="0" t="s">
        <v>63</v>
      </c>
      <c r="D111" s="0" t="str">
        <f aca="false">IFERROR(VLOOKUP(E111,Pieces!B:C,2,0)," ")</f>
        <v> </v>
      </c>
      <c r="E111" s="0" t="s">
        <v>136</v>
      </c>
      <c r="F111" s="0" t="n">
        <v>0</v>
      </c>
      <c r="G111" s="0" t="n">
        <v>0</v>
      </c>
      <c r="H111" s="0" t="n">
        <v>0</v>
      </c>
      <c r="I111" s="0" t="n">
        <v>0</v>
      </c>
      <c r="J111" s="0" t="n">
        <f aca="false">IFERROR(VLOOKUP(E111,Pieces!A:C,3,0),"Entrer la cadence")</f>
        <v>1</v>
      </c>
      <c r="K111" s="0" t="n">
        <v>1</v>
      </c>
      <c r="L111" s="0" t="n">
        <f aca="false">(G111-F111)*K111</f>
        <v>0</v>
      </c>
      <c r="M111" s="0" t="n">
        <f aca="false">(H111-G111)*K111</f>
        <v>0</v>
      </c>
      <c r="N111" s="0" t="n">
        <f aca="false">(I111-H111)*K111</f>
        <v>0</v>
      </c>
      <c r="O111" s="0" t="n">
        <f aca="false">IF(J111=0,0,L111/J111)</f>
        <v>0</v>
      </c>
      <c r="P111" s="0" t="n">
        <f aca="false">IF(J111=0,0,M111/J111)</f>
        <v>0</v>
      </c>
      <c r="Q111" s="0" t="n">
        <f aca="false">IF(J111=0,0,N111/J111)</f>
        <v>0</v>
      </c>
      <c r="R111" s="0" t="n">
        <v>5</v>
      </c>
      <c r="T111" s="0" t="n">
        <f aca="false">V111+U111-L111-M111-N111</f>
        <v>0</v>
      </c>
      <c r="U111" s="0" t="n">
        <f aca="true">SUM(INDIRECT(ADDRESS(MATCH("Nombre des NC poubelle ",ChoixRJ!$B$1:$B$29,0),MATCH($C111,ChoixRJ!$13:$13,0),4,1,"ChoixRJ"),1)*1,INDIRECT(ADDRESS(MATCH("Nombre des NC à retoucher",ChoixRJ!$B$1:$B$29,0),MATCH($C111,ChoixRJ!$13:$13,0),4,1,"ChoixRJ"),1)*1)</f>
        <v>0</v>
      </c>
      <c r="V111" s="0" t="n">
        <v>0</v>
      </c>
      <c r="AA111" s="0" t="n">
        <f aca="false">IF(J111=0,0,(V111+U111)/J111)</f>
        <v>0</v>
      </c>
      <c r="AB111" s="0" t="n">
        <f aca="false">IF(OR(R111=0,J111=0),"",AA111/R111*100)</f>
        <v>0</v>
      </c>
      <c r="AF111" s="0" t="str">
        <f aca="false">IF(AB111&gt;85," ","WARNING")</f>
        <v>WARNING</v>
      </c>
      <c r="AG111" s="0" t="str">
        <f aca="false">IF(A111=ChoixJour!$A$5,ROW(),"")</f>
        <v/>
      </c>
    </row>
    <row r="112" customFormat="false" ht="13.8" hidden="false" customHeight="false" outlineLevel="0" collapsed="false">
      <c r="A112" s="81" t="n">
        <v>43841</v>
      </c>
      <c r="B112" s="83" t="s">
        <v>58</v>
      </c>
      <c r="C112" s="0" t="s">
        <v>59</v>
      </c>
      <c r="D112" s="0" t="str">
        <f aca="false">IFERROR(VLOOKUP(E112,Pieces!B:C,2,0)," ")</f>
        <v> </v>
      </c>
      <c r="E112" s="0" t="s">
        <v>883</v>
      </c>
      <c r="F112" s="0" t="n">
        <v>887</v>
      </c>
      <c r="G112" s="0" t="n">
        <v>887</v>
      </c>
      <c r="H112" s="0" t="n">
        <v>887</v>
      </c>
      <c r="I112" s="0" t="n">
        <v>887</v>
      </c>
      <c r="J112" s="0" t="n">
        <f aca="false">IFERROR(VLOOKUP(E112,Pieces!A:C,3,0),"Entrer la cadence")</f>
        <v>28</v>
      </c>
      <c r="K112" s="0" t="n">
        <v>7</v>
      </c>
      <c r="L112" s="0" t="n">
        <f aca="false">(G112-F112)*K112</f>
        <v>0</v>
      </c>
      <c r="M112" s="0" t="n">
        <f aca="false">(H112-G112)*K112</f>
        <v>0</v>
      </c>
      <c r="N112" s="0" t="n">
        <f aca="false">(I112-H112)*K112</f>
        <v>0</v>
      </c>
      <c r="O112" s="0" t="n">
        <f aca="false">IF(J112=0,0,L112/J112)</f>
        <v>0</v>
      </c>
      <c r="P112" s="0" t="n">
        <f aca="false">IF(J112=0,0,M112/J112)</f>
        <v>0</v>
      </c>
      <c r="Q112" s="0" t="n">
        <f aca="false">IF(J112=0,0,N112/J112)</f>
        <v>0</v>
      </c>
      <c r="R112" s="0" t="n">
        <v>5</v>
      </c>
      <c r="T112" s="0" t="n">
        <f aca="false">V112+U112-L112-M112-N112</f>
        <v>0</v>
      </c>
      <c r="U112" s="0" t="n">
        <f aca="true">SUM(INDIRECT(ADDRESS(MATCH("Nombre des NC poubelle ",ChoixRJ!$B$1:$B$29,0),MATCH($C112,ChoixRJ!$13:$13,0),4,1,"ChoixRJ"),1)*1,INDIRECT(ADDRESS(MATCH("Nombre des NC à retoucher",ChoixRJ!$B$1:$B$29,0),MATCH($C112,ChoixRJ!$13:$13,0),4,1,"ChoixRJ"),1)*1)</f>
        <v>0</v>
      </c>
      <c r="V112" s="0" t="n">
        <v>0</v>
      </c>
      <c r="AA112" s="0" t="n">
        <f aca="false">IF(J112=0,0,(V112+U112)/J112)</f>
        <v>0</v>
      </c>
      <c r="AB112" s="0" t="n">
        <f aca="false">IF(OR(R112=0,J112=0),"",AA112/R112*100)</f>
        <v>0</v>
      </c>
      <c r="AF112" s="0" t="str">
        <f aca="false">IF(AB112&gt;85," ","WARNING")</f>
        <v>WARNING</v>
      </c>
      <c r="AG112" s="0" t="str">
        <f aca="false">IF(A112=ChoixJour!$A$5,ROW(),"")</f>
        <v/>
      </c>
    </row>
    <row r="113" customFormat="false" ht="13.8" hidden="false" customHeight="false" outlineLevel="0" collapsed="false">
      <c r="A113" s="81" t="n">
        <v>43841</v>
      </c>
      <c r="B113" s="83" t="s">
        <v>60</v>
      </c>
      <c r="C113" s="0" t="s">
        <v>61</v>
      </c>
      <c r="D113" s="0" t="str">
        <f aca="false">IFERROR(VLOOKUP(E113,Pieces!B:C,2,0)," ")</f>
        <v> </v>
      </c>
      <c r="E113" s="0" t="s">
        <v>758</v>
      </c>
      <c r="F113" s="0" t="n">
        <v>80</v>
      </c>
      <c r="G113" s="0" t="n">
        <v>80</v>
      </c>
      <c r="H113" s="0" t="n">
        <v>80</v>
      </c>
      <c r="I113" s="0" t="n">
        <v>80</v>
      </c>
      <c r="J113" s="0" t="n">
        <f aca="false">IFERROR(VLOOKUP(E113,Pieces!A:C,3,0),"Entrer la cadence")</f>
        <v>60</v>
      </c>
      <c r="K113" s="0" t="n">
        <v>20</v>
      </c>
      <c r="L113" s="0" t="n">
        <f aca="false">(G113-F113)*K113</f>
        <v>0</v>
      </c>
      <c r="M113" s="0" t="n">
        <f aca="false">(H113-G113)*K113</f>
        <v>0</v>
      </c>
      <c r="N113" s="0" t="n">
        <f aca="false">(I113-H113)*K113</f>
        <v>0</v>
      </c>
      <c r="O113" s="0" t="n">
        <f aca="false">IF(J113=0,0,L113/J113)</f>
        <v>0</v>
      </c>
      <c r="P113" s="0" t="n">
        <f aca="false">IF(J113=0,0,M113/J113)</f>
        <v>0</v>
      </c>
      <c r="Q113" s="0" t="n">
        <f aca="false">IF(J113=0,0,N113/J113)</f>
        <v>0</v>
      </c>
      <c r="R113" s="0" t="n">
        <v>5</v>
      </c>
      <c r="T113" s="0" t="n">
        <f aca="false">V113+U113-L113-M113-N113</f>
        <v>0</v>
      </c>
      <c r="U113" s="0" t="n">
        <f aca="true">SUM(INDIRECT(ADDRESS(MATCH("Nombre des NC poubelle ",ChoixRJ!$B$1:$B$29,0),MATCH($C113,ChoixRJ!$13:$13,0),4,1,"ChoixRJ"),1)*1,INDIRECT(ADDRESS(MATCH("Nombre des NC à retoucher",ChoixRJ!$B$1:$B$29,0),MATCH($C113,ChoixRJ!$13:$13,0),4,1,"ChoixRJ"),1)*1)</f>
        <v>0</v>
      </c>
      <c r="V113" s="0" t="n">
        <v>0</v>
      </c>
      <c r="AA113" s="0" t="n">
        <f aca="false">IF(J113=0,0,(V113+U113)/J113)</f>
        <v>0</v>
      </c>
      <c r="AB113" s="0" t="n">
        <f aca="false">IF(OR(R113=0,J113=0),"",AA113/R113*100)</f>
        <v>0</v>
      </c>
      <c r="AF113" s="0" t="str">
        <f aca="false">IF(AB113&gt;85," ","WARNING")</f>
        <v>WARNING</v>
      </c>
      <c r="AG113" s="0" t="str">
        <f aca="false">IF(A113=ChoixJour!$A$5,ROW(),"")</f>
        <v/>
      </c>
    </row>
    <row r="114" customFormat="false" ht="13.8" hidden="false" customHeight="false" outlineLevel="0" collapsed="false">
      <c r="A114" s="81" t="n">
        <v>43841</v>
      </c>
      <c r="B114" s="83" t="s">
        <v>68</v>
      </c>
      <c r="C114" s="0" t="s">
        <v>69</v>
      </c>
      <c r="D114" s="0" t="str">
        <f aca="false">IFERROR(VLOOKUP(E114,Pieces!B:C,2,0)," ")</f>
        <v> </v>
      </c>
      <c r="E114" s="0" t="s">
        <v>928</v>
      </c>
      <c r="F114" s="0" t="n">
        <v>12</v>
      </c>
      <c r="G114" s="0" t="n">
        <v>54</v>
      </c>
      <c r="H114" s="0" t="n">
        <v>54</v>
      </c>
      <c r="I114" s="0" t="n">
        <v>54</v>
      </c>
      <c r="J114" s="0" t="n">
        <f aca="false">IFERROR(VLOOKUP(E114,Pieces!A:C,3,0),"Entrer la cadence")</f>
        <v>38</v>
      </c>
      <c r="K114" s="0" t="n">
        <v>51</v>
      </c>
      <c r="L114" s="0" t="n">
        <f aca="false">(G114-F114)*K114</f>
        <v>2142</v>
      </c>
      <c r="M114" s="0" t="n">
        <f aca="false">(H114-G114)*K114</f>
        <v>0</v>
      </c>
      <c r="N114" s="0" t="n">
        <f aca="false">(I114-H114)*K114</f>
        <v>0</v>
      </c>
      <c r="O114" s="0" t="n">
        <f aca="false">IF(J114=0,0,L114/J114)</f>
        <v>56.3684210526316</v>
      </c>
      <c r="P114" s="0" t="n">
        <f aca="false">IF(J114=0,0,M114/J114)</f>
        <v>0</v>
      </c>
      <c r="Q114" s="0" t="n">
        <f aca="false">IF(J114=0,0,N114/J114)</f>
        <v>0</v>
      </c>
      <c r="R114" s="0" t="n">
        <v>5</v>
      </c>
      <c r="T114" s="0" t="n">
        <f aca="false">V114+U114-L114-M114-N114</f>
        <v>0</v>
      </c>
      <c r="U114" s="0" t="n">
        <f aca="true">SUM(INDIRECT(ADDRESS(MATCH("Nombre des NC poubelle ",ChoixRJ!$B$1:$B$29,0),MATCH($C114,ChoixRJ!$13:$13,0),4,1,"ChoixRJ"),1)*1,INDIRECT(ADDRESS(MATCH("Nombre des NC à retoucher",ChoixRJ!$B$1:$B$29,0),MATCH($C114,ChoixRJ!$13:$13,0),4,1,"ChoixRJ"),1)*1)</f>
        <v>0</v>
      </c>
      <c r="V114" s="0" t="n">
        <v>2142</v>
      </c>
      <c r="AA114" s="0" t="n">
        <f aca="false">IF(J114=0,0,(V114+U114)/J114)</f>
        <v>56.3684210526316</v>
      </c>
      <c r="AB114" s="0" t="n">
        <f aca="false">IF(OR(R114=0,J114=0),"",AA114/R114*100)</f>
        <v>1127.36842105263</v>
      </c>
      <c r="AF114" s="0" t="str">
        <f aca="false">IF(AB114&gt;85," ","WARNING")</f>
        <v> </v>
      </c>
      <c r="AG114" s="0" t="str">
        <f aca="false">IF(A114=ChoixJour!$A$5,ROW(),"")</f>
        <v/>
      </c>
    </row>
    <row r="115" customFormat="false" ht="13.8" hidden="false" customHeight="false" outlineLevel="0" collapsed="false">
      <c r="A115" s="81" t="n">
        <v>43841</v>
      </c>
      <c r="B115" s="83" t="s">
        <v>66</v>
      </c>
      <c r="C115" s="0" t="s">
        <v>67</v>
      </c>
      <c r="D115" s="0" t="str">
        <f aca="false">IFERROR(VLOOKUP(E115,Pieces!B:C,2,0)," ")</f>
        <v> </v>
      </c>
      <c r="E115" s="0" t="s">
        <v>136</v>
      </c>
      <c r="F115" s="0" t="n">
        <v>0</v>
      </c>
      <c r="G115" s="0" t="n">
        <v>0</v>
      </c>
      <c r="H115" s="0" t="n">
        <v>0</v>
      </c>
      <c r="I115" s="0" t="n">
        <v>0</v>
      </c>
      <c r="J115" s="0" t="n">
        <f aca="false">IFERROR(VLOOKUP(E115,Pieces!A:C,3,0),"Entrer la cadence")</f>
        <v>1</v>
      </c>
      <c r="K115" s="0" t="n">
        <v>1</v>
      </c>
      <c r="L115" s="0" t="n">
        <f aca="false">(G115-F115)*K115</f>
        <v>0</v>
      </c>
      <c r="M115" s="0" t="n">
        <f aca="false">(H115-G115)*K115</f>
        <v>0</v>
      </c>
      <c r="N115" s="0" t="n">
        <f aca="false">(I115-H115)*K115</f>
        <v>0</v>
      </c>
      <c r="O115" s="0" t="n">
        <f aca="false">IF(J115=0,0,L115/J115)</f>
        <v>0</v>
      </c>
      <c r="P115" s="0" t="n">
        <f aca="false">IF(J115=0,0,M115/J115)</f>
        <v>0</v>
      </c>
      <c r="Q115" s="0" t="n">
        <f aca="false">IF(J115=0,0,N115/J115)</f>
        <v>0</v>
      </c>
      <c r="R115" s="0" t="n">
        <v>5</v>
      </c>
      <c r="T115" s="0" t="n">
        <f aca="false">V115+U115-L115-M115-N115</f>
        <v>0</v>
      </c>
      <c r="U115" s="0" t="n">
        <f aca="true">SUM(INDIRECT(ADDRESS(MATCH("Nombre des NC poubelle ",ChoixRJ!$B$1:$B$29,0),MATCH($C115,ChoixRJ!$13:$13,0),4,1,"ChoixRJ"),1)*1,INDIRECT(ADDRESS(MATCH("Nombre des NC à retoucher",ChoixRJ!$B$1:$B$29,0),MATCH($C115,ChoixRJ!$13:$13,0),4,1,"ChoixRJ"),1)*1)</f>
        <v>0</v>
      </c>
      <c r="V115" s="0" t="n">
        <v>0</v>
      </c>
      <c r="AA115" s="0" t="n">
        <f aca="false">IF(J115=0,0,(V115+U115)/J115)</f>
        <v>0</v>
      </c>
      <c r="AB115" s="0" t="n">
        <f aca="false">IF(OR(R115=0,J115=0),"",AA115/R115*100)</f>
        <v>0</v>
      </c>
      <c r="AF115" s="0" t="str">
        <f aca="false">IF(AB115&gt;85," ","WARNING")</f>
        <v>WARNING</v>
      </c>
      <c r="AG115" s="0" t="str">
        <f aca="false">IF(A115=ChoixJour!$A$5,ROW(),"")</f>
        <v/>
      </c>
    </row>
    <row r="116" customFormat="false" ht="13.8" hidden="false" customHeight="false" outlineLevel="0" collapsed="false">
      <c r="A116" s="81" t="n">
        <v>43841</v>
      </c>
      <c r="B116" s="83" t="s">
        <v>46</v>
      </c>
      <c r="C116" s="0" t="s">
        <v>57</v>
      </c>
      <c r="D116" s="0" t="str">
        <f aca="false">IFERROR(VLOOKUP(E116,Pieces!B:C,2,0)," ")</f>
        <v> </v>
      </c>
      <c r="E116" s="0" t="s">
        <v>958</v>
      </c>
      <c r="F116" s="0" t="n">
        <v>180777</v>
      </c>
      <c r="G116" s="0" t="n">
        <v>180777</v>
      </c>
      <c r="H116" s="0" t="n">
        <v>180777</v>
      </c>
      <c r="I116" s="0" t="n">
        <v>180777</v>
      </c>
      <c r="J116" s="0" t="n">
        <f aca="false">IFERROR(VLOOKUP(E116,Pieces!A:C,3,0),"Entrer la cadence")</f>
        <v>454</v>
      </c>
      <c r="K116" s="0" t="n">
        <v>1</v>
      </c>
      <c r="L116" s="0" t="n">
        <f aca="false">(G116-F116)*K116</f>
        <v>0</v>
      </c>
      <c r="M116" s="0" t="n">
        <f aca="false">(H116-G116)*K116</f>
        <v>0</v>
      </c>
      <c r="N116" s="0" t="n">
        <f aca="false">(I116-H116)*K116</f>
        <v>0</v>
      </c>
      <c r="O116" s="0" t="n">
        <f aca="false">IF(J116=0,0,L116/J116)</f>
        <v>0</v>
      </c>
      <c r="P116" s="0" t="n">
        <f aca="false">IF(J116=0,0,M116/J116)</f>
        <v>0</v>
      </c>
      <c r="Q116" s="0" t="n">
        <f aca="false">IF(J116=0,0,N116/J116)</f>
        <v>0</v>
      </c>
      <c r="R116" s="0" t="n">
        <v>5</v>
      </c>
      <c r="T116" s="0" t="n">
        <f aca="false">V116+U116-L116-M116-N116</f>
        <v>0</v>
      </c>
      <c r="U116" s="0" t="n">
        <f aca="true">SUM(INDIRECT(ADDRESS(MATCH("Nombre des NC poubelle ",ChoixRJ!$B$1:$B$29,0),MATCH($C116,ChoixRJ!$13:$13,0),4,1,"ChoixRJ"),1)*1,INDIRECT(ADDRESS(MATCH("Nombre des NC à retoucher",ChoixRJ!$B$1:$B$29,0),MATCH($C116,ChoixRJ!$13:$13,0),4,1,"ChoixRJ"),1)*1)</f>
        <v>0</v>
      </c>
      <c r="V116" s="0" t="n">
        <v>0</v>
      </c>
      <c r="AA116" s="0" t="n">
        <f aca="false">IF(J116=0,0,(V116+U116)/J116)</f>
        <v>0</v>
      </c>
      <c r="AB116" s="0" t="n">
        <f aca="false">IF(OR(R116=0,J116=0),"",AA116/R116*100)</f>
        <v>0</v>
      </c>
      <c r="AF116" s="0" t="str">
        <f aca="false">IF(AB116&gt;85," ","WARNING")</f>
        <v>WARNING</v>
      </c>
      <c r="AG116" s="0" t="str">
        <f aca="false">IF(A116=ChoixJour!$A$5,ROW(),"")</f>
        <v/>
      </c>
    </row>
    <row r="117" customFormat="false" ht="13.8" hidden="false" customHeight="false" outlineLevel="0" collapsed="false">
      <c r="A117" s="81" t="n">
        <v>43841</v>
      </c>
      <c r="B117" s="83" t="s">
        <v>64</v>
      </c>
      <c r="C117" s="0" t="s">
        <v>65</v>
      </c>
      <c r="D117" s="0" t="str">
        <f aca="false">IFERROR(VLOOKUP(E117,Pieces!B:C,2,0)," ")</f>
        <v> </v>
      </c>
      <c r="E117" s="0" t="s">
        <v>699</v>
      </c>
      <c r="F117" s="0" t="n">
        <v>960</v>
      </c>
      <c r="G117" s="0" t="n">
        <v>1224</v>
      </c>
      <c r="H117" s="0" t="n">
        <v>1224</v>
      </c>
      <c r="I117" s="0" t="n">
        <v>1224</v>
      </c>
      <c r="J117" s="0" t="n">
        <f aca="false">IFERROR(VLOOKUP(E117,Pieces!A:C,3,0),"Entrer la cadence")</f>
        <v>50</v>
      </c>
      <c r="K117" s="0" t="n">
        <v>1</v>
      </c>
      <c r="L117" s="0" t="n">
        <f aca="false">(G117-F117)*K117</f>
        <v>264</v>
      </c>
      <c r="M117" s="0" t="n">
        <f aca="false">(H117-G117)*K117</f>
        <v>0</v>
      </c>
      <c r="N117" s="0" t="n">
        <f aca="false">(I117-H117)*K117</f>
        <v>0</v>
      </c>
      <c r="O117" s="0" t="n">
        <f aca="false">IF(J117=0,0,L117/J117)</f>
        <v>5.28</v>
      </c>
      <c r="P117" s="0" t="n">
        <f aca="false">IF(J117=0,0,M117/J117)</f>
        <v>0</v>
      </c>
      <c r="Q117" s="0" t="n">
        <f aca="false">IF(J117=0,0,N117/J117)</f>
        <v>0</v>
      </c>
      <c r="R117" s="0" t="n">
        <v>5</v>
      </c>
      <c r="T117" s="0" t="n">
        <f aca="false">V117+U117-L117-M117-N117</f>
        <v>0</v>
      </c>
      <c r="U117" s="0" t="n">
        <f aca="true">SUM(INDIRECT(ADDRESS(MATCH("Nombre des NC poubelle ",ChoixRJ!$B$1:$B$29,0),MATCH($C117,ChoixRJ!$13:$13,0),4,1,"ChoixRJ"),1)*1,INDIRECT(ADDRESS(MATCH("Nombre des NC à retoucher",ChoixRJ!$B$1:$B$29,0),MATCH($C117,ChoixRJ!$13:$13,0),4,1,"ChoixRJ"),1)*1)</f>
        <v>0</v>
      </c>
      <c r="V117" s="0" t="n">
        <v>264</v>
      </c>
      <c r="AA117" s="0" t="n">
        <f aca="false">IF(J117=0,0,(V117+U117)/J117)</f>
        <v>5.28</v>
      </c>
      <c r="AB117" s="0" t="n">
        <f aca="false">IF(OR(R117=0,J117=0),"",AA117/R117*100)</f>
        <v>105.6</v>
      </c>
      <c r="AF117" s="0" t="str">
        <f aca="false">IF(AB117&gt;85," ","WARNING")</f>
        <v> </v>
      </c>
      <c r="AG117" s="0" t="str">
        <f aca="false">IF(A117=ChoixJour!$A$5,ROW(),"")</f>
        <v/>
      </c>
    </row>
    <row r="118" customFormat="false" ht="13.8" hidden="false" customHeight="false" outlineLevel="0" collapsed="false">
      <c r="A118" s="81" t="n">
        <v>43841</v>
      </c>
      <c r="B118" s="83" t="s">
        <v>96</v>
      </c>
      <c r="C118" s="0" t="s">
        <v>71</v>
      </c>
      <c r="D118" s="0" t="str">
        <f aca="false">IFERROR(VLOOKUP(E118,Pieces!B:C,2,0)," ")</f>
        <v> </v>
      </c>
      <c r="E118" s="0" t="s">
        <v>1042</v>
      </c>
      <c r="F118" s="0" t="n">
        <v>851</v>
      </c>
      <c r="G118" s="0" t="n">
        <v>1212</v>
      </c>
      <c r="H118" s="0" t="n">
        <v>1212</v>
      </c>
      <c r="I118" s="0" t="n">
        <v>1212</v>
      </c>
      <c r="J118" s="0" t="n">
        <f aca="false">IFERROR(VLOOKUP(E118,Pieces!A:C,3,0),"Entrer la cadence")</f>
        <v>20</v>
      </c>
      <c r="K118" s="0" t="n">
        <v>1</v>
      </c>
      <c r="L118" s="0" t="n">
        <f aca="false">(G118-F118)*K118</f>
        <v>361</v>
      </c>
      <c r="M118" s="0" t="n">
        <f aca="false">(H118-G118)*K118</f>
        <v>0</v>
      </c>
      <c r="N118" s="0" t="n">
        <f aca="false">(I118-H118)*K118</f>
        <v>0</v>
      </c>
      <c r="O118" s="0" t="n">
        <f aca="false">IF(J118=0,0,L118/J118)</f>
        <v>18.05</v>
      </c>
      <c r="P118" s="0" t="n">
        <f aca="false">IF(J118=0,0,M118/J118)</f>
        <v>0</v>
      </c>
      <c r="Q118" s="0" t="n">
        <f aca="false">IF(J118=0,0,N118/J118)</f>
        <v>0</v>
      </c>
      <c r="R118" s="0" t="n">
        <v>5</v>
      </c>
      <c r="T118" s="0" t="n">
        <f aca="false">V118+U118-L118-M118-N118</f>
        <v>0</v>
      </c>
      <c r="U118" s="0" t="n">
        <f aca="true">SUM(INDIRECT(ADDRESS(MATCH("Nombre des NC poubelle ",ChoixRJ!$B$1:$B$29,0),MATCH($C118,ChoixRJ!$13:$13,0),4,1,"ChoixRJ"),1)*1,INDIRECT(ADDRESS(MATCH("Nombre des NC à retoucher",ChoixRJ!$B$1:$B$29,0),MATCH($C118,ChoixRJ!$13:$13,0),4,1,"ChoixRJ"),1)*1)</f>
        <v>0</v>
      </c>
      <c r="V118" s="0" t="n">
        <v>361</v>
      </c>
      <c r="AA118" s="0" t="n">
        <f aca="false">IF(J118=0,0,(V118+U118)/J118)</f>
        <v>18.05</v>
      </c>
      <c r="AB118" s="0" t="n">
        <f aca="false">IF(OR(R118=0,J118=0),"",AA118/R118*100)</f>
        <v>361</v>
      </c>
      <c r="AF118" s="0" t="str">
        <f aca="false">IF(AB118&gt;85," ","WARNING")</f>
        <v> </v>
      </c>
      <c r="AG118" s="0" t="str">
        <f aca="false">IF(A118=ChoixJour!$A$5,ROW(),"")</f>
        <v/>
      </c>
    </row>
    <row r="119" customFormat="false" ht="13.8" hidden="false" customHeight="false" outlineLevel="0" collapsed="false">
      <c r="A119" s="81" t="n">
        <v>43843</v>
      </c>
      <c r="B119" s="83" t="s">
        <v>36</v>
      </c>
      <c r="C119" s="0" t="s">
        <v>52</v>
      </c>
      <c r="D119" s="0" t="str">
        <f aca="false">IFERROR(VLOOKUP(E119,Pieces!B:C,2,0)," ")</f>
        <v> </v>
      </c>
      <c r="E119" s="0" t="s">
        <v>940</v>
      </c>
      <c r="F119" s="0" t="n">
        <v>33000</v>
      </c>
      <c r="G119" s="0" t="n">
        <v>33600</v>
      </c>
      <c r="H119" s="0" t="n">
        <v>33600</v>
      </c>
      <c r="I119" s="0" t="n">
        <v>33600</v>
      </c>
      <c r="J119" s="0" t="n">
        <f aca="false">IFERROR(VLOOKUP(E119,Pieces!A:C,3,0),"Entrer la cadence")</f>
        <v>75</v>
      </c>
      <c r="K119" s="0" t="n">
        <v>1</v>
      </c>
      <c r="L119" s="0" t="n">
        <f aca="false">(G119-F119)*K119</f>
        <v>600</v>
      </c>
      <c r="M119" s="0" t="n">
        <f aca="false">(H119-G119)*K119</f>
        <v>0</v>
      </c>
      <c r="N119" s="0" t="n">
        <f aca="false">(I119-H119)*K119</f>
        <v>0</v>
      </c>
      <c r="O119" s="0" t="n">
        <f aca="false">IF(J119=0,0,L119/J119)</f>
        <v>8</v>
      </c>
      <c r="P119" s="0" t="n">
        <f aca="false">IF(J119=0,0,M119/J119)</f>
        <v>0</v>
      </c>
      <c r="Q119" s="0" t="n">
        <f aca="false">IF(J119=0,0,N119/J119)</f>
        <v>0</v>
      </c>
      <c r="R119" s="0" t="n">
        <v>9</v>
      </c>
      <c r="T119" s="0" t="n">
        <f aca="false">V119+U119-L119-M119-N119</f>
        <v>0</v>
      </c>
      <c r="U119" s="0" t="n">
        <f aca="true">SUM(INDIRECT(ADDRESS(MATCH("Nombre des NC poubelle ",ChoixRJ!$B$1:$B$29,0),MATCH($C119,ChoixRJ!$13:$13,0),4,1,"ChoixRJ"),1)*1,INDIRECT(ADDRESS(MATCH("Nombre des NC à retoucher",ChoixRJ!$B$1:$B$29,0),MATCH($C119,ChoixRJ!$13:$13,0),4,1,"ChoixRJ"),1)*1)</f>
        <v>0</v>
      </c>
      <c r="V119" s="0" t="n">
        <v>600</v>
      </c>
      <c r="AA119" s="0" t="n">
        <f aca="false">IF(J119=0,0,(V119+U119)/J119)</f>
        <v>8</v>
      </c>
      <c r="AB119" s="0" t="n">
        <f aca="false">IF(OR(R119=0,J119=0),"",AA119/R119*100)</f>
        <v>88.8888888888889</v>
      </c>
      <c r="AF119" s="0" t="str">
        <f aca="false">IF(AB119&gt;85," ","WARNING")</f>
        <v> </v>
      </c>
      <c r="AG119" s="0" t="str">
        <f aca="false">IF(A119=ChoixJour!$A$5,ROW(),"")</f>
        <v/>
      </c>
    </row>
    <row r="120" customFormat="false" ht="13.8" hidden="false" customHeight="false" outlineLevel="0" collapsed="false">
      <c r="A120" s="81" t="n">
        <v>43843</v>
      </c>
      <c r="B120" s="83" t="s">
        <v>38</v>
      </c>
      <c r="C120" s="0" t="s">
        <v>53</v>
      </c>
      <c r="D120" s="0" t="str">
        <f aca="false">IFERROR(VLOOKUP(E120,Pieces!B:C,2,0)," ")</f>
        <v> </v>
      </c>
      <c r="E120" s="0" t="s">
        <v>1024</v>
      </c>
      <c r="F120" s="0" t="n">
        <v>8700</v>
      </c>
      <c r="G120" s="0" t="n">
        <v>10200</v>
      </c>
      <c r="H120" s="0" t="n">
        <v>10200</v>
      </c>
      <c r="I120" s="0" t="n">
        <v>10200</v>
      </c>
      <c r="J120" s="0" t="n">
        <f aca="false">IFERROR(VLOOKUP(E120,Pieces!A:C,3,0),"Entrer la cadence")</f>
        <v>150</v>
      </c>
      <c r="K120" s="0" t="n">
        <v>1</v>
      </c>
      <c r="L120" s="0" t="n">
        <f aca="false">(G120-F120)*K120</f>
        <v>1500</v>
      </c>
      <c r="M120" s="0" t="n">
        <f aca="false">(H120-G120)*K120</f>
        <v>0</v>
      </c>
      <c r="N120" s="0" t="n">
        <f aca="false">(I120-H120)*K120</f>
        <v>0</v>
      </c>
      <c r="O120" s="0" t="n">
        <f aca="false">IF(J120=0,0,L120/J120)</f>
        <v>10</v>
      </c>
      <c r="P120" s="0" t="n">
        <f aca="false">IF(J120=0,0,M120/J120)</f>
        <v>0</v>
      </c>
      <c r="Q120" s="0" t="n">
        <f aca="false">IF(J120=0,0,N120/J120)</f>
        <v>0</v>
      </c>
      <c r="R120" s="0" t="n">
        <v>9</v>
      </c>
      <c r="T120" s="0" t="n">
        <f aca="false">V120+U120-L120-M120-N120</f>
        <v>0</v>
      </c>
      <c r="U120" s="0" t="n">
        <f aca="true">SUM(INDIRECT(ADDRESS(MATCH("Nombre des NC poubelle ",ChoixRJ!$B$1:$B$29,0),MATCH($C120,ChoixRJ!$13:$13,0),4,1,"ChoixRJ"),1)*1,INDIRECT(ADDRESS(MATCH("Nombre des NC à retoucher",ChoixRJ!$B$1:$B$29,0),MATCH($C120,ChoixRJ!$13:$13,0),4,1,"ChoixRJ"),1)*1)</f>
        <v>0</v>
      </c>
      <c r="V120" s="0" t="n">
        <v>1500</v>
      </c>
      <c r="AA120" s="0" t="n">
        <f aca="false">IF(J120=0,0,(V120+U120)/J120)</f>
        <v>10</v>
      </c>
      <c r="AB120" s="0" t="n">
        <f aca="false">IF(OR(R120=0,J120=0),"",AA120/R120*100)</f>
        <v>111.111111111111</v>
      </c>
      <c r="AF120" s="0" t="str">
        <f aca="false">IF(AB120&gt;85," ","WARNING")</f>
        <v> </v>
      </c>
      <c r="AG120" s="0" t="str">
        <f aca="false">IF(A120=ChoixJour!$A$5,ROW(),"")</f>
        <v/>
      </c>
    </row>
    <row r="121" customFormat="false" ht="13.8" hidden="false" customHeight="false" outlineLevel="0" collapsed="false">
      <c r="A121" s="81" t="n">
        <v>43843</v>
      </c>
      <c r="B121" s="83" t="s">
        <v>40</v>
      </c>
      <c r="C121" s="0" t="s">
        <v>54</v>
      </c>
      <c r="D121" s="0" t="str">
        <f aca="false">IFERROR(VLOOKUP(E121,Pieces!B:C,2,0)," ")</f>
        <v> </v>
      </c>
      <c r="E121" s="0" t="s">
        <v>896</v>
      </c>
      <c r="F121" s="0" t="n">
        <v>1480</v>
      </c>
      <c r="G121" s="0" t="n">
        <v>1800</v>
      </c>
      <c r="H121" s="0" t="n">
        <v>1800</v>
      </c>
      <c r="I121" s="0" t="n">
        <v>1800</v>
      </c>
      <c r="J121" s="0" t="n">
        <f aca="false">IFERROR(VLOOKUP(E121,Pieces!A:C,3,0),"Entrer la cadence")</f>
        <v>50</v>
      </c>
      <c r="K121" s="0" t="n">
        <v>1</v>
      </c>
      <c r="L121" s="0" t="n">
        <f aca="false">(G121-F121)*K121</f>
        <v>320</v>
      </c>
      <c r="M121" s="0" t="n">
        <f aca="false">(H121-G121)*K121</f>
        <v>0</v>
      </c>
      <c r="N121" s="0" t="n">
        <f aca="false">(I121-H121)*K121</f>
        <v>0</v>
      </c>
      <c r="O121" s="0" t="n">
        <f aca="false">IF(J121=0,0,L121/J121)</f>
        <v>6.4</v>
      </c>
      <c r="P121" s="0" t="n">
        <f aca="false">IF(J121=0,0,M121/J121)</f>
        <v>0</v>
      </c>
      <c r="Q121" s="0" t="n">
        <f aca="false">IF(J121=0,0,N121/J121)</f>
        <v>0</v>
      </c>
      <c r="R121" s="0" t="n">
        <v>9</v>
      </c>
      <c r="U121" s="0" t="n">
        <f aca="true">SUM(INDIRECT(ADDRESS(MATCH("Nombre des NC poubelle ",ChoixRJ!$B$1:$B$29,0),MATCH($C121,ChoixRJ!$13:$13,0),4,1,"ChoixRJ"),1)*1,INDIRECT(ADDRESS(MATCH("Nombre des NC à retoucher",ChoixRJ!$B$1:$B$29,0),MATCH($C121,ChoixRJ!$13:$13,0),4,1,"ChoixRJ"),1)*1)</f>
        <v>0</v>
      </c>
      <c r="AA121" s="0" t="n">
        <f aca="false">IF(J121=0,0,(V121+U121)/J121)</f>
        <v>0</v>
      </c>
      <c r="AB121" s="0" t="n">
        <f aca="false">IF(OR(R121=0,J121=0),"",AA121/R121*100)</f>
        <v>0</v>
      </c>
      <c r="AF121" s="0" t="str">
        <f aca="false">IF(AB121&gt;85," ","WARNING")</f>
        <v>WARNING</v>
      </c>
      <c r="AG121" s="0" t="str">
        <f aca="false">IF(A121=ChoixJour!$A$5,ROW(),"")</f>
        <v/>
      </c>
    </row>
    <row r="122" customFormat="false" ht="13.8" hidden="false" customHeight="false" outlineLevel="0" collapsed="false">
      <c r="A122" s="81" t="n">
        <v>43843</v>
      </c>
      <c r="B122" s="83" t="s">
        <v>42</v>
      </c>
      <c r="C122" s="0" t="s">
        <v>55</v>
      </c>
      <c r="D122" s="0" t="str">
        <f aca="false">IFERROR(VLOOKUP(E122,Pieces!B:C,2,0)," ")</f>
        <v> </v>
      </c>
      <c r="E122" s="0" t="s">
        <v>1045</v>
      </c>
      <c r="F122" s="0" t="n">
        <v>123</v>
      </c>
      <c r="G122" s="0" t="n">
        <v>300</v>
      </c>
      <c r="H122" s="0" t="n">
        <v>300</v>
      </c>
      <c r="I122" s="0" t="n">
        <v>300</v>
      </c>
      <c r="J122" s="0" t="n">
        <f aca="false">IFERROR(VLOOKUP(E122,Pieces!A:C,3,0),"Entrer la cadence")</f>
        <v>30</v>
      </c>
      <c r="K122" s="0" t="n">
        <v>1</v>
      </c>
      <c r="L122" s="0" t="n">
        <f aca="false">(G122-F122)*K122</f>
        <v>177</v>
      </c>
      <c r="M122" s="0" t="n">
        <f aca="false">(H122-G122)*K122</f>
        <v>0</v>
      </c>
      <c r="N122" s="0" t="n">
        <f aca="false">(I122-H122)*K122</f>
        <v>0</v>
      </c>
      <c r="O122" s="0" t="n">
        <f aca="false">IF(J122=0,0,L122/J122)</f>
        <v>5.9</v>
      </c>
      <c r="P122" s="0" t="n">
        <f aca="false">IF(J122=0,0,M122/J122)</f>
        <v>0</v>
      </c>
      <c r="Q122" s="0" t="n">
        <f aca="false">IF(J122=0,0,N122/J122)</f>
        <v>0</v>
      </c>
      <c r="R122" s="0" t="n">
        <v>9</v>
      </c>
      <c r="T122" s="0" t="n">
        <f aca="false">V122+U122-L122-M122-N122</f>
        <v>9</v>
      </c>
      <c r="U122" s="0" t="n">
        <f aca="true">SUM(INDIRECT(ADDRESS(MATCH("Nombre des NC poubelle ",ChoixRJ!$B$1:$B$29,0),MATCH($C122,ChoixRJ!$13:$13,0),4,1,"ChoixRJ"),1)*1,INDIRECT(ADDRESS(MATCH("Nombre des NC à retoucher",ChoixRJ!$B$1:$B$29,0),MATCH($C122,ChoixRJ!$13:$13,0),4,1,"ChoixRJ"),1)*1)</f>
        <v>9</v>
      </c>
      <c r="V122" s="0" t="n">
        <v>177</v>
      </c>
      <c r="AA122" s="0" t="n">
        <f aca="false">IF(J122=0,0,(V122+U122)/J122)</f>
        <v>6.2</v>
      </c>
      <c r="AB122" s="0" t="n">
        <f aca="false">IF(OR(R122=0,J122=0),"",AA122/R122*100)</f>
        <v>68.8888888888889</v>
      </c>
      <c r="AF122" s="0" t="str">
        <f aca="false">IF(AB122&gt;85," ","WARNING")</f>
        <v>WARNING</v>
      </c>
      <c r="AG122" s="0" t="str">
        <f aca="false">IF(A122=ChoixJour!$A$5,ROW(),"")</f>
        <v/>
      </c>
    </row>
    <row r="123" customFormat="false" ht="13.8" hidden="false" customHeight="false" outlineLevel="0" collapsed="false">
      <c r="A123" s="81" t="n">
        <v>43843</v>
      </c>
      <c r="B123" s="83" t="s">
        <v>44</v>
      </c>
      <c r="C123" s="0" t="s">
        <v>56</v>
      </c>
      <c r="D123" s="0" t="str">
        <f aca="false">IFERROR(VLOOKUP(E123,Pieces!B:C,2,0)," ")</f>
        <v> </v>
      </c>
      <c r="E123" s="0" t="s">
        <v>1047</v>
      </c>
      <c r="F123" s="0" t="n">
        <v>0</v>
      </c>
      <c r="G123" s="0" t="n">
        <v>96</v>
      </c>
      <c r="H123" s="0" t="n">
        <v>96</v>
      </c>
      <c r="I123" s="0" t="n">
        <v>96</v>
      </c>
      <c r="J123" s="0" t="n">
        <f aca="false">IFERROR(VLOOKUP(E123,Pieces!A:C,3,0),"Entrer la cadence")</f>
        <v>60</v>
      </c>
      <c r="K123" s="0" t="n">
        <v>1</v>
      </c>
      <c r="L123" s="0" t="n">
        <f aca="false">(G123-F123)*K123</f>
        <v>96</v>
      </c>
      <c r="M123" s="0" t="n">
        <f aca="false">(H123-G123)*K123</f>
        <v>0</v>
      </c>
      <c r="N123" s="0" t="n">
        <f aca="false">(I123-H123)*K123</f>
        <v>0</v>
      </c>
      <c r="O123" s="0" t="n">
        <f aca="false">IF(J123=0,0,L123/J123)</f>
        <v>1.6</v>
      </c>
      <c r="P123" s="0" t="n">
        <f aca="false">IF(J123=0,0,M123/J123)</f>
        <v>0</v>
      </c>
      <c r="Q123" s="0" t="n">
        <f aca="false">IF(J123=0,0,N123/J123)</f>
        <v>0</v>
      </c>
      <c r="R123" s="0" t="n">
        <v>9</v>
      </c>
      <c r="S123" s="0" t="s">
        <v>1062</v>
      </c>
      <c r="T123" s="0" t="n">
        <f aca="false">V123+U123-L123-M123-N123</f>
        <v>0</v>
      </c>
      <c r="U123" s="0" t="n">
        <f aca="true">SUM(INDIRECT(ADDRESS(MATCH("Nombre des NC poubelle ",ChoixRJ!$B$1:$B$29,0),MATCH($C123,ChoixRJ!$13:$13,0),4,1,"ChoixRJ"),1)*1,INDIRECT(ADDRESS(MATCH("Nombre des NC à retoucher",ChoixRJ!$B$1:$B$29,0),MATCH($C123,ChoixRJ!$13:$13,0),4,1,"ChoixRJ"),1)*1)</f>
        <v>0</v>
      </c>
      <c r="V123" s="0" t="n">
        <v>96</v>
      </c>
      <c r="AA123" s="0" t="n">
        <f aca="false">IF(J123=0,0,(V123+U123)/J123)</f>
        <v>1.6</v>
      </c>
      <c r="AB123" s="0" t="n">
        <f aca="false">IF(OR(R123=0,J123=0),"",AA123/R123*100)</f>
        <v>17.7777777777778</v>
      </c>
      <c r="AF123" s="0" t="str">
        <f aca="false">IF(AB123&gt;85," ","WARNING")</f>
        <v>WARNING</v>
      </c>
      <c r="AG123" s="0" t="str">
        <f aca="false">IF(A123=ChoixJour!$A$5,ROW(),"")</f>
        <v/>
      </c>
    </row>
    <row r="124" customFormat="false" ht="13.8" hidden="false" customHeight="false" outlineLevel="0" collapsed="false">
      <c r="A124" s="81" t="n">
        <v>43843</v>
      </c>
      <c r="B124" s="83" t="s">
        <v>62</v>
      </c>
      <c r="C124" s="0" t="s">
        <v>63</v>
      </c>
      <c r="D124" s="0" t="str">
        <f aca="false">IFERROR(VLOOKUP(E124,Pieces!B:C,2,0)," ")</f>
        <v> </v>
      </c>
      <c r="E124" s="0" t="s">
        <v>136</v>
      </c>
      <c r="F124" s="0" t="n">
        <v>0</v>
      </c>
      <c r="G124" s="0" t="n">
        <v>0</v>
      </c>
      <c r="H124" s="0" t="n">
        <v>0</v>
      </c>
      <c r="I124" s="0" t="n">
        <v>0</v>
      </c>
      <c r="J124" s="0" t="n">
        <f aca="false">IFERROR(VLOOKUP(E124,Pieces!A:C,3,0),"Entrer la cadence")</f>
        <v>1</v>
      </c>
      <c r="K124" s="0" t="n">
        <v>1</v>
      </c>
      <c r="L124" s="0" t="n">
        <f aca="false">(G124-F124)*K124</f>
        <v>0</v>
      </c>
      <c r="M124" s="0" t="n">
        <f aca="false">(H124-G124)*K124</f>
        <v>0</v>
      </c>
      <c r="N124" s="0" t="n">
        <f aca="false">(I124-H124)*K124</f>
        <v>0</v>
      </c>
      <c r="O124" s="0" t="n">
        <f aca="false">IF(J124=0,0,L124/J124)</f>
        <v>0</v>
      </c>
      <c r="P124" s="0" t="n">
        <f aca="false">IF(J124=0,0,M124/J124)</f>
        <v>0</v>
      </c>
      <c r="Q124" s="0" t="n">
        <f aca="false">IF(J124=0,0,N124/J124)</f>
        <v>0</v>
      </c>
      <c r="R124" s="0" t="n">
        <v>9</v>
      </c>
      <c r="T124" s="0" t="n">
        <f aca="false">V124+U124-L124-M124-N124</f>
        <v>0</v>
      </c>
      <c r="U124" s="0" t="n">
        <f aca="true">SUM(INDIRECT(ADDRESS(MATCH("Nombre des NC poubelle ",ChoixRJ!$B$1:$B$29,0),MATCH($C124,ChoixRJ!$13:$13,0),4,1,"ChoixRJ"),1)*1,INDIRECT(ADDRESS(MATCH("Nombre des NC à retoucher",ChoixRJ!$B$1:$B$29,0),MATCH($C124,ChoixRJ!$13:$13,0),4,1,"ChoixRJ"),1)*1)</f>
        <v>0</v>
      </c>
      <c r="V124" s="0" t="n">
        <v>0</v>
      </c>
      <c r="AA124" s="0" t="n">
        <f aca="false">IF(J124=0,0,(V124+U124)/J124)</f>
        <v>0</v>
      </c>
      <c r="AB124" s="0" t="n">
        <f aca="false">IF(OR(R124=0,J124=0),"",AA124/R124*100)</f>
        <v>0</v>
      </c>
      <c r="AF124" s="0" t="str">
        <f aca="false">IF(AB124&gt;85," ","WARNING")</f>
        <v>WARNING</v>
      </c>
      <c r="AG124" s="0" t="str">
        <f aca="false">IF(A124=ChoixJour!$A$5,ROW(),"")</f>
        <v/>
      </c>
    </row>
    <row r="125" customFormat="false" ht="13.8" hidden="false" customHeight="false" outlineLevel="0" collapsed="false">
      <c r="A125" s="81" t="n">
        <v>43843</v>
      </c>
      <c r="B125" s="83" t="s">
        <v>58</v>
      </c>
      <c r="C125" s="0" t="s">
        <v>59</v>
      </c>
      <c r="D125" s="0" t="str">
        <f aca="false">IFERROR(VLOOKUP(E125,Pieces!B:C,2,0)," ")</f>
        <v> </v>
      </c>
      <c r="E125" s="0" t="s">
        <v>883</v>
      </c>
      <c r="F125" s="0" t="n">
        <v>887</v>
      </c>
      <c r="G125" s="0" t="n">
        <v>887</v>
      </c>
      <c r="H125" s="0" t="n">
        <v>887</v>
      </c>
      <c r="I125" s="0" t="n">
        <v>887</v>
      </c>
      <c r="J125" s="0" t="n">
        <f aca="false">IFERROR(VLOOKUP(E125,Pieces!A:C,3,0),"Entrer la cadence")</f>
        <v>28</v>
      </c>
      <c r="K125" s="0" t="n">
        <v>7</v>
      </c>
      <c r="L125" s="0" t="n">
        <f aca="false">(G125-F125)*K125</f>
        <v>0</v>
      </c>
      <c r="M125" s="0" t="n">
        <f aca="false">(H125-G125)*K125</f>
        <v>0</v>
      </c>
      <c r="N125" s="0" t="n">
        <f aca="false">(I125-H125)*K125</f>
        <v>0</v>
      </c>
      <c r="O125" s="0" t="n">
        <f aca="false">IF(J125=0,0,L125/J125)</f>
        <v>0</v>
      </c>
      <c r="P125" s="0" t="n">
        <f aca="false">IF(J125=0,0,M125/J125)</f>
        <v>0</v>
      </c>
      <c r="Q125" s="0" t="n">
        <f aca="false">IF(J125=0,0,N125/J125)</f>
        <v>0</v>
      </c>
      <c r="R125" s="0" t="n">
        <v>9</v>
      </c>
      <c r="T125" s="0" t="n">
        <f aca="false">V125+U125-L125-M125-N125</f>
        <v>0</v>
      </c>
      <c r="U125" s="0" t="n">
        <f aca="true">SUM(INDIRECT(ADDRESS(MATCH("Nombre des NC poubelle ",ChoixRJ!$B$1:$B$29,0),MATCH($C125,ChoixRJ!$13:$13,0),4,1,"ChoixRJ"),1)*1,INDIRECT(ADDRESS(MATCH("Nombre des NC à retoucher",ChoixRJ!$B$1:$B$29,0),MATCH($C125,ChoixRJ!$13:$13,0),4,1,"ChoixRJ"),1)*1)</f>
        <v>0</v>
      </c>
      <c r="V125" s="0" t="n">
        <v>0</v>
      </c>
      <c r="AA125" s="0" t="n">
        <f aca="false">IF(J125=0,0,(V125+U125)/J125)</f>
        <v>0</v>
      </c>
      <c r="AB125" s="0" t="n">
        <f aca="false">IF(OR(R125=0,J125=0),"",AA125/R125*100)</f>
        <v>0</v>
      </c>
      <c r="AF125" s="0" t="str">
        <f aca="false">IF(AB125&gt;85," ","WARNING")</f>
        <v>WARNING</v>
      </c>
      <c r="AG125" s="0" t="str">
        <f aca="false">IF(A125=ChoixJour!$A$5,ROW(),"")</f>
        <v/>
      </c>
    </row>
    <row r="126" customFormat="false" ht="13.8" hidden="false" customHeight="false" outlineLevel="0" collapsed="false">
      <c r="A126" s="81" t="n">
        <v>43843</v>
      </c>
      <c r="B126" s="83" t="s">
        <v>60</v>
      </c>
      <c r="C126" s="0" t="s">
        <v>61</v>
      </c>
      <c r="D126" s="0" t="str">
        <f aca="false">IFERROR(VLOOKUP(E126,Pieces!B:C,2,0)," ")</f>
        <v> </v>
      </c>
      <c r="E126" s="0" t="s">
        <v>758</v>
      </c>
      <c r="F126" s="0" t="n">
        <v>80</v>
      </c>
      <c r="G126" s="0" t="n">
        <v>80</v>
      </c>
      <c r="H126" s="0" t="n">
        <v>80</v>
      </c>
      <c r="I126" s="0" t="n">
        <v>80</v>
      </c>
      <c r="J126" s="0" t="n">
        <f aca="false">IFERROR(VLOOKUP(E126,Pieces!A:C,3,0),"Entrer la cadence")</f>
        <v>60</v>
      </c>
      <c r="K126" s="0" t="n">
        <v>20</v>
      </c>
      <c r="L126" s="0" t="n">
        <f aca="false">(G126-F126)*K126</f>
        <v>0</v>
      </c>
      <c r="M126" s="0" t="n">
        <f aca="false">(H126-G126)*K126</f>
        <v>0</v>
      </c>
      <c r="N126" s="0" t="n">
        <f aca="false">(I126-H126)*K126</f>
        <v>0</v>
      </c>
      <c r="O126" s="0" t="n">
        <f aca="false">IF(J126=0,0,L126/J126)</f>
        <v>0</v>
      </c>
      <c r="P126" s="0" t="n">
        <f aca="false">IF(J126=0,0,M126/J126)</f>
        <v>0</v>
      </c>
      <c r="Q126" s="0" t="n">
        <f aca="false">IF(J126=0,0,N126/J126)</f>
        <v>0</v>
      </c>
      <c r="R126" s="0" t="n">
        <v>9</v>
      </c>
      <c r="T126" s="0" t="n">
        <f aca="false">V126+U126-L126-M126-N126</f>
        <v>0</v>
      </c>
      <c r="U126" s="0" t="n">
        <f aca="true">SUM(INDIRECT(ADDRESS(MATCH("Nombre des NC poubelle ",ChoixRJ!$B$1:$B$29,0),MATCH($C126,ChoixRJ!$13:$13,0),4,1,"ChoixRJ"),1)*1,INDIRECT(ADDRESS(MATCH("Nombre des NC à retoucher",ChoixRJ!$B$1:$B$29,0),MATCH($C126,ChoixRJ!$13:$13,0),4,1,"ChoixRJ"),1)*1)</f>
        <v>0</v>
      </c>
      <c r="V126" s="0" t="n">
        <v>0</v>
      </c>
      <c r="AA126" s="0" t="n">
        <f aca="false">IF(J126=0,0,(V126+U126)/J126)</f>
        <v>0</v>
      </c>
      <c r="AB126" s="0" t="n">
        <f aca="false">IF(OR(R126=0,J126=0),"",AA126/R126*100)</f>
        <v>0</v>
      </c>
      <c r="AF126" s="0" t="str">
        <f aca="false">IF(AB126&gt;85," ","WARNING")</f>
        <v>WARNING</v>
      </c>
      <c r="AG126" s="0" t="str">
        <f aca="false">IF(A126=ChoixJour!$A$5,ROW(),"")</f>
        <v/>
      </c>
    </row>
    <row r="127" customFormat="false" ht="13.8" hidden="false" customHeight="false" outlineLevel="0" collapsed="false">
      <c r="A127" s="81" t="n">
        <v>43843</v>
      </c>
      <c r="B127" s="83" t="s">
        <v>68</v>
      </c>
      <c r="C127" s="0" t="s">
        <v>69</v>
      </c>
      <c r="D127" s="0" t="str">
        <f aca="false">IFERROR(VLOOKUP(E127,Pieces!B:C,2,0)," ")</f>
        <v> </v>
      </c>
      <c r="E127" s="0" t="s">
        <v>928</v>
      </c>
      <c r="F127" s="0" t="n">
        <v>54</v>
      </c>
      <c r="G127" s="0" t="n">
        <v>75</v>
      </c>
      <c r="H127" s="0" t="n">
        <v>75</v>
      </c>
      <c r="I127" s="0" t="n">
        <v>75</v>
      </c>
      <c r="J127" s="0" t="n">
        <f aca="false">IFERROR(VLOOKUP(E127,Pieces!A:C,3,0),"Entrer la cadence")</f>
        <v>38</v>
      </c>
      <c r="K127" s="0" t="n">
        <v>51</v>
      </c>
      <c r="L127" s="0" t="n">
        <f aca="false">(G127-F127)*K127</f>
        <v>1071</v>
      </c>
      <c r="M127" s="0" t="n">
        <f aca="false">(H127-G127)*K127</f>
        <v>0</v>
      </c>
      <c r="N127" s="0" t="n">
        <f aca="false">(I127-H127)*K127</f>
        <v>0</v>
      </c>
      <c r="O127" s="0" t="n">
        <f aca="false">IF(J127=0,0,L127/J127)</f>
        <v>28.1842105263158</v>
      </c>
      <c r="P127" s="0" t="n">
        <f aca="false">IF(J127=0,0,M127/J127)</f>
        <v>0</v>
      </c>
      <c r="Q127" s="0" t="n">
        <f aca="false">IF(J127=0,0,N127/J127)</f>
        <v>0</v>
      </c>
      <c r="R127" s="0" t="n">
        <v>9</v>
      </c>
      <c r="T127" s="0" t="n">
        <f aca="false">V127+U127-L127-M127-N127</f>
        <v>0</v>
      </c>
      <c r="U127" s="0" t="n">
        <f aca="true">SUM(INDIRECT(ADDRESS(MATCH("Nombre des NC poubelle ",ChoixRJ!$B$1:$B$29,0),MATCH($C127,ChoixRJ!$13:$13,0),4,1,"ChoixRJ"),1)*1,INDIRECT(ADDRESS(MATCH("Nombre des NC à retoucher",ChoixRJ!$B$1:$B$29,0),MATCH($C127,ChoixRJ!$13:$13,0),4,1,"ChoixRJ"),1)*1)</f>
        <v>0</v>
      </c>
      <c r="V127" s="0" t="n">
        <v>1071</v>
      </c>
      <c r="AA127" s="0" t="n">
        <f aca="false">IF(J127=0,0,(V127+U127)/J127)</f>
        <v>28.1842105263158</v>
      </c>
      <c r="AB127" s="0" t="n">
        <f aca="false">IF(OR(R127=0,J127=0),"",AA127/R127*100)</f>
        <v>313.157894736842</v>
      </c>
      <c r="AF127" s="0" t="str">
        <f aca="false">IF(AB127&gt;85," ","WARNING")</f>
        <v> </v>
      </c>
      <c r="AG127" s="0" t="str">
        <f aca="false">IF(A127=ChoixJour!$A$5,ROW(),"")</f>
        <v/>
      </c>
    </row>
    <row r="128" customFormat="false" ht="13.8" hidden="false" customHeight="false" outlineLevel="0" collapsed="false">
      <c r="A128" s="81" t="n">
        <v>43843</v>
      </c>
      <c r="B128" s="83" t="s">
        <v>66</v>
      </c>
      <c r="C128" s="0" t="s">
        <v>67</v>
      </c>
      <c r="D128" s="0" t="str">
        <f aca="false">IFERROR(VLOOKUP(E128,Pieces!B:C,2,0)," ")</f>
        <v> </v>
      </c>
      <c r="E128" s="0" t="s">
        <v>136</v>
      </c>
      <c r="F128" s="0" t="n">
        <v>0</v>
      </c>
      <c r="G128" s="0" t="n">
        <v>0</v>
      </c>
      <c r="H128" s="0" t="n">
        <v>0</v>
      </c>
      <c r="I128" s="0" t="n">
        <v>0</v>
      </c>
      <c r="J128" s="0" t="n">
        <f aca="false">IFERROR(VLOOKUP(E128,Pieces!A:C,3,0),"Entrer la cadence")</f>
        <v>1</v>
      </c>
      <c r="K128" s="0" t="n">
        <v>1</v>
      </c>
      <c r="L128" s="0" t="n">
        <f aca="false">(G128-F128)*K128</f>
        <v>0</v>
      </c>
      <c r="M128" s="0" t="n">
        <f aca="false">(H128-G128)*K128</f>
        <v>0</v>
      </c>
      <c r="N128" s="0" t="n">
        <f aca="false">(I128-H128)*K128</f>
        <v>0</v>
      </c>
      <c r="O128" s="0" t="n">
        <f aca="false">IF(J128=0,0,L128/J128)</f>
        <v>0</v>
      </c>
      <c r="P128" s="0" t="n">
        <f aca="false">IF(J128=0,0,M128/J128)</f>
        <v>0</v>
      </c>
      <c r="Q128" s="0" t="n">
        <f aca="false">IF(J128=0,0,N128/J128)</f>
        <v>0</v>
      </c>
      <c r="R128" s="0" t="n">
        <v>9</v>
      </c>
      <c r="T128" s="0" t="n">
        <f aca="false">V128+U128-L128-M128-N128</f>
        <v>0</v>
      </c>
      <c r="U128" s="0" t="n">
        <f aca="true">SUM(INDIRECT(ADDRESS(MATCH("Nombre des NC poubelle ",ChoixRJ!$B$1:$B$29,0),MATCH($C128,ChoixRJ!$13:$13,0),4,1,"ChoixRJ"),1)*1,INDIRECT(ADDRESS(MATCH("Nombre des NC à retoucher",ChoixRJ!$B$1:$B$29,0),MATCH($C128,ChoixRJ!$13:$13,0),4,1,"ChoixRJ"),1)*1)</f>
        <v>0</v>
      </c>
      <c r="V128" s="0" t="n">
        <v>0</v>
      </c>
      <c r="AA128" s="0" t="n">
        <f aca="false">IF(J128=0,0,(V128+U128)/J128)</f>
        <v>0</v>
      </c>
      <c r="AB128" s="0" t="n">
        <f aca="false">IF(OR(R128=0,J128=0),"",AA128/R128*100)</f>
        <v>0</v>
      </c>
      <c r="AF128" s="0" t="str">
        <f aca="false">IF(AB128&gt;85," ","WARNING")</f>
        <v>WARNING</v>
      </c>
      <c r="AG128" s="0" t="str">
        <f aca="false">IF(A128=ChoixJour!$A$5,ROW(),"")</f>
        <v/>
      </c>
    </row>
    <row r="129" customFormat="false" ht="13.8" hidden="false" customHeight="false" outlineLevel="0" collapsed="false">
      <c r="A129" s="81" t="n">
        <v>43843</v>
      </c>
      <c r="B129" s="83" t="s">
        <v>46</v>
      </c>
      <c r="C129" s="0" t="s">
        <v>57</v>
      </c>
      <c r="D129" s="0" t="str">
        <f aca="false">IFERROR(VLOOKUP(E129,Pieces!B:C,2,0)," ")</f>
        <v> </v>
      </c>
      <c r="E129" s="0" t="s">
        <v>958</v>
      </c>
      <c r="F129" s="0" t="n">
        <v>180777</v>
      </c>
      <c r="G129" s="0" t="n">
        <v>180777</v>
      </c>
      <c r="H129" s="0" t="n">
        <v>180777</v>
      </c>
      <c r="I129" s="0" t="n">
        <v>180777</v>
      </c>
      <c r="J129" s="0" t="n">
        <f aca="false">IFERROR(VLOOKUP(E129,Pieces!A:C,3,0),"Entrer la cadence")</f>
        <v>454</v>
      </c>
      <c r="K129" s="0" t="n">
        <v>1</v>
      </c>
      <c r="L129" s="0" t="n">
        <f aca="false">(G129-F129)*K129</f>
        <v>0</v>
      </c>
      <c r="M129" s="0" t="n">
        <f aca="false">(H129-G129)*K129</f>
        <v>0</v>
      </c>
      <c r="N129" s="0" t="n">
        <f aca="false">(I129-H129)*K129</f>
        <v>0</v>
      </c>
      <c r="O129" s="0" t="n">
        <f aca="false">IF(J129=0,0,L129/J129)</f>
        <v>0</v>
      </c>
      <c r="P129" s="0" t="n">
        <f aca="false">IF(J129=0,0,M129/J129)</f>
        <v>0</v>
      </c>
      <c r="Q129" s="0" t="n">
        <f aca="false">IF(J129=0,0,N129/J129)</f>
        <v>0</v>
      </c>
      <c r="R129" s="0" t="n">
        <v>9</v>
      </c>
      <c r="T129" s="0" t="n">
        <f aca="false">V129+U129-L129-M129-N129</f>
        <v>0</v>
      </c>
      <c r="U129" s="0" t="n">
        <f aca="true">SUM(INDIRECT(ADDRESS(MATCH("Nombre des NC poubelle ",ChoixRJ!$B$1:$B$29,0),MATCH($C129,ChoixRJ!$13:$13,0),4,1,"ChoixRJ"),1)*1,INDIRECT(ADDRESS(MATCH("Nombre des NC à retoucher",ChoixRJ!$B$1:$B$29,0),MATCH($C129,ChoixRJ!$13:$13,0),4,1,"ChoixRJ"),1)*1)</f>
        <v>0</v>
      </c>
      <c r="V129" s="0" t="n">
        <v>0</v>
      </c>
      <c r="AA129" s="0" t="n">
        <f aca="false">IF(J129=0,0,(V129+U129)/J129)</f>
        <v>0</v>
      </c>
      <c r="AB129" s="0" t="n">
        <f aca="false">IF(OR(R129=0,J129=0),"",AA129/R129*100)</f>
        <v>0</v>
      </c>
      <c r="AF129" s="0" t="str">
        <f aca="false">IF(AB129&gt;85," ","WARNING")</f>
        <v>WARNING</v>
      </c>
      <c r="AG129" s="0" t="str">
        <f aca="false">IF(A129=ChoixJour!$A$5,ROW(),"")</f>
        <v/>
      </c>
    </row>
    <row r="130" customFormat="false" ht="13.8" hidden="false" customHeight="false" outlineLevel="0" collapsed="false">
      <c r="A130" s="81" t="n">
        <v>43843</v>
      </c>
      <c r="B130" s="83" t="s">
        <v>64</v>
      </c>
      <c r="C130" s="0" t="s">
        <v>65</v>
      </c>
      <c r="D130" s="0" t="str">
        <f aca="false">IFERROR(VLOOKUP(E130,Pieces!B:C,2,0)," ")</f>
        <v> </v>
      </c>
      <c r="E130" s="0" t="s">
        <v>247</v>
      </c>
      <c r="F130" s="0" t="n">
        <v>0</v>
      </c>
      <c r="G130" s="0" t="n">
        <v>384</v>
      </c>
      <c r="H130" s="0" t="n">
        <v>384</v>
      </c>
      <c r="I130" s="0" t="n">
        <v>384</v>
      </c>
      <c r="J130" s="0" t="n">
        <f aca="false">IFERROR(VLOOKUP(E130,Pieces!A:C,3,0),"Entrer la cadence")</f>
        <v>90</v>
      </c>
      <c r="K130" s="0" t="n">
        <v>1</v>
      </c>
      <c r="L130" s="0" t="n">
        <f aca="false">(G130-F130)*K130</f>
        <v>384</v>
      </c>
      <c r="M130" s="0" t="n">
        <f aca="false">(H130-G130)*K130</f>
        <v>0</v>
      </c>
      <c r="N130" s="0" t="n">
        <f aca="false">(I130-H130)*K130</f>
        <v>0</v>
      </c>
      <c r="O130" s="0" t="n">
        <f aca="false">IF(J130=0,0,L130/J130)</f>
        <v>4.26666666666667</v>
      </c>
      <c r="P130" s="0" t="n">
        <f aca="false">IF(J130=0,0,M130/J130)</f>
        <v>0</v>
      </c>
      <c r="Q130" s="0" t="n">
        <f aca="false">IF(J130=0,0,N130/J130)</f>
        <v>0</v>
      </c>
      <c r="R130" s="0" t="n">
        <v>9</v>
      </c>
      <c r="S130" s="0" t="s">
        <v>1063</v>
      </c>
      <c r="T130" s="0" t="n">
        <f aca="false">V130+U130-L130-M130-N130</f>
        <v>0</v>
      </c>
      <c r="U130" s="0" t="n">
        <f aca="true">SUM(INDIRECT(ADDRESS(MATCH("Nombre des NC poubelle ",ChoixRJ!$B$1:$B$29,0),MATCH($C130,ChoixRJ!$13:$13,0),4,1,"ChoixRJ"),1)*1,INDIRECT(ADDRESS(MATCH("Nombre des NC à retoucher",ChoixRJ!$B$1:$B$29,0),MATCH($C130,ChoixRJ!$13:$13,0),4,1,"ChoixRJ"),1)*1)</f>
        <v>0</v>
      </c>
      <c r="V130" s="0" t="n">
        <v>384</v>
      </c>
      <c r="AA130" s="0" t="n">
        <f aca="false">IF(J130=0,0,(V130+U130)/J130)</f>
        <v>4.26666666666667</v>
      </c>
      <c r="AB130" s="0" t="n">
        <f aca="false">IF(OR(R130=0,J130=0),"",AA130/R130*100)</f>
        <v>47.4074074074074</v>
      </c>
      <c r="AF130" s="0" t="str">
        <f aca="false">IF(AB130&gt;85," ","WARNING")</f>
        <v>WARNING</v>
      </c>
      <c r="AG130" s="0" t="str">
        <f aca="false">IF(A130=ChoixJour!$A$5,ROW(),"")</f>
        <v/>
      </c>
    </row>
    <row r="131" customFormat="false" ht="13.8" hidden="false" customHeight="false" outlineLevel="0" collapsed="false">
      <c r="A131" s="81" t="n">
        <v>43843</v>
      </c>
      <c r="B131" s="83" t="s">
        <v>96</v>
      </c>
      <c r="C131" s="0" t="s">
        <v>71</v>
      </c>
      <c r="D131" s="0" t="str">
        <f aca="false">IFERROR(VLOOKUP(E131,Pieces!B:C,2,0)," ")</f>
        <v> </v>
      </c>
      <c r="E131" s="0" t="s">
        <v>1042</v>
      </c>
      <c r="F131" s="0" t="n">
        <v>1212</v>
      </c>
      <c r="G131" s="0" t="n">
        <v>1441</v>
      </c>
      <c r="H131" s="0" t="n">
        <v>1441</v>
      </c>
      <c r="I131" s="0" t="n">
        <v>1441</v>
      </c>
      <c r="J131" s="0" t="n">
        <f aca="false">IFERROR(VLOOKUP(E131,Pieces!A:C,3,0),"Entrer la cadence")</f>
        <v>20</v>
      </c>
      <c r="K131" s="0" t="n">
        <v>1</v>
      </c>
      <c r="L131" s="0" t="n">
        <f aca="false">(G131-F131)*K131</f>
        <v>229</v>
      </c>
      <c r="M131" s="0" t="n">
        <f aca="false">(H131-G131)*K131</f>
        <v>0</v>
      </c>
      <c r="N131" s="0" t="n">
        <f aca="false">(I131-H131)*K131</f>
        <v>0</v>
      </c>
      <c r="O131" s="0" t="n">
        <f aca="false">IF(J131=0,0,L131/J131)</f>
        <v>11.45</v>
      </c>
      <c r="P131" s="0" t="n">
        <f aca="false">IF(J131=0,0,M131/J131)</f>
        <v>0</v>
      </c>
      <c r="Q131" s="0" t="n">
        <f aca="false">IF(J131=0,0,N131/J131)</f>
        <v>0</v>
      </c>
      <c r="R131" s="0" t="n">
        <v>9</v>
      </c>
      <c r="T131" s="0" t="n">
        <f aca="false">V131+U131-L131-M131-N131</f>
        <v>0</v>
      </c>
      <c r="U131" s="0" t="n">
        <f aca="true">SUM(INDIRECT(ADDRESS(MATCH("Nombre des NC poubelle ",ChoixRJ!$B$1:$B$29,0),MATCH($C131,ChoixRJ!$13:$13,0),4,1,"ChoixRJ"),1)*1,INDIRECT(ADDRESS(MATCH("Nombre des NC à retoucher",ChoixRJ!$B$1:$B$29,0),MATCH($C131,ChoixRJ!$13:$13,0),4,1,"ChoixRJ"),1)*1)</f>
        <v>0</v>
      </c>
      <c r="V131" s="0" t="n">
        <v>229</v>
      </c>
      <c r="AA131" s="0" t="n">
        <f aca="false">IF(J131=0,0,(V131+U131)/J131)</f>
        <v>11.45</v>
      </c>
      <c r="AB131" s="0" t="n">
        <f aca="false">IF(OR(R131=0,J131=0),"",AA131/R131*100)</f>
        <v>127.222222222222</v>
      </c>
      <c r="AF131" s="0" t="str">
        <f aca="false">IF(AB131&gt;85," ","WARNING")</f>
        <v> </v>
      </c>
      <c r="AG131" s="0" t="str">
        <f aca="false">IF(A131=ChoixJour!$A$5,ROW(),"")</f>
        <v/>
      </c>
    </row>
    <row r="132" customFormat="false" ht="13.8" hidden="false" customHeight="false" outlineLevel="0" collapsed="false">
      <c r="A132" s="81" t="n">
        <v>43845</v>
      </c>
      <c r="B132" s="83" t="s">
        <v>36</v>
      </c>
      <c r="C132" s="0" t="s">
        <v>52</v>
      </c>
      <c r="D132" s="0" t="str">
        <f aca="false">IFERROR(VLOOKUP(E132,Pieces!B:C,2,0)," ")</f>
        <v> </v>
      </c>
      <c r="E132" s="0" t="s">
        <v>940</v>
      </c>
      <c r="F132" s="0" t="n">
        <v>33600</v>
      </c>
      <c r="G132" s="0" t="n">
        <v>34052</v>
      </c>
      <c r="H132" s="0" t="n">
        <v>34052</v>
      </c>
      <c r="I132" s="0" t="n">
        <v>34052</v>
      </c>
      <c r="J132" s="0" t="n">
        <f aca="false">IFERROR(VLOOKUP(E132,Pieces!A:C,3,0),"Entrer la cadence")</f>
        <v>75</v>
      </c>
      <c r="K132" s="0" t="n">
        <v>1</v>
      </c>
      <c r="L132" s="0" t="n">
        <f aca="false">(G132-F132)*K132</f>
        <v>452</v>
      </c>
      <c r="M132" s="0" t="n">
        <f aca="false">(H132-G132)*K132</f>
        <v>0</v>
      </c>
      <c r="N132" s="0" t="n">
        <f aca="false">(I132-H132)*K132</f>
        <v>0</v>
      </c>
      <c r="O132" s="0" t="n">
        <f aca="false">IF(J132=0,0,L132/J132)</f>
        <v>6.02666666666667</v>
      </c>
      <c r="P132" s="0" t="n">
        <f aca="false">IF(J132=0,0,M132/J132)</f>
        <v>0</v>
      </c>
      <c r="Q132" s="0" t="n">
        <f aca="false">IF(J132=0,0,N132/J132)</f>
        <v>0</v>
      </c>
      <c r="R132" s="0" t="n">
        <v>9</v>
      </c>
      <c r="T132" s="0" t="n">
        <f aca="false">V132+U132-L132-M132-N132</f>
        <v>0</v>
      </c>
      <c r="U132" s="0" t="n">
        <f aca="true">SUM(INDIRECT(ADDRESS(MATCH("Nombre des NC poubelle ",ChoixRJ!$B$1:$B$29,0),MATCH($C132,ChoixRJ!$13:$13,0),4,1,"ChoixRJ"),1)*1,INDIRECT(ADDRESS(MATCH("Nombre des NC à retoucher",ChoixRJ!$B$1:$B$29,0),MATCH($C132,ChoixRJ!$13:$13,0),4,1,"ChoixRJ"),1)*1)</f>
        <v>0</v>
      </c>
      <c r="V132" s="0" t="n">
        <v>452</v>
      </c>
      <c r="AA132" s="0" t="n">
        <f aca="false">IF(J132=0,0,(V132+U132)/J132)</f>
        <v>6.02666666666667</v>
      </c>
      <c r="AB132" s="0" t="n">
        <f aca="false">IF(OR(R132=0,J132=0),"",AA132/R132*100)</f>
        <v>66.962962962963</v>
      </c>
      <c r="AF132" s="0" t="str">
        <f aca="false">IF(AB132&gt;85," ","WARNING")</f>
        <v>WARNING</v>
      </c>
      <c r="AG132" s="0" t="str">
        <f aca="false">IF(A132=ChoixJour!$A$5,ROW(),"")</f>
        <v/>
      </c>
    </row>
    <row r="133" customFormat="false" ht="13.8" hidden="false" customHeight="false" outlineLevel="0" collapsed="false">
      <c r="A133" s="81" t="n">
        <v>43845</v>
      </c>
      <c r="B133" s="83" t="s">
        <v>38</v>
      </c>
      <c r="C133" s="0" t="s">
        <v>53</v>
      </c>
      <c r="D133" s="0" t="str">
        <f aca="false">IFERROR(VLOOKUP(E133,Pieces!B:C,2,0)," ")</f>
        <v> </v>
      </c>
      <c r="E133" s="0" t="s">
        <v>1024</v>
      </c>
      <c r="F133" s="0" t="n">
        <v>10200</v>
      </c>
      <c r="G133" s="0" t="n">
        <v>11430</v>
      </c>
      <c r="H133" s="0" t="n">
        <v>11430</v>
      </c>
      <c r="I133" s="0" t="n">
        <v>11430</v>
      </c>
      <c r="J133" s="0" t="n">
        <f aca="false">IFERROR(VLOOKUP(E133,Pieces!A:C,3,0),"Entrer la cadence")</f>
        <v>150</v>
      </c>
      <c r="K133" s="0" t="n">
        <v>1</v>
      </c>
      <c r="L133" s="0" t="n">
        <f aca="false">(G133-F133)*K133</f>
        <v>1230</v>
      </c>
      <c r="M133" s="0" t="n">
        <f aca="false">(H133-G133)*K133</f>
        <v>0</v>
      </c>
      <c r="N133" s="0" t="n">
        <f aca="false">(I133-H133)*K133</f>
        <v>0</v>
      </c>
      <c r="O133" s="0" t="n">
        <f aca="false">IF(J133=0,0,L133/J133)</f>
        <v>8.2</v>
      </c>
      <c r="P133" s="0" t="n">
        <f aca="false">IF(J133=0,0,M133/J133)</f>
        <v>0</v>
      </c>
      <c r="Q133" s="0" t="n">
        <f aca="false">IF(J133=0,0,N133/J133)</f>
        <v>0</v>
      </c>
      <c r="R133" s="0" t="n">
        <v>9</v>
      </c>
      <c r="T133" s="0" t="n">
        <f aca="false">V133+U133-L133-M133-N133</f>
        <v>0</v>
      </c>
      <c r="U133" s="0" t="n">
        <f aca="true">SUM(INDIRECT(ADDRESS(MATCH("Nombre des NC poubelle ",ChoixRJ!$B$1:$B$29,0),MATCH($C133,ChoixRJ!$13:$13,0),4,1,"ChoixRJ"),1)*1,INDIRECT(ADDRESS(MATCH("Nombre des NC à retoucher",ChoixRJ!$B$1:$B$29,0),MATCH($C133,ChoixRJ!$13:$13,0),4,1,"ChoixRJ"),1)*1)</f>
        <v>0</v>
      </c>
      <c r="V133" s="0" t="n">
        <v>1230</v>
      </c>
      <c r="AA133" s="0" t="n">
        <f aca="false">IF(J133=0,0,(V133+U133)/J133)</f>
        <v>8.2</v>
      </c>
      <c r="AB133" s="0" t="n">
        <f aca="false">IF(OR(R133=0,J133=0),"",AA133/R133*100)</f>
        <v>91.1111111111111</v>
      </c>
      <c r="AF133" s="0" t="str">
        <f aca="false">IF(AB133&gt;85," ","WARNING")</f>
        <v> </v>
      </c>
      <c r="AG133" s="0" t="str">
        <f aca="false">IF(A133=ChoixJour!$A$5,ROW(),"")</f>
        <v/>
      </c>
    </row>
    <row r="134" customFormat="false" ht="13.8" hidden="false" customHeight="false" outlineLevel="0" collapsed="false">
      <c r="A134" s="81" t="n">
        <v>43845</v>
      </c>
      <c r="B134" s="83" t="s">
        <v>40</v>
      </c>
      <c r="C134" s="0" t="s">
        <v>54</v>
      </c>
      <c r="D134" s="0" t="str">
        <f aca="false">IFERROR(VLOOKUP(E134,Pieces!B:C,2,0)," ")</f>
        <v> </v>
      </c>
      <c r="E134" s="0" t="s">
        <v>896</v>
      </c>
      <c r="F134" s="0" t="n">
        <v>1800</v>
      </c>
      <c r="G134" s="0" t="n">
        <v>2095</v>
      </c>
      <c r="H134" s="0" t="n">
        <v>2095</v>
      </c>
      <c r="I134" s="0" t="n">
        <v>2095</v>
      </c>
      <c r="J134" s="0" t="n">
        <f aca="false">IFERROR(VLOOKUP(E134,Pieces!A:C,3,0),"Entrer la cadence")</f>
        <v>50</v>
      </c>
      <c r="K134" s="0" t="n">
        <v>1</v>
      </c>
      <c r="L134" s="0" t="n">
        <f aca="false">(G134-F134)*K134</f>
        <v>295</v>
      </c>
      <c r="M134" s="0" t="n">
        <f aca="false">(H134-G134)*K134</f>
        <v>0</v>
      </c>
      <c r="N134" s="0" t="n">
        <f aca="false">(I134-H134)*K134</f>
        <v>0</v>
      </c>
      <c r="O134" s="0" t="n">
        <f aca="false">IF(J134=0,0,L134/J134)</f>
        <v>5.9</v>
      </c>
      <c r="P134" s="0" t="n">
        <f aca="false">IF(J134=0,0,M134/J134)</f>
        <v>0</v>
      </c>
      <c r="Q134" s="0" t="n">
        <f aca="false">IF(J134=0,0,N134/J134)</f>
        <v>0</v>
      </c>
      <c r="R134" s="0" t="n">
        <v>9</v>
      </c>
      <c r="U134" s="0" t="n">
        <f aca="true">SUM(INDIRECT(ADDRESS(MATCH("Nombre des NC poubelle ",ChoixRJ!$B$1:$B$29,0),MATCH($C134,ChoixRJ!$13:$13,0),4,1,"ChoixRJ"),1)*1,INDIRECT(ADDRESS(MATCH("Nombre des NC à retoucher",ChoixRJ!$B$1:$B$29,0),MATCH($C134,ChoixRJ!$13:$13,0),4,1,"ChoixRJ"),1)*1)</f>
        <v>0</v>
      </c>
      <c r="AA134" s="0" t="n">
        <f aca="false">IF(J134=0,0,(V134+U134)/J134)</f>
        <v>0</v>
      </c>
      <c r="AB134" s="0" t="n">
        <f aca="false">IF(OR(R134=0,J134=0),"",AA134/R134*100)</f>
        <v>0</v>
      </c>
      <c r="AF134" s="0" t="str">
        <f aca="false">IF(AB134&gt;85," ","WARNING")</f>
        <v>WARNING</v>
      </c>
      <c r="AG134" s="0" t="str">
        <f aca="false">IF(A134=ChoixJour!$A$5,ROW(),"")</f>
        <v/>
      </c>
    </row>
    <row r="135" customFormat="false" ht="13.8" hidden="false" customHeight="false" outlineLevel="0" collapsed="false">
      <c r="A135" s="81" t="n">
        <v>43845</v>
      </c>
      <c r="B135" s="83" t="s">
        <v>42</v>
      </c>
      <c r="C135" s="0" t="s">
        <v>55</v>
      </c>
      <c r="D135" s="0" t="str">
        <f aca="false">IFERROR(VLOOKUP(E135,Pieces!B:C,2,0)," ")</f>
        <v> </v>
      </c>
      <c r="E135" s="0" t="s">
        <v>1045</v>
      </c>
      <c r="F135" s="0" t="n">
        <v>300</v>
      </c>
      <c r="G135" s="0" t="n">
        <v>415</v>
      </c>
      <c r="H135" s="0" t="n">
        <v>415</v>
      </c>
      <c r="I135" s="0" t="n">
        <v>415</v>
      </c>
      <c r="J135" s="0" t="n">
        <f aca="false">IFERROR(VLOOKUP(E135,Pieces!A:C,3,0),"Entrer la cadence")</f>
        <v>30</v>
      </c>
      <c r="K135" s="0" t="n">
        <v>1</v>
      </c>
      <c r="L135" s="0" t="n">
        <f aca="false">(G135-F135)*K135</f>
        <v>115</v>
      </c>
      <c r="M135" s="0" t="n">
        <f aca="false">(H135-G135)*K135</f>
        <v>0</v>
      </c>
      <c r="N135" s="0" t="n">
        <f aca="false">(I135-H135)*K135</f>
        <v>0</v>
      </c>
      <c r="O135" s="0" t="n">
        <f aca="false">IF(J135=0,0,L135/J135)</f>
        <v>3.83333333333333</v>
      </c>
      <c r="P135" s="0" t="n">
        <f aca="false">IF(J135=0,0,M135/J135)</f>
        <v>0</v>
      </c>
      <c r="Q135" s="0" t="n">
        <f aca="false">IF(J135=0,0,N135/J135)</f>
        <v>0</v>
      </c>
      <c r="R135" s="0" t="n">
        <v>9</v>
      </c>
      <c r="T135" s="0" t="n">
        <f aca="false">V135+U135-L135-M135-N135</f>
        <v>9</v>
      </c>
      <c r="U135" s="0" t="n">
        <f aca="true">SUM(INDIRECT(ADDRESS(MATCH("Nombre des NC poubelle ",ChoixRJ!$B$1:$B$29,0),MATCH($C135,ChoixRJ!$13:$13,0),4,1,"ChoixRJ"),1)*1,INDIRECT(ADDRESS(MATCH("Nombre des NC à retoucher",ChoixRJ!$B$1:$B$29,0),MATCH($C135,ChoixRJ!$13:$13,0),4,1,"ChoixRJ"),1)*1)</f>
        <v>9</v>
      </c>
      <c r="V135" s="0" t="n">
        <v>115</v>
      </c>
      <c r="AA135" s="0" t="n">
        <f aca="false">IF(J135=0,0,(V135+U135)/J135)</f>
        <v>4.13333333333333</v>
      </c>
      <c r="AB135" s="0" t="n">
        <f aca="false">IF(OR(R135=0,J135=0),"",AA135/R135*100)</f>
        <v>45.9259259259259</v>
      </c>
      <c r="AF135" s="0" t="str">
        <f aca="false">IF(AB135&gt;85," ","WARNING")</f>
        <v>WARNING</v>
      </c>
      <c r="AG135" s="0" t="str">
        <f aca="false">IF(A135=ChoixJour!$A$5,ROW(),"")</f>
        <v/>
      </c>
    </row>
    <row r="136" customFormat="false" ht="13.8" hidden="false" customHeight="false" outlineLevel="0" collapsed="false">
      <c r="A136" s="81" t="n">
        <v>43845</v>
      </c>
      <c r="B136" s="83" t="s">
        <v>44</v>
      </c>
      <c r="C136" s="0" t="s">
        <v>56</v>
      </c>
      <c r="D136" s="0" t="str">
        <f aca="false">IFERROR(VLOOKUP(E136,Pieces!B:C,2,0)," ")</f>
        <v> </v>
      </c>
      <c r="E136" s="0" t="s">
        <v>1047</v>
      </c>
      <c r="F136" s="0" t="n">
        <v>96</v>
      </c>
      <c r="G136" s="0" t="n">
        <v>303</v>
      </c>
      <c r="H136" s="0" t="n">
        <v>303</v>
      </c>
      <c r="I136" s="0" t="n">
        <v>303</v>
      </c>
      <c r="J136" s="0" t="n">
        <f aca="false">IFERROR(VLOOKUP(E136,Pieces!A:C,3,0),"Entrer la cadence")</f>
        <v>60</v>
      </c>
      <c r="K136" s="0" t="n">
        <v>1</v>
      </c>
      <c r="L136" s="0" t="n">
        <f aca="false">(G136-F136)*K136</f>
        <v>207</v>
      </c>
      <c r="M136" s="0" t="n">
        <f aca="false">(H136-G136)*K136</f>
        <v>0</v>
      </c>
      <c r="N136" s="0" t="n">
        <f aca="false">(I136-H136)*K136</f>
        <v>0</v>
      </c>
      <c r="O136" s="0" t="n">
        <f aca="false">IF(J136=0,0,L136/J136)</f>
        <v>3.45</v>
      </c>
      <c r="P136" s="0" t="n">
        <f aca="false">IF(J136=0,0,M136/J136)</f>
        <v>0</v>
      </c>
      <c r="Q136" s="0" t="n">
        <f aca="false">IF(J136=0,0,N136/J136)</f>
        <v>0</v>
      </c>
      <c r="R136" s="0" t="n">
        <v>9</v>
      </c>
      <c r="S136" s="0" t="s">
        <v>1062</v>
      </c>
      <c r="T136" s="0" t="n">
        <f aca="false">V136+U136-L136-M136-N136</f>
        <v>0</v>
      </c>
      <c r="U136" s="0" t="n">
        <f aca="true">SUM(INDIRECT(ADDRESS(MATCH("Nombre des NC poubelle ",ChoixRJ!$B$1:$B$29,0),MATCH($C136,ChoixRJ!$13:$13,0),4,1,"ChoixRJ"),1)*1,INDIRECT(ADDRESS(MATCH("Nombre des NC à retoucher",ChoixRJ!$B$1:$B$29,0),MATCH($C136,ChoixRJ!$13:$13,0),4,1,"ChoixRJ"),1)*1)</f>
        <v>0</v>
      </c>
      <c r="V136" s="0" t="n">
        <v>207</v>
      </c>
      <c r="AA136" s="0" t="n">
        <f aca="false">IF(J136=0,0,(V136+U136)/J136)</f>
        <v>3.45</v>
      </c>
      <c r="AB136" s="0" t="n">
        <f aca="false">IF(OR(R136=0,J136=0),"",AA136/R136*100)</f>
        <v>38.3333333333333</v>
      </c>
      <c r="AF136" s="0" t="str">
        <f aca="false">IF(AB136&gt;85," ","WARNING")</f>
        <v>WARNING</v>
      </c>
      <c r="AG136" s="0" t="str">
        <f aca="false">IF(A136=ChoixJour!$A$5,ROW(),"")</f>
        <v/>
      </c>
    </row>
    <row r="137" customFormat="false" ht="13.8" hidden="false" customHeight="false" outlineLevel="0" collapsed="false">
      <c r="A137" s="81" t="n">
        <v>43845</v>
      </c>
      <c r="B137" s="83" t="s">
        <v>62</v>
      </c>
      <c r="C137" s="0" t="s">
        <v>63</v>
      </c>
      <c r="D137" s="0" t="str">
        <f aca="false">IFERROR(VLOOKUP(E137,Pieces!B:C,2,0)," ")</f>
        <v> </v>
      </c>
      <c r="E137" s="0" t="s">
        <v>136</v>
      </c>
      <c r="F137" s="0" t="n">
        <v>0</v>
      </c>
      <c r="G137" s="0" t="n">
        <v>0</v>
      </c>
      <c r="H137" s="0" t="n">
        <v>0</v>
      </c>
      <c r="I137" s="0" t="n">
        <v>0</v>
      </c>
      <c r="J137" s="0" t="n">
        <f aca="false">IFERROR(VLOOKUP(E137,Pieces!A:C,3,0),"Entrer la cadence")</f>
        <v>1</v>
      </c>
      <c r="K137" s="0" t="n">
        <v>1</v>
      </c>
      <c r="L137" s="0" t="n">
        <f aca="false">(G137-F137)*K137</f>
        <v>0</v>
      </c>
      <c r="M137" s="0" t="n">
        <f aca="false">(H137-G137)*K137</f>
        <v>0</v>
      </c>
      <c r="N137" s="0" t="n">
        <f aca="false">(I137-H137)*K137</f>
        <v>0</v>
      </c>
      <c r="O137" s="0" t="n">
        <f aca="false">IF(J137=0,0,L137/J137)</f>
        <v>0</v>
      </c>
      <c r="P137" s="0" t="n">
        <f aca="false">IF(J137=0,0,M137/J137)</f>
        <v>0</v>
      </c>
      <c r="Q137" s="0" t="n">
        <f aca="false">IF(J137=0,0,N137/J137)</f>
        <v>0</v>
      </c>
      <c r="R137" s="0" t="n">
        <v>9</v>
      </c>
      <c r="T137" s="0" t="n">
        <f aca="false">V137+U137-L137-M137-N137</f>
        <v>0</v>
      </c>
      <c r="U137" s="0" t="n">
        <f aca="true">SUM(INDIRECT(ADDRESS(MATCH("Nombre des NC poubelle ",ChoixRJ!$B$1:$B$29,0),MATCH($C137,ChoixRJ!$13:$13,0),4,1,"ChoixRJ"),1)*1,INDIRECT(ADDRESS(MATCH("Nombre des NC à retoucher",ChoixRJ!$B$1:$B$29,0),MATCH($C137,ChoixRJ!$13:$13,0),4,1,"ChoixRJ"),1)*1)</f>
        <v>0</v>
      </c>
      <c r="V137" s="0" t="n">
        <v>0</v>
      </c>
      <c r="AA137" s="0" t="n">
        <f aca="false">IF(J137=0,0,(V137+U137)/J137)</f>
        <v>0</v>
      </c>
      <c r="AB137" s="0" t="n">
        <f aca="false">IF(OR(R137=0,J137=0),"",AA137/R137*100)</f>
        <v>0</v>
      </c>
      <c r="AF137" s="0" t="str">
        <f aca="false">IF(AB137&gt;85," ","WARNING")</f>
        <v>WARNING</v>
      </c>
      <c r="AG137" s="0" t="str">
        <f aca="false">IF(A137=ChoixJour!$A$5,ROW(),"")</f>
        <v/>
      </c>
    </row>
    <row r="138" customFormat="false" ht="13.8" hidden="false" customHeight="false" outlineLevel="0" collapsed="false">
      <c r="A138" s="81" t="n">
        <v>43845</v>
      </c>
      <c r="B138" s="83" t="s">
        <v>58</v>
      </c>
      <c r="C138" s="0" t="s">
        <v>59</v>
      </c>
      <c r="D138" s="0" t="str">
        <f aca="false">IFERROR(VLOOKUP(E138,Pieces!B:C,2,0)," ")</f>
        <v> </v>
      </c>
      <c r="E138" s="0" t="s">
        <v>883</v>
      </c>
      <c r="F138" s="0" t="n">
        <v>0</v>
      </c>
      <c r="G138" s="0" t="n">
        <v>0</v>
      </c>
      <c r="H138" s="0" t="n">
        <v>0</v>
      </c>
      <c r="I138" s="0" t="n">
        <v>0</v>
      </c>
      <c r="J138" s="0" t="n">
        <f aca="false">IFERROR(VLOOKUP(E138,Pieces!A:C,3,0),"Entrer la cadence")</f>
        <v>28</v>
      </c>
      <c r="K138" s="0" t="n">
        <v>7</v>
      </c>
      <c r="L138" s="0" t="n">
        <f aca="false">(G138-F138)*K138</f>
        <v>0</v>
      </c>
      <c r="M138" s="0" t="n">
        <f aca="false">(H138-G138)*K138</f>
        <v>0</v>
      </c>
      <c r="N138" s="0" t="n">
        <f aca="false">(I138-H138)*K138</f>
        <v>0</v>
      </c>
      <c r="O138" s="0" t="n">
        <f aca="false">IF(J138=0,0,L138/J138)</f>
        <v>0</v>
      </c>
      <c r="P138" s="0" t="n">
        <f aca="false">IF(J138=0,0,M138/J138)</f>
        <v>0</v>
      </c>
      <c r="Q138" s="0" t="n">
        <f aca="false">IF(J138=0,0,N138/J138)</f>
        <v>0</v>
      </c>
      <c r="R138" s="0" t="n">
        <v>9</v>
      </c>
      <c r="T138" s="0" t="n">
        <f aca="false">V138+U138-L138-M138-N138</f>
        <v>0</v>
      </c>
      <c r="U138" s="0" t="n">
        <f aca="true">SUM(INDIRECT(ADDRESS(MATCH("Nombre des NC poubelle ",ChoixRJ!$B$1:$B$29,0),MATCH($C138,ChoixRJ!$13:$13,0),4,1,"ChoixRJ"),1)*1,INDIRECT(ADDRESS(MATCH("Nombre des NC à retoucher",ChoixRJ!$B$1:$B$29,0),MATCH($C138,ChoixRJ!$13:$13,0),4,1,"ChoixRJ"),1)*1)</f>
        <v>0</v>
      </c>
      <c r="V138" s="0" t="n">
        <v>0</v>
      </c>
      <c r="AA138" s="0" t="n">
        <f aca="false">IF(J138=0,0,(V138+U138)/J138)</f>
        <v>0</v>
      </c>
      <c r="AB138" s="0" t="n">
        <f aca="false">IF(OR(R138=0,J138=0),"",AA138/R138*100)</f>
        <v>0</v>
      </c>
      <c r="AF138" s="0" t="str">
        <f aca="false">IF(AB138&gt;85," ","WARNING")</f>
        <v>WARNING</v>
      </c>
      <c r="AG138" s="0" t="str">
        <f aca="false">IF(A138=ChoixJour!$A$5,ROW(),"")</f>
        <v/>
      </c>
    </row>
    <row r="139" customFormat="false" ht="13.8" hidden="false" customHeight="false" outlineLevel="0" collapsed="false">
      <c r="A139" s="81" t="n">
        <v>43845</v>
      </c>
      <c r="B139" s="83" t="s">
        <v>60</v>
      </c>
      <c r="C139" s="0" t="s">
        <v>61</v>
      </c>
      <c r="D139" s="0" t="str">
        <f aca="false">IFERROR(VLOOKUP(E139,Pieces!B:C,2,0)," ")</f>
        <v> </v>
      </c>
      <c r="E139" s="0" t="s">
        <v>758</v>
      </c>
      <c r="F139" s="0" t="n">
        <v>80</v>
      </c>
      <c r="G139" s="0" t="n">
        <v>80</v>
      </c>
      <c r="H139" s="0" t="n">
        <v>80</v>
      </c>
      <c r="I139" s="0" t="n">
        <v>80</v>
      </c>
      <c r="J139" s="0" t="n">
        <f aca="false">IFERROR(VLOOKUP(E139,Pieces!A:C,3,0),"Entrer la cadence")</f>
        <v>60</v>
      </c>
      <c r="K139" s="0" t="n">
        <v>20</v>
      </c>
      <c r="L139" s="0" t="n">
        <f aca="false">(G139-F139)*K139</f>
        <v>0</v>
      </c>
      <c r="M139" s="0" t="n">
        <f aca="false">(H139-G139)*K139</f>
        <v>0</v>
      </c>
      <c r="N139" s="0" t="n">
        <f aca="false">(I139-H139)*K139</f>
        <v>0</v>
      </c>
      <c r="O139" s="0" t="n">
        <f aca="false">IF(J139=0,0,L139/J139)</f>
        <v>0</v>
      </c>
      <c r="P139" s="0" t="n">
        <f aca="false">IF(J139=0,0,M139/J139)</f>
        <v>0</v>
      </c>
      <c r="Q139" s="0" t="n">
        <f aca="false">IF(J139=0,0,N139/J139)</f>
        <v>0</v>
      </c>
      <c r="R139" s="0" t="n">
        <v>9</v>
      </c>
      <c r="T139" s="0" t="n">
        <f aca="false">V139+U139-L139-M139-N139</f>
        <v>0</v>
      </c>
      <c r="U139" s="0" t="n">
        <f aca="true">SUM(INDIRECT(ADDRESS(MATCH("Nombre des NC poubelle ",ChoixRJ!$B$1:$B$29,0),MATCH($C139,ChoixRJ!$13:$13,0),4,1,"ChoixRJ"),1)*1,INDIRECT(ADDRESS(MATCH("Nombre des NC à retoucher",ChoixRJ!$B$1:$B$29,0),MATCH($C139,ChoixRJ!$13:$13,0),4,1,"ChoixRJ"),1)*1)</f>
        <v>0</v>
      </c>
      <c r="V139" s="0" t="n">
        <v>0</v>
      </c>
      <c r="AA139" s="0" t="n">
        <f aca="false">IF(J139=0,0,(V139+U139)/J139)</f>
        <v>0</v>
      </c>
      <c r="AB139" s="0" t="n">
        <f aca="false">IF(OR(R139=0,J139=0),"",AA139/R139*100)</f>
        <v>0</v>
      </c>
      <c r="AF139" s="0" t="str">
        <f aca="false">IF(AB139&gt;85," ","WARNING")</f>
        <v>WARNING</v>
      </c>
      <c r="AG139" s="0" t="str">
        <f aca="false">IF(A139=ChoixJour!$A$5,ROW(),"")</f>
        <v/>
      </c>
    </row>
    <row r="140" customFormat="false" ht="13.8" hidden="false" customHeight="false" outlineLevel="0" collapsed="false">
      <c r="A140" s="81" t="n">
        <v>43845</v>
      </c>
      <c r="B140" s="83" t="s">
        <v>68</v>
      </c>
      <c r="C140" s="0" t="s">
        <v>69</v>
      </c>
      <c r="D140" s="0" t="str">
        <f aca="false">IFERROR(VLOOKUP(E140,Pieces!B:C,2,0)," ")</f>
        <v> </v>
      </c>
      <c r="E140" s="0" t="s">
        <v>928</v>
      </c>
      <c r="F140" s="0" t="n">
        <v>75</v>
      </c>
      <c r="G140" s="0" t="n">
        <v>102</v>
      </c>
      <c r="H140" s="0" t="n">
        <v>102</v>
      </c>
      <c r="I140" s="0" t="n">
        <v>102</v>
      </c>
      <c r="J140" s="0" t="n">
        <f aca="false">IFERROR(VLOOKUP(E140,Pieces!A:C,3,0),"Entrer la cadence")</f>
        <v>38</v>
      </c>
      <c r="K140" s="0" t="n">
        <v>51</v>
      </c>
      <c r="L140" s="0" t="n">
        <f aca="false">(G140-F140)*K140</f>
        <v>1377</v>
      </c>
      <c r="M140" s="0" t="n">
        <f aca="false">(H140-G140)*K140</f>
        <v>0</v>
      </c>
      <c r="N140" s="0" t="n">
        <f aca="false">(I140-H140)*K140</f>
        <v>0</v>
      </c>
      <c r="O140" s="0" t="n">
        <f aca="false">IF(J140=0,0,L140/J140)</f>
        <v>36.2368421052632</v>
      </c>
      <c r="P140" s="0" t="n">
        <f aca="false">IF(J140=0,0,M140/J140)</f>
        <v>0</v>
      </c>
      <c r="Q140" s="0" t="n">
        <f aca="false">IF(J140=0,0,N140/J140)</f>
        <v>0</v>
      </c>
      <c r="R140" s="0" t="n">
        <v>9</v>
      </c>
      <c r="T140" s="0" t="n">
        <f aca="false">V140+U140-L140-M140-N140</f>
        <v>0</v>
      </c>
      <c r="U140" s="0" t="n">
        <f aca="true">SUM(INDIRECT(ADDRESS(MATCH("Nombre des NC poubelle ",ChoixRJ!$B$1:$B$29,0),MATCH($C140,ChoixRJ!$13:$13,0),4,1,"ChoixRJ"),1)*1,INDIRECT(ADDRESS(MATCH("Nombre des NC à retoucher",ChoixRJ!$B$1:$B$29,0),MATCH($C140,ChoixRJ!$13:$13,0),4,1,"ChoixRJ"),1)*1)</f>
        <v>0</v>
      </c>
      <c r="V140" s="0" t="n">
        <v>1377</v>
      </c>
      <c r="AA140" s="0" t="n">
        <f aca="false">IF(J140=0,0,(V140+U140)/J140)</f>
        <v>36.2368421052632</v>
      </c>
      <c r="AB140" s="0" t="n">
        <f aca="false">IF(OR(R140=0,J140=0),"",AA140/R140*100)</f>
        <v>402.631578947368</v>
      </c>
      <c r="AF140" s="0" t="str">
        <f aca="false">IF(AB140&gt;85," ","WARNING")</f>
        <v> </v>
      </c>
      <c r="AG140" s="0" t="str">
        <f aca="false">IF(A140=ChoixJour!$A$5,ROW(),"")</f>
        <v/>
      </c>
    </row>
    <row r="141" customFormat="false" ht="13.8" hidden="false" customHeight="false" outlineLevel="0" collapsed="false">
      <c r="A141" s="81" t="n">
        <v>43845</v>
      </c>
      <c r="B141" s="83" t="s">
        <v>66</v>
      </c>
      <c r="C141" s="0" t="s">
        <v>67</v>
      </c>
      <c r="D141" s="0" t="str">
        <f aca="false">IFERROR(VLOOKUP(E141,Pieces!B:C,2,0)," ")</f>
        <v> </v>
      </c>
      <c r="E141" s="0" t="s">
        <v>136</v>
      </c>
      <c r="F141" s="0" t="n">
        <v>0</v>
      </c>
      <c r="G141" s="0" t="n">
        <v>0</v>
      </c>
      <c r="H141" s="0" t="n">
        <v>0</v>
      </c>
      <c r="I141" s="0" t="n">
        <v>0</v>
      </c>
      <c r="J141" s="0" t="n">
        <f aca="false">IFERROR(VLOOKUP(E141,Pieces!A:C,3,0),"Entrer la cadence")</f>
        <v>1</v>
      </c>
      <c r="K141" s="0" t="n">
        <v>1</v>
      </c>
      <c r="L141" s="0" t="n">
        <f aca="false">(G141-F141)*K141</f>
        <v>0</v>
      </c>
      <c r="M141" s="0" t="n">
        <f aca="false">(H141-G141)*K141</f>
        <v>0</v>
      </c>
      <c r="N141" s="0" t="n">
        <f aca="false">(I141-H141)*K141</f>
        <v>0</v>
      </c>
      <c r="O141" s="0" t="n">
        <f aca="false">IF(J141=0,0,L141/J141)</f>
        <v>0</v>
      </c>
      <c r="P141" s="0" t="n">
        <f aca="false">IF(J141=0,0,M141/J141)</f>
        <v>0</v>
      </c>
      <c r="Q141" s="0" t="n">
        <f aca="false">IF(J141=0,0,N141/J141)</f>
        <v>0</v>
      </c>
      <c r="R141" s="0" t="n">
        <v>9</v>
      </c>
      <c r="T141" s="0" t="n">
        <f aca="false">V141+U141-L141-M141-N141</f>
        <v>0</v>
      </c>
      <c r="U141" s="0" t="n">
        <f aca="true">SUM(INDIRECT(ADDRESS(MATCH("Nombre des NC poubelle ",ChoixRJ!$B$1:$B$29,0),MATCH($C141,ChoixRJ!$13:$13,0),4,1,"ChoixRJ"),1)*1,INDIRECT(ADDRESS(MATCH("Nombre des NC à retoucher",ChoixRJ!$B$1:$B$29,0),MATCH($C141,ChoixRJ!$13:$13,0),4,1,"ChoixRJ"),1)*1)</f>
        <v>0</v>
      </c>
      <c r="V141" s="0" t="n">
        <v>0</v>
      </c>
      <c r="AA141" s="0" t="n">
        <f aca="false">IF(J141=0,0,(V141+U141)/J141)</f>
        <v>0</v>
      </c>
      <c r="AB141" s="0" t="n">
        <f aca="false">IF(OR(R141=0,J141=0),"",AA141/R141*100)</f>
        <v>0</v>
      </c>
      <c r="AF141" s="0" t="str">
        <f aca="false">IF(AB141&gt;85," ","WARNING")</f>
        <v>WARNING</v>
      </c>
      <c r="AG141" s="0" t="str">
        <f aca="false">IF(A141=ChoixJour!$A$5,ROW(),"")</f>
        <v/>
      </c>
    </row>
    <row r="142" customFormat="false" ht="13.8" hidden="false" customHeight="false" outlineLevel="0" collapsed="false">
      <c r="A142" s="81" t="n">
        <v>43845</v>
      </c>
      <c r="B142" s="83" t="s">
        <v>46</v>
      </c>
      <c r="C142" s="0" t="s">
        <v>57</v>
      </c>
      <c r="D142" s="0" t="str">
        <f aca="false">IFERROR(VLOOKUP(E142,Pieces!B:C,2,0)," ")</f>
        <v> </v>
      </c>
      <c r="E142" s="0" t="s">
        <v>958</v>
      </c>
      <c r="F142" s="0" t="n">
        <v>180777</v>
      </c>
      <c r="G142" s="0" t="n">
        <v>180777</v>
      </c>
      <c r="H142" s="0" t="n">
        <v>180777</v>
      </c>
      <c r="I142" s="0" t="n">
        <v>180777</v>
      </c>
      <c r="J142" s="0" t="n">
        <f aca="false">IFERROR(VLOOKUP(E142,Pieces!A:C,3,0),"Entrer la cadence")</f>
        <v>454</v>
      </c>
      <c r="K142" s="0" t="n">
        <v>1</v>
      </c>
      <c r="L142" s="0" t="n">
        <f aca="false">(G142-F142)*K142</f>
        <v>0</v>
      </c>
      <c r="M142" s="0" t="n">
        <f aca="false">(H142-G142)*K142</f>
        <v>0</v>
      </c>
      <c r="N142" s="0" t="n">
        <f aca="false">(I142-H142)*K142</f>
        <v>0</v>
      </c>
      <c r="O142" s="0" t="n">
        <f aca="false">IF(J142=0,0,L142/J142)</f>
        <v>0</v>
      </c>
      <c r="P142" s="0" t="n">
        <f aca="false">IF(J142=0,0,M142/J142)</f>
        <v>0</v>
      </c>
      <c r="Q142" s="0" t="n">
        <f aca="false">IF(J142=0,0,N142/J142)</f>
        <v>0</v>
      </c>
      <c r="R142" s="0" t="n">
        <v>9</v>
      </c>
      <c r="T142" s="0" t="n">
        <f aca="false">V142+U142-L142-M142-N142</f>
        <v>0</v>
      </c>
      <c r="U142" s="0" t="n">
        <f aca="true">SUM(INDIRECT(ADDRESS(MATCH("Nombre des NC poubelle ",ChoixRJ!$B$1:$B$29,0),MATCH($C142,ChoixRJ!$13:$13,0),4,1,"ChoixRJ"),1)*1,INDIRECT(ADDRESS(MATCH("Nombre des NC à retoucher",ChoixRJ!$B$1:$B$29,0),MATCH($C142,ChoixRJ!$13:$13,0),4,1,"ChoixRJ"),1)*1)</f>
        <v>0</v>
      </c>
      <c r="V142" s="0" t="n">
        <v>0</v>
      </c>
      <c r="AA142" s="0" t="n">
        <f aca="false">IF(J142=0,0,(V142+U142)/J142)</f>
        <v>0</v>
      </c>
      <c r="AB142" s="0" t="n">
        <f aca="false">IF(OR(R142=0,J142=0),"",AA142/R142*100)</f>
        <v>0</v>
      </c>
      <c r="AF142" s="0" t="str">
        <f aca="false">IF(AB142&gt;85," ","WARNING")</f>
        <v>WARNING</v>
      </c>
      <c r="AG142" s="0" t="str">
        <f aca="false">IF(A142=ChoixJour!$A$5,ROW(),"")</f>
        <v/>
      </c>
    </row>
    <row r="143" customFormat="false" ht="13.8" hidden="false" customHeight="false" outlineLevel="0" collapsed="false">
      <c r="A143" s="81" t="n">
        <v>43845</v>
      </c>
      <c r="B143" s="83" t="s">
        <v>64</v>
      </c>
      <c r="C143" s="0" t="s">
        <v>65</v>
      </c>
      <c r="D143" s="0" t="str">
        <f aca="false">IFERROR(VLOOKUP(E143,Pieces!B:C,2,0)," ")</f>
        <v> </v>
      </c>
      <c r="E143" s="0" t="s">
        <v>247</v>
      </c>
      <c r="F143" s="0" t="n">
        <v>384</v>
      </c>
      <c r="G143" s="0" t="n">
        <v>384</v>
      </c>
      <c r="H143" s="0" t="n">
        <v>384</v>
      </c>
      <c r="I143" s="0" t="n">
        <v>384</v>
      </c>
      <c r="J143" s="0" t="n">
        <f aca="false">IFERROR(VLOOKUP(E143,Pieces!A:C,3,0),"Entrer la cadence")</f>
        <v>90</v>
      </c>
      <c r="K143" s="0" t="n">
        <v>1</v>
      </c>
      <c r="L143" s="0" t="n">
        <f aca="false">(G143-F143)*K143</f>
        <v>0</v>
      </c>
      <c r="M143" s="0" t="n">
        <f aca="false">(H143-G143)*K143</f>
        <v>0</v>
      </c>
      <c r="N143" s="0" t="n">
        <f aca="false">(I143-H143)*K143</f>
        <v>0</v>
      </c>
      <c r="O143" s="0" t="n">
        <f aca="false">IF(J143=0,0,L143/J143)</f>
        <v>0</v>
      </c>
      <c r="P143" s="0" t="n">
        <f aca="false">IF(J143=0,0,M143/J143)</f>
        <v>0</v>
      </c>
      <c r="Q143" s="0" t="n">
        <f aca="false">IF(J143=0,0,N143/J143)</f>
        <v>0</v>
      </c>
      <c r="R143" s="0" t="n">
        <v>9</v>
      </c>
      <c r="S143" s="0" t="s">
        <v>1063</v>
      </c>
      <c r="T143" s="0" t="n">
        <f aca="false">V143+U143-L143-M143-N143</f>
        <v>0</v>
      </c>
      <c r="U143" s="0" t="n">
        <f aca="true">SUM(INDIRECT(ADDRESS(MATCH("Nombre des NC poubelle ",ChoixRJ!$B$1:$B$29,0),MATCH($C143,ChoixRJ!$13:$13,0),4,1,"ChoixRJ"),1)*1,INDIRECT(ADDRESS(MATCH("Nombre des NC à retoucher",ChoixRJ!$B$1:$B$29,0),MATCH($C143,ChoixRJ!$13:$13,0),4,1,"ChoixRJ"),1)*1)</f>
        <v>0</v>
      </c>
      <c r="V143" s="0" t="n">
        <v>0</v>
      </c>
      <c r="AA143" s="0" t="n">
        <f aca="false">IF(J143=0,0,(V143+U143)/J143)</f>
        <v>0</v>
      </c>
      <c r="AB143" s="0" t="n">
        <f aca="false">IF(OR(R143=0,J143=0),"",AA143/R143*100)</f>
        <v>0</v>
      </c>
      <c r="AF143" s="0" t="str">
        <f aca="false">IF(AB143&gt;85," ","WARNING")</f>
        <v>WARNING</v>
      </c>
      <c r="AG143" s="0" t="str">
        <f aca="false">IF(A143=ChoixJour!$A$5,ROW(),"")</f>
        <v/>
      </c>
    </row>
    <row r="144" customFormat="false" ht="13.8" hidden="false" customHeight="false" outlineLevel="0" collapsed="false">
      <c r="A144" s="81" t="n">
        <v>43845</v>
      </c>
      <c r="B144" s="83" t="s">
        <v>96</v>
      </c>
      <c r="C144" s="0" t="s">
        <v>71</v>
      </c>
      <c r="D144" s="0" t="str">
        <f aca="false">IFERROR(VLOOKUP(E144,Pieces!B:C,2,0)," ")</f>
        <v> </v>
      </c>
      <c r="E144" s="0" t="s">
        <v>1042</v>
      </c>
      <c r="F144" s="0" t="n">
        <v>1441</v>
      </c>
      <c r="G144" s="0" t="n">
        <v>1661</v>
      </c>
      <c r="H144" s="0" t="n">
        <v>1661</v>
      </c>
      <c r="I144" s="0" t="n">
        <v>1661</v>
      </c>
      <c r="J144" s="0" t="n">
        <f aca="false">IFERROR(VLOOKUP(E144,Pieces!A:C,3,0),"Entrer la cadence")</f>
        <v>20</v>
      </c>
      <c r="K144" s="0" t="n">
        <v>1</v>
      </c>
      <c r="L144" s="0" t="n">
        <f aca="false">(G144-F144)*K144</f>
        <v>220</v>
      </c>
      <c r="M144" s="0" t="n">
        <f aca="false">(H144-G144)*K144</f>
        <v>0</v>
      </c>
      <c r="N144" s="0" t="n">
        <f aca="false">(I144-H144)*K144</f>
        <v>0</v>
      </c>
      <c r="O144" s="0" t="n">
        <f aca="false">IF(J144=0,0,L144/J144)</f>
        <v>11</v>
      </c>
      <c r="P144" s="0" t="n">
        <f aca="false">IF(J144=0,0,M144/J144)</f>
        <v>0</v>
      </c>
      <c r="Q144" s="0" t="n">
        <f aca="false">IF(J144=0,0,N144/J144)</f>
        <v>0</v>
      </c>
      <c r="R144" s="0" t="n">
        <v>9</v>
      </c>
      <c r="T144" s="0" t="n">
        <f aca="false">V144+U144-L144-M144-N144</f>
        <v>0</v>
      </c>
      <c r="U144" s="0" t="n">
        <f aca="true">SUM(INDIRECT(ADDRESS(MATCH("Nombre des NC poubelle ",ChoixRJ!$B$1:$B$29,0),MATCH($C144,ChoixRJ!$13:$13,0),4,1,"ChoixRJ"),1)*1,INDIRECT(ADDRESS(MATCH("Nombre des NC à retoucher",ChoixRJ!$B$1:$B$29,0),MATCH($C144,ChoixRJ!$13:$13,0),4,1,"ChoixRJ"),1)*1)</f>
        <v>0</v>
      </c>
      <c r="V144" s="0" t="n">
        <v>220</v>
      </c>
      <c r="AA144" s="0" t="n">
        <f aca="false">IF(J144=0,0,(V144+U144)/J144)</f>
        <v>11</v>
      </c>
      <c r="AB144" s="0" t="n">
        <f aca="false">IF(OR(R144=0,J144=0),"",AA144/R144*100)</f>
        <v>122.222222222222</v>
      </c>
      <c r="AF144" s="0" t="str">
        <f aca="false">IF(AB144&gt;85," ","WARNING")</f>
        <v> </v>
      </c>
      <c r="AG144" s="0" t="str">
        <f aca="false">IF(A144=ChoixJour!$A$5,ROW(),"")</f>
        <v/>
      </c>
    </row>
    <row r="145" customFormat="false" ht="13.8" hidden="false" customHeight="false" outlineLevel="0" collapsed="false">
      <c r="A145" s="81" t="n">
        <v>43846</v>
      </c>
      <c r="B145" s="83" t="s">
        <v>36</v>
      </c>
      <c r="C145" s="0" t="s">
        <v>52</v>
      </c>
      <c r="D145" s="0" t="str">
        <f aca="false">IFERROR(VLOOKUP(E145,Pieces!B:C,2,0)," ")</f>
        <v> </v>
      </c>
      <c r="E145" s="0" t="s">
        <v>940</v>
      </c>
      <c r="F145" s="0" t="n">
        <v>34052</v>
      </c>
      <c r="G145" s="0" t="n">
        <v>34740</v>
      </c>
      <c r="H145" s="0" t="n">
        <v>34740</v>
      </c>
      <c r="I145" s="0" t="n">
        <v>34740</v>
      </c>
      <c r="J145" s="0" t="n">
        <f aca="false">IFERROR(VLOOKUP(E145,Pieces!A:C,3,0),"Entrer la cadence")</f>
        <v>75</v>
      </c>
      <c r="K145" s="0" t="n">
        <v>1</v>
      </c>
      <c r="L145" s="0" t="n">
        <f aca="false">(G145-F145)*K145</f>
        <v>688</v>
      </c>
      <c r="M145" s="0" t="n">
        <f aca="false">(H145-G145)*K145</f>
        <v>0</v>
      </c>
      <c r="N145" s="0" t="n">
        <f aca="false">(I145-H145)*K145</f>
        <v>0</v>
      </c>
      <c r="O145" s="0" t="n">
        <f aca="false">IF(J145=0,0,L145/J145)</f>
        <v>9.17333333333333</v>
      </c>
      <c r="P145" s="0" t="n">
        <f aca="false">IF(J145=0,0,M145/J145)</f>
        <v>0</v>
      </c>
      <c r="Q145" s="0" t="n">
        <f aca="false">IF(J145=0,0,N145/J145)</f>
        <v>0</v>
      </c>
      <c r="R145" s="0" t="n">
        <v>9</v>
      </c>
      <c r="T145" s="0" t="n">
        <f aca="false">V145+U145-L145-M145-N145</f>
        <v>0</v>
      </c>
      <c r="U145" s="0" t="n">
        <f aca="true">SUM(INDIRECT(ADDRESS(MATCH("Nombre des NC poubelle ",ChoixRJ!$B$1:$B$29,0),MATCH($C145,ChoixRJ!$13:$13,0),4,1,"ChoixRJ"),1)*1,INDIRECT(ADDRESS(MATCH("Nombre des NC à retoucher",ChoixRJ!$B$1:$B$29,0),MATCH($C145,ChoixRJ!$13:$13,0),4,1,"ChoixRJ"),1)*1)</f>
        <v>0</v>
      </c>
      <c r="V145" s="0" t="n">
        <v>688</v>
      </c>
      <c r="AA145" s="0" t="n">
        <f aca="false">IF(J145=0,0,(V145+U145)/J145)</f>
        <v>9.17333333333333</v>
      </c>
      <c r="AB145" s="0" t="n">
        <f aca="false">IF(OR(R145=0,J145=0),"",AA145/R145*100)</f>
        <v>101.925925925926</v>
      </c>
      <c r="AF145" s="0" t="str">
        <f aca="false">IF(AB145&gt;85," ","WARNING")</f>
        <v> </v>
      </c>
      <c r="AG145" s="0" t="str">
        <f aca="false">IF(A145=ChoixJour!$A$5,ROW(),"")</f>
        <v/>
      </c>
    </row>
    <row r="146" customFormat="false" ht="13.8" hidden="false" customHeight="false" outlineLevel="0" collapsed="false">
      <c r="A146" s="81" t="n">
        <v>43846</v>
      </c>
      <c r="B146" s="83" t="s">
        <v>38</v>
      </c>
      <c r="C146" s="0" t="s">
        <v>53</v>
      </c>
      <c r="D146" s="0" t="str">
        <f aca="false">IFERROR(VLOOKUP(E146,Pieces!B:C,2,0)," ")</f>
        <v> </v>
      </c>
      <c r="E146" s="0" t="s">
        <v>136</v>
      </c>
      <c r="F146" s="0" t="n">
        <v>0</v>
      </c>
      <c r="G146" s="0" t="n">
        <v>0</v>
      </c>
      <c r="H146" s="0" t="n">
        <v>0</v>
      </c>
      <c r="I146" s="0" t="n">
        <v>0</v>
      </c>
      <c r="J146" s="0" t="n">
        <f aca="false">IFERROR(VLOOKUP(E146,Pieces!A:C,3,0),"Entrer la cadence")</f>
        <v>1</v>
      </c>
      <c r="K146" s="0" t="n">
        <v>1</v>
      </c>
      <c r="L146" s="0" t="n">
        <f aca="false">(G146-F146)*K146</f>
        <v>0</v>
      </c>
      <c r="M146" s="0" t="n">
        <f aca="false">(H146-G146)*K146</f>
        <v>0</v>
      </c>
      <c r="N146" s="0" t="n">
        <f aca="false">(I146-H146)*K146</f>
        <v>0</v>
      </c>
      <c r="O146" s="0" t="n">
        <f aca="false">IF(J146=0,0,L146/J146)</f>
        <v>0</v>
      </c>
      <c r="P146" s="0" t="n">
        <f aca="false">IF(J146=0,0,M146/J146)</f>
        <v>0</v>
      </c>
      <c r="Q146" s="0" t="n">
        <f aca="false">IF(J146=0,0,N146/J146)</f>
        <v>0</v>
      </c>
      <c r="R146" s="0" t="n">
        <v>9</v>
      </c>
      <c r="T146" s="0" t="n">
        <f aca="false">V146+U146-L146-M146-N146</f>
        <v>0</v>
      </c>
      <c r="U146" s="0" t="n">
        <f aca="true">SUM(INDIRECT(ADDRESS(MATCH("Nombre des NC poubelle ",ChoixRJ!$B$1:$B$29,0),MATCH($C146,ChoixRJ!$13:$13,0),4,1,"ChoixRJ"),1)*1,INDIRECT(ADDRESS(MATCH("Nombre des NC à retoucher",ChoixRJ!$B$1:$B$29,0),MATCH($C146,ChoixRJ!$13:$13,0),4,1,"ChoixRJ"),1)*1)</f>
        <v>0</v>
      </c>
      <c r="V146" s="0" t="n">
        <v>0</v>
      </c>
      <c r="AA146" s="0" t="n">
        <f aca="false">IF(J146=0,0,(V146+U146)/J146)</f>
        <v>0</v>
      </c>
      <c r="AB146" s="0" t="n">
        <f aca="false">IF(OR(R146=0,J146=0),"",AA146/R146*100)</f>
        <v>0</v>
      </c>
      <c r="AF146" s="0" t="str">
        <f aca="false">IF(AB146&gt;85," ","WARNING")</f>
        <v>WARNING</v>
      </c>
      <c r="AG146" s="0" t="str">
        <f aca="false">IF(A146=ChoixJour!$A$5,ROW(),"")</f>
        <v/>
      </c>
    </row>
    <row r="147" customFormat="false" ht="13.8" hidden="false" customHeight="false" outlineLevel="0" collapsed="false">
      <c r="A147" s="81" t="n">
        <v>43846</v>
      </c>
      <c r="B147" s="83" t="s">
        <v>40</v>
      </c>
      <c r="C147" s="0" t="s">
        <v>54</v>
      </c>
      <c r="D147" s="0" t="str">
        <f aca="false">IFERROR(VLOOKUP(E147,Pieces!B:C,2,0)," ")</f>
        <v> </v>
      </c>
      <c r="E147" s="0" t="s">
        <v>896</v>
      </c>
      <c r="F147" s="0" t="n">
        <v>2095</v>
      </c>
      <c r="G147" s="0" t="n">
        <v>2416</v>
      </c>
      <c r="H147" s="0" t="n">
        <v>2416</v>
      </c>
      <c r="I147" s="0" t="n">
        <v>2416</v>
      </c>
      <c r="J147" s="0" t="n">
        <f aca="false">IFERROR(VLOOKUP(E147,Pieces!A:C,3,0),"Entrer la cadence")</f>
        <v>50</v>
      </c>
      <c r="K147" s="0" t="n">
        <v>1</v>
      </c>
      <c r="L147" s="0" t="n">
        <f aca="false">(G147-F147)*K147</f>
        <v>321</v>
      </c>
      <c r="M147" s="0" t="n">
        <f aca="false">(H147-G147)*K147</f>
        <v>0</v>
      </c>
      <c r="N147" s="0" t="n">
        <f aca="false">(I147-H147)*K147</f>
        <v>0</v>
      </c>
      <c r="O147" s="0" t="n">
        <f aca="false">IF(J147=0,0,L147/J147)</f>
        <v>6.42</v>
      </c>
      <c r="P147" s="0" t="n">
        <f aca="false">IF(J147=0,0,M147/J147)</f>
        <v>0</v>
      </c>
      <c r="Q147" s="0" t="n">
        <f aca="false">IF(J147=0,0,N147/J147)</f>
        <v>0</v>
      </c>
      <c r="R147" s="0" t="n">
        <v>9</v>
      </c>
      <c r="T147" s="0" t="n">
        <f aca="false">V147+U147-L147-M147-N147</f>
        <v>0</v>
      </c>
      <c r="U147" s="0" t="n">
        <f aca="true">SUM(INDIRECT(ADDRESS(MATCH("Nombre des NC poubelle ",ChoixRJ!$B$1:$B$29,0),MATCH($C147,ChoixRJ!$13:$13,0),4,1,"ChoixRJ"),1)*1,INDIRECT(ADDRESS(MATCH("Nombre des NC à retoucher",ChoixRJ!$B$1:$B$29,0),MATCH($C147,ChoixRJ!$13:$13,0),4,1,"ChoixRJ"),1)*1)</f>
        <v>0</v>
      </c>
      <c r="V147" s="0" t="n">
        <v>321</v>
      </c>
      <c r="AA147" s="0" t="n">
        <f aca="false">IF(J147=0,0,(V147+U147)/J147)</f>
        <v>6.42</v>
      </c>
      <c r="AB147" s="0" t="n">
        <f aca="false">IF(OR(R147=0,J147=0),"",AA147/R147*100)</f>
        <v>71.3333333333333</v>
      </c>
      <c r="AF147" s="0" t="str">
        <f aca="false">IF(AB147&gt;85," ","WARNING")</f>
        <v>WARNING</v>
      </c>
      <c r="AG147" s="0" t="str">
        <f aca="false">IF(A147=ChoixJour!$A$5,ROW(),"")</f>
        <v/>
      </c>
    </row>
    <row r="148" customFormat="false" ht="13.8" hidden="false" customHeight="false" outlineLevel="0" collapsed="false">
      <c r="A148" s="81" t="n">
        <v>43846</v>
      </c>
      <c r="B148" s="83" t="s">
        <v>42</v>
      </c>
      <c r="C148" s="0" t="s">
        <v>55</v>
      </c>
      <c r="D148" s="0" t="str">
        <f aca="false">IFERROR(VLOOKUP(E148,Pieces!B:C,2,0)," ")</f>
        <v> </v>
      </c>
      <c r="E148" s="0" t="s">
        <v>1049</v>
      </c>
      <c r="F148" s="0" t="n">
        <v>0</v>
      </c>
      <c r="G148" s="0" t="n">
        <v>176</v>
      </c>
      <c r="H148" s="0" t="n">
        <v>176</v>
      </c>
      <c r="I148" s="0" t="n">
        <v>176</v>
      </c>
      <c r="J148" s="0" t="n">
        <f aca="false">IFERROR(VLOOKUP(E148,Pieces!A:C,3,0),"Entrer la cadence")</f>
        <v>30</v>
      </c>
      <c r="K148" s="0" t="n">
        <v>1</v>
      </c>
      <c r="L148" s="0" t="n">
        <f aca="false">(G148-F148)*K148</f>
        <v>176</v>
      </c>
      <c r="M148" s="0" t="n">
        <f aca="false">(H148-G148)*K148</f>
        <v>0</v>
      </c>
      <c r="N148" s="0" t="n">
        <f aca="false">(I148-H148)*K148</f>
        <v>0</v>
      </c>
      <c r="O148" s="0" t="n">
        <f aca="false">IF(J148=0,0,L148/J148)</f>
        <v>5.86666666666667</v>
      </c>
      <c r="P148" s="0" t="n">
        <f aca="false">IF(J148=0,0,M148/J148)</f>
        <v>0</v>
      </c>
      <c r="Q148" s="0" t="n">
        <f aca="false">IF(J148=0,0,N148/J148)</f>
        <v>0</v>
      </c>
      <c r="R148" s="0" t="n">
        <v>9</v>
      </c>
      <c r="S148" s="0" t="s">
        <v>1064</v>
      </c>
      <c r="T148" s="0" t="n">
        <f aca="false">V148+U148-L148-M148-N148</f>
        <v>9</v>
      </c>
      <c r="U148" s="0" t="n">
        <f aca="true">SUM(INDIRECT(ADDRESS(MATCH("Nombre des NC poubelle ",ChoixRJ!$B$1:$B$29,0),MATCH($C148,ChoixRJ!$13:$13,0),4,1,"ChoixRJ"),1)*1,INDIRECT(ADDRESS(MATCH("Nombre des NC à retoucher",ChoixRJ!$B$1:$B$29,0),MATCH($C148,ChoixRJ!$13:$13,0),4,1,"ChoixRJ"),1)*1)</f>
        <v>9</v>
      </c>
      <c r="V148" s="0" t="n">
        <v>176</v>
      </c>
      <c r="AA148" s="0" t="n">
        <f aca="false">IF(J148=0,0,(V148+U148)/J148)</f>
        <v>6.16666666666667</v>
      </c>
      <c r="AB148" s="0" t="n">
        <f aca="false">IF(OR(R148=0,J148=0),"",AA148/R148*100)</f>
        <v>68.5185185185185</v>
      </c>
      <c r="AF148" s="0" t="str">
        <f aca="false">IF(AB148&gt;85," ","WARNING")</f>
        <v>WARNING</v>
      </c>
      <c r="AG148" s="0" t="str">
        <f aca="false">IF(A148=ChoixJour!$A$5,ROW(),"")</f>
        <v/>
      </c>
    </row>
    <row r="149" customFormat="false" ht="13.8" hidden="false" customHeight="false" outlineLevel="0" collapsed="false">
      <c r="A149" s="81" t="n">
        <v>43846</v>
      </c>
      <c r="B149" s="83" t="s">
        <v>44</v>
      </c>
      <c r="C149" s="0" t="s">
        <v>56</v>
      </c>
      <c r="D149" s="0" t="str">
        <f aca="false">IFERROR(VLOOKUP(E149,Pieces!B:C,2,0)," ")</f>
        <v> </v>
      </c>
      <c r="E149" s="0" t="s">
        <v>1047</v>
      </c>
      <c r="F149" s="0" t="n">
        <v>303</v>
      </c>
      <c r="G149" s="0" t="n">
        <v>610</v>
      </c>
      <c r="H149" s="0" t="n">
        <v>610</v>
      </c>
      <c r="I149" s="0" t="n">
        <v>610</v>
      </c>
      <c r="J149" s="0" t="n">
        <f aca="false">IFERROR(VLOOKUP(E149,Pieces!A:C,3,0),"Entrer la cadence")</f>
        <v>60</v>
      </c>
      <c r="K149" s="0" t="n">
        <v>1</v>
      </c>
      <c r="L149" s="0" t="n">
        <f aca="false">(G149-F149)*K149</f>
        <v>307</v>
      </c>
      <c r="M149" s="0" t="n">
        <f aca="false">(H149-G149)*K149</f>
        <v>0</v>
      </c>
      <c r="N149" s="0" t="n">
        <f aca="false">(I149-H149)*K149</f>
        <v>0</v>
      </c>
      <c r="O149" s="0" t="n">
        <f aca="false">IF(J149=0,0,L149/J149)</f>
        <v>5.11666666666667</v>
      </c>
      <c r="P149" s="0" t="n">
        <f aca="false">IF(J149=0,0,M149/J149)</f>
        <v>0</v>
      </c>
      <c r="Q149" s="0" t="n">
        <f aca="false">IF(J149=0,0,N149/J149)</f>
        <v>0</v>
      </c>
      <c r="R149" s="0" t="n">
        <v>9</v>
      </c>
      <c r="S149" s="0" t="s">
        <v>1062</v>
      </c>
      <c r="T149" s="0" t="n">
        <f aca="false">V149+U149-L149-M149-N149</f>
        <v>0</v>
      </c>
      <c r="U149" s="0" t="n">
        <f aca="true">SUM(INDIRECT(ADDRESS(MATCH("Nombre des NC poubelle ",ChoixRJ!$B$1:$B$29,0),MATCH($C149,ChoixRJ!$13:$13,0),4,1,"ChoixRJ"),1)*1,INDIRECT(ADDRESS(MATCH("Nombre des NC à retoucher",ChoixRJ!$B$1:$B$29,0),MATCH($C149,ChoixRJ!$13:$13,0),4,1,"ChoixRJ"),1)*1)</f>
        <v>0</v>
      </c>
      <c r="V149" s="0" t="n">
        <v>307</v>
      </c>
      <c r="AA149" s="0" t="n">
        <f aca="false">IF(J149=0,0,(V149+U149)/J149)</f>
        <v>5.11666666666667</v>
      </c>
      <c r="AB149" s="0" t="n">
        <f aca="false">IF(OR(R149=0,J149=0),"",AA149/R149*100)</f>
        <v>56.8518518518518</v>
      </c>
      <c r="AF149" s="0" t="str">
        <f aca="false">IF(AB149&gt;85," ","WARNING")</f>
        <v>WARNING</v>
      </c>
      <c r="AG149" s="0" t="str">
        <f aca="false">IF(A149=ChoixJour!$A$5,ROW(),"")</f>
        <v/>
      </c>
    </row>
    <row r="150" customFormat="false" ht="13.8" hidden="false" customHeight="false" outlineLevel="0" collapsed="false">
      <c r="A150" s="81" t="n">
        <v>43846</v>
      </c>
      <c r="B150" s="83" t="s">
        <v>62</v>
      </c>
      <c r="C150" s="0" t="s">
        <v>63</v>
      </c>
      <c r="D150" s="0" t="str">
        <f aca="false">IFERROR(VLOOKUP(E150,Pieces!B:C,2,0)," ")</f>
        <v> </v>
      </c>
      <c r="E150" s="0" t="s">
        <v>136</v>
      </c>
      <c r="F150" s="0" t="n">
        <v>0</v>
      </c>
      <c r="G150" s="0" t="n">
        <v>0</v>
      </c>
      <c r="H150" s="0" t="n">
        <v>0</v>
      </c>
      <c r="I150" s="0" t="n">
        <v>0</v>
      </c>
      <c r="J150" s="0" t="n">
        <f aca="false">IFERROR(VLOOKUP(E150,Pieces!A:C,3,0),"Entrer la cadence")</f>
        <v>1</v>
      </c>
      <c r="K150" s="0" t="n">
        <v>1</v>
      </c>
      <c r="L150" s="0" t="n">
        <f aca="false">(G150-F150)*K150</f>
        <v>0</v>
      </c>
      <c r="M150" s="0" t="n">
        <f aca="false">(H150-G150)*K150</f>
        <v>0</v>
      </c>
      <c r="N150" s="0" t="n">
        <f aca="false">(I150-H150)*K150</f>
        <v>0</v>
      </c>
      <c r="O150" s="0" t="n">
        <f aca="false">IF(J150=0,0,L150/J150)</f>
        <v>0</v>
      </c>
      <c r="P150" s="0" t="n">
        <f aca="false">IF(J150=0,0,M150/J150)</f>
        <v>0</v>
      </c>
      <c r="Q150" s="0" t="n">
        <f aca="false">IF(J150=0,0,N150/J150)</f>
        <v>0</v>
      </c>
      <c r="R150" s="0" t="n">
        <v>9</v>
      </c>
      <c r="T150" s="0" t="n">
        <f aca="false">V150+U150-L150-M150-N150</f>
        <v>0</v>
      </c>
      <c r="U150" s="0" t="n">
        <f aca="true">SUM(INDIRECT(ADDRESS(MATCH("Nombre des NC poubelle ",ChoixRJ!$B$1:$B$29,0),MATCH($C150,ChoixRJ!$13:$13,0),4,1,"ChoixRJ"),1)*1,INDIRECT(ADDRESS(MATCH("Nombre des NC à retoucher",ChoixRJ!$B$1:$B$29,0),MATCH($C150,ChoixRJ!$13:$13,0),4,1,"ChoixRJ"),1)*1)</f>
        <v>0</v>
      </c>
      <c r="V150" s="0" t="n">
        <v>0</v>
      </c>
      <c r="AA150" s="0" t="n">
        <f aca="false">IF(J150=0,0,(V150+U150)/J150)</f>
        <v>0</v>
      </c>
      <c r="AB150" s="0" t="n">
        <f aca="false">IF(OR(R150=0,J150=0),"",AA150/R150*100)</f>
        <v>0</v>
      </c>
      <c r="AF150" s="0" t="str">
        <f aca="false">IF(AB150&gt;85," ","WARNING")</f>
        <v>WARNING</v>
      </c>
      <c r="AG150" s="0" t="str">
        <f aca="false">IF(A150=ChoixJour!$A$5,ROW(),"")</f>
        <v/>
      </c>
    </row>
    <row r="151" customFormat="false" ht="13.8" hidden="false" customHeight="false" outlineLevel="0" collapsed="false">
      <c r="A151" s="81" t="n">
        <v>43846</v>
      </c>
      <c r="B151" s="83" t="s">
        <v>58</v>
      </c>
      <c r="C151" s="0" t="s">
        <v>59</v>
      </c>
      <c r="D151" s="0" t="str">
        <f aca="false">IFERROR(VLOOKUP(E151,Pieces!B:C,2,0)," ")</f>
        <v> </v>
      </c>
      <c r="E151" s="0" t="s">
        <v>883</v>
      </c>
      <c r="F151" s="0" t="n">
        <v>0</v>
      </c>
      <c r="G151" s="0" t="n">
        <v>47</v>
      </c>
      <c r="H151" s="0" t="n">
        <v>47</v>
      </c>
      <c r="I151" s="0" t="n">
        <v>47</v>
      </c>
      <c r="J151" s="0" t="n">
        <f aca="false">IFERROR(VLOOKUP(E151,Pieces!A:C,3,0),"Entrer la cadence")</f>
        <v>28</v>
      </c>
      <c r="K151" s="0" t="n">
        <v>7</v>
      </c>
      <c r="L151" s="0" t="n">
        <f aca="false">(G151-F151)*K151</f>
        <v>329</v>
      </c>
      <c r="M151" s="0" t="n">
        <f aca="false">(H151-G151)*K151</f>
        <v>0</v>
      </c>
      <c r="N151" s="0" t="n">
        <f aca="false">(I151-H151)*K151</f>
        <v>0</v>
      </c>
      <c r="O151" s="0" t="n">
        <f aca="false">IF(J151=0,0,L151/J151)</f>
        <v>11.75</v>
      </c>
      <c r="P151" s="0" t="n">
        <f aca="false">IF(J151=0,0,M151/J151)</f>
        <v>0</v>
      </c>
      <c r="Q151" s="0" t="n">
        <f aca="false">IF(J151=0,0,N151/J151)</f>
        <v>0</v>
      </c>
      <c r="R151" s="0" t="n">
        <v>9</v>
      </c>
      <c r="T151" s="0" t="n">
        <f aca="false">V151+U151-L151-M151-N151</f>
        <v>0</v>
      </c>
      <c r="U151" s="0" t="n">
        <f aca="true">SUM(INDIRECT(ADDRESS(MATCH("Nombre des NC poubelle ",ChoixRJ!$B$1:$B$29,0),MATCH($C151,ChoixRJ!$13:$13,0),4,1,"ChoixRJ"),1)*1,INDIRECT(ADDRESS(MATCH("Nombre des NC à retoucher",ChoixRJ!$B$1:$B$29,0),MATCH($C151,ChoixRJ!$13:$13,0),4,1,"ChoixRJ"),1)*1)</f>
        <v>0</v>
      </c>
      <c r="V151" s="0" t="n">
        <v>329</v>
      </c>
      <c r="AA151" s="0" t="n">
        <f aca="false">IF(J151=0,0,(V151+U151)/J151)</f>
        <v>11.75</v>
      </c>
      <c r="AB151" s="0" t="n">
        <f aca="false">IF(OR(R151=0,J151=0),"",AA151/R151*100)</f>
        <v>130.555555555556</v>
      </c>
      <c r="AF151" s="0" t="str">
        <f aca="false">IF(AB151&gt;85," ","WARNING")</f>
        <v> </v>
      </c>
      <c r="AG151" s="0" t="str">
        <f aca="false">IF(A151=ChoixJour!$A$5,ROW(),"")</f>
        <v/>
      </c>
    </row>
    <row r="152" customFormat="false" ht="13.8" hidden="false" customHeight="false" outlineLevel="0" collapsed="false">
      <c r="A152" s="81" t="n">
        <v>43846</v>
      </c>
      <c r="B152" s="83" t="s">
        <v>60</v>
      </c>
      <c r="C152" s="0" t="s">
        <v>61</v>
      </c>
      <c r="D152" s="0" t="str">
        <f aca="false">IFERROR(VLOOKUP(E152,Pieces!B:C,2,0)," ")</f>
        <v> </v>
      </c>
      <c r="E152" s="0" t="s">
        <v>758</v>
      </c>
      <c r="F152" s="0" t="n">
        <v>80</v>
      </c>
      <c r="G152" s="0" t="n">
        <v>80</v>
      </c>
      <c r="H152" s="0" t="n">
        <v>80</v>
      </c>
      <c r="I152" s="0" t="n">
        <v>80</v>
      </c>
      <c r="J152" s="0" t="n">
        <f aca="false">IFERROR(VLOOKUP(E152,Pieces!A:C,3,0),"Entrer la cadence")</f>
        <v>60</v>
      </c>
      <c r="K152" s="0" t="n">
        <v>20</v>
      </c>
      <c r="L152" s="0" t="n">
        <f aca="false">(G152-F152)*K152</f>
        <v>0</v>
      </c>
      <c r="M152" s="0" t="n">
        <f aca="false">(H152-G152)*K152</f>
        <v>0</v>
      </c>
      <c r="N152" s="0" t="n">
        <f aca="false">(I152-H152)*K152</f>
        <v>0</v>
      </c>
      <c r="O152" s="0" t="n">
        <f aca="false">IF(J152=0,0,L152/J152)</f>
        <v>0</v>
      </c>
      <c r="P152" s="0" t="n">
        <f aca="false">IF(J152=0,0,M152/J152)</f>
        <v>0</v>
      </c>
      <c r="Q152" s="0" t="n">
        <f aca="false">IF(J152=0,0,N152/J152)</f>
        <v>0</v>
      </c>
      <c r="R152" s="0" t="n">
        <v>9</v>
      </c>
      <c r="T152" s="0" t="n">
        <f aca="false">V152+U152-L152-M152-N152</f>
        <v>0</v>
      </c>
      <c r="U152" s="0" t="n">
        <f aca="true">SUM(INDIRECT(ADDRESS(MATCH("Nombre des NC poubelle ",ChoixRJ!$B$1:$B$29,0),MATCH($C152,ChoixRJ!$13:$13,0),4,1,"ChoixRJ"),1)*1,INDIRECT(ADDRESS(MATCH("Nombre des NC à retoucher",ChoixRJ!$B$1:$B$29,0),MATCH($C152,ChoixRJ!$13:$13,0),4,1,"ChoixRJ"),1)*1)</f>
        <v>0</v>
      </c>
      <c r="V152" s="0" t="n">
        <v>0</v>
      </c>
      <c r="AA152" s="0" t="n">
        <f aca="false">IF(J152=0,0,(V152+U152)/J152)</f>
        <v>0</v>
      </c>
      <c r="AB152" s="0" t="n">
        <f aca="false">IF(OR(R152=0,J152=0),"",AA152/R152*100)</f>
        <v>0</v>
      </c>
      <c r="AF152" s="0" t="str">
        <f aca="false">IF(AB152&gt;85," ","WARNING")</f>
        <v>WARNING</v>
      </c>
      <c r="AG152" s="0" t="str">
        <f aca="false">IF(A152=ChoixJour!$A$5,ROW(),"")</f>
        <v/>
      </c>
    </row>
    <row r="153" customFormat="false" ht="13.8" hidden="false" customHeight="false" outlineLevel="0" collapsed="false">
      <c r="A153" s="81" t="n">
        <v>43846</v>
      </c>
      <c r="B153" s="83" t="s">
        <v>68</v>
      </c>
      <c r="C153" s="0" t="s">
        <v>69</v>
      </c>
      <c r="D153" s="0" t="str">
        <f aca="false">IFERROR(VLOOKUP(E153,Pieces!B:C,2,0)," ")</f>
        <v> </v>
      </c>
      <c r="E153" s="0" t="s">
        <v>928</v>
      </c>
      <c r="F153" s="0" t="n">
        <v>102</v>
      </c>
      <c r="G153" s="0" t="n">
        <v>129</v>
      </c>
      <c r="H153" s="0" t="n">
        <v>129</v>
      </c>
      <c r="I153" s="0" t="n">
        <v>129</v>
      </c>
      <c r="J153" s="0" t="n">
        <f aca="false">IFERROR(VLOOKUP(E153,Pieces!A:C,3,0),"Entrer la cadence")</f>
        <v>38</v>
      </c>
      <c r="K153" s="0" t="n">
        <v>51</v>
      </c>
      <c r="L153" s="0" t="n">
        <f aca="false">(G153-F153)*K153</f>
        <v>1377</v>
      </c>
      <c r="M153" s="0" t="n">
        <f aca="false">(H153-G153)*K153</f>
        <v>0</v>
      </c>
      <c r="N153" s="0" t="n">
        <f aca="false">(I153-H153)*K153</f>
        <v>0</v>
      </c>
      <c r="O153" s="0" t="n">
        <f aca="false">IF(J153=0,0,L153/J153)</f>
        <v>36.2368421052632</v>
      </c>
      <c r="P153" s="0" t="n">
        <f aca="false">IF(J153=0,0,M153/J153)</f>
        <v>0</v>
      </c>
      <c r="Q153" s="0" t="n">
        <f aca="false">IF(J153=0,0,N153/J153)</f>
        <v>0</v>
      </c>
      <c r="R153" s="0" t="n">
        <v>9</v>
      </c>
      <c r="T153" s="0" t="n">
        <f aca="false">V153+U153-L153-M153-N153</f>
        <v>0</v>
      </c>
      <c r="U153" s="0" t="n">
        <f aca="true">SUM(INDIRECT(ADDRESS(MATCH("Nombre des NC poubelle ",ChoixRJ!$B$1:$B$29,0),MATCH($C153,ChoixRJ!$13:$13,0),4,1,"ChoixRJ"),1)*1,INDIRECT(ADDRESS(MATCH("Nombre des NC à retoucher",ChoixRJ!$B$1:$B$29,0),MATCH($C153,ChoixRJ!$13:$13,0),4,1,"ChoixRJ"),1)*1)</f>
        <v>0</v>
      </c>
      <c r="V153" s="0" t="n">
        <v>1377</v>
      </c>
      <c r="AA153" s="0" t="n">
        <f aca="false">IF(J153=0,0,(V153+U153)/J153)</f>
        <v>36.2368421052632</v>
      </c>
      <c r="AB153" s="0" t="n">
        <f aca="false">IF(OR(R153=0,J153=0),"",AA153/R153*100)</f>
        <v>402.631578947368</v>
      </c>
      <c r="AF153" s="0" t="str">
        <f aca="false">IF(AB153&gt;85," ","WARNING")</f>
        <v> </v>
      </c>
      <c r="AG153" s="0" t="str">
        <f aca="false">IF(A153=ChoixJour!$A$5,ROW(),"")</f>
        <v/>
      </c>
    </row>
    <row r="154" customFormat="false" ht="13.8" hidden="false" customHeight="false" outlineLevel="0" collapsed="false">
      <c r="A154" s="81" t="n">
        <v>43846</v>
      </c>
      <c r="B154" s="83" t="s">
        <v>66</v>
      </c>
      <c r="C154" s="0" t="s">
        <v>67</v>
      </c>
      <c r="D154" s="0" t="str">
        <f aca="false">IFERROR(VLOOKUP(E154,Pieces!B:C,2,0)," ")</f>
        <v> </v>
      </c>
      <c r="E154" s="0" t="s">
        <v>136</v>
      </c>
      <c r="F154" s="0" t="n">
        <v>0</v>
      </c>
      <c r="G154" s="0" t="n">
        <v>0</v>
      </c>
      <c r="H154" s="0" t="n">
        <v>0</v>
      </c>
      <c r="I154" s="0" t="n">
        <v>0</v>
      </c>
      <c r="J154" s="0" t="n">
        <f aca="false">IFERROR(VLOOKUP(E154,Pieces!A:C,3,0),"Entrer la cadence")</f>
        <v>1</v>
      </c>
      <c r="K154" s="0" t="n">
        <v>1</v>
      </c>
      <c r="L154" s="0" t="n">
        <f aca="false">(G154-F154)*K154</f>
        <v>0</v>
      </c>
      <c r="M154" s="0" t="n">
        <f aca="false">(H154-G154)*K154</f>
        <v>0</v>
      </c>
      <c r="N154" s="0" t="n">
        <f aca="false">(I154-H154)*K154</f>
        <v>0</v>
      </c>
      <c r="O154" s="0" t="n">
        <f aca="false">IF(J154=0,0,L154/J154)</f>
        <v>0</v>
      </c>
      <c r="P154" s="0" t="n">
        <f aca="false">IF(J154=0,0,M154/J154)</f>
        <v>0</v>
      </c>
      <c r="Q154" s="0" t="n">
        <f aca="false">IF(J154=0,0,N154/J154)</f>
        <v>0</v>
      </c>
      <c r="R154" s="0" t="n">
        <v>9</v>
      </c>
      <c r="T154" s="0" t="n">
        <f aca="false">V154+U154-L154-M154-N154</f>
        <v>0</v>
      </c>
      <c r="U154" s="0" t="n">
        <f aca="true">SUM(INDIRECT(ADDRESS(MATCH("Nombre des NC poubelle ",ChoixRJ!$B$1:$B$29,0),MATCH($C154,ChoixRJ!$13:$13,0),4,1,"ChoixRJ"),1)*1,INDIRECT(ADDRESS(MATCH("Nombre des NC à retoucher",ChoixRJ!$B$1:$B$29,0),MATCH($C154,ChoixRJ!$13:$13,0),4,1,"ChoixRJ"),1)*1)</f>
        <v>0</v>
      </c>
      <c r="V154" s="0" t="n">
        <v>0</v>
      </c>
      <c r="AA154" s="0" t="n">
        <f aca="false">IF(J154=0,0,(V154+U154)/J154)</f>
        <v>0</v>
      </c>
      <c r="AB154" s="0" t="n">
        <f aca="false">IF(OR(R154=0,J154=0),"",AA154/R154*100)</f>
        <v>0</v>
      </c>
      <c r="AF154" s="0" t="str">
        <f aca="false">IF(AB154&gt;85," ","WARNING")</f>
        <v>WARNING</v>
      </c>
      <c r="AG154" s="0" t="str">
        <f aca="false">IF(A154=ChoixJour!$A$5,ROW(),"")</f>
        <v/>
      </c>
    </row>
    <row r="155" customFormat="false" ht="13.8" hidden="false" customHeight="false" outlineLevel="0" collapsed="false">
      <c r="A155" s="81" t="n">
        <v>43846</v>
      </c>
      <c r="B155" s="83" t="s">
        <v>46</v>
      </c>
      <c r="C155" s="0" t="s">
        <v>57</v>
      </c>
      <c r="D155" s="0" t="str">
        <f aca="false">IFERROR(VLOOKUP(E155,Pieces!B:C,2,0)," ")</f>
        <v> </v>
      </c>
      <c r="E155" s="0" t="s">
        <v>958</v>
      </c>
      <c r="F155" s="0" t="n">
        <v>180777</v>
      </c>
      <c r="G155" s="0" t="n">
        <v>180777</v>
      </c>
      <c r="H155" s="0" t="n">
        <v>180777</v>
      </c>
      <c r="I155" s="0" t="n">
        <v>180777</v>
      </c>
      <c r="J155" s="0" t="n">
        <f aca="false">IFERROR(VLOOKUP(E155,Pieces!A:C,3,0),"Entrer la cadence")</f>
        <v>454</v>
      </c>
      <c r="K155" s="0" t="n">
        <v>1</v>
      </c>
      <c r="L155" s="0" t="n">
        <f aca="false">(G155-F155)*K155</f>
        <v>0</v>
      </c>
      <c r="M155" s="0" t="n">
        <f aca="false">(H155-G155)*K155</f>
        <v>0</v>
      </c>
      <c r="N155" s="0" t="n">
        <f aca="false">(I155-H155)*K155</f>
        <v>0</v>
      </c>
      <c r="O155" s="0" t="n">
        <f aca="false">IF(J155=0,0,L155/J155)</f>
        <v>0</v>
      </c>
      <c r="P155" s="0" t="n">
        <f aca="false">IF(J155=0,0,M155/J155)</f>
        <v>0</v>
      </c>
      <c r="Q155" s="0" t="n">
        <f aca="false">IF(J155=0,0,N155/J155)</f>
        <v>0</v>
      </c>
      <c r="R155" s="0" t="n">
        <v>9</v>
      </c>
      <c r="T155" s="0" t="n">
        <f aca="false">V155+U155-L155-M155-N155</f>
        <v>0</v>
      </c>
      <c r="U155" s="0" t="n">
        <f aca="true">SUM(INDIRECT(ADDRESS(MATCH("Nombre des NC poubelle ",ChoixRJ!$B$1:$B$29,0),MATCH($C155,ChoixRJ!$13:$13,0),4,1,"ChoixRJ"),1)*1,INDIRECT(ADDRESS(MATCH("Nombre des NC à retoucher",ChoixRJ!$B$1:$B$29,0),MATCH($C155,ChoixRJ!$13:$13,0),4,1,"ChoixRJ"),1)*1)</f>
        <v>0</v>
      </c>
      <c r="V155" s="0" t="n">
        <v>0</v>
      </c>
      <c r="AA155" s="0" t="n">
        <f aca="false">IF(J155=0,0,(V155+U155)/J155)</f>
        <v>0</v>
      </c>
      <c r="AB155" s="0" t="n">
        <f aca="false">IF(OR(R155=0,J155=0),"",AA155/R155*100)</f>
        <v>0</v>
      </c>
      <c r="AF155" s="0" t="str">
        <f aca="false">IF(AB155&gt;85," ","WARNING")</f>
        <v>WARNING</v>
      </c>
      <c r="AG155" s="0" t="str">
        <f aca="false">IF(A155=ChoixJour!$A$5,ROW(),"")</f>
        <v/>
      </c>
    </row>
    <row r="156" customFormat="false" ht="13.8" hidden="false" customHeight="false" outlineLevel="0" collapsed="false">
      <c r="A156" s="81" t="n">
        <v>43846</v>
      </c>
      <c r="B156" s="83" t="s">
        <v>64</v>
      </c>
      <c r="C156" s="0" t="s">
        <v>65</v>
      </c>
      <c r="D156" s="0" t="str">
        <f aca="false">IFERROR(VLOOKUP(E156,Pieces!B:C,2,0)," ")</f>
        <v> </v>
      </c>
      <c r="E156" s="0" t="s">
        <v>136</v>
      </c>
      <c r="F156" s="0" t="n">
        <v>0</v>
      </c>
      <c r="G156" s="0" t="n">
        <v>0</v>
      </c>
      <c r="H156" s="0" t="n">
        <v>0</v>
      </c>
      <c r="I156" s="0" t="n">
        <v>0</v>
      </c>
      <c r="J156" s="0" t="n">
        <f aca="false">IFERROR(VLOOKUP(E156,Pieces!A:C,3,0),"Entrer la cadence")</f>
        <v>1</v>
      </c>
      <c r="K156" s="0" t="n">
        <v>1</v>
      </c>
      <c r="L156" s="0" t="n">
        <f aca="false">(G156-F156)*K156</f>
        <v>0</v>
      </c>
      <c r="M156" s="0" t="n">
        <f aca="false">(H156-G156)*K156</f>
        <v>0</v>
      </c>
      <c r="N156" s="0" t="n">
        <f aca="false">(I156-H156)*K156</f>
        <v>0</v>
      </c>
      <c r="O156" s="0" t="n">
        <f aca="false">IF(J156=0,0,L156/J156)</f>
        <v>0</v>
      </c>
      <c r="P156" s="0" t="n">
        <f aca="false">IF(J156=0,0,M156/J156)</f>
        <v>0</v>
      </c>
      <c r="Q156" s="0" t="n">
        <f aca="false">IF(J156=0,0,N156/J156)</f>
        <v>0</v>
      </c>
      <c r="R156" s="0" t="n">
        <v>9</v>
      </c>
      <c r="S156" s="0" t="s">
        <v>1063</v>
      </c>
      <c r="T156" s="0" t="n">
        <f aca="false">V156+U156-L156-M156-N156</f>
        <v>0</v>
      </c>
      <c r="U156" s="0" t="n">
        <f aca="true">SUM(INDIRECT(ADDRESS(MATCH("Nombre des NC poubelle ",ChoixRJ!$B$1:$B$29,0),MATCH($C156,ChoixRJ!$13:$13,0),4,1,"ChoixRJ"),1)*1,INDIRECT(ADDRESS(MATCH("Nombre des NC à retoucher",ChoixRJ!$B$1:$B$29,0),MATCH($C156,ChoixRJ!$13:$13,0),4,1,"ChoixRJ"),1)*1)</f>
        <v>0</v>
      </c>
      <c r="V156" s="0" t="n">
        <v>0</v>
      </c>
      <c r="AA156" s="0" t="n">
        <f aca="false">IF(J156=0,0,(V156+U156)/J156)</f>
        <v>0</v>
      </c>
      <c r="AB156" s="0" t="n">
        <f aca="false">IF(OR(R156=0,J156=0),"",AA156/R156*100)</f>
        <v>0</v>
      </c>
      <c r="AF156" s="0" t="str">
        <f aca="false">IF(AB156&gt;85," ","WARNING")</f>
        <v>WARNING</v>
      </c>
      <c r="AG156" s="0" t="str">
        <f aca="false">IF(A156=ChoixJour!$A$5,ROW(),"")</f>
        <v/>
      </c>
    </row>
    <row r="157" customFormat="false" ht="13.8" hidden="false" customHeight="false" outlineLevel="0" collapsed="false">
      <c r="A157" s="81" t="n">
        <v>43846</v>
      </c>
      <c r="B157" s="83" t="s">
        <v>96</v>
      </c>
      <c r="C157" s="0" t="s">
        <v>71</v>
      </c>
      <c r="D157" s="0" t="str">
        <f aca="false">IFERROR(VLOOKUP(E157,Pieces!B:C,2,0)," ")</f>
        <v> </v>
      </c>
      <c r="E157" s="0" t="s">
        <v>1042</v>
      </c>
      <c r="F157" s="0" t="n">
        <v>1661</v>
      </c>
      <c r="G157" s="0" t="n">
        <v>1913</v>
      </c>
      <c r="H157" s="0" t="n">
        <v>1913</v>
      </c>
      <c r="I157" s="0" t="n">
        <v>1913</v>
      </c>
      <c r="J157" s="0" t="n">
        <f aca="false">IFERROR(VLOOKUP(E157,Pieces!A:C,3,0),"Entrer la cadence")</f>
        <v>20</v>
      </c>
      <c r="K157" s="0" t="n">
        <v>1</v>
      </c>
      <c r="L157" s="0" t="n">
        <f aca="false">(G157-F157)*K157</f>
        <v>252</v>
      </c>
      <c r="M157" s="0" t="n">
        <f aca="false">(H157-G157)*K157</f>
        <v>0</v>
      </c>
      <c r="N157" s="0" t="n">
        <f aca="false">(I157-H157)*K157</f>
        <v>0</v>
      </c>
      <c r="O157" s="0" t="n">
        <f aca="false">IF(J157=0,0,L157/J157)</f>
        <v>12.6</v>
      </c>
      <c r="P157" s="0" t="n">
        <f aca="false">IF(J157=0,0,M157/J157)</f>
        <v>0</v>
      </c>
      <c r="Q157" s="0" t="n">
        <f aca="false">IF(J157=0,0,N157/J157)</f>
        <v>0</v>
      </c>
      <c r="R157" s="0" t="n">
        <v>9</v>
      </c>
      <c r="T157" s="0" t="n">
        <f aca="false">V157+U157-L157-M157-N157</f>
        <v>0</v>
      </c>
      <c r="U157" s="0" t="n">
        <f aca="true">SUM(INDIRECT(ADDRESS(MATCH("Nombre des NC poubelle ",ChoixRJ!$B$1:$B$29,0),MATCH($C157,ChoixRJ!$13:$13,0),4,1,"ChoixRJ"),1)*1,INDIRECT(ADDRESS(MATCH("Nombre des NC à retoucher",ChoixRJ!$B$1:$B$29,0),MATCH($C157,ChoixRJ!$13:$13,0),4,1,"ChoixRJ"),1)*1)</f>
        <v>0</v>
      </c>
      <c r="V157" s="0" t="n">
        <v>252</v>
      </c>
      <c r="AA157" s="0" t="n">
        <f aca="false">IF(J157=0,0,(V157+U157)/J157)</f>
        <v>12.6</v>
      </c>
      <c r="AB157" s="0" t="n">
        <f aca="false">IF(OR(R157=0,J157=0),"",AA157/R157*100)</f>
        <v>140</v>
      </c>
      <c r="AF157" s="0" t="str">
        <f aca="false">IF(AB157&gt;85," ","WARNING")</f>
        <v> </v>
      </c>
      <c r="AG157" s="0" t="str">
        <f aca="false">IF(A157=ChoixJour!$A$5,ROW(),"")</f>
        <v/>
      </c>
    </row>
    <row r="158" customFormat="false" ht="13.8" hidden="false" customHeight="false" outlineLevel="0" collapsed="false">
      <c r="A158" s="81" t="n">
        <v>43847</v>
      </c>
      <c r="B158" s="83" t="s">
        <v>36</v>
      </c>
      <c r="C158" s="0" t="s">
        <v>52</v>
      </c>
      <c r="D158" s="0" t="str">
        <f aca="false">IFERROR(VLOOKUP(E158,Pieces!B:C,2,0)," ")</f>
        <v> </v>
      </c>
      <c r="E158" s="0" t="s">
        <v>940</v>
      </c>
      <c r="F158" s="0" t="n">
        <v>34740</v>
      </c>
      <c r="G158" s="0" t="n">
        <v>35390</v>
      </c>
      <c r="H158" s="0" t="n">
        <v>35390</v>
      </c>
      <c r="I158" s="0" t="n">
        <v>35390</v>
      </c>
      <c r="J158" s="0" t="n">
        <f aca="false">IFERROR(VLOOKUP(E158,Pieces!A:C,3,0),"Entrer la cadence")</f>
        <v>75</v>
      </c>
      <c r="K158" s="0" t="n">
        <v>1</v>
      </c>
      <c r="L158" s="0" t="n">
        <f aca="false">(G158-F158)*K158</f>
        <v>650</v>
      </c>
      <c r="M158" s="0" t="n">
        <f aca="false">(H158-G158)*K158</f>
        <v>0</v>
      </c>
      <c r="N158" s="0" t="n">
        <f aca="false">(I158-H158)*K158</f>
        <v>0</v>
      </c>
      <c r="O158" s="0" t="n">
        <f aca="false">IF(J158=0,0,L158/J158)</f>
        <v>8.66666666666667</v>
      </c>
      <c r="P158" s="0" t="n">
        <f aca="false">IF(J158=0,0,M158/J158)</f>
        <v>0</v>
      </c>
      <c r="Q158" s="0" t="n">
        <f aca="false">IF(J158=0,0,N158/J158)</f>
        <v>0</v>
      </c>
      <c r="R158" s="0" t="n">
        <v>9</v>
      </c>
      <c r="T158" s="0" t="n">
        <f aca="false">V158+U158-L158-M158-N158</f>
        <v>0</v>
      </c>
      <c r="U158" s="0" t="n">
        <f aca="true">SUM(INDIRECT(ADDRESS(MATCH("Nombre des NC poubelle ",ChoixRJ!$B$1:$B$29,0),MATCH($C158,ChoixRJ!$13:$13,0),4,1,"ChoixRJ"),1)*1,INDIRECT(ADDRESS(MATCH("Nombre des NC à retoucher",ChoixRJ!$B$1:$B$29,0),MATCH($C158,ChoixRJ!$13:$13,0),4,1,"ChoixRJ"),1)*1)</f>
        <v>0</v>
      </c>
      <c r="V158" s="0" t="n">
        <v>650</v>
      </c>
      <c r="AA158" s="0" t="n">
        <f aca="false">IF(J158=0,0,(V158+U158)/J158)</f>
        <v>8.66666666666667</v>
      </c>
      <c r="AB158" s="0" t="n">
        <f aca="false">IF(OR(R158=0,J158=0),"",AA158/R158*100)</f>
        <v>96.2962962962963</v>
      </c>
      <c r="AF158" s="0" t="str">
        <f aca="false">IF(AB158&gt;85," ","WARNING")</f>
        <v> </v>
      </c>
      <c r="AG158" s="0" t="str">
        <f aca="false">IF(A158=ChoixJour!$A$5,ROW(),"")</f>
        <v/>
      </c>
    </row>
    <row r="159" customFormat="false" ht="13.8" hidden="false" customHeight="false" outlineLevel="0" collapsed="false">
      <c r="A159" s="81" t="n">
        <v>43847</v>
      </c>
      <c r="B159" s="83" t="s">
        <v>38</v>
      </c>
      <c r="C159" s="0" t="s">
        <v>53</v>
      </c>
      <c r="D159" s="0" t="str">
        <f aca="false">IFERROR(VLOOKUP(E159,Pieces!B:C,2,0)," ")</f>
        <v> </v>
      </c>
      <c r="E159" s="0" t="s">
        <v>612</v>
      </c>
      <c r="F159" s="0" t="n">
        <v>0</v>
      </c>
      <c r="G159" s="0" t="n">
        <v>443</v>
      </c>
      <c r="H159" s="0" t="n">
        <v>443</v>
      </c>
      <c r="I159" s="0" t="n">
        <v>443</v>
      </c>
      <c r="J159" s="0" t="n">
        <f aca="false">IFERROR(VLOOKUP(E159,Pieces!A:C,3,0),"Entrer la cadence")</f>
        <v>90</v>
      </c>
      <c r="K159" s="0" t="n">
        <v>1</v>
      </c>
      <c r="L159" s="0" t="n">
        <f aca="false">(G159-F159)*K159</f>
        <v>443</v>
      </c>
      <c r="M159" s="0" t="n">
        <f aca="false">(H159-G159)*K159</f>
        <v>0</v>
      </c>
      <c r="N159" s="0" t="n">
        <f aca="false">(I159-H159)*K159</f>
        <v>0</v>
      </c>
      <c r="O159" s="0" t="n">
        <f aca="false">IF(J159=0,0,L159/J159)</f>
        <v>4.92222222222222</v>
      </c>
      <c r="P159" s="0" t="n">
        <f aca="false">IF(J159=0,0,M159/J159)</f>
        <v>0</v>
      </c>
      <c r="Q159" s="0" t="n">
        <f aca="false">IF(J159=0,0,N159/J159)</f>
        <v>0</v>
      </c>
      <c r="R159" s="0" t="n">
        <v>9</v>
      </c>
      <c r="S159" s="0" t="s">
        <v>1065</v>
      </c>
      <c r="T159" s="0" t="n">
        <f aca="false">V159+U159-L159-M159-N159</f>
        <v>0</v>
      </c>
      <c r="U159" s="0" t="n">
        <f aca="true">SUM(INDIRECT(ADDRESS(MATCH("Nombre des NC poubelle ",ChoixRJ!$B$1:$B$29,0),MATCH($C159,ChoixRJ!$13:$13,0),4,1,"ChoixRJ"),1)*1,INDIRECT(ADDRESS(MATCH("Nombre des NC à retoucher",ChoixRJ!$B$1:$B$29,0),MATCH($C159,ChoixRJ!$13:$13,0),4,1,"ChoixRJ"),1)*1)</f>
        <v>0</v>
      </c>
      <c r="V159" s="0" t="n">
        <v>443</v>
      </c>
      <c r="AA159" s="0" t="n">
        <f aca="false">IF(J159=0,0,(V159+U159)/J159)</f>
        <v>4.92222222222222</v>
      </c>
      <c r="AB159" s="0" t="n">
        <f aca="false">IF(OR(R159=0,J159=0),"",AA159/R159*100)</f>
        <v>54.6913580246914</v>
      </c>
      <c r="AF159" s="0" t="str">
        <f aca="false">IF(AB159&gt;85," ","WARNING")</f>
        <v>WARNING</v>
      </c>
      <c r="AG159" s="0" t="str">
        <f aca="false">IF(A159=ChoixJour!$A$5,ROW(),"")</f>
        <v/>
      </c>
    </row>
    <row r="160" customFormat="false" ht="13.8" hidden="false" customHeight="false" outlineLevel="0" collapsed="false">
      <c r="A160" s="81" t="n">
        <v>43847</v>
      </c>
      <c r="B160" s="83" t="s">
        <v>40</v>
      </c>
      <c r="C160" s="0" t="s">
        <v>54</v>
      </c>
      <c r="D160" s="0" t="str">
        <f aca="false">IFERROR(VLOOKUP(E160,Pieces!B:C,2,0)," ")</f>
        <v> </v>
      </c>
      <c r="E160" s="0" t="s">
        <v>896</v>
      </c>
      <c r="F160" s="0" t="n">
        <v>2416</v>
      </c>
      <c r="G160" s="0" t="n">
        <v>2725</v>
      </c>
      <c r="H160" s="0" t="n">
        <v>2725</v>
      </c>
      <c r="I160" s="0" t="n">
        <v>2725</v>
      </c>
      <c r="J160" s="0" t="n">
        <f aca="false">IFERROR(VLOOKUP(E160,Pieces!A:C,3,0),"Entrer la cadence")</f>
        <v>50</v>
      </c>
      <c r="K160" s="0" t="n">
        <v>1</v>
      </c>
      <c r="L160" s="0" t="n">
        <f aca="false">(G160-F160)*K160</f>
        <v>309</v>
      </c>
      <c r="M160" s="0" t="n">
        <f aca="false">(H160-G160)*K160</f>
        <v>0</v>
      </c>
      <c r="N160" s="0" t="n">
        <f aca="false">(I160-H160)*K160</f>
        <v>0</v>
      </c>
      <c r="O160" s="0" t="n">
        <f aca="false">IF(J160=0,0,L160/J160)</f>
        <v>6.18</v>
      </c>
      <c r="P160" s="0" t="n">
        <f aca="false">IF(J160=0,0,M160/J160)</f>
        <v>0</v>
      </c>
      <c r="Q160" s="0" t="n">
        <f aca="false">IF(J160=0,0,N160/J160)</f>
        <v>0</v>
      </c>
      <c r="R160" s="0" t="n">
        <v>9</v>
      </c>
      <c r="T160" s="0" t="n">
        <f aca="false">V160+U160-L160-M160-N160</f>
        <v>0</v>
      </c>
      <c r="U160" s="0" t="n">
        <f aca="true">SUM(INDIRECT(ADDRESS(MATCH("Nombre des NC poubelle ",ChoixRJ!$B$1:$B$29,0),MATCH($C160,ChoixRJ!$13:$13,0),4,1,"ChoixRJ"),1)*1,INDIRECT(ADDRESS(MATCH("Nombre des NC à retoucher",ChoixRJ!$B$1:$B$29,0),MATCH($C160,ChoixRJ!$13:$13,0),4,1,"ChoixRJ"),1)*1)</f>
        <v>0</v>
      </c>
      <c r="V160" s="0" t="n">
        <v>309</v>
      </c>
      <c r="AA160" s="0" t="n">
        <f aca="false">IF(J160=0,0,(V160+U160)/J160)</f>
        <v>6.18</v>
      </c>
      <c r="AB160" s="0" t="n">
        <f aca="false">IF(OR(R160=0,J160=0),"",AA160/R160*100)</f>
        <v>68.6666666666667</v>
      </c>
      <c r="AF160" s="0" t="str">
        <f aca="false">IF(AB160&gt;85," ","WARNING")</f>
        <v>WARNING</v>
      </c>
      <c r="AG160" s="0" t="str">
        <f aca="false">IF(A160=ChoixJour!$A$5,ROW(),"")</f>
        <v/>
      </c>
    </row>
    <row r="161" customFormat="false" ht="13.8" hidden="false" customHeight="false" outlineLevel="0" collapsed="false">
      <c r="A161" s="81" t="n">
        <v>43847</v>
      </c>
      <c r="B161" s="83" t="s">
        <v>42</v>
      </c>
      <c r="C161" s="0" t="s">
        <v>55</v>
      </c>
      <c r="D161" s="0" t="str">
        <f aca="false">IFERROR(VLOOKUP(E161,Pieces!B:C,2,0)," ")</f>
        <v> </v>
      </c>
      <c r="E161" s="0" t="s">
        <v>1045</v>
      </c>
      <c r="F161" s="0" t="n">
        <v>176</v>
      </c>
      <c r="G161" s="0" t="n">
        <v>396</v>
      </c>
      <c r="H161" s="0" t="n">
        <v>396</v>
      </c>
      <c r="I161" s="0" t="n">
        <v>396</v>
      </c>
      <c r="J161" s="0" t="n">
        <f aca="false">IFERROR(VLOOKUP(E161,Pieces!A:C,3,0),"Entrer la cadence")</f>
        <v>30</v>
      </c>
      <c r="K161" s="0" t="n">
        <v>1</v>
      </c>
      <c r="L161" s="0" t="n">
        <f aca="false">(G161-F161)*K161</f>
        <v>220</v>
      </c>
      <c r="M161" s="0" t="n">
        <f aca="false">(H161-G161)*K161</f>
        <v>0</v>
      </c>
      <c r="N161" s="0" t="n">
        <f aca="false">(I161-H161)*K161</f>
        <v>0</v>
      </c>
      <c r="O161" s="0" t="n">
        <f aca="false">IF(J161=0,0,L161/J161)</f>
        <v>7.33333333333333</v>
      </c>
      <c r="P161" s="0" t="n">
        <f aca="false">IF(J161=0,0,M161/J161)</f>
        <v>0</v>
      </c>
      <c r="Q161" s="0" t="n">
        <f aca="false">IF(J161=0,0,N161/J161)</f>
        <v>0</v>
      </c>
      <c r="R161" s="0" t="n">
        <v>9</v>
      </c>
      <c r="T161" s="0" t="n">
        <f aca="false">V161+U161-L161-M161-N161</f>
        <v>9</v>
      </c>
      <c r="U161" s="0" t="n">
        <f aca="true">SUM(INDIRECT(ADDRESS(MATCH("Nombre des NC poubelle ",ChoixRJ!$B$1:$B$29,0),MATCH($C161,ChoixRJ!$13:$13,0),4,1,"ChoixRJ"),1)*1,INDIRECT(ADDRESS(MATCH("Nombre des NC à retoucher",ChoixRJ!$B$1:$B$29,0),MATCH($C161,ChoixRJ!$13:$13,0),4,1,"ChoixRJ"),1)*1)</f>
        <v>9</v>
      </c>
      <c r="V161" s="0" t="n">
        <v>220</v>
      </c>
      <c r="AA161" s="0" t="n">
        <f aca="false">IF(J161=0,0,(V161+U161)/J161)</f>
        <v>7.63333333333333</v>
      </c>
      <c r="AB161" s="0" t="n">
        <f aca="false">IF(OR(R161=0,J161=0),"",AA161/R161*100)</f>
        <v>84.8148148148148</v>
      </c>
      <c r="AF161" s="0" t="str">
        <f aca="false">IF(AB161&gt;85," ","WARNING")</f>
        <v>WARNING</v>
      </c>
      <c r="AG161" s="0" t="str">
        <f aca="false">IF(A161=ChoixJour!$A$5,ROW(),"")</f>
        <v/>
      </c>
    </row>
    <row r="162" customFormat="false" ht="13.8" hidden="false" customHeight="false" outlineLevel="0" collapsed="false">
      <c r="A162" s="81" t="n">
        <v>43847</v>
      </c>
      <c r="B162" s="83" t="s">
        <v>44</v>
      </c>
      <c r="C162" s="0" t="s">
        <v>56</v>
      </c>
      <c r="D162" s="0" t="str">
        <f aca="false">IFERROR(VLOOKUP(E162,Pieces!B:C,2,0)," ")</f>
        <v> </v>
      </c>
      <c r="E162" s="0" t="s">
        <v>1047</v>
      </c>
      <c r="F162" s="0" t="n">
        <v>610</v>
      </c>
      <c r="G162" s="0" t="n">
        <v>942</v>
      </c>
      <c r="H162" s="0" t="n">
        <v>942</v>
      </c>
      <c r="I162" s="0" t="n">
        <v>942</v>
      </c>
      <c r="J162" s="0" t="n">
        <f aca="false">IFERROR(VLOOKUP(E162,Pieces!A:C,3,0),"Entrer la cadence")</f>
        <v>60</v>
      </c>
      <c r="K162" s="0" t="n">
        <v>1</v>
      </c>
      <c r="L162" s="0" t="n">
        <f aca="false">(G162-F162)*K162</f>
        <v>332</v>
      </c>
      <c r="M162" s="0" t="n">
        <f aca="false">(H162-G162)*K162</f>
        <v>0</v>
      </c>
      <c r="N162" s="0" t="n">
        <f aca="false">(I162-H162)*K162</f>
        <v>0</v>
      </c>
      <c r="O162" s="0" t="n">
        <f aca="false">IF(J162=0,0,L162/J162)</f>
        <v>5.53333333333333</v>
      </c>
      <c r="P162" s="0" t="n">
        <f aca="false">IF(J162=0,0,M162/J162)</f>
        <v>0</v>
      </c>
      <c r="Q162" s="0" t="n">
        <f aca="false">IF(J162=0,0,N162/J162)</f>
        <v>0</v>
      </c>
      <c r="R162" s="0" t="n">
        <v>9</v>
      </c>
      <c r="T162" s="0" t="n">
        <f aca="false">V162+U162-L162-M162-N162</f>
        <v>0</v>
      </c>
      <c r="U162" s="0" t="n">
        <f aca="true">SUM(INDIRECT(ADDRESS(MATCH("Nombre des NC poubelle ",ChoixRJ!$B$1:$B$29,0),MATCH($C162,ChoixRJ!$13:$13,0),4,1,"ChoixRJ"),1)*1,INDIRECT(ADDRESS(MATCH("Nombre des NC à retoucher",ChoixRJ!$B$1:$B$29,0),MATCH($C162,ChoixRJ!$13:$13,0),4,1,"ChoixRJ"),1)*1)</f>
        <v>0</v>
      </c>
      <c r="V162" s="0" t="n">
        <v>332</v>
      </c>
      <c r="AA162" s="0" t="n">
        <f aca="false">IF(J162=0,0,(V162+U162)/J162)</f>
        <v>5.53333333333333</v>
      </c>
      <c r="AB162" s="0" t="n">
        <f aca="false">IF(OR(R162=0,J162=0),"",AA162/R162*100)</f>
        <v>61.4814814814815</v>
      </c>
      <c r="AF162" s="0" t="str">
        <f aca="false">IF(AB162&gt;85," ","WARNING")</f>
        <v>WARNING</v>
      </c>
      <c r="AG162" s="0" t="str">
        <f aca="false">IF(A162=ChoixJour!$A$5,ROW(),"")</f>
        <v/>
      </c>
    </row>
    <row r="163" customFormat="false" ht="13.8" hidden="false" customHeight="false" outlineLevel="0" collapsed="false">
      <c r="A163" s="81" t="n">
        <v>43847</v>
      </c>
      <c r="B163" s="83" t="s">
        <v>62</v>
      </c>
      <c r="C163" s="0" t="s">
        <v>63</v>
      </c>
      <c r="D163" s="0" t="str">
        <f aca="false">IFERROR(VLOOKUP(E163,Pieces!B:C,2,0)," ")</f>
        <v> </v>
      </c>
      <c r="E163" s="0" t="s">
        <v>136</v>
      </c>
      <c r="F163" s="0" t="n">
        <v>0</v>
      </c>
      <c r="G163" s="0" t="n">
        <v>0</v>
      </c>
      <c r="H163" s="0" t="n">
        <v>0</v>
      </c>
      <c r="I163" s="0" t="n">
        <v>0</v>
      </c>
      <c r="J163" s="0" t="n">
        <f aca="false">IFERROR(VLOOKUP(E163,Pieces!A:C,3,0),"Entrer la cadence")</f>
        <v>1</v>
      </c>
      <c r="K163" s="0" t="n">
        <v>1</v>
      </c>
      <c r="L163" s="0" t="n">
        <f aca="false">(G163-F163)*K163</f>
        <v>0</v>
      </c>
      <c r="M163" s="0" t="n">
        <f aca="false">(H163-G163)*K163</f>
        <v>0</v>
      </c>
      <c r="N163" s="0" t="n">
        <f aca="false">(I163-H163)*K163</f>
        <v>0</v>
      </c>
      <c r="O163" s="0" t="n">
        <f aca="false">IF(J163=0,0,L163/J163)</f>
        <v>0</v>
      </c>
      <c r="P163" s="0" t="n">
        <f aca="false">IF(J163=0,0,M163/J163)</f>
        <v>0</v>
      </c>
      <c r="Q163" s="0" t="n">
        <f aca="false">IF(J163=0,0,N163/J163)</f>
        <v>0</v>
      </c>
      <c r="R163" s="0" t="n">
        <v>9</v>
      </c>
      <c r="T163" s="0" t="n">
        <f aca="false">V163+U163-L163-M163-N163</f>
        <v>0</v>
      </c>
      <c r="U163" s="0" t="n">
        <f aca="true">SUM(INDIRECT(ADDRESS(MATCH("Nombre des NC poubelle ",ChoixRJ!$B$1:$B$29,0),MATCH($C163,ChoixRJ!$13:$13,0),4,1,"ChoixRJ"),1)*1,INDIRECT(ADDRESS(MATCH("Nombre des NC à retoucher",ChoixRJ!$B$1:$B$29,0),MATCH($C163,ChoixRJ!$13:$13,0),4,1,"ChoixRJ"),1)*1)</f>
        <v>0</v>
      </c>
      <c r="V163" s="0" t="n">
        <v>0</v>
      </c>
      <c r="AA163" s="0" t="n">
        <f aca="false">IF(J163=0,0,(V163+U163)/J163)</f>
        <v>0</v>
      </c>
      <c r="AB163" s="0" t="n">
        <f aca="false">IF(OR(R163=0,J163=0),"",AA163/R163*100)</f>
        <v>0</v>
      </c>
      <c r="AF163" s="0" t="str">
        <f aca="false">IF(AB163&gt;85," ","WARNING")</f>
        <v>WARNING</v>
      </c>
      <c r="AG163" s="0" t="str">
        <f aca="false">IF(A163=ChoixJour!$A$5,ROW(),"")</f>
        <v/>
      </c>
    </row>
    <row r="164" customFormat="false" ht="13.8" hidden="false" customHeight="false" outlineLevel="0" collapsed="false">
      <c r="A164" s="81" t="n">
        <v>43847</v>
      </c>
      <c r="B164" s="83" t="s">
        <v>58</v>
      </c>
      <c r="C164" s="0" t="s">
        <v>59</v>
      </c>
      <c r="D164" s="0" t="str">
        <f aca="false">IFERROR(VLOOKUP(E164,Pieces!B:C,2,0)," ")</f>
        <v> </v>
      </c>
      <c r="E164" s="0" t="s">
        <v>883</v>
      </c>
      <c r="F164" s="0" t="n">
        <v>47</v>
      </c>
      <c r="G164" s="0" t="n">
        <v>76</v>
      </c>
      <c r="H164" s="0" t="n">
        <v>76</v>
      </c>
      <c r="I164" s="0" t="n">
        <v>76</v>
      </c>
      <c r="J164" s="0" t="n">
        <f aca="false">IFERROR(VLOOKUP(E164,Pieces!A:C,3,0),"Entrer la cadence")</f>
        <v>28</v>
      </c>
      <c r="K164" s="0" t="n">
        <v>7</v>
      </c>
      <c r="L164" s="0" t="n">
        <f aca="false">(G164-F164)*K164</f>
        <v>203</v>
      </c>
      <c r="M164" s="0" t="n">
        <f aca="false">(H164-G164)*K164</f>
        <v>0</v>
      </c>
      <c r="N164" s="0" t="n">
        <f aca="false">(I164-H164)*K164</f>
        <v>0</v>
      </c>
      <c r="O164" s="0" t="n">
        <f aca="false">IF(J164=0,0,L164/J164)</f>
        <v>7.25</v>
      </c>
      <c r="P164" s="0" t="n">
        <f aca="false">IF(J164=0,0,M164/J164)</f>
        <v>0</v>
      </c>
      <c r="Q164" s="0" t="n">
        <f aca="false">IF(J164=0,0,N164/J164)</f>
        <v>0</v>
      </c>
      <c r="R164" s="0" t="n">
        <v>9</v>
      </c>
      <c r="T164" s="0" t="n">
        <f aca="false">V164+U164-L164-M164-N164</f>
        <v>0</v>
      </c>
      <c r="U164" s="0" t="n">
        <f aca="true">SUM(INDIRECT(ADDRESS(MATCH("Nombre des NC poubelle ",ChoixRJ!$B$1:$B$29,0),MATCH($C164,ChoixRJ!$13:$13,0),4,1,"ChoixRJ"),1)*1,INDIRECT(ADDRESS(MATCH("Nombre des NC à retoucher",ChoixRJ!$B$1:$B$29,0),MATCH($C164,ChoixRJ!$13:$13,0),4,1,"ChoixRJ"),1)*1)</f>
        <v>0</v>
      </c>
      <c r="V164" s="0" t="n">
        <v>203</v>
      </c>
      <c r="AA164" s="0" t="n">
        <f aca="false">IF(J164=0,0,(V164+U164)/J164)</f>
        <v>7.25</v>
      </c>
      <c r="AB164" s="0" t="n">
        <f aca="false">IF(OR(R164=0,J164=0),"",AA164/R164*100)</f>
        <v>80.5555555555556</v>
      </c>
      <c r="AF164" s="0" t="str">
        <f aca="false">IF(AB164&gt;85," ","WARNING")</f>
        <v>WARNING</v>
      </c>
      <c r="AG164" s="0" t="str">
        <f aca="false">IF(A164=ChoixJour!$A$5,ROW(),"")</f>
        <v/>
      </c>
    </row>
    <row r="165" customFormat="false" ht="13.8" hidden="false" customHeight="false" outlineLevel="0" collapsed="false">
      <c r="A165" s="81" t="n">
        <v>43847</v>
      </c>
      <c r="B165" s="83" t="s">
        <v>60</v>
      </c>
      <c r="C165" s="0" t="s">
        <v>61</v>
      </c>
      <c r="D165" s="0" t="str">
        <f aca="false">IFERROR(VLOOKUP(E165,Pieces!B:C,2,0)," ")</f>
        <v> </v>
      </c>
      <c r="E165" s="0" t="s">
        <v>758</v>
      </c>
      <c r="F165" s="0" t="n">
        <v>80</v>
      </c>
      <c r="G165" s="0" t="n">
        <v>128</v>
      </c>
      <c r="H165" s="0" t="n">
        <v>128</v>
      </c>
      <c r="I165" s="0" t="n">
        <v>128</v>
      </c>
      <c r="J165" s="0" t="n">
        <f aca="false">IFERROR(VLOOKUP(E165,Pieces!A:C,3,0),"Entrer la cadence")</f>
        <v>60</v>
      </c>
      <c r="K165" s="0" t="n">
        <v>20</v>
      </c>
      <c r="L165" s="0" t="n">
        <f aca="false">(G165-F165)*K165</f>
        <v>960</v>
      </c>
      <c r="M165" s="0" t="n">
        <f aca="false">(H165-G165)*K165</f>
        <v>0</v>
      </c>
      <c r="N165" s="0" t="n">
        <f aca="false">(I165-H165)*K165</f>
        <v>0</v>
      </c>
      <c r="O165" s="0" t="n">
        <f aca="false">IF(J165=0,0,L165/J165)</f>
        <v>16</v>
      </c>
      <c r="P165" s="0" t="n">
        <f aca="false">IF(J165=0,0,M165/J165)</f>
        <v>0</v>
      </c>
      <c r="Q165" s="0" t="n">
        <f aca="false">IF(J165=0,0,N165/J165)</f>
        <v>0</v>
      </c>
      <c r="R165" s="0" t="n">
        <v>9</v>
      </c>
      <c r="T165" s="0" t="n">
        <f aca="false">V165+U165-L165-M165-N165</f>
        <v>0</v>
      </c>
      <c r="U165" s="0" t="n">
        <f aca="true">SUM(INDIRECT(ADDRESS(MATCH("Nombre des NC poubelle ",ChoixRJ!$B$1:$B$29,0),MATCH($C165,ChoixRJ!$13:$13,0),4,1,"ChoixRJ"),1)*1,INDIRECT(ADDRESS(MATCH("Nombre des NC à retoucher",ChoixRJ!$B$1:$B$29,0),MATCH($C165,ChoixRJ!$13:$13,0),4,1,"ChoixRJ"),1)*1)</f>
        <v>0</v>
      </c>
      <c r="V165" s="0" t="n">
        <v>960</v>
      </c>
      <c r="AA165" s="0" t="n">
        <f aca="false">IF(J165=0,0,(V165+U165)/J165)</f>
        <v>16</v>
      </c>
      <c r="AB165" s="0" t="n">
        <f aca="false">IF(OR(R165=0,J165=0),"",AA165/R165*100)</f>
        <v>177.777777777778</v>
      </c>
      <c r="AF165" s="0" t="str">
        <f aca="false">IF(AB165&gt;85," ","WARNING")</f>
        <v> </v>
      </c>
      <c r="AG165" s="0" t="str">
        <f aca="false">IF(A165=ChoixJour!$A$5,ROW(),"")</f>
        <v/>
      </c>
    </row>
    <row r="166" customFormat="false" ht="13.8" hidden="false" customHeight="false" outlineLevel="0" collapsed="false">
      <c r="A166" s="81" t="n">
        <v>43847</v>
      </c>
      <c r="B166" s="83" t="s">
        <v>68</v>
      </c>
      <c r="C166" s="0" t="s">
        <v>69</v>
      </c>
      <c r="D166" s="0" t="str">
        <f aca="false">IFERROR(VLOOKUP(E166,Pieces!B:C,2,0)," ")</f>
        <v> </v>
      </c>
      <c r="E166" s="0" t="s">
        <v>928</v>
      </c>
      <c r="F166" s="0" t="n">
        <v>129</v>
      </c>
      <c r="G166" s="0" t="n">
        <v>155</v>
      </c>
      <c r="H166" s="0" t="n">
        <v>155</v>
      </c>
      <c r="I166" s="0" t="n">
        <v>155</v>
      </c>
      <c r="J166" s="0" t="n">
        <f aca="false">IFERROR(VLOOKUP(E166,Pieces!A:C,3,0),"Entrer la cadence")</f>
        <v>38</v>
      </c>
      <c r="K166" s="0" t="n">
        <v>51</v>
      </c>
      <c r="L166" s="0" t="n">
        <f aca="false">(G166-F166)*K166</f>
        <v>1326</v>
      </c>
      <c r="M166" s="0" t="n">
        <f aca="false">(H166-G166)*K166</f>
        <v>0</v>
      </c>
      <c r="N166" s="0" t="n">
        <f aca="false">(I166-H166)*K166</f>
        <v>0</v>
      </c>
      <c r="O166" s="0" t="n">
        <f aca="false">IF(J166=0,0,L166/J166)</f>
        <v>34.8947368421053</v>
      </c>
      <c r="P166" s="0" t="n">
        <f aca="false">IF(J166=0,0,M166/J166)</f>
        <v>0</v>
      </c>
      <c r="Q166" s="0" t="n">
        <f aca="false">IF(J166=0,0,N166/J166)</f>
        <v>0</v>
      </c>
      <c r="R166" s="0" t="n">
        <v>9</v>
      </c>
      <c r="T166" s="0" t="n">
        <f aca="false">V166+U166-L166-M166-N166</f>
        <v>0</v>
      </c>
      <c r="U166" s="0" t="n">
        <f aca="true">SUM(INDIRECT(ADDRESS(MATCH("Nombre des NC poubelle ",ChoixRJ!$B$1:$B$29,0),MATCH($C166,ChoixRJ!$13:$13,0),4,1,"ChoixRJ"),1)*1,INDIRECT(ADDRESS(MATCH("Nombre des NC à retoucher",ChoixRJ!$B$1:$B$29,0),MATCH($C166,ChoixRJ!$13:$13,0),4,1,"ChoixRJ"),1)*1)</f>
        <v>0</v>
      </c>
      <c r="V166" s="0" t="n">
        <v>1326</v>
      </c>
      <c r="AA166" s="0" t="n">
        <f aca="false">IF(J166=0,0,(V166+U166)/J166)</f>
        <v>34.8947368421053</v>
      </c>
      <c r="AB166" s="0" t="n">
        <f aca="false">IF(OR(R166=0,J166=0),"",AA166/R166*100)</f>
        <v>387.719298245614</v>
      </c>
      <c r="AF166" s="0" t="str">
        <f aca="false">IF(AB166&gt;85," ","WARNING")</f>
        <v> </v>
      </c>
      <c r="AG166" s="0" t="str">
        <f aca="false">IF(A166=ChoixJour!$A$5,ROW(),"")</f>
        <v/>
      </c>
    </row>
    <row r="167" customFormat="false" ht="13.8" hidden="false" customHeight="false" outlineLevel="0" collapsed="false">
      <c r="A167" s="81" t="n">
        <v>43847</v>
      </c>
      <c r="B167" s="83" t="s">
        <v>66</v>
      </c>
      <c r="C167" s="0" t="s">
        <v>67</v>
      </c>
      <c r="D167" s="0" t="str">
        <f aca="false">IFERROR(VLOOKUP(E167,Pieces!B:C,2,0)," ")</f>
        <v> </v>
      </c>
      <c r="E167" s="0" t="s">
        <v>136</v>
      </c>
      <c r="F167" s="0" t="n">
        <v>0</v>
      </c>
      <c r="G167" s="0" t="n">
        <v>0</v>
      </c>
      <c r="H167" s="0" t="n">
        <v>0</v>
      </c>
      <c r="I167" s="0" t="n">
        <v>0</v>
      </c>
      <c r="J167" s="0" t="n">
        <f aca="false">IFERROR(VLOOKUP(E167,Pieces!A:C,3,0),"Entrer la cadence")</f>
        <v>1</v>
      </c>
      <c r="K167" s="0" t="n">
        <v>1</v>
      </c>
      <c r="L167" s="0" t="n">
        <f aca="false">(G167-F167)*K167</f>
        <v>0</v>
      </c>
      <c r="M167" s="0" t="n">
        <f aca="false">(H167-G167)*K167</f>
        <v>0</v>
      </c>
      <c r="N167" s="0" t="n">
        <f aca="false">(I167-H167)*K167</f>
        <v>0</v>
      </c>
      <c r="O167" s="0" t="n">
        <f aca="false">IF(J167=0,0,L167/J167)</f>
        <v>0</v>
      </c>
      <c r="P167" s="0" t="n">
        <f aca="false">IF(J167=0,0,M167/J167)</f>
        <v>0</v>
      </c>
      <c r="Q167" s="0" t="n">
        <f aca="false">IF(J167=0,0,N167/J167)</f>
        <v>0</v>
      </c>
      <c r="R167" s="0" t="n">
        <v>9</v>
      </c>
      <c r="T167" s="0" t="n">
        <f aca="false">V167+U167-L167-M167-N167</f>
        <v>0</v>
      </c>
      <c r="U167" s="0" t="n">
        <f aca="true">SUM(INDIRECT(ADDRESS(MATCH("Nombre des NC poubelle ",ChoixRJ!$B$1:$B$29,0),MATCH($C167,ChoixRJ!$13:$13,0),4,1,"ChoixRJ"),1)*1,INDIRECT(ADDRESS(MATCH("Nombre des NC à retoucher",ChoixRJ!$B$1:$B$29,0),MATCH($C167,ChoixRJ!$13:$13,0),4,1,"ChoixRJ"),1)*1)</f>
        <v>0</v>
      </c>
      <c r="V167" s="0" t="n">
        <v>0</v>
      </c>
      <c r="AA167" s="0" t="n">
        <f aca="false">IF(J167=0,0,(V167+U167)/J167)</f>
        <v>0</v>
      </c>
      <c r="AB167" s="0" t="n">
        <f aca="false">IF(OR(R167=0,J167=0),"",AA167/R167*100)</f>
        <v>0</v>
      </c>
      <c r="AF167" s="0" t="str">
        <f aca="false">IF(AB167&gt;85," ","WARNING")</f>
        <v>WARNING</v>
      </c>
      <c r="AG167" s="0" t="str">
        <f aca="false">IF(A167=ChoixJour!$A$5,ROW(),"")</f>
        <v/>
      </c>
    </row>
    <row r="168" customFormat="false" ht="13.8" hidden="false" customHeight="false" outlineLevel="0" collapsed="false">
      <c r="A168" s="81" t="n">
        <v>43847</v>
      </c>
      <c r="B168" s="83" t="s">
        <v>46</v>
      </c>
      <c r="C168" s="0" t="s">
        <v>57</v>
      </c>
      <c r="D168" s="0" t="str">
        <f aca="false">IFERROR(VLOOKUP(E168,Pieces!B:C,2,0)," ")</f>
        <v> </v>
      </c>
      <c r="E168" s="0" t="s">
        <v>958</v>
      </c>
      <c r="F168" s="0" t="n">
        <v>180777</v>
      </c>
      <c r="G168" s="0" t="n">
        <v>180840</v>
      </c>
      <c r="H168" s="0" t="n">
        <v>180840</v>
      </c>
      <c r="I168" s="0" t="n">
        <v>180840</v>
      </c>
      <c r="J168" s="0" t="n">
        <f aca="false">IFERROR(VLOOKUP(E168,Pieces!A:C,3,0),"Entrer la cadence")</f>
        <v>454</v>
      </c>
      <c r="K168" s="0" t="n">
        <v>1</v>
      </c>
      <c r="L168" s="0" t="n">
        <f aca="false">(G168-F168)*K168</f>
        <v>63</v>
      </c>
      <c r="M168" s="0" t="n">
        <f aca="false">(H168-G168)*K168</f>
        <v>0</v>
      </c>
      <c r="N168" s="0" t="n">
        <f aca="false">(I168-H168)*K168</f>
        <v>0</v>
      </c>
      <c r="O168" s="0" t="n">
        <f aca="false">IF(J168=0,0,L168/J168)</f>
        <v>0.138766519823789</v>
      </c>
      <c r="P168" s="0" t="n">
        <f aca="false">IF(J168=0,0,M168/J168)</f>
        <v>0</v>
      </c>
      <c r="Q168" s="0" t="n">
        <f aca="false">IF(J168=0,0,N168/J168)</f>
        <v>0</v>
      </c>
      <c r="R168" s="0" t="n">
        <v>9</v>
      </c>
      <c r="T168" s="0" t="n">
        <f aca="false">V168+U168-L168-M168-N168</f>
        <v>0</v>
      </c>
      <c r="U168" s="0" t="n">
        <f aca="true">SUM(INDIRECT(ADDRESS(MATCH("Nombre des NC poubelle ",ChoixRJ!$B$1:$B$29,0),MATCH($C168,ChoixRJ!$13:$13,0),4,1,"ChoixRJ"),1)*1,INDIRECT(ADDRESS(MATCH("Nombre des NC à retoucher",ChoixRJ!$B$1:$B$29,0),MATCH($C168,ChoixRJ!$13:$13,0),4,1,"ChoixRJ"),1)*1)</f>
        <v>0</v>
      </c>
      <c r="V168" s="0" t="n">
        <v>63</v>
      </c>
      <c r="AA168" s="0" t="n">
        <f aca="false">IF(J168=0,0,(V168+U168)/J168)</f>
        <v>0.138766519823789</v>
      </c>
      <c r="AB168" s="0" t="n">
        <f aca="false">IF(OR(R168=0,J168=0),"",AA168/R168*100)</f>
        <v>1.54185022026432</v>
      </c>
      <c r="AF168" s="0" t="str">
        <f aca="false">IF(AB168&gt;85," ","WARNING")</f>
        <v>WARNING</v>
      </c>
      <c r="AG168" s="0" t="str">
        <f aca="false">IF(A168=ChoixJour!$A$5,ROW(),"")</f>
        <v/>
      </c>
    </row>
    <row r="169" customFormat="false" ht="13.8" hidden="false" customHeight="false" outlineLevel="0" collapsed="false">
      <c r="A169" s="81" t="n">
        <v>43847</v>
      </c>
      <c r="B169" s="83" t="s">
        <v>64</v>
      </c>
      <c r="C169" s="0" t="s">
        <v>65</v>
      </c>
      <c r="D169" s="0" t="str">
        <f aca="false">IFERROR(VLOOKUP(E169,Pieces!B:C,2,0)," ")</f>
        <v> </v>
      </c>
      <c r="E169" s="0" t="s">
        <v>1066</v>
      </c>
      <c r="F169" s="0" t="n">
        <v>0</v>
      </c>
      <c r="G169" s="0" t="n">
        <v>0</v>
      </c>
      <c r="H169" s="0" t="n">
        <v>0</v>
      </c>
      <c r="I169" s="0" t="n">
        <v>0</v>
      </c>
      <c r="J169" s="0" t="str">
        <f aca="false">IFERROR(VLOOKUP(E169,Pieces!A:C,3,0),"Entrer la cadence")</f>
        <v>Entrer la cadence</v>
      </c>
      <c r="K169" s="0" t="n">
        <v>1</v>
      </c>
      <c r="L169" s="0" t="n">
        <f aca="false">(G169-F169)*K169</f>
        <v>0</v>
      </c>
      <c r="M169" s="0" t="n">
        <f aca="false">(H169-G169)*K169</f>
        <v>0</v>
      </c>
      <c r="N169" s="0" t="n">
        <f aca="false">(I169-H169)*K169</f>
        <v>0</v>
      </c>
      <c r="O169" s="0" t="e">
        <f aca="false">IF(J169=0,0,L169/J169)</f>
        <v>#VALUE!</v>
      </c>
      <c r="P169" s="0" t="e">
        <f aca="false">IF(J169=0,0,M169/J169)</f>
        <v>#VALUE!</v>
      </c>
      <c r="Q169" s="0" t="e">
        <f aca="false">IF(J169=0,0,N169/J169)</f>
        <v>#VALUE!</v>
      </c>
      <c r="R169" s="0" t="n">
        <v>9</v>
      </c>
      <c r="T169" s="0" t="n">
        <f aca="false">V169+U169-L169-M169-N169</f>
        <v>0</v>
      </c>
      <c r="U169" s="0" t="n">
        <f aca="true">SUM(INDIRECT(ADDRESS(MATCH("Nombre des NC poubelle ",ChoixRJ!$B$1:$B$29,0),MATCH($C169,ChoixRJ!$13:$13,0),4,1,"ChoixRJ"),1)*1,INDIRECT(ADDRESS(MATCH("Nombre des NC à retoucher",ChoixRJ!$B$1:$B$29,0),MATCH($C169,ChoixRJ!$13:$13,0),4,1,"ChoixRJ"),1)*1)</f>
        <v>0</v>
      </c>
      <c r="V169" s="0" t="n">
        <v>0</v>
      </c>
      <c r="AA169" s="0" t="e">
        <f aca="false">IF(J169=0,0,(V169+U169)/J169)</f>
        <v>#VALUE!</v>
      </c>
      <c r="AB169" s="0" t="e">
        <f aca="false">IF(OR(R169=0,J169=0),"",AA169/R169*100)</f>
        <v>#VALUE!</v>
      </c>
      <c r="AF169" s="0" t="e">
        <f aca="false">IF(AB169&gt;85," ","WARNING")</f>
        <v>#VALUE!</v>
      </c>
      <c r="AG169" s="0" t="str">
        <f aca="false">IF(A169=ChoixJour!$A$5,ROW(),"")</f>
        <v/>
      </c>
    </row>
    <row r="170" customFormat="false" ht="13.8" hidden="false" customHeight="false" outlineLevel="0" collapsed="false">
      <c r="A170" s="81" t="n">
        <v>43847</v>
      </c>
      <c r="B170" s="83" t="s">
        <v>96</v>
      </c>
      <c r="C170" s="0" t="s">
        <v>71</v>
      </c>
      <c r="D170" s="0" t="str">
        <f aca="false">IFERROR(VLOOKUP(E170,Pieces!B:C,2,0)," ")</f>
        <v> </v>
      </c>
      <c r="E170" s="0" t="s">
        <v>1042</v>
      </c>
      <c r="F170" s="0" t="n">
        <v>1913</v>
      </c>
      <c r="G170" s="0" t="n">
        <v>1913</v>
      </c>
      <c r="H170" s="0" t="n">
        <v>1913</v>
      </c>
      <c r="I170" s="0" t="n">
        <v>1913</v>
      </c>
      <c r="J170" s="0" t="n">
        <f aca="false">IFERROR(VLOOKUP(E170,Pieces!A:C,3,0),"Entrer la cadence")</f>
        <v>20</v>
      </c>
      <c r="K170" s="0" t="n">
        <v>1</v>
      </c>
      <c r="L170" s="0" t="n">
        <f aca="false">(G170-F170)*K170</f>
        <v>0</v>
      </c>
      <c r="M170" s="0" t="n">
        <f aca="false">(H170-G170)*K170</f>
        <v>0</v>
      </c>
      <c r="N170" s="0" t="n">
        <f aca="false">(I170-H170)*K170</f>
        <v>0</v>
      </c>
      <c r="O170" s="0" t="n">
        <f aca="false">IF(J170=0,0,L170/J170)</f>
        <v>0</v>
      </c>
      <c r="P170" s="0" t="n">
        <f aca="false">IF(J170=0,0,M170/J170)</f>
        <v>0</v>
      </c>
      <c r="Q170" s="0" t="n">
        <f aca="false">IF(J170=0,0,N170/J170)</f>
        <v>0</v>
      </c>
      <c r="R170" s="0" t="n">
        <v>9</v>
      </c>
      <c r="S170" s="0" t="s">
        <v>1067</v>
      </c>
      <c r="T170" s="0" t="n">
        <f aca="false">V170+U170-L170-M170-N170</f>
        <v>0</v>
      </c>
      <c r="U170" s="0" t="n">
        <f aca="true">SUM(INDIRECT(ADDRESS(MATCH("Nombre des NC poubelle ",ChoixRJ!$B$1:$B$29,0),MATCH($C170,ChoixRJ!$13:$13,0),4,1,"ChoixRJ"),1)*1,INDIRECT(ADDRESS(MATCH("Nombre des NC à retoucher",ChoixRJ!$B$1:$B$29,0),MATCH($C170,ChoixRJ!$13:$13,0),4,1,"ChoixRJ"),1)*1)</f>
        <v>0</v>
      </c>
      <c r="V170" s="0" t="n">
        <v>0</v>
      </c>
      <c r="AA170" s="0" t="n">
        <f aca="false">IF(J170=0,0,(V170+U170)/J170)</f>
        <v>0</v>
      </c>
      <c r="AB170" s="0" t="n">
        <f aca="false">IF(OR(R170=0,J170=0),"",AA170/R170*100)</f>
        <v>0</v>
      </c>
      <c r="AF170" s="0" t="str">
        <f aca="false">IF(AB170&gt;85," ","WARNING")</f>
        <v>WARNING</v>
      </c>
      <c r="AG170" s="0" t="str">
        <f aca="false">IF(A170=ChoixJour!$A$5,ROW(),"")</f>
        <v/>
      </c>
    </row>
    <row r="171" customFormat="false" ht="13.8" hidden="false" customHeight="false" outlineLevel="0" collapsed="false">
      <c r="A171" s="81" t="n">
        <v>43848</v>
      </c>
      <c r="B171" s="83" t="s">
        <v>36</v>
      </c>
      <c r="C171" s="0" t="s">
        <v>52</v>
      </c>
      <c r="D171" s="0" t="str">
        <f aca="false">IFERROR(VLOOKUP(E171,Pieces!B:C,2,0)," ")</f>
        <v> </v>
      </c>
      <c r="E171" s="0" t="s">
        <v>940</v>
      </c>
      <c r="F171" s="0" t="n">
        <v>35390</v>
      </c>
      <c r="G171" s="0" t="n">
        <v>35750</v>
      </c>
      <c r="H171" s="0" t="n">
        <v>35750</v>
      </c>
      <c r="I171" s="0" t="n">
        <v>35750</v>
      </c>
      <c r="J171" s="0" t="n">
        <f aca="false">IFERROR(VLOOKUP(E171,Pieces!A:C,3,0),"Entrer la cadence")</f>
        <v>75</v>
      </c>
      <c r="K171" s="0" t="n">
        <v>1</v>
      </c>
      <c r="L171" s="0" t="n">
        <f aca="false">(G171-F171)*K171</f>
        <v>360</v>
      </c>
      <c r="M171" s="0" t="n">
        <f aca="false">(H171-G171)*K171</f>
        <v>0</v>
      </c>
      <c r="N171" s="0" t="n">
        <f aca="false">(I171-H171)*K171</f>
        <v>0</v>
      </c>
      <c r="O171" s="0" t="n">
        <f aca="false">IF(J171=0,0,L171/J171)</f>
        <v>4.8</v>
      </c>
      <c r="P171" s="0" t="n">
        <f aca="false">IF(J171=0,0,M171/J171)</f>
        <v>0</v>
      </c>
      <c r="Q171" s="0" t="n">
        <f aca="false">IF(J171=0,0,N171/J171)</f>
        <v>0</v>
      </c>
      <c r="R171" s="0" t="n">
        <v>5</v>
      </c>
      <c r="T171" s="0" t="n">
        <f aca="false">V171+U171-L171-M171-N171</f>
        <v>0</v>
      </c>
      <c r="U171" s="0" t="n">
        <f aca="true">SUM(INDIRECT(ADDRESS(MATCH("Nombre des NC poubelle ",ChoixRJ!$B$1:$B$29,0),MATCH($C171,ChoixRJ!$13:$13,0),4,1,"ChoixRJ"),1)*1,INDIRECT(ADDRESS(MATCH("Nombre des NC à retoucher",ChoixRJ!$B$1:$B$29,0),MATCH($C171,ChoixRJ!$13:$13,0),4,1,"ChoixRJ"),1)*1)</f>
        <v>0</v>
      </c>
      <c r="V171" s="0" t="n">
        <v>360</v>
      </c>
      <c r="AA171" s="0" t="n">
        <f aca="false">IF(J171=0,0,(V171+U171)/J171)</f>
        <v>4.8</v>
      </c>
      <c r="AB171" s="0" t="n">
        <f aca="false">IF(OR(R171=0,J171=0),"",AA171/R171*100)</f>
        <v>96</v>
      </c>
      <c r="AF171" s="0" t="str">
        <f aca="false">IF(AB171&gt;85," ","WARNING")</f>
        <v> </v>
      </c>
      <c r="AG171" s="0" t="str">
        <f aca="false">IF(A171=ChoixJour!$A$5,ROW(),"")</f>
        <v/>
      </c>
    </row>
    <row r="172" customFormat="false" ht="13.8" hidden="false" customHeight="false" outlineLevel="0" collapsed="false">
      <c r="A172" s="81" t="n">
        <v>43848</v>
      </c>
      <c r="B172" s="83" t="s">
        <v>38</v>
      </c>
      <c r="C172" s="0" t="s">
        <v>53</v>
      </c>
      <c r="D172" s="0" t="str">
        <f aca="false">IFERROR(VLOOKUP(E172,Pieces!B:C,2,0)," ")</f>
        <v> </v>
      </c>
      <c r="E172" s="0" t="s">
        <v>612</v>
      </c>
      <c r="F172" s="0" t="n">
        <v>443</v>
      </c>
      <c r="G172" s="0" t="n">
        <v>900</v>
      </c>
      <c r="H172" s="0" t="n">
        <v>880</v>
      </c>
      <c r="I172" s="0" t="n">
        <v>880</v>
      </c>
      <c r="J172" s="0" t="n">
        <f aca="false">IFERROR(VLOOKUP(E172,Pieces!A:C,3,0),"Entrer la cadence")</f>
        <v>90</v>
      </c>
      <c r="K172" s="0" t="n">
        <v>1</v>
      </c>
      <c r="L172" s="0" t="n">
        <f aca="false">(G172-F172)*K172</f>
        <v>457</v>
      </c>
      <c r="M172" s="0" t="n">
        <f aca="false">(H172-G172)*K172</f>
        <v>-20</v>
      </c>
      <c r="N172" s="0" t="n">
        <f aca="false">(I172-H172)*K172</f>
        <v>0</v>
      </c>
      <c r="O172" s="0" t="n">
        <f aca="false">IF(J172=0,0,L172/J172)</f>
        <v>5.07777777777778</v>
      </c>
      <c r="P172" s="0" t="n">
        <f aca="false">IF(J172=0,0,M172/J172)</f>
        <v>-0.222222222222222</v>
      </c>
      <c r="Q172" s="0" t="n">
        <f aca="false">IF(J172=0,0,N172/J172)</f>
        <v>0</v>
      </c>
      <c r="R172" s="0" t="n">
        <v>5</v>
      </c>
      <c r="T172" s="0" t="n">
        <f aca="false">V172+U172-L172-M172-N172</f>
        <v>0</v>
      </c>
      <c r="U172" s="0" t="n">
        <f aca="true">SUM(INDIRECT(ADDRESS(MATCH("Nombre des NC poubelle ",ChoixRJ!$B$1:$B$29,0),MATCH($C172,ChoixRJ!$13:$13,0),4,1,"ChoixRJ"),1)*1,INDIRECT(ADDRESS(MATCH("Nombre des NC à retoucher",ChoixRJ!$B$1:$B$29,0),MATCH($C172,ChoixRJ!$13:$13,0),4,1,"ChoixRJ"),1)*1)</f>
        <v>0</v>
      </c>
      <c r="V172" s="0" t="n">
        <v>437</v>
      </c>
      <c r="AA172" s="0" t="n">
        <f aca="false">IF(J172=0,0,(V172+U172)/J172)</f>
        <v>4.85555555555556</v>
      </c>
      <c r="AB172" s="0" t="n">
        <f aca="false">IF(OR(R172=0,J172=0),"",AA172/R172*100)</f>
        <v>97.1111111111111</v>
      </c>
      <c r="AF172" s="0" t="str">
        <f aca="false">IF(AB172&gt;85," ","WARNING")</f>
        <v> </v>
      </c>
      <c r="AG172" s="0" t="str">
        <f aca="false">IF(A172=ChoixJour!$A$5,ROW(),"")</f>
        <v/>
      </c>
    </row>
    <row r="173" customFormat="false" ht="13.8" hidden="false" customHeight="false" outlineLevel="0" collapsed="false">
      <c r="A173" s="81" t="n">
        <v>43848</v>
      </c>
      <c r="B173" s="83" t="s">
        <v>40</v>
      </c>
      <c r="C173" s="0" t="s">
        <v>54</v>
      </c>
      <c r="D173" s="0" t="str">
        <f aca="false">IFERROR(VLOOKUP(E173,Pieces!B:C,2,0)," ")</f>
        <v> </v>
      </c>
      <c r="E173" s="0" t="s">
        <v>896</v>
      </c>
      <c r="F173" s="0" t="n">
        <v>2725</v>
      </c>
      <c r="G173" s="0" t="n">
        <v>2900</v>
      </c>
      <c r="H173" s="0" t="n">
        <v>2900</v>
      </c>
      <c r="I173" s="0" t="n">
        <v>2900</v>
      </c>
      <c r="J173" s="0" t="n">
        <f aca="false">IFERROR(VLOOKUP(E173,Pieces!A:C,3,0),"Entrer la cadence")</f>
        <v>50</v>
      </c>
      <c r="K173" s="0" t="n">
        <v>1</v>
      </c>
      <c r="L173" s="0" t="n">
        <f aca="false">(G173-F173)*K173</f>
        <v>175</v>
      </c>
      <c r="M173" s="0" t="n">
        <f aca="false">(H173-G173)*K173</f>
        <v>0</v>
      </c>
      <c r="N173" s="0" t="n">
        <f aca="false">(I173-H173)*K173</f>
        <v>0</v>
      </c>
      <c r="O173" s="0" t="n">
        <f aca="false">IF(J173=0,0,L173/J173)</f>
        <v>3.5</v>
      </c>
      <c r="P173" s="0" t="n">
        <f aca="false">IF(J173=0,0,M173/J173)</f>
        <v>0</v>
      </c>
      <c r="Q173" s="0" t="n">
        <f aca="false">IF(J173=0,0,N173/J173)</f>
        <v>0</v>
      </c>
      <c r="R173" s="0" t="n">
        <v>5</v>
      </c>
      <c r="T173" s="0" t="n">
        <f aca="false">V173+U173-L173-M173-N173</f>
        <v>-10</v>
      </c>
      <c r="U173" s="0" t="n">
        <f aca="true">SUM(INDIRECT(ADDRESS(MATCH("Nombre des NC poubelle ",ChoixRJ!$B$1:$B$29,0),MATCH($C173,ChoixRJ!$13:$13,0),4,1,"ChoixRJ"),1)*1,INDIRECT(ADDRESS(MATCH("Nombre des NC à retoucher",ChoixRJ!$B$1:$B$29,0),MATCH($C173,ChoixRJ!$13:$13,0),4,1,"ChoixRJ"),1)*1)</f>
        <v>0</v>
      </c>
      <c r="V173" s="0" t="n">
        <v>165</v>
      </c>
      <c r="AA173" s="0" t="n">
        <f aca="false">IF(J173=0,0,(V173+U173)/J173)</f>
        <v>3.3</v>
      </c>
      <c r="AB173" s="0" t="n">
        <f aca="false">IF(OR(R173=0,J173=0),"",AA173/R173*100)</f>
        <v>66</v>
      </c>
      <c r="AF173" s="0" t="str">
        <f aca="false">IF(AB173&gt;85," ","WARNING")</f>
        <v>WARNING</v>
      </c>
      <c r="AG173" s="0" t="str">
        <f aca="false">IF(A173=ChoixJour!$A$5,ROW(),"")</f>
        <v/>
      </c>
    </row>
    <row r="174" customFormat="false" ht="13.8" hidden="false" customHeight="false" outlineLevel="0" collapsed="false">
      <c r="A174" s="81" t="n">
        <v>43848</v>
      </c>
      <c r="B174" s="83" t="s">
        <v>42</v>
      </c>
      <c r="C174" s="0" t="s">
        <v>55</v>
      </c>
      <c r="D174" s="0" t="str">
        <f aca="false">IFERROR(VLOOKUP(E174,Pieces!B:C,2,0)," ")</f>
        <v> </v>
      </c>
      <c r="E174" s="0" t="s">
        <v>1045</v>
      </c>
      <c r="F174" s="0" t="n">
        <v>396</v>
      </c>
      <c r="G174" s="0" t="n">
        <v>479</v>
      </c>
      <c r="H174" s="0" t="n">
        <v>479</v>
      </c>
      <c r="I174" s="0" t="n">
        <v>479</v>
      </c>
      <c r="J174" s="0" t="n">
        <f aca="false">IFERROR(VLOOKUP(E174,Pieces!A:C,3,0),"Entrer la cadence")</f>
        <v>30</v>
      </c>
      <c r="K174" s="0" t="n">
        <v>1</v>
      </c>
      <c r="L174" s="0" t="n">
        <f aca="false">(G174-F174)*K174</f>
        <v>83</v>
      </c>
      <c r="M174" s="0" t="n">
        <f aca="false">(H174-G174)*K174</f>
        <v>0</v>
      </c>
      <c r="N174" s="0" t="n">
        <f aca="false">(I174-H174)*K174</f>
        <v>0</v>
      </c>
      <c r="O174" s="0" t="n">
        <f aca="false">IF(J174=0,0,L174/J174)</f>
        <v>2.76666666666667</v>
      </c>
      <c r="P174" s="0" t="n">
        <f aca="false">IF(J174=0,0,M174/J174)</f>
        <v>0</v>
      </c>
      <c r="Q174" s="0" t="n">
        <f aca="false">IF(J174=0,0,N174/J174)</f>
        <v>0</v>
      </c>
      <c r="R174" s="0" t="n">
        <v>5</v>
      </c>
      <c r="T174" s="0" t="n">
        <f aca="false">V174+U174-L174-M174-N174</f>
        <v>9</v>
      </c>
      <c r="U174" s="0" t="n">
        <f aca="true">SUM(INDIRECT(ADDRESS(MATCH("Nombre des NC poubelle ",ChoixRJ!$B$1:$B$29,0),MATCH($C174,ChoixRJ!$13:$13,0),4,1,"ChoixRJ"),1)*1,INDIRECT(ADDRESS(MATCH("Nombre des NC à retoucher",ChoixRJ!$B$1:$B$29,0),MATCH($C174,ChoixRJ!$13:$13,0),4,1,"ChoixRJ"),1)*1)</f>
        <v>9</v>
      </c>
      <c r="V174" s="0" t="n">
        <v>83</v>
      </c>
      <c r="AA174" s="0" t="n">
        <f aca="false">IF(J174=0,0,(V174+U174)/J174)</f>
        <v>3.06666666666667</v>
      </c>
      <c r="AB174" s="0" t="n">
        <f aca="false">IF(OR(R174=0,J174=0),"",AA174/R174*100)</f>
        <v>61.3333333333333</v>
      </c>
      <c r="AF174" s="0" t="str">
        <f aca="false">IF(AB174&gt;85," ","WARNING")</f>
        <v>WARNING</v>
      </c>
      <c r="AG174" s="0" t="str">
        <f aca="false">IF(A174=ChoixJour!$A$5,ROW(),"")</f>
        <v/>
      </c>
    </row>
    <row r="175" customFormat="false" ht="13.8" hidden="false" customHeight="false" outlineLevel="0" collapsed="false">
      <c r="A175" s="81" t="n">
        <v>43848</v>
      </c>
      <c r="B175" s="83" t="s">
        <v>44</v>
      </c>
      <c r="C175" s="0" t="s">
        <v>56</v>
      </c>
      <c r="D175" s="0" t="str">
        <f aca="false">IFERROR(VLOOKUP(E175,Pieces!B:C,2,0)," ")</f>
        <v> </v>
      </c>
      <c r="E175" s="0" t="s">
        <v>1047</v>
      </c>
      <c r="F175" s="0" t="n">
        <v>942</v>
      </c>
      <c r="G175" s="0" t="n">
        <v>1152</v>
      </c>
      <c r="H175" s="0" t="n">
        <v>1152</v>
      </c>
      <c r="I175" s="0" t="n">
        <v>1152</v>
      </c>
      <c r="J175" s="0" t="n">
        <f aca="false">IFERROR(VLOOKUP(E175,Pieces!A:C,3,0),"Entrer la cadence")</f>
        <v>60</v>
      </c>
      <c r="K175" s="0" t="n">
        <v>1</v>
      </c>
      <c r="L175" s="0" t="n">
        <f aca="false">(G175-F175)*K175</f>
        <v>210</v>
      </c>
      <c r="M175" s="0" t="n">
        <f aca="false">(H175-G175)*K175</f>
        <v>0</v>
      </c>
      <c r="N175" s="0" t="n">
        <f aca="false">(I175-H175)*K175</f>
        <v>0</v>
      </c>
      <c r="O175" s="0" t="n">
        <f aca="false">IF(J175=0,0,L175/J175)</f>
        <v>3.5</v>
      </c>
      <c r="P175" s="0" t="n">
        <f aca="false">IF(J175=0,0,M175/J175)</f>
        <v>0</v>
      </c>
      <c r="Q175" s="0" t="n">
        <f aca="false">IF(J175=0,0,N175/J175)</f>
        <v>0</v>
      </c>
      <c r="R175" s="0" t="n">
        <v>5</v>
      </c>
      <c r="T175" s="0" t="n">
        <f aca="false">V175+U175-L175-M175-N175</f>
        <v>-12</v>
      </c>
      <c r="U175" s="0" t="n">
        <f aca="true">SUM(INDIRECT(ADDRESS(MATCH("Nombre des NC poubelle ",ChoixRJ!$B$1:$B$29,0),MATCH($C175,ChoixRJ!$13:$13,0),4,1,"ChoixRJ"),1)*1,INDIRECT(ADDRESS(MATCH("Nombre des NC à retoucher",ChoixRJ!$B$1:$B$29,0),MATCH($C175,ChoixRJ!$13:$13,0),4,1,"ChoixRJ"),1)*1)</f>
        <v>0</v>
      </c>
      <c r="V175" s="0" t="n">
        <v>198</v>
      </c>
      <c r="AA175" s="0" t="n">
        <f aca="false">IF(J175=0,0,(V175+U175)/J175)</f>
        <v>3.3</v>
      </c>
      <c r="AB175" s="0" t="n">
        <f aca="false">IF(OR(R175=0,J175=0),"",AA175/R175*100)</f>
        <v>66</v>
      </c>
      <c r="AF175" s="0" t="str">
        <f aca="false">IF(AB175&gt;85," ","WARNING")</f>
        <v>WARNING</v>
      </c>
      <c r="AG175" s="0" t="str">
        <f aca="false">IF(A175=ChoixJour!$A$5,ROW(),"")</f>
        <v/>
      </c>
    </row>
    <row r="176" customFormat="false" ht="13.8" hidden="false" customHeight="false" outlineLevel="0" collapsed="false">
      <c r="A176" s="81" t="n">
        <v>43848</v>
      </c>
      <c r="B176" s="83" t="s">
        <v>62</v>
      </c>
      <c r="C176" s="0" t="s">
        <v>63</v>
      </c>
      <c r="D176" s="0" t="str">
        <f aca="false">IFERROR(VLOOKUP(E176,Pieces!B:C,2,0)," ")</f>
        <v> </v>
      </c>
      <c r="E176" s="0" t="s">
        <v>136</v>
      </c>
      <c r="F176" s="0" t="n">
        <v>0</v>
      </c>
      <c r="G176" s="0" t="n">
        <v>0</v>
      </c>
      <c r="H176" s="0" t="n">
        <v>0</v>
      </c>
      <c r="I176" s="0" t="n">
        <v>0</v>
      </c>
      <c r="J176" s="0" t="n">
        <f aca="false">IFERROR(VLOOKUP(E176,Pieces!A:C,3,0),"Entrer la cadence")</f>
        <v>1</v>
      </c>
      <c r="K176" s="0" t="n">
        <v>1</v>
      </c>
      <c r="L176" s="0" t="n">
        <f aca="false">(G176-F176)*K176</f>
        <v>0</v>
      </c>
      <c r="M176" s="0" t="n">
        <f aca="false">(H176-G176)*K176</f>
        <v>0</v>
      </c>
      <c r="N176" s="0" t="n">
        <f aca="false">(I176-H176)*K176</f>
        <v>0</v>
      </c>
      <c r="O176" s="0" t="n">
        <f aca="false">IF(J176=0,0,L176/J176)</f>
        <v>0</v>
      </c>
      <c r="P176" s="0" t="n">
        <f aca="false">IF(J176=0,0,M176/J176)</f>
        <v>0</v>
      </c>
      <c r="Q176" s="0" t="n">
        <f aca="false">IF(J176=0,0,N176/J176)</f>
        <v>0</v>
      </c>
      <c r="R176" s="0" t="n">
        <v>5</v>
      </c>
      <c r="T176" s="0" t="n">
        <f aca="false">V176+U176-L176-M176-N176</f>
        <v>0</v>
      </c>
      <c r="U176" s="0" t="n">
        <f aca="true">SUM(INDIRECT(ADDRESS(MATCH("Nombre des NC poubelle ",ChoixRJ!$B$1:$B$29,0),MATCH($C176,ChoixRJ!$13:$13,0),4,1,"ChoixRJ"),1)*1,INDIRECT(ADDRESS(MATCH("Nombre des NC à retoucher",ChoixRJ!$B$1:$B$29,0),MATCH($C176,ChoixRJ!$13:$13,0),4,1,"ChoixRJ"),1)*1)</f>
        <v>0</v>
      </c>
      <c r="V176" s="0" t="n">
        <v>0</v>
      </c>
      <c r="AA176" s="0" t="n">
        <f aca="false">IF(J176=0,0,(V176+U176)/J176)</f>
        <v>0</v>
      </c>
      <c r="AB176" s="0" t="n">
        <f aca="false">IF(OR(R176=0,J176=0),"",AA176/R176*100)</f>
        <v>0</v>
      </c>
      <c r="AF176" s="0" t="str">
        <f aca="false">IF(AB176&gt;85," ","WARNING")</f>
        <v>WARNING</v>
      </c>
      <c r="AG176" s="0" t="str">
        <f aca="false">IF(A176=ChoixJour!$A$5,ROW(),"")</f>
        <v/>
      </c>
    </row>
    <row r="177" customFormat="false" ht="13.8" hidden="false" customHeight="false" outlineLevel="0" collapsed="false">
      <c r="A177" s="81" t="n">
        <v>43848</v>
      </c>
      <c r="B177" s="83" t="s">
        <v>58</v>
      </c>
      <c r="C177" s="0" t="s">
        <v>59</v>
      </c>
      <c r="D177" s="0" t="str">
        <f aca="false">IFERROR(VLOOKUP(E177,Pieces!B:C,2,0)," ")</f>
        <v> </v>
      </c>
      <c r="E177" s="0" t="s">
        <v>883</v>
      </c>
      <c r="F177" s="0" t="n">
        <v>76</v>
      </c>
      <c r="G177" s="0" t="n">
        <v>96</v>
      </c>
      <c r="H177" s="0" t="n">
        <v>96</v>
      </c>
      <c r="I177" s="0" t="n">
        <v>96</v>
      </c>
      <c r="J177" s="0" t="n">
        <f aca="false">IFERROR(VLOOKUP(E177,Pieces!A:C,3,0),"Entrer la cadence")</f>
        <v>28</v>
      </c>
      <c r="K177" s="0" t="n">
        <v>7</v>
      </c>
      <c r="L177" s="0" t="n">
        <f aca="false">(G177-F177)*K177</f>
        <v>140</v>
      </c>
      <c r="M177" s="0" t="n">
        <f aca="false">(H177-G177)*K177</f>
        <v>0</v>
      </c>
      <c r="N177" s="0" t="n">
        <f aca="false">(I177-H177)*K177</f>
        <v>0</v>
      </c>
      <c r="O177" s="0" t="n">
        <f aca="false">IF(J177=0,0,L177/J177)</f>
        <v>5</v>
      </c>
      <c r="P177" s="0" t="n">
        <f aca="false">IF(J177=0,0,M177/J177)</f>
        <v>0</v>
      </c>
      <c r="Q177" s="0" t="n">
        <f aca="false">IF(J177=0,0,N177/J177)</f>
        <v>0</v>
      </c>
      <c r="R177" s="0" t="n">
        <v>5</v>
      </c>
      <c r="T177" s="0" t="n">
        <f aca="false">V177+U177-L177-M177-N177</f>
        <v>0</v>
      </c>
      <c r="U177" s="0" t="n">
        <f aca="true">SUM(INDIRECT(ADDRESS(MATCH("Nombre des NC poubelle ",ChoixRJ!$B$1:$B$29,0),MATCH($C177,ChoixRJ!$13:$13,0),4,1,"ChoixRJ"),1)*1,INDIRECT(ADDRESS(MATCH("Nombre des NC à retoucher",ChoixRJ!$B$1:$B$29,0),MATCH($C177,ChoixRJ!$13:$13,0),4,1,"ChoixRJ"),1)*1)</f>
        <v>0</v>
      </c>
      <c r="V177" s="0" t="n">
        <v>140</v>
      </c>
      <c r="AA177" s="0" t="n">
        <f aca="false">IF(J177=0,0,(V177+U177)/J177)</f>
        <v>5</v>
      </c>
      <c r="AB177" s="0" t="n">
        <f aca="false">IF(OR(R177=0,J177=0),"",AA177/R177*100)</f>
        <v>100</v>
      </c>
      <c r="AF177" s="0" t="str">
        <f aca="false">IF(AB177&gt;85," ","WARNING")</f>
        <v> </v>
      </c>
      <c r="AG177" s="0" t="str">
        <f aca="false">IF(A177=ChoixJour!$A$5,ROW(),"")</f>
        <v/>
      </c>
    </row>
    <row r="178" customFormat="false" ht="13.8" hidden="false" customHeight="false" outlineLevel="0" collapsed="false">
      <c r="A178" s="81" t="n">
        <v>43848</v>
      </c>
      <c r="B178" s="83" t="s">
        <v>60</v>
      </c>
      <c r="C178" s="0" t="s">
        <v>61</v>
      </c>
      <c r="D178" s="0" t="str">
        <f aca="false">IFERROR(VLOOKUP(E178,Pieces!B:C,2,0)," ")</f>
        <v> </v>
      </c>
      <c r="E178" s="0" t="s">
        <v>758</v>
      </c>
      <c r="F178" s="0" t="n">
        <v>128</v>
      </c>
      <c r="G178" s="0" t="n">
        <v>136</v>
      </c>
      <c r="H178" s="0" t="n">
        <v>136</v>
      </c>
      <c r="I178" s="0" t="n">
        <v>136</v>
      </c>
      <c r="J178" s="0" t="n">
        <f aca="false">IFERROR(VLOOKUP(E178,Pieces!A:C,3,0),"Entrer la cadence")</f>
        <v>60</v>
      </c>
      <c r="K178" s="0" t="n">
        <v>20</v>
      </c>
      <c r="L178" s="0" t="n">
        <f aca="false">(G178-F178)*K178</f>
        <v>160</v>
      </c>
      <c r="M178" s="0" t="n">
        <f aca="false">(H178-G178)*K178</f>
        <v>0</v>
      </c>
      <c r="N178" s="0" t="n">
        <f aca="false">(I178-H178)*K178</f>
        <v>0</v>
      </c>
      <c r="O178" s="0" t="n">
        <f aca="false">IF(J178=0,0,L178/J178)</f>
        <v>2.66666666666667</v>
      </c>
      <c r="P178" s="0" t="n">
        <f aca="false">IF(J178=0,0,M178/J178)</f>
        <v>0</v>
      </c>
      <c r="Q178" s="0" t="n">
        <f aca="false">IF(J178=0,0,N178/J178)</f>
        <v>0</v>
      </c>
      <c r="R178" s="0" t="n">
        <v>5</v>
      </c>
      <c r="T178" s="0" t="n">
        <f aca="false">V178+U178-L178-M178-N178</f>
        <v>0</v>
      </c>
      <c r="U178" s="0" t="n">
        <f aca="true">SUM(INDIRECT(ADDRESS(MATCH("Nombre des NC poubelle ",ChoixRJ!$B$1:$B$29,0),MATCH($C178,ChoixRJ!$13:$13,0),4,1,"ChoixRJ"),1)*1,INDIRECT(ADDRESS(MATCH("Nombre des NC à retoucher",ChoixRJ!$B$1:$B$29,0),MATCH($C178,ChoixRJ!$13:$13,0),4,1,"ChoixRJ"),1)*1)</f>
        <v>0</v>
      </c>
      <c r="V178" s="0" t="n">
        <v>160</v>
      </c>
      <c r="AA178" s="0" t="n">
        <f aca="false">IF(J178=0,0,(V178+U178)/J178)</f>
        <v>2.66666666666667</v>
      </c>
      <c r="AB178" s="0" t="n">
        <f aca="false">IF(OR(R178=0,J178=0),"",AA178/R178*100)</f>
        <v>53.3333333333333</v>
      </c>
      <c r="AF178" s="0" t="str">
        <f aca="false">IF(AB178&gt;85," ","WARNING")</f>
        <v>WARNING</v>
      </c>
      <c r="AG178" s="0" t="str">
        <f aca="false">IF(A178=ChoixJour!$A$5,ROW(),"")</f>
        <v/>
      </c>
    </row>
    <row r="179" customFormat="false" ht="13.8" hidden="false" customHeight="false" outlineLevel="0" collapsed="false">
      <c r="A179" s="81" t="n">
        <v>43848</v>
      </c>
      <c r="B179" s="83" t="s">
        <v>68</v>
      </c>
      <c r="C179" s="0" t="s">
        <v>69</v>
      </c>
      <c r="D179" s="0" t="str">
        <f aca="false">IFERROR(VLOOKUP(E179,Pieces!B:C,2,0)," ")</f>
        <v> </v>
      </c>
      <c r="E179" s="0" t="s">
        <v>928</v>
      </c>
      <c r="F179" s="0" t="n">
        <v>155</v>
      </c>
      <c r="G179" s="0" t="n">
        <v>172</v>
      </c>
      <c r="H179" s="0" t="n">
        <v>172</v>
      </c>
      <c r="I179" s="0" t="n">
        <v>172</v>
      </c>
      <c r="J179" s="0" t="n">
        <f aca="false">IFERROR(VLOOKUP(E179,Pieces!A:C,3,0),"Entrer la cadence")</f>
        <v>38</v>
      </c>
      <c r="K179" s="0" t="n">
        <v>51</v>
      </c>
      <c r="L179" s="0" t="n">
        <f aca="false">(G179-F179)*K179</f>
        <v>867</v>
      </c>
      <c r="M179" s="0" t="n">
        <f aca="false">(H179-G179)*K179</f>
        <v>0</v>
      </c>
      <c r="N179" s="0" t="n">
        <f aca="false">(I179-H179)*K179</f>
        <v>0</v>
      </c>
      <c r="O179" s="0" t="n">
        <f aca="false">IF(J179=0,0,L179/J179)</f>
        <v>22.8157894736842</v>
      </c>
      <c r="P179" s="0" t="n">
        <f aca="false">IF(J179=0,0,M179/J179)</f>
        <v>0</v>
      </c>
      <c r="Q179" s="0" t="n">
        <f aca="false">IF(J179=0,0,N179/J179)</f>
        <v>0</v>
      </c>
      <c r="R179" s="0" t="n">
        <v>5</v>
      </c>
      <c r="T179" s="0" t="n">
        <f aca="false">V179+U179-L179-M179-N179</f>
        <v>19</v>
      </c>
      <c r="U179" s="0" t="n">
        <f aca="true">SUM(INDIRECT(ADDRESS(MATCH("Nombre des NC poubelle ",ChoixRJ!$B$1:$B$29,0),MATCH($C179,ChoixRJ!$13:$13,0),4,1,"ChoixRJ"),1)*1,INDIRECT(ADDRESS(MATCH("Nombre des NC à retoucher",ChoixRJ!$B$1:$B$29,0),MATCH($C179,ChoixRJ!$13:$13,0),4,1,"ChoixRJ"),1)*1)</f>
        <v>0</v>
      </c>
      <c r="V179" s="0" t="n">
        <v>886</v>
      </c>
      <c r="AA179" s="0" t="n">
        <f aca="false">IF(J179=0,0,(V179+U179)/J179)</f>
        <v>23.3157894736842</v>
      </c>
      <c r="AB179" s="0" t="n">
        <f aca="false">IF(OR(R179=0,J179=0),"",AA179/R179*100)</f>
        <v>466.315789473684</v>
      </c>
      <c r="AF179" s="0" t="str">
        <f aca="false">IF(AB179&gt;85," ","WARNING")</f>
        <v> </v>
      </c>
      <c r="AG179" s="0" t="str">
        <f aca="false">IF(A179=ChoixJour!$A$5,ROW(),"")</f>
        <v/>
      </c>
    </row>
    <row r="180" customFormat="false" ht="13.8" hidden="false" customHeight="false" outlineLevel="0" collapsed="false">
      <c r="A180" s="81" t="n">
        <v>43848</v>
      </c>
      <c r="B180" s="83" t="s">
        <v>66</v>
      </c>
      <c r="C180" s="0" t="s">
        <v>67</v>
      </c>
      <c r="D180" s="0" t="str">
        <f aca="false">IFERROR(VLOOKUP(E180,Pieces!B:C,2,0)," ")</f>
        <v> </v>
      </c>
      <c r="E180" s="0" t="s">
        <v>136</v>
      </c>
      <c r="F180" s="0" t="n">
        <v>0</v>
      </c>
      <c r="G180" s="0" t="n">
        <v>0</v>
      </c>
      <c r="H180" s="0" t="n">
        <v>0</v>
      </c>
      <c r="I180" s="0" t="n">
        <v>0</v>
      </c>
      <c r="J180" s="0" t="n">
        <f aca="false">IFERROR(VLOOKUP(E180,Pieces!A:C,3,0),"Entrer la cadence")</f>
        <v>1</v>
      </c>
      <c r="K180" s="0" t="n">
        <v>1</v>
      </c>
      <c r="L180" s="0" t="n">
        <f aca="false">(G180-F180)*K180</f>
        <v>0</v>
      </c>
      <c r="M180" s="0" t="n">
        <f aca="false">(H180-G180)*K180</f>
        <v>0</v>
      </c>
      <c r="N180" s="0" t="n">
        <f aca="false">(I180-H180)*K180</f>
        <v>0</v>
      </c>
      <c r="O180" s="0" t="n">
        <f aca="false">IF(J180=0,0,L180/J180)</f>
        <v>0</v>
      </c>
      <c r="P180" s="0" t="n">
        <f aca="false">IF(J180=0,0,M180/J180)</f>
        <v>0</v>
      </c>
      <c r="Q180" s="0" t="n">
        <f aca="false">IF(J180=0,0,N180/J180)</f>
        <v>0</v>
      </c>
      <c r="R180" s="0" t="n">
        <v>5</v>
      </c>
      <c r="T180" s="0" t="n">
        <f aca="false">V180+U180-L180-M180-N180</f>
        <v>0</v>
      </c>
      <c r="U180" s="0" t="n">
        <f aca="true">SUM(INDIRECT(ADDRESS(MATCH("Nombre des NC poubelle ",ChoixRJ!$B$1:$B$29,0),MATCH($C180,ChoixRJ!$13:$13,0),4,1,"ChoixRJ"),1)*1,INDIRECT(ADDRESS(MATCH("Nombre des NC à retoucher",ChoixRJ!$B$1:$B$29,0),MATCH($C180,ChoixRJ!$13:$13,0),4,1,"ChoixRJ"),1)*1)</f>
        <v>0</v>
      </c>
      <c r="V180" s="0" t="n">
        <v>0</v>
      </c>
      <c r="AA180" s="0" t="n">
        <f aca="false">IF(J180=0,0,(V180+U180)/J180)</f>
        <v>0</v>
      </c>
      <c r="AB180" s="0" t="n">
        <f aca="false">IF(OR(R180=0,J180=0),"",AA180/R180*100)</f>
        <v>0</v>
      </c>
      <c r="AF180" s="0" t="str">
        <f aca="false">IF(AB180&gt;85," ","WARNING")</f>
        <v>WARNING</v>
      </c>
      <c r="AG180" s="0" t="str">
        <f aca="false">IF(A180=ChoixJour!$A$5,ROW(),"")</f>
        <v/>
      </c>
    </row>
    <row r="181" customFormat="false" ht="13.8" hidden="false" customHeight="false" outlineLevel="0" collapsed="false">
      <c r="A181" s="81" t="n">
        <v>43848</v>
      </c>
      <c r="B181" s="83" t="s">
        <v>46</v>
      </c>
      <c r="C181" s="0" t="s">
        <v>57</v>
      </c>
      <c r="D181" s="0" t="str">
        <f aca="false">IFERROR(VLOOKUP(E181,Pieces!B:C,2,0)," ")</f>
        <v> </v>
      </c>
      <c r="E181" s="0" t="s">
        <v>958</v>
      </c>
      <c r="F181" s="0" t="n">
        <v>180840</v>
      </c>
      <c r="G181" s="0" t="n">
        <v>180840</v>
      </c>
      <c r="H181" s="0" t="n">
        <v>180840</v>
      </c>
      <c r="I181" s="0" t="n">
        <v>180840</v>
      </c>
      <c r="J181" s="0" t="n">
        <f aca="false">IFERROR(VLOOKUP(E181,Pieces!A:C,3,0),"Entrer la cadence")</f>
        <v>454</v>
      </c>
      <c r="K181" s="0" t="n">
        <v>1</v>
      </c>
      <c r="L181" s="0" t="n">
        <f aca="false">(G181-F181)*K181</f>
        <v>0</v>
      </c>
      <c r="M181" s="0" t="n">
        <f aca="false">(H181-G181)*K181</f>
        <v>0</v>
      </c>
      <c r="N181" s="0" t="n">
        <f aca="false">(I181-H181)*K181</f>
        <v>0</v>
      </c>
      <c r="O181" s="0" t="n">
        <f aca="false">IF(J181=0,0,L181/J181)</f>
        <v>0</v>
      </c>
      <c r="P181" s="0" t="n">
        <f aca="false">IF(J181=0,0,M181/J181)</f>
        <v>0</v>
      </c>
      <c r="Q181" s="0" t="n">
        <f aca="false">IF(J181=0,0,N181/J181)</f>
        <v>0</v>
      </c>
      <c r="R181" s="0" t="n">
        <v>5</v>
      </c>
      <c r="T181" s="0" t="n">
        <f aca="false">V181+U181-L181-M181-N181</f>
        <v>0</v>
      </c>
      <c r="U181" s="0" t="n">
        <f aca="true">SUM(INDIRECT(ADDRESS(MATCH("Nombre des NC poubelle ",ChoixRJ!$B$1:$B$29,0),MATCH($C181,ChoixRJ!$13:$13,0),4,1,"ChoixRJ"),1)*1,INDIRECT(ADDRESS(MATCH("Nombre des NC à retoucher",ChoixRJ!$B$1:$B$29,0),MATCH($C181,ChoixRJ!$13:$13,0),4,1,"ChoixRJ"),1)*1)</f>
        <v>0</v>
      </c>
      <c r="V181" s="0" t="n">
        <v>0</v>
      </c>
      <c r="AA181" s="0" t="n">
        <f aca="false">IF(J181=0,0,(V181+U181)/J181)</f>
        <v>0</v>
      </c>
      <c r="AB181" s="0" t="n">
        <f aca="false">IF(OR(R181=0,J181=0),"",AA181/R181*100)</f>
        <v>0</v>
      </c>
      <c r="AF181" s="0" t="str">
        <f aca="false">IF(AB181&gt;85," ","WARNING")</f>
        <v>WARNING</v>
      </c>
      <c r="AG181" s="0" t="str">
        <f aca="false">IF(A181=ChoixJour!$A$5,ROW(),"")</f>
        <v/>
      </c>
    </row>
    <row r="182" customFormat="false" ht="13.8" hidden="false" customHeight="false" outlineLevel="0" collapsed="false">
      <c r="A182" s="81" t="n">
        <v>43848</v>
      </c>
      <c r="B182" s="83" t="s">
        <v>64</v>
      </c>
      <c r="C182" s="0" t="s">
        <v>65</v>
      </c>
      <c r="D182" s="0" t="str">
        <f aca="false">IFERROR(VLOOKUP(D181,Pieces!B:C,2,D433)," ")</f>
        <v> </v>
      </c>
      <c r="E182" s="0" t="s">
        <v>136</v>
      </c>
      <c r="F182" s="0" t="n">
        <v>0</v>
      </c>
      <c r="G182" s="0" t="n">
        <v>0</v>
      </c>
      <c r="H182" s="0" t="n">
        <v>0</v>
      </c>
      <c r="I182" s="0" t="n">
        <v>0</v>
      </c>
      <c r="J182" s="0" t="n">
        <f aca="false">IFERROR(VLOOKUP(E182,Pieces!A:C,3,0),"Entrer la cadence")</f>
        <v>1</v>
      </c>
      <c r="K182" s="0" t="n">
        <v>1</v>
      </c>
      <c r="L182" s="0" t="n">
        <f aca="false">(G182-F182)*K182</f>
        <v>0</v>
      </c>
      <c r="M182" s="0" t="n">
        <f aca="false">(H182-G182)*K182</f>
        <v>0</v>
      </c>
      <c r="N182" s="0" t="n">
        <f aca="false">(I182-H182)*K182</f>
        <v>0</v>
      </c>
      <c r="O182" s="0" t="n">
        <f aca="false">IF(J182=0,0,L182/J182)</f>
        <v>0</v>
      </c>
      <c r="P182" s="0" t="n">
        <f aca="false">IF(J182=0,0,M182/J182)</f>
        <v>0</v>
      </c>
      <c r="Q182" s="0" t="n">
        <f aca="false">IF(J182=0,0,N182/J182)</f>
        <v>0</v>
      </c>
      <c r="R182" s="0" t="n">
        <v>5</v>
      </c>
      <c r="T182" s="0" t="n">
        <f aca="false">V182+U182-L182-M182-N182</f>
        <v>0</v>
      </c>
      <c r="U182" s="0" t="n">
        <f aca="true">SUM(INDIRECT(ADDRESS(MATCH("Nombre des NC poubelle ",ChoixRJ!$B$1:$B$29,0),MATCH($C182,ChoixRJ!$13:$13,0),4,1,"ChoixRJ"),1)*1,INDIRECT(ADDRESS(MATCH("Nombre des NC à retoucher",ChoixRJ!$B$1:$B$29,0),MATCH($C182,ChoixRJ!$13:$13,0),4,1,"ChoixRJ"),1)*1)</f>
        <v>0</v>
      </c>
      <c r="V182" s="0" t="n">
        <v>0</v>
      </c>
      <c r="AA182" s="0" t="n">
        <f aca="false">IF(J182=0,0,(V182+U182)/J182)</f>
        <v>0</v>
      </c>
      <c r="AB182" s="0" t="n">
        <f aca="false">IF(OR(R182=0,J182=0),"",AA182/R182*100)</f>
        <v>0</v>
      </c>
      <c r="AF182" s="0" t="str">
        <f aca="false">IF(AB182&gt;85," ","WARNING")</f>
        <v>WARNING</v>
      </c>
      <c r="AG182" s="0" t="str">
        <f aca="false">IF(A182=ChoixJour!$A$5,ROW(),"")</f>
        <v/>
      </c>
    </row>
    <row r="183" customFormat="false" ht="13.8" hidden="false" customHeight="false" outlineLevel="0" collapsed="false">
      <c r="A183" s="81" t="n">
        <v>43848</v>
      </c>
      <c r="B183" s="83" t="s">
        <v>96</v>
      </c>
      <c r="C183" s="0" t="s">
        <v>71</v>
      </c>
      <c r="D183" s="0" t="str">
        <f aca="false">IFERROR(VLOOKUP(E183,Pieces!B:C,2,0)," ")</f>
        <v> </v>
      </c>
      <c r="E183" s="0" t="s">
        <v>1042</v>
      </c>
      <c r="F183" s="0" t="n">
        <v>1913</v>
      </c>
      <c r="G183" s="0" t="n">
        <v>1913</v>
      </c>
      <c r="H183" s="0" t="n">
        <v>1913</v>
      </c>
      <c r="I183" s="0" t="n">
        <v>1913</v>
      </c>
      <c r="J183" s="0" t="n">
        <f aca="false">IFERROR(VLOOKUP(E183,Pieces!A:C,3,0),"Entrer la cadence")</f>
        <v>20</v>
      </c>
      <c r="K183" s="0" t="n">
        <v>1</v>
      </c>
      <c r="L183" s="0" t="n">
        <f aca="false">(G183-F183)*K183</f>
        <v>0</v>
      </c>
      <c r="M183" s="0" t="n">
        <f aca="false">(H183-G183)*K183</f>
        <v>0</v>
      </c>
      <c r="N183" s="0" t="n">
        <f aca="false">(I183-H183)*K183</f>
        <v>0</v>
      </c>
      <c r="O183" s="0" t="n">
        <f aca="false">IF(J183=0,0,L183/J183)</f>
        <v>0</v>
      </c>
      <c r="P183" s="0" t="n">
        <f aca="false">IF(J183=0,0,M183/J183)</f>
        <v>0</v>
      </c>
      <c r="Q183" s="0" t="n">
        <f aca="false">IF(J183=0,0,N183/J183)</f>
        <v>0</v>
      </c>
      <c r="R183" s="0" t="n">
        <v>5</v>
      </c>
      <c r="T183" s="0" t="n">
        <f aca="false">V183+U183-L183-M183-N183</f>
        <v>0</v>
      </c>
      <c r="U183" s="0" t="n">
        <f aca="true">SUM(INDIRECT(ADDRESS(MATCH("Nombre des NC poubelle ",ChoixRJ!$B$1:$B$29,0),MATCH($C183,ChoixRJ!$13:$13,0),4,1,"ChoixRJ"),1)*1,INDIRECT(ADDRESS(MATCH("Nombre des NC à retoucher",ChoixRJ!$B$1:$B$29,0),MATCH($C183,ChoixRJ!$13:$13,0),4,1,"ChoixRJ"),1)*1)</f>
        <v>0</v>
      </c>
      <c r="V183" s="0" t="n">
        <v>0</v>
      </c>
      <c r="AA183" s="0" t="n">
        <f aca="false">IF(J183=0,0,(V183+U183)/J183)</f>
        <v>0</v>
      </c>
      <c r="AB183" s="0" t="n">
        <f aca="false">IF(OR(R183=0,J183=0),"",AA183/R183*100)</f>
        <v>0</v>
      </c>
      <c r="AF183" s="0" t="str">
        <f aca="false">IF(AB183&gt;85," ","WARNING")</f>
        <v>WARNING</v>
      </c>
      <c r="AG183" s="0" t="str">
        <f aca="false">IF(A183=ChoixJour!$A$5,ROW(),"")</f>
        <v/>
      </c>
    </row>
    <row r="184" customFormat="false" ht="13.8" hidden="false" customHeight="false" outlineLevel="0" collapsed="false">
      <c r="A184" s="81" t="n">
        <v>43850</v>
      </c>
      <c r="B184" s="83" t="s">
        <v>36</v>
      </c>
      <c r="C184" s="0" t="s">
        <v>52</v>
      </c>
      <c r="D184" s="0" t="str">
        <f aca="false">IFERROR(VLOOKUP(E184,Pieces!B:C,2,0)," ")</f>
        <v> </v>
      </c>
      <c r="E184" s="0" t="s">
        <v>940</v>
      </c>
      <c r="F184" s="0" t="n">
        <v>35750</v>
      </c>
      <c r="J184" s="0" t="n">
        <f aca="false">IFERROR(VLOOKUP(E184,Pieces!A:C,3,0),"Entrer la cadence")</f>
        <v>75</v>
      </c>
      <c r="K184" s="0" t="n">
        <v>1</v>
      </c>
      <c r="L184" s="0" t="n">
        <f aca="false">(G184-F184)*K184</f>
        <v>-35750</v>
      </c>
      <c r="M184" s="0" t="n">
        <f aca="false">(H184-G184)*K184</f>
        <v>0</v>
      </c>
      <c r="N184" s="0" t="n">
        <f aca="false">(I184-H184)*K184</f>
        <v>0</v>
      </c>
      <c r="O184" s="0" t="n">
        <f aca="false">IF(J184=0,0,L184/J184)</f>
        <v>-476.666666666667</v>
      </c>
      <c r="P184" s="0" t="n">
        <f aca="false">IF(J184=0,0,M184/J184)</f>
        <v>0</v>
      </c>
      <c r="Q184" s="0" t="n">
        <f aca="false">IF(J184=0,0,N184/J184)</f>
        <v>0</v>
      </c>
      <c r="R184" s="0" t="n">
        <v>9</v>
      </c>
      <c r="T184" s="0" t="n">
        <f aca="false">V184+U184-L184-M184-N184</f>
        <v>35750</v>
      </c>
      <c r="U184" s="0" t="n">
        <f aca="true">SUM(INDIRECT(ADDRESS(MATCH("Nombre des NC poubelle ",ChoixRJ!$B$1:$B$29,0),MATCH($C184,ChoixRJ!$13:$13,0),4,1,"ChoixRJ"),1)*1,INDIRECT(ADDRESS(MATCH("Nombre des NC à retoucher",ChoixRJ!$B$1:$B$29,0),MATCH($C184,ChoixRJ!$13:$13,0),4,1,"ChoixRJ"),1)*1)</f>
        <v>0</v>
      </c>
      <c r="AA184" s="0" t="n">
        <f aca="false">IF(J184=0,0,(V184+U184)/J184)</f>
        <v>0</v>
      </c>
      <c r="AB184" s="0" t="n">
        <f aca="false">IF(OR(R184=0,J184=0),"",AA184/R184*100)</f>
        <v>0</v>
      </c>
      <c r="AF184" s="0" t="str">
        <f aca="false">IF(AB184&gt;85," ","WARNING")</f>
        <v>WARNING</v>
      </c>
      <c r="AG184" s="0" t="str">
        <f aca="false">IF(A184=ChoixJour!$A$5,ROW(),"")</f>
        <v/>
      </c>
    </row>
    <row r="185" customFormat="false" ht="13.8" hidden="false" customHeight="false" outlineLevel="0" collapsed="false">
      <c r="A185" s="81" t="n">
        <v>43850</v>
      </c>
      <c r="B185" s="83" t="s">
        <v>38</v>
      </c>
      <c r="C185" s="0" t="s">
        <v>53</v>
      </c>
      <c r="D185" s="0" t="str">
        <f aca="false">IFERROR(VLOOKUP(E185,Pieces!B:C,2,0)," ")</f>
        <v> </v>
      </c>
      <c r="E185" s="0" t="s">
        <v>612</v>
      </c>
      <c r="F185" s="0" t="n">
        <v>900</v>
      </c>
      <c r="J185" s="0" t="n">
        <f aca="false">IFERROR(VLOOKUP(E185,Pieces!A:C,3,0),"Entrer la cadence")</f>
        <v>90</v>
      </c>
      <c r="K185" s="0" t="n">
        <v>1</v>
      </c>
      <c r="L185" s="0" t="n">
        <f aca="false">(G185-F185)*K185</f>
        <v>-900</v>
      </c>
      <c r="M185" s="0" t="n">
        <f aca="false">(H185-G185)*K185</f>
        <v>0</v>
      </c>
      <c r="N185" s="0" t="n">
        <f aca="false">(I185-H185)*K185</f>
        <v>0</v>
      </c>
      <c r="O185" s="0" t="n">
        <f aca="false">IF(J185=0,0,L185/J185)</f>
        <v>-10</v>
      </c>
      <c r="P185" s="0" t="n">
        <f aca="false">IF(J185=0,0,M185/J185)</f>
        <v>0</v>
      </c>
      <c r="Q185" s="0" t="n">
        <f aca="false">IF(J185=0,0,N185/J185)</f>
        <v>0</v>
      </c>
      <c r="R185" s="0" t="n">
        <v>9</v>
      </c>
      <c r="T185" s="0" t="n">
        <f aca="false">V185+U185-L185-M185-N185</f>
        <v>900</v>
      </c>
      <c r="U185" s="0" t="n">
        <f aca="true">SUM(INDIRECT(ADDRESS(MATCH("Nombre des NC poubelle ",ChoixRJ!$B$1:$B$29,0),MATCH($C185,ChoixRJ!$13:$13,0),4,1,"ChoixRJ"),1)*1,INDIRECT(ADDRESS(MATCH("Nombre des NC à retoucher",ChoixRJ!$B$1:$B$29,0),MATCH($C185,ChoixRJ!$13:$13,0),4,1,"ChoixRJ"),1)*1)</f>
        <v>0</v>
      </c>
      <c r="AA185" s="0" t="n">
        <f aca="false">IF(J185=0,0,(V185+U185)/J185)</f>
        <v>0</v>
      </c>
      <c r="AB185" s="0" t="n">
        <f aca="false">IF(OR(R185=0,J185=0),"",AA185/R185*100)</f>
        <v>0</v>
      </c>
      <c r="AF185" s="0" t="str">
        <f aca="false">IF(AB185&gt;85," ","WARNING")</f>
        <v>WARNING</v>
      </c>
      <c r="AG185" s="0" t="str">
        <f aca="false">IF(A185=ChoixJour!$A$5,ROW(),"")</f>
        <v/>
      </c>
    </row>
    <row r="186" customFormat="false" ht="13.8" hidden="false" customHeight="false" outlineLevel="0" collapsed="false">
      <c r="A186" s="81" t="n">
        <v>43850</v>
      </c>
      <c r="B186" s="83" t="s">
        <v>40</v>
      </c>
      <c r="C186" s="0" t="s">
        <v>54</v>
      </c>
      <c r="D186" s="0" t="str">
        <f aca="false">IFERROR(VLOOKUP(E186,Pieces!B:C,2,0)," ")</f>
        <v> </v>
      </c>
      <c r="E186" s="0" t="s">
        <v>896</v>
      </c>
      <c r="F186" s="0" t="n">
        <v>2900</v>
      </c>
      <c r="J186" s="0" t="n">
        <f aca="false">IFERROR(VLOOKUP(E186,Pieces!A:C,3,0),"Entrer la cadence")</f>
        <v>50</v>
      </c>
      <c r="K186" s="0" t="n">
        <v>1</v>
      </c>
      <c r="L186" s="0" t="n">
        <f aca="false">(G186-F186)*K186</f>
        <v>-2900</v>
      </c>
      <c r="M186" s="0" t="n">
        <f aca="false">(H186-G186)*K186</f>
        <v>0</v>
      </c>
      <c r="N186" s="0" t="n">
        <f aca="false">(I186-H186)*K186</f>
        <v>0</v>
      </c>
      <c r="O186" s="0" t="n">
        <f aca="false">IF(J186=0,0,L186/J186)</f>
        <v>-58</v>
      </c>
      <c r="P186" s="0" t="n">
        <f aca="false">IF(J186=0,0,M186/J186)</f>
        <v>0</v>
      </c>
      <c r="Q186" s="0" t="n">
        <f aca="false">IF(J186=0,0,N186/J186)</f>
        <v>0</v>
      </c>
      <c r="R186" s="0" t="n">
        <v>9</v>
      </c>
      <c r="T186" s="0" t="n">
        <f aca="false">V186+U186-L186-M186-N186</f>
        <v>2900</v>
      </c>
      <c r="U186" s="0" t="n">
        <f aca="true">SUM(INDIRECT(ADDRESS(MATCH("Nombre des NC poubelle ",ChoixRJ!$B$1:$B$29,0),MATCH($C186,ChoixRJ!$13:$13,0),4,1,"ChoixRJ"),1)*1,INDIRECT(ADDRESS(MATCH("Nombre des NC à retoucher",ChoixRJ!$B$1:$B$29,0),MATCH($C186,ChoixRJ!$13:$13,0),4,1,"ChoixRJ"),1)*1)</f>
        <v>0</v>
      </c>
      <c r="AA186" s="0" t="n">
        <f aca="false">IF(J186=0,0,(V186+U186)/J186)</f>
        <v>0</v>
      </c>
      <c r="AB186" s="0" t="n">
        <f aca="false">IF(OR(R186=0,J186=0),"",AA186/R186*100)</f>
        <v>0</v>
      </c>
      <c r="AF186" s="0" t="str">
        <f aca="false">IF(AB186&gt;85," ","WARNING")</f>
        <v>WARNING</v>
      </c>
      <c r="AG186" s="0" t="str">
        <f aca="false">IF(A186=ChoixJour!$A$5,ROW(),"")</f>
        <v/>
      </c>
    </row>
    <row r="187" customFormat="false" ht="13.8" hidden="false" customHeight="false" outlineLevel="0" collapsed="false">
      <c r="A187" s="81" t="n">
        <v>43850</v>
      </c>
      <c r="B187" s="83" t="s">
        <v>42</v>
      </c>
      <c r="C187" s="0" t="s">
        <v>55</v>
      </c>
      <c r="D187" s="0" t="str">
        <f aca="false">IFERROR(VLOOKUP(E187,Pieces!B:C,2,0)," ")</f>
        <v> </v>
      </c>
      <c r="E187" s="0" t="s">
        <v>1045</v>
      </c>
      <c r="F187" s="0" t="n">
        <v>479</v>
      </c>
      <c r="J187" s="0" t="n">
        <f aca="false">IFERROR(VLOOKUP(E187,Pieces!A:C,3,0),"Entrer la cadence")</f>
        <v>30</v>
      </c>
      <c r="K187" s="0" t="n">
        <v>1</v>
      </c>
      <c r="L187" s="0" t="n">
        <f aca="false">(G187-F187)*K187</f>
        <v>-479</v>
      </c>
      <c r="M187" s="0" t="n">
        <f aca="false">(H187-G187)*K187</f>
        <v>0</v>
      </c>
      <c r="N187" s="0" t="n">
        <f aca="false">(I187-H187)*K187</f>
        <v>0</v>
      </c>
      <c r="O187" s="0" t="n">
        <f aca="false">IF(J187=0,0,L187/J187)</f>
        <v>-15.9666666666667</v>
      </c>
      <c r="P187" s="0" t="n">
        <f aca="false">IF(J187=0,0,M187/J187)</f>
        <v>0</v>
      </c>
      <c r="Q187" s="0" t="n">
        <f aca="false">IF(J187=0,0,N187/J187)</f>
        <v>0</v>
      </c>
      <c r="R187" s="0" t="n">
        <v>9</v>
      </c>
      <c r="T187" s="0" t="n">
        <f aca="false">V187+U187-L187-M187-N187</f>
        <v>488</v>
      </c>
      <c r="U187" s="0" t="n">
        <f aca="true">SUM(INDIRECT(ADDRESS(MATCH("Nombre des NC poubelle ",ChoixRJ!$B$1:$B$29,0),MATCH($C187,ChoixRJ!$13:$13,0),4,1,"ChoixRJ"),1)*1,INDIRECT(ADDRESS(MATCH("Nombre des NC à retoucher",ChoixRJ!$B$1:$B$29,0),MATCH($C187,ChoixRJ!$13:$13,0),4,1,"ChoixRJ"),1)*1)</f>
        <v>9</v>
      </c>
      <c r="AA187" s="0" t="n">
        <f aca="false">IF(J187=0,0,(V187+U187)/J187)</f>
        <v>0.3</v>
      </c>
      <c r="AB187" s="0" t="n">
        <f aca="false">IF(OR(R187=0,J187=0),"",AA187/R187*100)</f>
        <v>3.33333333333333</v>
      </c>
      <c r="AF187" s="0" t="str">
        <f aca="false">IF(AB187&gt;85," ","WARNING")</f>
        <v>WARNING</v>
      </c>
      <c r="AG187" s="0" t="str">
        <f aca="false">IF(A187=ChoixJour!$A$5,ROW(),"")</f>
        <v/>
      </c>
    </row>
    <row r="188" customFormat="false" ht="13.8" hidden="false" customHeight="false" outlineLevel="0" collapsed="false">
      <c r="A188" s="81" t="n">
        <v>43850</v>
      </c>
      <c r="B188" s="83" t="s">
        <v>44</v>
      </c>
      <c r="C188" s="0" t="s">
        <v>56</v>
      </c>
      <c r="D188" s="0" t="str">
        <f aca="false">IFERROR(VLOOKUP(E188,Pieces!B:C,2,0)," ")</f>
        <v> </v>
      </c>
      <c r="E188" s="0" t="s">
        <v>1047</v>
      </c>
      <c r="F188" s="0" t="n">
        <v>1140</v>
      </c>
      <c r="J188" s="0" t="n">
        <f aca="false">IFERROR(VLOOKUP(E188,Pieces!A:C,3,0),"Entrer la cadence")</f>
        <v>60</v>
      </c>
      <c r="K188" s="0" t="n">
        <v>1</v>
      </c>
      <c r="L188" s="0" t="n">
        <f aca="false">(G188-F188)*K188</f>
        <v>-1140</v>
      </c>
      <c r="M188" s="0" t="n">
        <f aca="false">(H188-G188)*K188</f>
        <v>0</v>
      </c>
      <c r="N188" s="0" t="n">
        <f aca="false">(I188-H188)*K188</f>
        <v>0</v>
      </c>
      <c r="O188" s="0" t="n">
        <f aca="false">IF(J188=0,0,L188/J188)</f>
        <v>-19</v>
      </c>
      <c r="P188" s="0" t="n">
        <f aca="false">IF(J188=0,0,M188/J188)</f>
        <v>0</v>
      </c>
      <c r="Q188" s="0" t="n">
        <f aca="false">IF(J188=0,0,N188/J188)</f>
        <v>0</v>
      </c>
      <c r="R188" s="0" t="n">
        <v>9</v>
      </c>
      <c r="T188" s="0" t="n">
        <f aca="false">V188+U188-L188-M188-N188</f>
        <v>1140</v>
      </c>
      <c r="U188" s="0" t="n">
        <f aca="true">SUM(INDIRECT(ADDRESS(MATCH("Nombre des NC poubelle ",ChoixRJ!$B$1:$B$29,0),MATCH($C188,ChoixRJ!$13:$13,0),4,1,"ChoixRJ"),1)*1,INDIRECT(ADDRESS(MATCH("Nombre des NC à retoucher",ChoixRJ!$B$1:$B$29,0),MATCH($C188,ChoixRJ!$13:$13,0),4,1,"ChoixRJ"),1)*1)</f>
        <v>0</v>
      </c>
      <c r="AA188" s="0" t="n">
        <f aca="false">IF(J188=0,0,(V188+U188)/J188)</f>
        <v>0</v>
      </c>
      <c r="AB188" s="0" t="n">
        <f aca="false">IF(OR(R188=0,J188=0),"",AA188/R188*100)</f>
        <v>0</v>
      </c>
      <c r="AF188" s="0" t="str">
        <f aca="false">IF(AB188&gt;85," ","WARNING")</f>
        <v>WARNING</v>
      </c>
      <c r="AG188" s="0" t="str">
        <f aca="false">IF(A188=ChoixJour!$A$5,ROW(),"")</f>
        <v/>
      </c>
    </row>
    <row r="189" customFormat="false" ht="13.8" hidden="false" customHeight="false" outlineLevel="0" collapsed="false">
      <c r="A189" s="81" t="n">
        <v>43850</v>
      </c>
      <c r="B189" s="83" t="s">
        <v>62</v>
      </c>
      <c r="C189" s="0" t="s">
        <v>63</v>
      </c>
      <c r="D189" s="0" t="str">
        <f aca="false">IFERROR(VLOOKUP(E189,Pieces!B:C,2,0)," ")</f>
        <v> </v>
      </c>
      <c r="E189" s="0" t="s">
        <v>136</v>
      </c>
      <c r="F189" s="0" t="n">
        <v>0</v>
      </c>
      <c r="J189" s="0" t="n">
        <f aca="false">IFERROR(VLOOKUP(E189,Pieces!A:C,3,0),"Entrer la cadence")</f>
        <v>1</v>
      </c>
      <c r="K189" s="0" t="n">
        <v>1</v>
      </c>
      <c r="L189" s="0" t="n">
        <f aca="false">(G189-F189)*K189</f>
        <v>0</v>
      </c>
      <c r="M189" s="0" t="n">
        <f aca="false">(H189-G189)*K189</f>
        <v>0</v>
      </c>
      <c r="N189" s="0" t="n">
        <f aca="false">(I189-H189)*K189</f>
        <v>0</v>
      </c>
      <c r="O189" s="0" t="n">
        <f aca="false">IF(J189=0,0,L189/J189)</f>
        <v>0</v>
      </c>
      <c r="P189" s="0" t="n">
        <f aca="false">IF(J189=0,0,M189/J189)</f>
        <v>0</v>
      </c>
      <c r="Q189" s="0" t="n">
        <f aca="false">IF(J189=0,0,N189/J189)</f>
        <v>0</v>
      </c>
      <c r="R189" s="0" t="n">
        <v>9</v>
      </c>
      <c r="T189" s="0" t="n">
        <f aca="false">V189+U189-L189-M189-N189</f>
        <v>0</v>
      </c>
      <c r="U189" s="0" t="n">
        <f aca="true">SUM(INDIRECT(ADDRESS(MATCH("Nombre des NC poubelle ",ChoixRJ!$B$1:$B$29,0),MATCH($C189,ChoixRJ!$13:$13,0),4,1,"ChoixRJ"),1)*1,INDIRECT(ADDRESS(MATCH("Nombre des NC à retoucher",ChoixRJ!$B$1:$B$29,0),MATCH($C189,ChoixRJ!$13:$13,0),4,1,"ChoixRJ"),1)*1)</f>
        <v>0</v>
      </c>
      <c r="AA189" s="0" t="n">
        <f aca="false">IF(J189=0,0,(V189+U189)/J189)</f>
        <v>0</v>
      </c>
      <c r="AB189" s="0" t="n">
        <f aca="false">IF(OR(R189=0,J189=0),"",AA189/R189*100)</f>
        <v>0</v>
      </c>
      <c r="AF189" s="0" t="str">
        <f aca="false">IF(AB189&gt;85," ","WARNING")</f>
        <v>WARNING</v>
      </c>
      <c r="AG189" s="0" t="str">
        <f aca="false">IF(A189=ChoixJour!$A$5,ROW(),"")</f>
        <v/>
      </c>
    </row>
    <row r="190" customFormat="false" ht="13.8" hidden="false" customHeight="false" outlineLevel="0" collapsed="false">
      <c r="A190" s="81" t="n">
        <v>43850</v>
      </c>
      <c r="B190" s="83" t="s">
        <v>58</v>
      </c>
      <c r="C190" s="0" t="s">
        <v>59</v>
      </c>
      <c r="D190" s="0" t="str">
        <f aca="false">IFERROR(VLOOKUP(E190,Pieces!B:C,2,0)," ")</f>
        <v> </v>
      </c>
      <c r="E190" s="0" t="s">
        <v>883</v>
      </c>
      <c r="F190" s="0" t="n">
        <v>96</v>
      </c>
      <c r="J190" s="0" t="n">
        <f aca="false">IFERROR(VLOOKUP(E190,Pieces!A:C,3,0),"Entrer la cadence")</f>
        <v>28</v>
      </c>
      <c r="K190" s="0" t="n">
        <v>7</v>
      </c>
      <c r="L190" s="0" t="n">
        <f aca="false">(G190-F190)*K190</f>
        <v>-672</v>
      </c>
      <c r="M190" s="0" t="n">
        <f aca="false">(H190-G190)*K190</f>
        <v>0</v>
      </c>
      <c r="N190" s="0" t="n">
        <f aca="false">(I190-H190)*K190</f>
        <v>0</v>
      </c>
      <c r="O190" s="0" t="n">
        <f aca="false">IF(J190=0,0,L190/J190)</f>
        <v>-24</v>
      </c>
      <c r="P190" s="0" t="n">
        <f aca="false">IF(J190=0,0,M190/J190)</f>
        <v>0</v>
      </c>
      <c r="Q190" s="0" t="n">
        <f aca="false">IF(J190=0,0,N190/J190)</f>
        <v>0</v>
      </c>
      <c r="R190" s="0" t="n">
        <v>9</v>
      </c>
      <c r="T190" s="0" t="n">
        <f aca="false">V190+U190-L190-M190-N190</f>
        <v>672</v>
      </c>
      <c r="U190" s="0" t="n">
        <f aca="true">SUM(INDIRECT(ADDRESS(MATCH("Nombre des NC poubelle ",ChoixRJ!$B$1:$B$29,0),MATCH($C190,ChoixRJ!$13:$13,0),4,1,"ChoixRJ"),1)*1,INDIRECT(ADDRESS(MATCH("Nombre des NC à retoucher",ChoixRJ!$B$1:$B$29,0),MATCH($C190,ChoixRJ!$13:$13,0),4,1,"ChoixRJ"),1)*1)</f>
        <v>0</v>
      </c>
      <c r="AA190" s="0" t="n">
        <f aca="false">IF(J190=0,0,(V190+U190)/J190)</f>
        <v>0</v>
      </c>
      <c r="AB190" s="0" t="n">
        <f aca="false">IF(OR(R190=0,J190=0),"",AA190/R190*100)</f>
        <v>0</v>
      </c>
      <c r="AF190" s="0" t="str">
        <f aca="false">IF(AB190&gt;85," ","WARNING")</f>
        <v>WARNING</v>
      </c>
      <c r="AG190" s="0" t="str">
        <f aca="false">IF(A190=ChoixJour!$A$5,ROW(),"")</f>
        <v/>
      </c>
    </row>
    <row r="191" customFormat="false" ht="13.8" hidden="false" customHeight="false" outlineLevel="0" collapsed="false">
      <c r="A191" s="81" t="n">
        <v>43850</v>
      </c>
      <c r="B191" s="83" t="s">
        <v>60</v>
      </c>
      <c r="C191" s="0" t="s">
        <v>61</v>
      </c>
      <c r="D191" s="0" t="str">
        <f aca="false">IFERROR(VLOOKUP(E191,Pieces!B:C,2,0)," ")</f>
        <v> </v>
      </c>
      <c r="E191" s="0" t="s">
        <v>758</v>
      </c>
      <c r="F191" s="0" t="n">
        <v>136</v>
      </c>
      <c r="J191" s="0" t="n">
        <f aca="false">IFERROR(VLOOKUP(E191,Pieces!A:C,3,0),"Entrer la cadence")</f>
        <v>60</v>
      </c>
      <c r="K191" s="0" t="n">
        <v>20</v>
      </c>
      <c r="L191" s="0" t="n">
        <f aca="false">(G191-F191)*K191</f>
        <v>-2720</v>
      </c>
      <c r="M191" s="0" t="n">
        <f aca="false">(H191-G191)*K191</f>
        <v>0</v>
      </c>
      <c r="N191" s="0" t="n">
        <f aca="false">(I191-H191)*K191</f>
        <v>0</v>
      </c>
      <c r="O191" s="0" t="n">
        <f aca="false">IF(J191=0,0,L191/J191)</f>
        <v>-45.3333333333333</v>
      </c>
      <c r="P191" s="0" t="n">
        <f aca="false">IF(J191=0,0,M191/J191)</f>
        <v>0</v>
      </c>
      <c r="Q191" s="0" t="n">
        <f aca="false">IF(J191=0,0,N191/J191)</f>
        <v>0</v>
      </c>
      <c r="R191" s="0" t="n">
        <v>9</v>
      </c>
      <c r="T191" s="0" t="n">
        <f aca="false">V191+U191-L191-M191-N191</f>
        <v>2720</v>
      </c>
      <c r="U191" s="0" t="n">
        <f aca="true">SUM(INDIRECT(ADDRESS(MATCH("Nombre des NC poubelle ",ChoixRJ!$B$1:$B$29,0),MATCH($C191,ChoixRJ!$13:$13,0),4,1,"ChoixRJ"),1)*1,INDIRECT(ADDRESS(MATCH("Nombre des NC à retoucher",ChoixRJ!$B$1:$B$29,0),MATCH($C191,ChoixRJ!$13:$13,0),4,1,"ChoixRJ"),1)*1)</f>
        <v>0</v>
      </c>
      <c r="AA191" s="0" t="n">
        <f aca="false">IF(J191=0,0,(V191+U191)/J191)</f>
        <v>0</v>
      </c>
      <c r="AB191" s="0" t="n">
        <f aca="false">IF(OR(R191=0,J191=0),"",AA191/R191*100)</f>
        <v>0</v>
      </c>
      <c r="AF191" s="0" t="str">
        <f aca="false">IF(AB191&gt;85," ","WARNING")</f>
        <v>WARNING</v>
      </c>
      <c r="AG191" s="0" t="str">
        <f aca="false">IF(A191=ChoixJour!$A$5,ROW(),"")</f>
        <v/>
      </c>
    </row>
    <row r="192" customFormat="false" ht="13.8" hidden="false" customHeight="false" outlineLevel="0" collapsed="false">
      <c r="A192" s="81" t="n">
        <v>43850</v>
      </c>
      <c r="B192" s="83" t="s">
        <v>68</v>
      </c>
      <c r="C192" s="0" t="s">
        <v>69</v>
      </c>
      <c r="D192" s="0" t="str">
        <f aca="false">IFERROR(VLOOKUP(E192,Pieces!B:C,2,0)," ")</f>
        <v> </v>
      </c>
      <c r="E192" s="0" t="s">
        <v>928</v>
      </c>
      <c r="F192" s="0" t="n">
        <v>172</v>
      </c>
      <c r="J192" s="0" t="n">
        <f aca="false">IFERROR(VLOOKUP(E192,Pieces!A:C,3,0),"Entrer la cadence")</f>
        <v>38</v>
      </c>
      <c r="K192" s="0" t="n">
        <v>51</v>
      </c>
      <c r="L192" s="0" t="n">
        <f aca="false">(G192-F192)*K192</f>
        <v>-8772</v>
      </c>
      <c r="M192" s="0" t="n">
        <f aca="false">(H192-G192)*K192</f>
        <v>0</v>
      </c>
      <c r="N192" s="0" t="n">
        <f aca="false">(I192-H192)*K192</f>
        <v>0</v>
      </c>
      <c r="O192" s="0" t="n">
        <f aca="false">IF(J192=0,0,L192/J192)</f>
        <v>-230.842105263158</v>
      </c>
      <c r="P192" s="0" t="n">
        <f aca="false">IF(J192=0,0,M192/J192)</f>
        <v>0</v>
      </c>
      <c r="Q192" s="0" t="n">
        <f aca="false">IF(J192=0,0,N192/J192)</f>
        <v>0</v>
      </c>
      <c r="R192" s="0" t="n">
        <v>9</v>
      </c>
      <c r="T192" s="0" t="n">
        <f aca="false">V192+U192-L192-M192-N192</f>
        <v>8772</v>
      </c>
      <c r="U192" s="0" t="n">
        <f aca="true">SUM(INDIRECT(ADDRESS(MATCH("Nombre des NC poubelle ",ChoixRJ!$B$1:$B$29,0),MATCH($C192,ChoixRJ!$13:$13,0),4,1,"ChoixRJ"),1)*1,INDIRECT(ADDRESS(MATCH("Nombre des NC à retoucher",ChoixRJ!$B$1:$B$29,0),MATCH($C192,ChoixRJ!$13:$13,0),4,1,"ChoixRJ"),1)*1)</f>
        <v>0</v>
      </c>
      <c r="AA192" s="0" t="n">
        <f aca="false">IF(J192=0,0,(V192+U192)/J192)</f>
        <v>0</v>
      </c>
      <c r="AB192" s="0" t="n">
        <f aca="false">IF(OR(R192=0,J192=0),"",AA192/R192*100)</f>
        <v>0</v>
      </c>
      <c r="AF192" s="0" t="str">
        <f aca="false">IF(AB192&gt;85," ","WARNING")</f>
        <v>WARNING</v>
      </c>
      <c r="AG192" s="0" t="str">
        <f aca="false">IF(A192=ChoixJour!$A$5,ROW(),"")</f>
        <v/>
      </c>
    </row>
    <row r="193" customFormat="false" ht="13.8" hidden="false" customHeight="false" outlineLevel="0" collapsed="false">
      <c r="A193" s="81" t="n">
        <v>43850</v>
      </c>
      <c r="B193" s="83" t="s">
        <v>66</v>
      </c>
      <c r="C193" s="0" t="s">
        <v>67</v>
      </c>
      <c r="D193" s="0" t="str">
        <f aca="false">IFERROR(VLOOKUP(E193,Pieces!B:C,2,0)," ")</f>
        <v> </v>
      </c>
      <c r="E193" s="0" t="s">
        <v>136</v>
      </c>
      <c r="F193" s="0" t="n">
        <v>0</v>
      </c>
      <c r="J193" s="0" t="n">
        <f aca="false">IFERROR(VLOOKUP(E193,Pieces!A:C,3,0),"Entrer la cadence")</f>
        <v>1</v>
      </c>
      <c r="K193" s="0" t="n">
        <v>1</v>
      </c>
      <c r="L193" s="0" t="n">
        <f aca="false">(G193-F193)*K193</f>
        <v>0</v>
      </c>
      <c r="M193" s="0" t="n">
        <f aca="false">(H193-G193)*K193</f>
        <v>0</v>
      </c>
      <c r="N193" s="0" t="n">
        <f aca="false">(I193-H193)*K193</f>
        <v>0</v>
      </c>
      <c r="O193" s="0" t="n">
        <f aca="false">IF(J193=0,0,L193/J193)</f>
        <v>0</v>
      </c>
      <c r="P193" s="0" t="n">
        <f aca="false">IF(J193=0,0,M193/J193)</f>
        <v>0</v>
      </c>
      <c r="Q193" s="0" t="n">
        <f aca="false">IF(J193=0,0,N193/J193)</f>
        <v>0</v>
      </c>
      <c r="R193" s="0" t="n">
        <v>9</v>
      </c>
      <c r="T193" s="0" t="n">
        <f aca="false">V193+U193-L193-M193-N193</f>
        <v>0</v>
      </c>
      <c r="U193" s="0" t="n">
        <f aca="true">SUM(INDIRECT(ADDRESS(MATCH("Nombre des NC poubelle ",ChoixRJ!$B$1:$B$29,0),MATCH($C193,ChoixRJ!$13:$13,0),4,1,"ChoixRJ"),1)*1,INDIRECT(ADDRESS(MATCH("Nombre des NC à retoucher",ChoixRJ!$B$1:$B$29,0),MATCH($C193,ChoixRJ!$13:$13,0),4,1,"ChoixRJ"),1)*1)</f>
        <v>0</v>
      </c>
      <c r="AA193" s="0" t="n">
        <f aca="false">IF(J193=0,0,(V193+U193)/J193)</f>
        <v>0</v>
      </c>
      <c r="AB193" s="0" t="n">
        <f aca="false">IF(OR(R193=0,J193=0),"",AA193/R193*100)</f>
        <v>0</v>
      </c>
      <c r="AF193" s="0" t="str">
        <f aca="false">IF(AB193&gt;85," ","WARNING")</f>
        <v>WARNING</v>
      </c>
      <c r="AG193" s="0" t="str">
        <f aca="false">IF(A193=ChoixJour!$A$5,ROW(),"")</f>
        <v/>
      </c>
    </row>
    <row r="194" customFormat="false" ht="13.8" hidden="false" customHeight="false" outlineLevel="0" collapsed="false">
      <c r="A194" s="81" t="n">
        <v>43850</v>
      </c>
      <c r="B194" s="83" t="s">
        <v>46</v>
      </c>
      <c r="C194" s="0" t="s">
        <v>57</v>
      </c>
      <c r="D194" s="0" t="str">
        <f aca="false">IFERROR(VLOOKUP(E194,Pieces!B:C,2,0)," ")</f>
        <v> </v>
      </c>
      <c r="E194" s="0" t="s">
        <v>958</v>
      </c>
      <c r="F194" s="0" t="n">
        <v>180840</v>
      </c>
      <c r="J194" s="0" t="n">
        <f aca="false">IFERROR(VLOOKUP(E194,Pieces!A:C,3,0),"Entrer la cadence")</f>
        <v>454</v>
      </c>
      <c r="K194" s="0" t="n">
        <v>1</v>
      </c>
      <c r="L194" s="0" t="n">
        <f aca="false">(G194-F194)*K194</f>
        <v>-180840</v>
      </c>
      <c r="M194" s="0" t="n">
        <f aca="false">(H194-G194)*K194</f>
        <v>0</v>
      </c>
      <c r="N194" s="0" t="n">
        <f aca="false">(I194-H194)*K194</f>
        <v>0</v>
      </c>
      <c r="O194" s="0" t="n">
        <f aca="false">IF(J194=0,0,L194/J194)</f>
        <v>-398.325991189427</v>
      </c>
      <c r="P194" s="0" t="n">
        <f aca="false">IF(J194=0,0,M194/J194)</f>
        <v>0</v>
      </c>
      <c r="Q194" s="0" t="n">
        <f aca="false">IF(J194=0,0,N194/J194)</f>
        <v>0</v>
      </c>
      <c r="R194" s="0" t="n">
        <v>9</v>
      </c>
      <c r="T194" s="0" t="n">
        <f aca="false">V194+U194-L194-M194-N194</f>
        <v>180840</v>
      </c>
      <c r="U194" s="0" t="n">
        <f aca="true">SUM(INDIRECT(ADDRESS(MATCH("Nombre des NC poubelle ",ChoixRJ!$B$1:$B$29,0),MATCH($C194,ChoixRJ!$13:$13,0),4,1,"ChoixRJ"),1)*1,INDIRECT(ADDRESS(MATCH("Nombre des NC à retoucher",ChoixRJ!$B$1:$B$29,0),MATCH($C194,ChoixRJ!$13:$13,0),4,1,"ChoixRJ"),1)*1)</f>
        <v>0</v>
      </c>
      <c r="AA194" s="0" t="n">
        <f aca="false">IF(J194=0,0,(V194+U194)/J194)</f>
        <v>0</v>
      </c>
      <c r="AB194" s="0" t="n">
        <f aca="false">IF(OR(R194=0,J194=0),"",AA194/R194*100)</f>
        <v>0</v>
      </c>
      <c r="AF194" s="0" t="str">
        <f aca="false">IF(AB194&gt;85," ","WARNING")</f>
        <v>WARNING</v>
      </c>
      <c r="AG194" s="0" t="str">
        <f aca="false">IF(A194=ChoixJour!$A$5,ROW(),"")</f>
        <v/>
      </c>
    </row>
    <row r="195" customFormat="false" ht="13.8" hidden="false" customHeight="false" outlineLevel="0" collapsed="false">
      <c r="A195" s="81" t="n">
        <v>43850</v>
      </c>
      <c r="B195" s="83" t="s">
        <v>64</v>
      </c>
      <c r="C195" s="0" t="s">
        <v>65</v>
      </c>
      <c r="D195" s="0" t="str">
        <f aca="false">IFERROR(VLOOKUP(D194,Pieces!B:C,2,D446)," ")</f>
        <v> </v>
      </c>
      <c r="E195" s="0" t="s">
        <v>136</v>
      </c>
      <c r="F195" s="0" t="n">
        <v>0</v>
      </c>
      <c r="J195" s="0" t="n">
        <f aca="false">IFERROR(VLOOKUP(E195,Pieces!A:C,3,0),"Entrer la cadence")</f>
        <v>1</v>
      </c>
      <c r="K195" s="0" t="n">
        <v>1</v>
      </c>
      <c r="L195" s="0" t="n">
        <f aca="false">(G195-F195)*K195</f>
        <v>0</v>
      </c>
      <c r="M195" s="0" t="n">
        <f aca="false">(H195-G195)*K195</f>
        <v>0</v>
      </c>
      <c r="N195" s="0" t="n">
        <f aca="false">(I195-H195)*K195</f>
        <v>0</v>
      </c>
      <c r="O195" s="0" t="n">
        <f aca="false">IF(J195=0,0,L195/J195)</f>
        <v>0</v>
      </c>
      <c r="P195" s="0" t="n">
        <f aca="false">IF(J195=0,0,M195/J195)</f>
        <v>0</v>
      </c>
      <c r="Q195" s="0" t="n">
        <f aca="false">IF(J195=0,0,N195/J195)</f>
        <v>0</v>
      </c>
      <c r="R195" s="0" t="n">
        <v>9</v>
      </c>
      <c r="T195" s="0" t="n">
        <f aca="false">V195+U195-L195-M195-N195</f>
        <v>0</v>
      </c>
      <c r="U195" s="0" t="n">
        <f aca="true">SUM(INDIRECT(ADDRESS(MATCH("Nombre des NC poubelle ",ChoixRJ!$B$1:$B$29,0),MATCH($C195,ChoixRJ!$13:$13,0),4,1,"ChoixRJ"),1)*1,INDIRECT(ADDRESS(MATCH("Nombre des NC à retoucher",ChoixRJ!$B$1:$B$29,0),MATCH($C195,ChoixRJ!$13:$13,0),4,1,"ChoixRJ"),1)*1)</f>
        <v>0</v>
      </c>
      <c r="AA195" s="0" t="n">
        <f aca="false">IF(J195=0,0,(V195+U195)/J195)</f>
        <v>0</v>
      </c>
      <c r="AB195" s="0" t="n">
        <f aca="false">IF(OR(R195=0,J195=0),"",AA195/R195*100)</f>
        <v>0</v>
      </c>
      <c r="AF195" s="0" t="str">
        <f aca="false">IF(AB195&gt;85," ","WARNING")</f>
        <v>WARNING</v>
      </c>
      <c r="AG195" s="0" t="str">
        <f aca="false">IF(A195=ChoixJour!$A$5,ROW(),"")</f>
        <v/>
      </c>
    </row>
    <row r="196" customFormat="false" ht="13.8" hidden="false" customHeight="false" outlineLevel="0" collapsed="false">
      <c r="A196" s="81" t="n">
        <v>43850</v>
      </c>
      <c r="B196" s="83" t="s">
        <v>96</v>
      </c>
      <c r="C196" s="0" t="s">
        <v>71</v>
      </c>
      <c r="D196" s="0" t="str">
        <f aca="false">IFERROR(VLOOKUP(E196,Pieces!B:C,2,0)," ")</f>
        <v> </v>
      </c>
      <c r="E196" s="0" t="s">
        <v>1042</v>
      </c>
      <c r="F196" s="0" t="n">
        <v>1913</v>
      </c>
      <c r="J196" s="0" t="n">
        <f aca="false">IFERROR(VLOOKUP(E196,Pieces!A:C,3,0),"Entrer la cadence")</f>
        <v>20</v>
      </c>
      <c r="K196" s="0" t="n">
        <v>1</v>
      </c>
      <c r="L196" s="0" t="n">
        <f aca="false">(G196-F196)*K196</f>
        <v>-1913</v>
      </c>
      <c r="M196" s="0" t="n">
        <f aca="false">(H196-G196)*K196</f>
        <v>0</v>
      </c>
      <c r="N196" s="0" t="n">
        <f aca="false">(I196-H196)*K196</f>
        <v>0</v>
      </c>
      <c r="O196" s="0" t="n">
        <f aca="false">IF(J196=0,0,L196/J196)</f>
        <v>-95.65</v>
      </c>
      <c r="P196" s="0" t="n">
        <f aca="false">IF(J196=0,0,M196/J196)</f>
        <v>0</v>
      </c>
      <c r="Q196" s="0" t="n">
        <f aca="false">IF(J196=0,0,N196/J196)</f>
        <v>0</v>
      </c>
      <c r="R196" s="0" t="n">
        <v>9</v>
      </c>
      <c r="T196" s="0" t="n">
        <f aca="false">V196+U196-L196-M196-N196</f>
        <v>1913</v>
      </c>
      <c r="U196" s="0" t="n">
        <f aca="true">SUM(INDIRECT(ADDRESS(MATCH("Nombre des NC poubelle ",ChoixRJ!$B$1:$B$29,0),MATCH($C196,ChoixRJ!$13:$13,0),4,1,"ChoixRJ"),1)*1,INDIRECT(ADDRESS(MATCH("Nombre des NC à retoucher",ChoixRJ!$B$1:$B$29,0),MATCH($C196,ChoixRJ!$13:$13,0),4,1,"ChoixRJ"),1)*1)</f>
        <v>0</v>
      </c>
      <c r="AA196" s="0" t="n">
        <f aca="false">IF(J196=0,0,(V196+U196)/J196)</f>
        <v>0</v>
      </c>
      <c r="AB196" s="0" t="n">
        <f aca="false">IF(OR(R196=0,J196=0),"",AA196/R196*100)</f>
        <v>0</v>
      </c>
      <c r="AF196" s="0" t="str">
        <f aca="false">IF(AB196&gt;85," ","WARNING")</f>
        <v>WARNING</v>
      </c>
      <c r="AG196" s="0" t="str">
        <f aca="false">IF(A196=ChoixJour!$A$5,ROW(),"")</f>
        <v/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tabColor rgb="FFAFEEEE"/>
    <pageSetUpPr fitToPage="false"/>
  </sheetPr>
  <dimension ref="B1:W67"/>
  <sheetViews>
    <sheetView showFormulas="false" showGridLines="true" showRowColHeaders="true" showZeros="true" rightToLeft="false" tabSelected="false" showOutlineSymbols="true" defaultGridColor="true" view="normal" topLeftCell="E4" colorId="64" zoomScale="100" zoomScaleNormal="100" zoomScalePageLayoutView="100" workbookViewId="0">
      <selection pane="topLeft" activeCell="B4" activeCellId="0" sqref="B4"/>
    </sheetView>
  </sheetViews>
  <sheetFormatPr defaultRowHeight="15" zeroHeight="false" outlineLevelRow="0" outlineLevelCol="0"/>
  <cols>
    <col collapsed="false" customWidth="true" hidden="false" outlineLevel="0" max="1" min="1" style="0" width="3.78"/>
    <col collapsed="false" customWidth="true" hidden="false" outlineLevel="0" max="16" min="2" style="0" width="32.05"/>
    <col collapsed="false" customWidth="true" hidden="false" outlineLevel="0" max="17" min="17" style="0" width="10.47"/>
    <col collapsed="false" customWidth="true" hidden="false" outlineLevel="0" max="18" min="18" style="0" width="18.47"/>
    <col collapsed="false" customWidth="true" hidden="false" outlineLevel="0" max="22" min="19" style="0" width="10.47"/>
    <col collapsed="false" customWidth="true" hidden="false" outlineLevel="0" max="23" min="23" style="0" width="11.2"/>
    <col collapsed="false" customWidth="true" hidden="false" outlineLevel="0" max="1025" min="24" style="0" width="10.47"/>
  </cols>
  <sheetData>
    <row r="1" customFormat="false" ht="13.8" hidden="false" customHeight="false" outlineLevel="0" collapsed="false">
      <c r="B1" s="84" t="n">
        <f aca="false">ChoixJour!A5</f>
        <v>43836</v>
      </c>
    </row>
    <row r="2" customFormat="false" ht="15" hidden="false" customHeight="true" outlineLevel="0" collapsed="false">
      <c r="C2" s="85"/>
      <c r="D2" s="85"/>
      <c r="E2" s="86" t="s">
        <v>1068</v>
      </c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7" t="s">
        <v>1069</v>
      </c>
      <c r="R2" s="87"/>
      <c r="S2" s="87"/>
      <c r="T2" s="88"/>
      <c r="U2" s="89"/>
      <c r="V2" s="89"/>
      <c r="W2" s="89"/>
    </row>
    <row r="3" customFormat="false" ht="15" hidden="false" customHeight="true" outlineLevel="0" collapsed="false">
      <c r="C3" s="85"/>
      <c r="D3" s="85"/>
      <c r="E3" s="86"/>
      <c r="F3" s="86"/>
      <c r="G3" s="86"/>
      <c r="H3" s="86"/>
      <c r="I3" s="86"/>
      <c r="J3" s="86"/>
      <c r="K3" s="86"/>
      <c r="L3" s="86"/>
      <c r="M3" s="86"/>
      <c r="N3" s="86"/>
      <c r="O3" s="86"/>
      <c r="P3" s="86"/>
      <c r="Q3" s="90" t="s">
        <v>1070</v>
      </c>
      <c r="R3" s="90"/>
      <c r="S3" s="90"/>
      <c r="T3" s="88"/>
      <c r="U3" s="89"/>
      <c r="V3" s="89"/>
      <c r="W3" s="89"/>
    </row>
    <row r="4" customFormat="false" ht="15" hidden="false" customHeight="true" outlineLevel="0" collapsed="false">
      <c r="C4" s="85"/>
      <c r="D4" s="85"/>
      <c r="E4" s="86"/>
      <c r="F4" s="86"/>
      <c r="G4" s="86"/>
      <c r="H4" s="86"/>
      <c r="I4" s="86"/>
      <c r="J4" s="86"/>
      <c r="K4" s="86"/>
      <c r="L4" s="86"/>
      <c r="M4" s="86"/>
      <c r="N4" s="86"/>
      <c r="O4" s="86"/>
      <c r="P4" s="86"/>
      <c r="Q4" s="90" t="s">
        <v>1071</v>
      </c>
      <c r="R4" s="90"/>
      <c r="S4" s="90"/>
      <c r="T4" s="88"/>
      <c r="U4" s="89"/>
      <c r="V4" s="89"/>
      <c r="W4" s="89"/>
    </row>
    <row r="5" customFormat="false" ht="15.75" hidden="false" customHeight="true" outlineLevel="0" collapsed="false">
      <c r="C5" s="85"/>
      <c r="D5" s="85"/>
      <c r="E5" s="86"/>
      <c r="F5" s="86"/>
      <c r="G5" s="86"/>
      <c r="H5" s="86"/>
      <c r="I5" s="86"/>
      <c r="J5" s="86"/>
      <c r="K5" s="86"/>
      <c r="L5" s="86"/>
      <c r="M5" s="86"/>
      <c r="N5" s="86"/>
      <c r="O5" s="86"/>
      <c r="P5" s="86"/>
      <c r="Q5" s="91" t="s">
        <v>1072</v>
      </c>
      <c r="R5" s="91"/>
      <c r="S5" s="91"/>
      <c r="T5" s="88"/>
      <c r="U5" s="89"/>
      <c r="V5" s="89"/>
      <c r="W5" s="89"/>
    </row>
    <row r="6" customFormat="false" ht="15" hidden="false" customHeight="true" outlineLevel="0" collapsed="false">
      <c r="C6" s="92"/>
      <c r="D6" s="92"/>
      <c r="E6" s="92"/>
      <c r="F6" s="92"/>
    </row>
    <row r="7" customFormat="false" ht="15" hidden="false" customHeight="true" outlineLevel="0" collapsed="false">
      <c r="C7" s="92"/>
      <c r="D7" s="92"/>
      <c r="E7" s="92"/>
      <c r="F7" s="92"/>
    </row>
    <row r="8" customFormat="false" ht="15" hidden="false" customHeight="true" outlineLevel="0" collapsed="false">
      <c r="C8" s="92"/>
      <c r="D8" s="92"/>
      <c r="E8" s="92"/>
      <c r="F8" s="92"/>
    </row>
    <row r="9" customFormat="false" ht="15" hidden="false" customHeight="true" outlineLevel="0" collapsed="false">
      <c r="C9" s="92"/>
      <c r="D9" s="92"/>
      <c r="F9" s="92"/>
    </row>
    <row r="10" customFormat="false" ht="15" hidden="false" customHeight="true" outlineLevel="0" collapsed="false">
      <c r="C10" s="92"/>
      <c r="D10" s="92"/>
      <c r="E10" s="92"/>
      <c r="F10" s="92"/>
    </row>
    <row r="11" customFormat="false" ht="13.8" hidden="false" customHeight="false" outlineLevel="0" collapsed="false">
      <c r="C11" s="93"/>
      <c r="D11" s="93"/>
      <c r="E11" s="93"/>
      <c r="F11" s="93"/>
    </row>
    <row r="12" customFormat="false" ht="36.75" hidden="false" customHeight="true" outlineLevel="0" collapsed="false">
      <c r="C12" s="93"/>
      <c r="D12" s="93"/>
      <c r="E12" s="93"/>
      <c r="F12" s="93"/>
    </row>
    <row r="13" customFormat="false" ht="60" hidden="false" customHeight="true" outlineLevel="0" collapsed="false">
      <c r="B13" s="94" t="s">
        <v>1073</v>
      </c>
      <c r="C13" s="94"/>
      <c r="D13" s="95" t="s">
        <v>52</v>
      </c>
      <c r="E13" s="96" t="s">
        <v>53</v>
      </c>
      <c r="F13" s="96" t="s">
        <v>54</v>
      </c>
      <c r="G13" s="96" t="s">
        <v>55</v>
      </c>
      <c r="H13" s="96" t="s">
        <v>56</v>
      </c>
      <c r="I13" s="96" t="s">
        <v>63</v>
      </c>
      <c r="J13" s="96" t="s">
        <v>59</v>
      </c>
      <c r="K13" s="96" t="s">
        <v>61</v>
      </c>
      <c r="L13" s="96" t="s">
        <v>69</v>
      </c>
      <c r="M13" s="96" t="s">
        <v>67</v>
      </c>
      <c r="N13" s="96" t="s">
        <v>57</v>
      </c>
      <c r="O13" s="96" t="s">
        <v>65</v>
      </c>
      <c r="P13" s="97" t="s">
        <v>71</v>
      </c>
    </row>
    <row r="14" customFormat="false" ht="30" hidden="false" customHeight="true" outlineLevel="0" collapsed="false">
      <c r="B14" s="98" t="str">
        <f aca="true">INDIRECT("RJ!B"&amp;SMALL(RJ!$Q:$Q,ROW()-13),1)</f>
        <v>Référence</v>
      </c>
      <c r="C14" s="98"/>
      <c r="D14" s="99" t="str">
        <f aca="true">INDIRECT("RJ!D"&amp;SMALL(RJ!$Q:$Q,ROW()-13),1)</f>
        <v>OUTI-PLOT</v>
      </c>
      <c r="E14" s="99" t="n">
        <f aca="true">INDIRECT("RJ!E"&amp;SMALL(RJ!$Q:$Q,ROW()-13),1)</f>
        <v>199400</v>
      </c>
      <c r="F14" s="99" t="n">
        <f aca="true">INDIRECT("RJ!F"&amp;SMALL(RJ!$Q:$Q,ROW()-13),1)</f>
        <v>512520</v>
      </c>
      <c r="G14" s="99" t="str">
        <f aca="true">INDIRECT("RJ!G"&amp;SMALL(RJ!$Q:$Q,ROW()-13),1)</f>
        <v>I081-95-CP8</v>
      </c>
      <c r="H14" s="99" t="n">
        <f aca="true">INDIRECT("RJ!H"&amp;SMALL(RJ!$Q:$Q,ROW()-13),1)</f>
        <v>480387</v>
      </c>
      <c r="I14" s="99" t="n">
        <f aca="true">INDIRECT("RJ!I"&amp;SMALL(RJ!$Q:$Q,ROW()-13),1)</f>
        <v>0</v>
      </c>
      <c r="J14" s="99" t="n">
        <f aca="true">INDIRECT("RJ!J"&amp;SMALL(RJ!$Q:$Q,ROW()-13),1)</f>
        <v>0</v>
      </c>
      <c r="K14" s="99" t="n">
        <f aca="true">INDIRECT("RJ!K"&amp;SMALL(RJ!$Q:$Q,ROW()-13),1)</f>
        <v>480387</v>
      </c>
      <c r="L14" s="99" t="str">
        <f aca="true">INDIRECT("RJ!L"&amp;SMALL(RJ!$Q:$Q,ROW()-13),1)</f>
        <v>PIG-50-SE-11D</v>
      </c>
      <c r="M14" s="99" t="n">
        <f aca="true">INDIRECT("RJ!M"&amp;SMALL(RJ!$Q:$Q,ROW()-13),1)</f>
        <v>0</v>
      </c>
      <c r="N14" s="99" t="n">
        <f aca="true">INDIRECT("RJ!N"&amp;SMALL(RJ!$Q:$Q,ROW()-13),1)</f>
        <v>0</v>
      </c>
      <c r="O14" s="99" t="str">
        <f aca="true">INDIRECT("RJ!O"&amp;SMALL(RJ!$Q:$Q,ROW()-13),1)</f>
        <v>18*27*43</v>
      </c>
      <c r="P14" s="99" t="str">
        <f aca="true">INDIRECT("RJ!P"&amp;SMALL(RJ!$Q:$Q,ROW()-13),1)</f>
        <v>H001-PRO</v>
      </c>
    </row>
    <row r="15" customFormat="false" ht="57.75" hidden="false" customHeight="true" outlineLevel="0" collapsed="false">
      <c r="B15" s="98" t="str">
        <f aca="true">INDIRECT("RJ!B"&amp;SMALL(RJ!$Q:$Q,ROW()-13),1)</f>
        <v>Désignation</v>
      </c>
      <c r="C15" s="98"/>
      <c r="D15" s="99" t="str">
        <f aca="true">INDIRECT("RJ!D"&amp;SMALL(RJ!$Q:$Q,ROW()-13),1)</f>
        <v>PLOT NEZ DE MARCHE</v>
      </c>
      <c r="E15" s="99" t="str">
        <f aca="true">INDIRECT("RJ!E"&amp;SMALL(RJ!$Q:$Q,ROW()-13),1)</f>
        <v>TIRANT ACIER D6</v>
      </c>
      <c r="F15" s="99" t="str">
        <f aca="true">INDIRECT("RJ!F"&amp;SMALL(RJ!$Q:$Q,ROW()-13),1)</f>
        <v>INSERTO INOX M6</v>
      </c>
      <c r="G15" s="99" t="str">
        <f aca="true">INDIRECT("RJ!G"&amp;SMALL(RJ!$Q:$Q,ROW()-13),1)</f>
        <v>AXE DU BOITIER TFR+KB</v>
      </c>
      <c r="H15" s="99" t="str">
        <f aca="true">INDIRECT("RJ!H"&amp;SMALL(RJ!$Q:$Q,ROW()-13),1)</f>
        <v>EVACUATION 2 ET 3 GROUPES X ETAPE 3 </v>
      </c>
      <c r="I15" s="99" t="n">
        <f aca="true">INDIRECT("RJ!I"&amp;SMALL(RJ!$Q:$Q,ROW()-13),1)</f>
        <v>0</v>
      </c>
      <c r="J15" s="99" t="n">
        <f aca="true">INDIRECT("RJ!J"&amp;SMALL(RJ!$Q:$Q,ROW()-13),1)</f>
        <v>0</v>
      </c>
      <c r="K15" s="99" t="str">
        <f aca="true">INDIRECT("RJ!K"&amp;SMALL(RJ!$Q:$Q,ROW()-13),1)</f>
        <v>EVACUATION 2 ET 3 GROUPES X ETAPE 4</v>
      </c>
      <c r="L15" s="99" t="str">
        <f aca="true">INDIRECT("RJ!L"&amp;SMALL(RJ!$Q:$Q,ROW()-13),1)</f>
        <v>PIGNON PLATEAU SIMPLE ETAGE D50 11DENTS</v>
      </c>
      <c r="M15" s="99" t="n">
        <f aca="true">INDIRECT("RJ!M"&amp;SMALL(RJ!$Q:$Q,ROW()-13),1)</f>
        <v>0</v>
      </c>
      <c r="N15" s="99" t="n">
        <f aca="true">INDIRECT("RJ!N"&amp;SMALL(RJ!$Q:$Q,ROW()-13),1)</f>
        <v>0</v>
      </c>
      <c r="O15" s="99" t="str">
        <f aca="true">INDIRECT("RJ!O"&amp;SMALL(RJ!$Q:$Q,ROW()-13),1)</f>
        <v>Bague ALU 18*27*43</v>
      </c>
      <c r="P15" s="99" t="str">
        <f aca="true">INDIRECT("RJ!P"&amp;SMALL(RJ!$Q:$Q,ROW()-13),1)</f>
        <v>GOUJON DE ROUE HONDAI PRO</v>
      </c>
    </row>
    <row r="16" customFormat="false" ht="30" hidden="false" customHeight="true" outlineLevel="0" collapsed="false">
      <c r="B16" s="98" t="str">
        <f aca="true">INDIRECT("RJ!B"&amp;SMALL(RJ!$Q:$Q,ROW()-13),1)</f>
        <v>Compteur 8h </v>
      </c>
      <c r="C16" s="98"/>
      <c r="D16" s="99" t="n">
        <f aca="true">INDIRECT("RJ!D"&amp;SMALL(RJ!$Q:$Q,ROW()-13),1)</f>
        <v>29297</v>
      </c>
      <c r="E16" s="99" t="n">
        <f aca="true">INDIRECT("RJ!E"&amp;SMALL(RJ!$Q:$Q,ROW()-13),1)</f>
        <v>0</v>
      </c>
      <c r="F16" s="99" t="n">
        <f aca="true">INDIRECT("RJ!F"&amp;SMALL(RJ!$Q:$Q,ROW()-13),1)</f>
        <v>0</v>
      </c>
      <c r="G16" s="99" t="n">
        <f aca="true">INDIRECT("RJ!G"&amp;SMALL(RJ!$Q:$Q,ROW()-13),1)</f>
        <v>471</v>
      </c>
      <c r="H16" s="99" t="n">
        <f aca="true">INDIRECT("RJ!H"&amp;SMALL(RJ!$Q:$Q,ROW()-13),1)</f>
        <v>0</v>
      </c>
      <c r="I16" s="99" t="n">
        <f aca="true">INDIRECT("RJ!I"&amp;SMALL(RJ!$Q:$Q,ROW()-13),1)</f>
        <v>0</v>
      </c>
      <c r="J16" s="99" t="n">
        <f aca="true">INDIRECT("RJ!J"&amp;SMALL(RJ!$Q:$Q,ROW()-13),1)</f>
        <v>0</v>
      </c>
      <c r="K16" s="99" t="n">
        <f aca="true">INDIRECT("RJ!K"&amp;SMALL(RJ!$Q:$Q,ROW()-13),1)</f>
        <v>0</v>
      </c>
      <c r="L16" s="99" t="n">
        <f aca="true">INDIRECT("RJ!L"&amp;SMALL(RJ!$Q:$Q,ROW()-13),1)</f>
        <v>15</v>
      </c>
      <c r="M16" s="99" t="n">
        <f aca="true">INDIRECT("RJ!M"&amp;SMALL(RJ!$Q:$Q,ROW()-13),1)</f>
        <v>0</v>
      </c>
      <c r="N16" s="99" t="n">
        <f aca="true">INDIRECT("RJ!N"&amp;SMALL(RJ!$Q:$Q,ROW()-13),1)</f>
        <v>0</v>
      </c>
      <c r="O16" s="99" t="n">
        <f aca="true">INDIRECT("RJ!O"&amp;SMALL(RJ!$Q:$Q,ROW()-13),1)</f>
        <v>0</v>
      </c>
      <c r="P16" s="99" t="n">
        <f aca="true">INDIRECT("RJ!P"&amp;SMALL(RJ!$Q:$Q,ROW()-13),1)</f>
        <v>64</v>
      </c>
    </row>
    <row r="17" customFormat="false" ht="30" hidden="false" customHeight="true" outlineLevel="0" collapsed="false">
      <c r="B17" s="98" t="str">
        <f aca="true">INDIRECT("RJ!B"&amp;SMALL(RJ!$Q:$Q,ROW()-13),1)</f>
        <v>Compteur 17h</v>
      </c>
      <c r="C17" s="98"/>
      <c r="D17" s="99" t="n">
        <f aca="true">INDIRECT("RJ!D"&amp;SMALL(RJ!$Q:$Q,ROW()-13),1)</f>
        <v>29990</v>
      </c>
      <c r="E17" s="99" t="n">
        <f aca="true">INDIRECT("RJ!E"&amp;SMALL(RJ!$Q:$Q,ROW()-13),1)</f>
        <v>1373</v>
      </c>
      <c r="F17" s="99" t="n">
        <f aca="true">INDIRECT("RJ!F"&amp;SMALL(RJ!$Q:$Q,ROW()-13),1)</f>
        <v>406</v>
      </c>
      <c r="G17" s="99" t="n">
        <f aca="true">INDIRECT("RJ!G"&amp;SMALL(RJ!$Q:$Q,ROW()-13),1)</f>
        <v>582</v>
      </c>
      <c r="H17" s="99" t="n">
        <f aca="true">INDIRECT("RJ!H"&amp;SMALL(RJ!$Q:$Q,ROW()-13),1)</f>
        <v>0</v>
      </c>
      <c r="I17" s="99" t="n">
        <f aca="true">INDIRECT("RJ!I"&amp;SMALL(RJ!$Q:$Q,ROW()-13),1)</f>
        <v>0</v>
      </c>
      <c r="J17" s="99" t="n">
        <f aca="true">INDIRECT("RJ!J"&amp;SMALL(RJ!$Q:$Q,ROW()-13),1)</f>
        <v>0</v>
      </c>
      <c r="K17" s="99" t="n">
        <f aca="true">INDIRECT("RJ!K"&amp;SMALL(RJ!$Q:$Q,ROW()-13),1)</f>
        <v>0</v>
      </c>
      <c r="L17" s="99" t="n">
        <f aca="true">INDIRECT("RJ!L"&amp;SMALL(RJ!$Q:$Q,ROW()-13),1)</f>
        <v>24</v>
      </c>
      <c r="M17" s="99" t="n">
        <f aca="true">INDIRECT("RJ!M"&amp;SMALL(RJ!$Q:$Q,ROW()-13),1)</f>
        <v>0</v>
      </c>
      <c r="N17" s="99" t="n">
        <f aca="true">INDIRECT("RJ!N"&amp;SMALL(RJ!$Q:$Q,ROW()-13),1)</f>
        <v>0</v>
      </c>
      <c r="O17" s="99" t="n">
        <f aca="true">INDIRECT("RJ!O"&amp;SMALL(RJ!$Q:$Q,ROW()-13),1)</f>
        <v>95</v>
      </c>
      <c r="P17" s="99" t="n">
        <f aca="true">INDIRECT("RJ!P"&amp;SMALL(RJ!$Q:$Q,ROW()-13),1)</f>
        <v>272</v>
      </c>
    </row>
    <row r="18" customFormat="false" ht="30" hidden="false" customHeight="true" outlineLevel="0" collapsed="false">
      <c r="B18" s="100" t="str">
        <f aca="true">INDIRECT("RJ!B"&amp;SMALL(RJ!$Q:$Q,ROW()-13),1)</f>
        <v>Enregistrement</v>
      </c>
      <c r="C18" s="98" t="str">
        <f aca="true">INDIRECT("RJ!C"&amp;SMALL(RJ!$Q:$Q,ROW()-13),1)</f>
        <v>9h</v>
      </c>
      <c r="D18" s="99" t="str">
        <f aca="true">INDIRECT("RJ!D"&amp;SMALL(RJ!$Q:$Q,ROW()-13),1)</f>
        <v>OK</v>
      </c>
      <c r="E18" s="99" t="str">
        <f aca="true">INDIRECT("RJ!E"&amp;SMALL(RJ!$Q:$Q,ROW()-13),1)</f>
        <v>OK</v>
      </c>
      <c r="F18" s="99" t="str">
        <f aca="true">INDIRECT("RJ!F"&amp;SMALL(RJ!$Q:$Q,ROW()-13),1)</f>
        <v>OK</v>
      </c>
      <c r="G18" s="99" t="str">
        <f aca="true">INDIRECT("RJ!G"&amp;SMALL(RJ!$Q:$Q,ROW()-13),1)</f>
        <v>OK</v>
      </c>
      <c r="H18" s="99" t="str">
        <f aca="true">INDIRECT("RJ!H"&amp;SMALL(RJ!$Q:$Q,ROW()-13),1)</f>
        <v>OK</v>
      </c>
      <c r="I18" s="99" t="n">
        <f aca="true">INDIRECT("RJ!I"&amp;SMALL(RJ!$Q:$Q,ROW()-13),1)</f>
        <v>0</v>
      </c>
      <c r="J18" s="99" t="n">
        <f aca="true">INDIRECT("RJ!J"&amp;SMALL(RJ!$Q:$Q,ROW()-13),1)</f>
        <v>0</v>
      </c>
      <c r="K18" s="99" t="str">
        <f aca="true">INDIRECT("RJ!K"&amp;SMALL(RJ!$Q:$Q,ROW()-13),1)</f>
        <v>NOK</v>
      </c>
      <c r="L18" s="99" t="str">
        <f aca="true">INDIRECT("RJ!L"&amp;SMALL(RJ!$Q:$Q,ROW()-13),1)</f>
        <v>NOK</v>
      </c>
      <c r="M18" s="99" t="n">
        <f aca="true">INDIRECT("RJ!M"&amp;SMALL(RJ!$Q:$Q,ROW()-13),1)</f>
        <v>0</v>
      </c>
      <c r="N18" s="99" t="n">
        <f aca="true">INDIRECT("RJ!N"&amp;SMALL(RJ!$Q:$Q,ROW()-13),1)</f>
        <v>0</v>
      </c>
      <c r="O18" s="99" t="str">
        <f aca="true">INDIRECT("RJ!O"&amp;SMALL(RJ!$Q:$Q,ROW()-13),1)</f>
        <v>OK</v>
      </c>
      <c r="P18" s="99" t="str">
        <f aca="true">INDIRECT("RJ!P"&amp;SMALL(RJ!$Q:$Q,ROW()-13),1)</f>
        <v>OK</v>
      </c>
    </row>
    <row r="19" customFormat="false" ht="30" hidden="false" customHeight="true" outlineLevel="0" collapsed="false">
      <c r="B19" s="100"/>
      <c r="C19" s="98" t="str">
        <f aca="true">INDIRECT("RJ!C"&amp;SMALL(RJ!$Q:$Q,ROW()-13),1)</f>
        <v>16h</v>
      </c>
      <c r="D19" s="99" t="str">
        <f aca="true">INDIRECT("RJ!D"&amp;SMALL(RJ!$Q:$Q,ROW()-13),1)</f>
        <v>OK</v>
      </c>
      <c r="E19" s="99" t="str">
        <f aca="true">INDIRECT("RJ!E"&amp;SMALL(RJ!$Q:$Q,ROW()-13),1)</f>
        <v>OK</v>
      </c>
      <c r="F19" s="99" t="str">
        <f aca="true">INDIRECT("RJ!F"&amp;SMALL(RJ!$Q:$Q,ROW()-13),1)</f>
        <v>OK</v>
      </c>
      <c r="G19" s="99" t="str">
        <f aca="true">INDIRECT("RJ!G"&amp;SMALL(RJ!$Q:$Q,ROW()-13),1)</f>
        <v>OK</v>
      </c>
      <c r="H19" s="99" t="str">
        <f aca="true">INDIRECT("RJ!H"&amp;SMALL(RJ!$Q:$Q,ROW()-13),1)</f>
        <v>OK</v>
      </c>
      <c r="I19" s="99" t="n">
        <f aca="true">INDIRECT("RJ!I"&amp;SMALL(RJ!$Q:$Q,ROW()-13),1)</f>
        <v>0</v>
      </c>
      <c r="J19" s="99" t="n">
        <f aca="true">INDIRECT("RJ!J"&amp;SMALL(RJ!$Q:$Q,ROW()-13),1)</f>
        <v>0</v>
      </c>
      <c r="K19" s="99" t="str">
        <f aca="true">INDIRECT("RJ!K"&amp;SMALL(RJ!$Q:$Q,ROW()-13),1)</f>
        <v>NOK</v>
      </c>
      <c r="L19" s="99" t="str">
        <f aca="true">INDIRECT("RJ!L"&amp;SMALL(RJ!$Q:$Q,ROW()-13),1)</f>
        <v>NOK</v>
      </c>
      <c r="M19" s="99" t="n">
        <f aca="true">INDIRECT("RJ!M"&amp;SMALL(RJ!$Q:$Q,ROW()-13),1)</f>
        <v>0</v>
      </c>
      <c r="N19" s="99" t="n">
        <f aca="true">INDIRECT("RJ!N"&amp;SMALL(RJ!$Q:$Q,ROW()-13),1)</f>
        <v>0</v>
      </c>
      <c r="O19" s="99" t="str">
        <f aca="true">INDIRECT("RJ!O"&amp;SMALL(RJ!$Q:$Q,ROW()-13),1)</f>
        <v>OK</v>
      </c>
      <c r="P19" s="99" t="str">
        <f aca="true">INDIRECT("RJ!P"&amp;SMALL(RJ!$Q:$Q,ROW()-13),1)</f>
        <v>OK</v>
      </c>
    </row>
    <row r="20" customFormat="false" ht="30" hidden="false" customHeight="true" outlineLevel="0" collapsed="false">
      <c r="B20" s="98" t="str">
        <f aca="true">INDIRECT("RJ!B"&amp;SMALL(RJ!$Q:$Q,ROW()-13),1)</f>
        <v>Identification</v>
      </c>
      <c r="C20" s="98"/>
      <c r="D20" s="99" t="str">
        <f aca="true">INDIRECT("RJ!D"&amp;SMALL(RJ!$Q:$Q,ROW()-13),1)</f>
        <v>OK</v>
      </c>
      <c r="E20" s="99" t="str">
        <f aca="true">INDIRECT("RJ!E"&amp;SMALL(RJ!$Q:$Q,ROW()-13),1)</f>
        <v>OK</v>
      </c>
      <c r="F20" s="99" t="str">
        <f aca="true">INDIRECT("RJ!F"&amp;SMALL(RJ!$Q:$Q,ROW()-13),1)</f>
        <v>OK</v>
      </c>
      <c r="G20" s="99" t="str">
        <f aca="true">INDIRECT("RJ!G"&amp;SMALL(RJ!$Q:$Q,ROW()-13),1)</f>
        <v>OK</v>
      </c>
      <c r="H20" s="99" t="str">
        <f aca="true">INDIRECT("RJ!H"&amp;SMALL(RJ!$Q:$Q,ROW()-13),1)</f>
        <v>OK</v>
      </c>
      <c r="I20" s="99" t="n">
        <f aca="true">INDIRECT("RJ!I"&amp;SMALL(RJ!$Q:$Q,ROW()-13),1)</f>
        <v>0</v>
      </c>
      <c r="J20" s="99" t="n">
        <f aca="true">INDIRECT("RJ!J"&amp;SMALL(RJ!$Q:$Q,ROW()-13),1)</f>
        <v>0</v>
      </c>
      <c r="K20" s="99" t="str">
        <f aca="true">INDIRECT("RJ!K"&amp;SMALL(RJ!$Q:$Q,ROW()-13),1)</f>
        <v>OK</v>
      </c>
      <c r="L20" s="99" t="str">
        <f aca="true">INDIRECT("RJ!L"&amp;SMALL(RJ!$Q:$Q,ROW()-13),1)</f>
        <v>NOK</v>
      </c>
      <c r="M20" s="99" t="n">
        <f aca="true">INDIRECT("RJ!M"&amp;SMALL(RJ!$Q:$Q,ROW()-13),1)</f>
        <v>0</v>
      </c>
      <c r="N20" s="99" t="n">
        <f aca="true">INDIRECT("RJ!N"&amp;SMALL(RJ!$Q:$Q,ROW()-13),1)</f>
        <v>0</v>
      </c>
      <c r="O20" s="99" t="str">
        <f aca="true">INDIRECT("RJ!O"&amp;SMALL(RJ!$Q:$Q,ROW()-13),1)</f>
        <v>OK</v>
      </c>
      <c r="P20" s="99" t="str">
        <f aca="true">INDIRECT("RJ!P"&amp;SMALL(RJ!$Q:$Q,ROW()-13),1)</f>
        <v>OK</v>
      </c>
    </row>
    <row r="21" customFormat="false" ht="30" hidden="false" customHeight="true" outlineLevel="0" collapsed="false">
      <c r="B21" s="98" t="str">
        <f aca="true">INDIRECT("RJ!B"&amp;SMALL(RJ!$Q:$Q,ROW()-13),1)</f>
        <v>Propreté des tables de contrôle</v>
      </c>
      <c r="C21" s="98"/>
      <c r="D21" s="99" t="str">
        <f aca="true">INDIRECT("RJ!D"&amp;SMALL(RJ!$Q:$Q,ROW()-13),1)</f>
        <v>OK</v>
      </c>
      <c r="E21" s="99" t="str">
        <f aca="true">INDIRECT("RJ!E"&amp;SMALL(RJ!$Q:$Q,ROW()-13),1)</f>
        <v>OK</v>
      </c>
      <c r="F21" s="99" t="str">
        <f aca="true">INDIRECT("RJ!F"&amp;SMALL(RJ!$Q:$Q,ROW()-13),1)</f>
        <v>OK</v>
      </c>
      <c r="G21" s="99" t="str">
        <f aca="true">INDIRECT("RJ!G"&amp;SMALL(RJ!$Q:$Q,ROW()-13),1)</f>
        <v>OK</v>
      </c>
      <c r="H21" s="99" t="str">
        <f aca="true">INDIRECT("RJ!H"&amp;SMALL(RJ!$Q:$Q,ROW()-13),1)</f>
        <v>OK</v>
      </c>
      <c r="I21" s="99" t="n">
        <f aca="true">INDIRECT("RJ!I"&amp;SMALL(RJ!$Q:$Q,ROW()-13),1)</f>
        <v>0</v>
      </c>
      <c r="J21" s="99" t="n">
        <f aca="true">INDIRECT("RJ!J"&amp;SMALL(RJ!$Q:$Q,ROW()-13),1)</f>
        <v>0</v>
      </c>
      <c r="K21" s="99" t="str">
        <f aca="true">INDIRECT("RJ!K"&amp;SMALL(RJ!$Q:$Q,ROW()-13),1)</f>
        <v>NOK</v>
      </c>
      <c r="L21" s="99" t="str">
        <f aca="true">INDIRECT("RJ!L"&amp;SMALL(RJ!$Q:$Q,ROW()-13),1)</f>
        <v>NOK</v>
      </c>
      <c r="M21" s="99" t="n">
        <f aca="true">INDIRECT("RJ!M"&amp;SMALL(RJ!$Q:$Q,ROW()-13),1)</f>
        <v>0</v>
      </c>
      <c r="N21" s="99" t="n">
        <f aca="true">INDIRECT("RJ!N"&amp;SMALL(RJ!$Q:$Q,ROW()-13),1)</f>
        <v>0</v>
      </c>
      <c r="O21" s="99" t="str">
        <f aca="true">INDIRECT("RJ!O"&amp;SMALL(RJ!$Q:$Q,ROW()-13),1)</f>
        <v>OK</v>
      </c>
      <c r="P21" s="99" t="str">
        <f aca="true">INDIRECT("RJ!P"&amp;SMALL(RJ!$Q:$Q,ROW()-13),1)</f>
        <v>OK</v>
      </c>
    </row>
    <row r="22" customFormat="false" ht="30" hidden="false" customHeight="true" outlineLevel="0" collapsed="false">
      <c r="B22" s="98" t="str">
        <f aca="true">INDIRECT("RJ!B"&amp;SMALL(RJ!$Q:$Q,ROW()-13),1)</f>
        <v>Rangement des outils de contrôle</v>
      </c>
      <c r="C22" s="98"/>
      <c r="D22" s="99" t="str">
        <f aca="true">INDIRECT("RJ!D"&amp;SMALL(RJ!$Q:$Q,ROW()-13),1)</f>
        <v>OK</v>
      </c>
      <c r="E22" s="99" t="str">
        <f aca="true">INDIRECT("RJ!E"&amp;SMALL(RJ!$Q:$Q,ROW()-13),1)</f>
        <v>OK</v>
      </c>
      <c r="F22" s="99" t="str">
        <f aca="true">INDIRECT("RJ!F"&amp;SMALL(RJ!$Q:$Q,ROW()-13),1)</f>
        <v>OK</v>
      </c>
      <c r="G22" s="99" t="str">
        <f aca="true">INDIRECT("RJ!G"&amp;SMALL(RJ!$Q:$Q,ROW()-13),1)</f>
        <v>OK</v>
      </c>
      <c r="H22" s="99" t="str">
        <f aca="true">INDIRECT("RJ!H"&amp;SMALL(RJ!$Q:$Q,ROW()-13),1)</f>
        <v>OK</v>
      </c>
      <c r="I22" s="99" t="n">
        <f aca="true">INDIRECT("RJ!I"&amp;SMALL(RJ!$Q:$Q,ROW()-13),1)</f>
        <v>0</v>
      </c>
      <c r="J22" s="99" t="n">
        <f aca="true">INDIRECT("RJ!J"&amp;SMALL(RJ!$Q:$Q,ROW()-13),1)</f>
        <v>0</v>
      </c>
      <c r="K22" s="99" t="str">
        <f aca="true">INDIRECT("RJ!K"&amp;SMALL(RJ!$Q:$Q,ROW()-13),1)</f>
        <v>NOK</v>
      </c>
      <c r="L22" s="99" t="str">
        <f aca="true">INDIRECT("RJ!L"&amp;SMALL(RJ!$Q:$Q,ROW()-13),1)</f>
        <v>NOK</v>
      </c>
      <c r="M22" s="99" t="n">
        <f aca="true">INDIRECT("RJ!M"&amp;SMALL(RJ!$Q:$Q,ROW()-13),1)</f>
        <v>0</v>
      </c>
      <c r="N22" s="99" t="n">
        <f aca="true">INDIRECT("RJ!N"&amp;SMALL(RJ!$Q:$Q,ROW()-13),1)</f>
        <v>0</v>
      </c>
      <c r="O22" s="99" t="str">
        <f aca="true">INDIRECT("RJ!O"&amp;SMALL(RJ!$Q:$Q,ROW()-13),1)</f>
        <v>OK</v>
      </c>
      <c r="P22" s="99" t="str">
        <f aca="true">INDIRECT("RJ!P"&amp;SMALL(RJ!$Q:$Q,ROW()-13),1)</f>
        <v>OK</v>
      </c>
    </row>
    <row r="23" customFormat="false" ht="66.75" hidden="false" customHeight="true" outlineLevel="0" collapsed="false">
      <c r="B23" s="98" t="str">
        <f aca="true">INDIRECT("RJ!B"&amp;SMALL(RJ!$Q:$Q,ROW()-13),1)</f>
        <v>Existance de l'OF</v>
      </c>
      <c r="C23" s="98"/>
      <c r="D23" s="99" t="str">
        <f aca="true">INDIRECT("RJ!D"&amp;SMALL(RJ!$Q:$Q,ROW()-13),1)</f>
        <v>OK</v>
      </c>
      <c r="E23" s="99" t="str">
        <f aca="true">INDIRECT("RJ!E"&amp;SMALL(RJ!$Q:$Q,ROW()-13),1)</f>
        <v>OK ( rapport de contrôle qualité début de serie n'est pas rempli)</v>
      </c>
      <c r="F23" s="99" t="str">
        <f aca="true">INDIRECT("RJ!F"&amp;SMALL(RJ!$Q:$Q,ROW()-13),1)</f>
        <v>OK ( rapport de contrôle qualité début de serie n'est pas rempli)</v>
      </c>
      <c r="G23" s="99" t="str">
        <f aca="true">INDIRECT("RJ!G"&amp;SMALL(RJ!$Q:$Q,ROW()-13),1)</f>
        <v>OK</v>
      </c>
      <c r="H23" s="99" t="str">
        <f aca="true">INDIRECT("RJ!H"&amp;SMALL(RJ!$Q:$Q,ROW()-13),1)</f>
        <v>OK</v>
      </c>
      <c r="I23" s="99" t="n">
        <f aca="true">INDIRECT("RJ!I"&amp;SMALL(RJ!$Q:$Q,ROW()-13),1)</f>
        <v>0</v>
      </c>
      <c r="J23" s="99" t="n">
        <f aca="true">INDIRECT("RJ!J"&amp;SMALL(RJ!$Q:$Q,ROW()-13),1)</f>
        <v>0</v>
      </c>
      <c r="K23" s="99" t="str">
        <f aca="true">INDIRECT("RJ!K"&amp;SMALL(RJ!$Q:$Q,ROW()-13),1)</f>
        <v>OK ( rapport de contrôle qualité début de serie n'est pas rempli)</v>
      </c>
      <c r="L23" s="99" t="str">
        <f aca="true">INDIRECT("RJ!L"&amp;SMALL(RJ!$Q:$Q,ROW()-13),1)</f>
        <v>NOK</v>
      </c>
      <c r="M23" s="99" t="n">
        <f aca="true">INDIRECT("RJ!M"&amp;SMALL(RJ!$Q:$Q,ROW()-13),1)</f>
        <v>0</v>
      </c>
      <c r="N23" s="99" t="n">
        <f aca="true">INDIRECT("RJ!N"&amp;SMALL(RJ!$Q:$Q,ROW()-13),1)</f>
        <v>0</v>
      </c>
      <c r="O23" s="99" t="str">
        <f aca="true">INDIRECT("RJ!O"&amp;SMALL(RJ!$Q:$Q,ROW()-13),1)</f>
        <v>OK</v>
      </c>
      <c r="P23" s="99" t="str">
        <f aca="true">INDIRECT("RJ!P"&amp;SMALL(RJ!$Q:$Q,ROW()-13),1)</f>
        <v>OK</v>
      </c>
    </row>
    <row r="24" customFormat="false" ht="30" hidden="false" customHeight="true" outlineLevel="0" collapsed="false">
      <c r="B24" s="98" t="str">
        <f aca="true">INDIRECT("RJ!B"&amp;SMALL(RJ!$Q:$Q,ROW()-13),1)</f>
        <v>Affutage</v>
      </c>
      <c r="C24" s="98"/>
      <c r="D24" s="99" t="str">
        <f aca="true">INDIRECT("RJ!D"&amp;SMALL(RJ!$Q:$Q,ROW()-13),1)</f>
        <v>OK</v>
      </c>
      <c r="E24" s="99" t="str">
        <f aca="true">INDIRECT("RJ!E"&amp;SMALL(RJ!$Q:$Q,ROW()-13),1)</f>
        <v>NOK</v>
      </c>
      <c r="F24" s="99" t="str">
        <f aca="true">INDIRECT("RJ!F"&amp;SMALL(RJ!$Q:$Q,ROW()-13),1)</f>
        <v>NOK</v>
      </c>
      <c r="G24" s="99" t="str">
        <f aca="true">INDIRECT("RJ!G"&amp;SMALL(RJ!$Q:$Q,ROW()-13),1)</f>
        <v>OK</v>
      </c>
      <c r="H24" s="99" t="str">
        <f aca="true">INDIRECT("RJ!H"&amp;SMALL(RJ!$Q:$Q,ROW()-13),1)</f>
        <v>NOK</v>
      </c>
      <c r="I24" s="99" t="n">
        <f aca="true">INDIRECT("RJ!I"&amp;SMALL(RJ!$Q:$Q,ROW()-13),1)</f>
        <v>0</v>
      </c>
      <c r="J24" s="99" t="n">
        <f aca="true">INDIRECT("RJ!J"&amp;SMALL(RJ!$Q:$Q,ROW()-13),1)</f>
        <v>0</v>
      </c>
      <c r="K24" s="99" t="str">
        <f aca="true">INDIRECT("RJ!K"&amp;SMALL(RJ!$Q:$Q,ROW()-13),1)</f>
        <v>NOK</v>
      </c>
      <c r="L24" s="99" t="str">
        <f aca="true">INDIRECT("RJ!L"&amp;SMALL(RJ!$Q:$Q,ROW()-13),1)</f>
        <v>OK</v>
      </c>
      <c r="M24" s="99" t="n">
        <f aca="true">INDIRECT("RJ!M"&amp;SMALL(RJ!$Q:$Q,ROW()-13),1)</f>
        <v>0</v>
      </c>
      <c r="N24" s="99" t="n">
        <f aca="true">INDIRECT("RJ!N"&amp;SMALL(RJ!$Q:$Q,ROW()-13),1)</f>
        <v>0</v>
      </c>
      <c r="O24" s="99" t="str">
        <f aca="true">INDIRECT("RJ!O"&amp;SMALL(RJ!$Q:$Q,ROW()-13),1)</f>
        <v>NOK</v>
      </c>
      <c r="P24" s="99" t="str">
        <f aca="true">INDIRECT("RJ!P"&amp;SMALL(RJ!$Q:$Q,ROW()-13),1)</f>
        <v>NOK</v>
      </c>
    </row>
    <row r="25" customFormat="false" ht="30" hidden="false" customHeight="true" outlineLevel="0" collapsed="false">
      <c r="B25" s="98" t="str">
        <f aca="true">INDIRECT("RJ!B"&amp;SMALL(RJ!$Q:$Q,ROW()-13),1)</f>
        <v>Maintenance</v>
      </c>
      <c r="C25" s="98"/>
      <c r="D25" s="99" t="str">
        <f aca="true">INDIRECT("RJ!D"&amp;SMALL(RJ!$Q:$Q,ROW()-13),1)</f>
        <v>OK</v>
      </c>
      <c r="E25" s="99" t="str">
        <f aca="true">INDIRECT("RJ!E"&amp;SMALL(RJ!$Q:$Q,ROW()-13),1)</f>
        <v>OK</v>
      </c>
      <c r="F25" s="99" t="str">
        <f aca="true">INDIRECT("RJ!F"&amp;SMALL(RJ!$Q:$Q,ROW()-13),1)</f>
        <v>OK</v>
      </c>
      <c r="G25" s="99" t="str">
        <f aca="true">INDIRECT("RJ!G"&amp;SMALL(RJ!$Q:$Q,ROW()-13),1)</f>
        <v>OK</v>
      </c>
      <c r="H25" s="99" t="str">
        <f aca="true">INDIRECT("RJ!H"&amp;SMALL(RJ!$Q:$Q,ROW()-13),1)</f>
        <v>OK</v>
      </c>
      <c r="I25" s="99" t="n">
        <f aca="true">INDIRECT("RJ!I"&amp;SMALL(RJ!$Q:$Q,ROW()-13),1)</f>
        <v>0</v>
      </c>
      <c r="J25" s="99" t="n">
        <f aca="true">INDIRECT("RJ!J"&amp;SMALL(RJ!$Q:$Q,ROW()-13),1)</f>
        <v>0</v>
      </c>
      <c r="K25" s="99" t="str">
        <f aca="true">INDIRECT("RJ!K"&amp;SMALL(RJ!$Q:$Q,ROW()-13),1)</f>
        <v>OK</v>
      </c>
      <c r="L25" s="99" t="str">
        <f aca="true">INDIRECT("RJ!L"&amp;SMALL(RJ!$Q:$Q,ROW()-13),1)</f>
        <v>OK</v>
      </c>
      <c r="M25" s="99" t="n">
        <f aca="true">INDIRECT("RJ!M"&amp;SMALL(RJ!$Q:$Q,ROW()-13),1)</f>
        <v>0</v>
      </c>
      <c r="N25" s="99" t="n">
        <f aca="true">INDIRECT("RJ!N"&amp;SMALL(RJ!$Q:$Q,ROW()-13),1)</f>
        <v>0</v>
      </c>
      <c r="O25" s="99" t="str">
        <f aca="true">INDIRECT("RJ!O"&amp;SMALL(RJ!$Q:$Q,ROW()-13),1)</f>
        <v>OK</v>
      </c>
      <c r="P25" s="99" t="str">
        <f aca="true">INDIRECT("RJ!P"&amp;SMALL(RJ!$Q:$Q,ROW()-13),1)</f>
        <v>OK</v>
      </c>
    </row>
    <row r="26" customFormat="false" ht="30" hidden="false" customHeight="true" outlineLevel="0" collapsed="false">
      <c r="B26" s="98" t="str">
        <f aca="true">INDIRECT("RJ!B"&amp;SMALL(RJ!$Q:$Q,ROW()-13),1)</f>
        <v>Nombre des NC poubelle </v>
      </c>
      <c r="C26" s="98"/>
      <c r="D26" s="99" t="n">
        <f aca="true">INDIRECT("RJ!D"&amp;SMALL(RJ!$Q:$Q,ROW()-13),1)</f>
        <v>0</v>
      </c>
      <c r="E26" s="99" t="n">
        <f aca="true">INDIRECT("RJ!E"&amp;SMALL(RJ!$Q:$Q,ROW()-13),1)</f>
        <v>0</v>
      </c>
      <c r="F26" s="99" t="n">
        <f aca="true">INDIRECT("RJ!F"&amp;SMALL(RJ!$Q:$Q,ROW()-13),1)</f>
        <v>0</v>
      </c>
      <c r="G26" s="99" t="n">
        <f aca="true">INDIRECT("RJ!G"&amp;SMALL(RJ!$Q:$Q,ROW()-13),1)</f>
        <v>9</v>
      </c>
      <c r="H26" s="99" t="n">
        <f aca="true">INDIRECT("RJ!H"&amp;SMALL(RJ!$Q:$Q,ROW()-13),1)</f>
        <v>0</v>
      </c>
      <c r="I26" s="99" t="n">
        <f aca="true">INDIRECT("RJ!I"&amp;SMALL(RJ!$Q:$Q,ROW()-13),1)</f>
        <v>0</v>
      </c>
      <c r="J26" s="99" t="n">
        <f aca="true">INDIRECT("RJ!J"&amp;SMALL(RJ!$Q:$Q,ROW()-13),1)</f>
        <v>0</v>
      </c>
      <c r="K26" s="99" t="n">
        <f aca="true">INDIRECT("RJ!K"&amp;SMALL(RJ!$Q:$Q,ROW()-13),1)</f>
        <v>0</v>
      </c>
      <c r="L26" s="99" t="n">
        <f aca="true">INDIRECT("RJ!L"&amp;SMALL(RJ!$Q:$Q,ROW()-13),1)</f>
        <v>0</v>
      </c>
      <c r="M26" s="99" t="n">
        <f aca="true">INDIRECT("RJ!M"&amp;SMALL(RJ!$Q:$Q,ROW()-13),1)</f>
        <v>0</v>
      </c>
      <c r="N26" s="99" t="n">
        <f aca="true">INDIRECT("RJ!N"&amp;SMALL(RJ!$Q:$Q,ROW()-13),1)</f>
        <v>0</v>
      </c>
      <c r="O26" s="99" t="n">
        <f aca="true">INDIRECT("RJ!O"&amp;SMALL(RJ!$Q:$Q,ROW()-13),1)</f>
        <v>0</v>
      </c>
      <c r="P26" s="99" t="n">
        <f aca="true">INDIRECT("RJ!P"&amp;SMALL(RJ!$Q:$Q,ROW()-13),1)</f>
        <v>0</v>
      </c>
    </row>
    <row r="27" customFormat="false" ht="30" hidden="false" customHeight="true" outlineLevel="0" collapsed="false">
      <c r="B27" s="98" t="str">
        <f aca="true">INDIRECT("RJ!B"&amp;SMALL(RJ!$Q:$Q,ROW()-13),1)</f>
        <v>Nombre des NC à retoucher</v>
      </c>
      <c r="C27" s="98"/>
      <c r="D27" s="99" t="n">
        <f aca="true">INDIRECT("RJ!D"&amp;SMALL(RJ!$Q:$Q,ROW()-13),1)</f>
        <v>0</v>
      </c>
      <c r="E27" s="99" t="n">
        <f aca="true">INDIRECT("RJ!E"&amp;SMALL(RJ!$Q:$Q,ROW()-13),1)</f>
        <v>0</v>
      </c>
      <c r="F27" s="99" t="n">
        <f aca="true">INDIRECT("RJ!F"&amp;SMALL(RJ!$Q:$Q,ROW()-13),1)</f>
        <v>0</v>
      </c>
      <c r="G27" s="99" t="n">
        <f aca="true">INDIRECT("RJ!G"&amp;SMALL(RJ!$Q:$Q,ROW()-13),1)</f>
        <v>0</v>
      </c>
      <c r="H27" s="99" t="n">
        <f aca="true">INDIRECT("RJ!H"&amp;SMALL(RJ!$Q:$Q,ROW()-13),1)</f>
        <v>0</v>
      </c>
      <c r="I27" s="99" t="n">
        <f aca="true">INDIRECT("RJ!I"&amp;SMALL(RJ!$Q:$Q,ROW()-13),1)</f>
        <v>0</v>
      </c>
      <c r="J27" s="99" t="n">
        <f aca="true">INDIRECT("RJ!J"&amp;SMALL(RJ!$Q:$Q,ROW()-13),1)</f>
        <v>0</v>
      </c>
      <c r="K27" s="99" t="n">
        <f aca="true">INDIRECT("RJ!K"&amp;SMALL(RJ!$Q:$Q,ROW()-13),1)</f>
        <v>0</v>
      </c>
      <c r="L27" s="99" t="n">
        <f aca="true">INDIRECT("RJ!L"&amp;SMALL(RJ!$Q:$Q,ROW()-13),1)</f>
        <v>0</v>
      </c>
      <c r="M27" s="99" t="n">
        <f aca="true">INDIRECT("RJ!M"&amp;SMALL(RJ!$Q:$Q,ROW()-13),1)</f>
        <v>0</v>
      </c>
      <c r="N27" s="99" t="n">
        <f aca="true">INDIRECT("RJ!N"&amp;SMALL(RJ!$Q:$Q,ROW()-13),1)</f>
        <v>0</v>
      </c>
      <c r="O27" s="99" t="n">
        <f aca="true">INDIRECT("RJ!O"&amp;SMALL(RJ!$Q:$Q,ROW()-13),1)</f>
        <v>0</v>
      </c>
      <c r="P27" s="99" t="n">
        <f aca="true">INDIRECT("RJ!P"&amp;SMALL(RJ!$Q:$Q,ROW()-13),1)</f>
        <v>0</v>
      </c>
    </row>
    <row r="28" customFormat="false" ht="30" hidden="false" customHeight="true" outlineLevel="0" collapsed="false">
      <c r="B28" s="98" t="str">
        <f aca="true">INDIRECT("RJ!B"&amp;SMALL(RJ!$Q:$Q,ROW()-13),1)</f>
        <v>Machine pour retouche</v>
      </c>
      <c r="C28" s="98"/>
      <c r="D28" s="99" t="n">
        <f aca="true">INDIRECT("RJ!D"&amp;SMALL(RJ!$Q:$Q,ROW()-13),1)</f>
        <v>0</v>
      </c>
      <c r="E28" s="99" t="n">
        <f aca="true">INDIRECT("RJ!E"&amp;SMALL(RJ!$Q:$Q,ROW()-13),1)</f>
        <v>0</v>
      </c>
      <c r="F28" s="99" t="n">
        <f aca="true">INDIRECT("RJ!F"&amp;SMALL(RJ!$Q:$Q,ROW()-13),1)</f>
        <v>0</v>
      </c>
      <c r="G28" s="99" t="n">
        <f aca="true">INDIRECT("RJ!G"&amp;SMALL(RJ!$Q:$Q,ROW()-13),1)</f>
        <v>0</v>
      </c>
      <c r="H28" s="99" t="n">
        <f aca="true">INDIRECT("RJ!H"&amp;SMALL(RJ!$Q:$Q,ROW()-13),1)</f>
        <v>0</v>
      </c>
      <c r="I28" s="99" t="n">
        <f aca="true">INDIRECT("RJ!I"&amp;SMALL(RJ!$Q:$Q,ROW()-13),1)</f>
        <v>0</v>
      </c>
      <c r="J28" s="99" t="n">
        <f aca="true">INDIRECT("RJ!J"&amp;SMALL(RJ!$Q:$Q,ROW()-13),1)</f>
        <v>0</v>
      </c>
      <c r="K28" s="99" t="n">
        <f aca="true">INDIRECT("RJ!K"&amp;SMALL(RJ!$Q:$Q,ROW()-13),1)</f>
        <v>0</v>
      </c>
      <c r="L28" s="99" t="n">
        <f aca="true">INDIRECT("RJ!L"&amp;SMALL(RJ!$Q:$Q,ROW()-13),1)</f>
        <v>0</v>
      </c>
      <c r="M28" s="99" t="n">
        <f aca="true">INDIRECT("RJ!M"&amp;SMALL(RJ!$Q:$Q,ROW()-13),1)</f>
        <v>0</v>
      </c>
      <c r="N28" s="99" t="n">
        <f aca="true">INDIRECT("RJ!N"&amp;SMALL(RJ!$Q:$Q,ROW()-13),1)</f>
        <v>0</v>
      </c>
      <c r="O28" s="99" t="n">
        <f aca="true">INDIRECT("RJ!O"&amp;SMALL(RJ!$Q:$Q,ROW()-13),1)</f>
        <v>0</v>
      </c>
      <c r="P28" s="99" t="n">
        <f aca="true">INDIRECT("RJ!P"&amp;SMALL(RJ!$Q:$Q,ROW()-13),1)</f>
        <v>0</v>
      </c>
    </row>
    <row r="29" customFormat="false" ht="30" hidden="false" customHeight="true" outlineLevel="0" collapsed="false">
      <c r="B29" s="98" t="str">
        <f aca="true">INDIRECT("RJ!B"&amp;SMALL(RJ!$Q:$Q,ROW()-13),1)</f>
        <v>Panne</v>
      </c>
      <c r="C29" s="98"/>
      <c r="D29" s="99" t="n">
        <f aca="true">INDIRECT("RJ!D"&amp;SMALL(RJ!$Q:$Q,ROW()-13),1)</f>
        <v>0</v>
      </c>
      <c r="E29" s="99" t="n">
        <f aca="true">INDIRECT("RJ!E"&amp;SMALL(RJ!$Q:$Q,ROW()-13),1)</f>
        <v>0</v>
      </c>
      <c r="F29" s="99" t="n">
        <f aca="true">INDIRECT("RJ!F"&amp;SMALL(RJ!$Q:$Q,ROW()-13),1)</f>
        <v>0</v>
      </c>
      <c r="G29" s="99" t="n">
        <f aca="true">INDIRECT("RJ!G"&amp;SMALL(RJ!$Q:$Q,ROW()-13),1)</f>
        <v>0</v>
      </c>
      <c r="H29" s="99" t="n">
        <f aca="true">INDIRECT("RJ!H"&amp;SMALL(RJ!$Q:$Q,ROW()-13),1)</f>
        <v>0</v>
      </c>
      <c r="I29" s="99" t="n">
        <f aca="true">INDIRECT("RJ!I"&amp;SMALL(RJ!$Q:$Q,ROW()-13),1)</f>
        <v>1</v>
      </c>
      <c r="J29" s="99" t="n">
        <f aca="true">INDIRECT("RJ!J"&amp;SMALL(RJ!$Q:$Q,ROW()-13),1)</f>
        <v>0</v>
      </c>
      <c r="K29" s="99" t="n">
        <f aca="true">INDIRECT("RJ!K"&amp;SMALL(RJ!$Q:$Q,ROW()-13),1)</f>
        <v>0</v>
      </c>
      <c r="L29" s="99" t="n">
        <f aca="true">INDIRECT("RJ!L"&amp;SMALL(RJ!$Q:$Q,ROW()-13),1)</f>
        <v>0</v>
      </c>
      <c r="M29" s="99" t="n">
        <f aca="true">INDIRECT("RJ!M"&amp;SMALL(RJ!$Q:$Q,ROW()-13),1)</f>
        <v>0</v>
      </c>
      <c r="N29" s="99" t="n">
        <f aca="true">INDIRECT("RJ!N"&amp;SMALL(RJ!$Q:$Q,ROW()-13),1)</f>
        <v>0</v>
      </c>
      <c r="O29" s="99" t="n">
        <f aca="true">INDIRECT("RJ!O"&amp;SMALL(RJ!$Q:$Q,ROW()-13),1)</f>
        <v>0</v>
      </c>
      <c r="P29" s="99" t="n">
        <f aca="true">INDIRECT("RJ!P"&amp;SMALL(RJ!$Q:$Q,ROW()-13),1)</f>
        <v>0</v>
      </c>
    </row>
    <row r="30" customFormat="false" ht="30" hidden="false" customHeight="true" outlineLevel="0" collapsed="false">
      <c r="B30" s="101"/>
      <c r="C30" s="101"/>
      <c r="D30" s="102"/>
      <c r="E30" s="102"/>
      <c r="F30" s="102"/>
      <c r="G30" s="102"/>
      <c r="H30" s="102"/>
      <c r="I30" s="102"/>
      <c r="J30" s="102"/>
      <c r="K30" s="102"/>
      <c r="L30" s="102"/>
      <c r="M30" s="102"/>
      <c r="N30" s="102"/>
      <c r="O30" s="102"/>
      <c r="P30" s="102"/>
    </row>
    <row r="31" customFormat="false" ht="30" hidden="false" customHeight="true" outlineLevel="0" collapsed="false">
      <c r="B31" s="101"/>
      <c r="C31" s="101"/>
      <c r="D31" s="102"/>
      <c r="E31" s="102"/>
      <c r="F31" s="102"/>
      <c r="G31" s="102"/>
      <c r="H31" s="102"/>
      <c r="I31" s="102"/>
      <c r="J31" s="102"/>
      <c r="K31" s="102"/>
      <c r="L31" s="102"/>
      <c r="M31" s="102"/>
      <c r="N31" s="102"/>
      <c r="O31" s="102"/>
      <c r="P31" s="102"/>
    </row>
    <row r="32" customFormat="false" ht="13.8" hidden="false" customHeight="false" outlineLevel="0" collapsed="false"/>
    <row r="33" customFormat="false" ht="13.8" hidden="false" customHeight="false" outlineLevel="0" collapsed="false"/>
    <row r="34" customFormat="false" ht="13.8" hidden="false" customHeight="false" outlineLevel="0" collapsed="false"/>
    <row r="35" customFormat="false" ht="13.8" hidden="false" customHeight="false" outlineLevel="0" collapsed="false"/>
    <row r="36" customFormat="false" ht="13.8" hidden="false" customHeight="false" outlineLevel="0" collapsed="false"/>
    <row r="37" customFormat="false" ht="13.8" hidden="false" customHeight="false" outlineLevel="0" collapsed="false"/>
    <row r="38" customFormat="false" ht="13.8" hidden="false" customHeight="false" outlineLevel="0" collapsed="false"/>
    <row r="39" customFormat="false" ht="13.8" hidden="false" customHeight="false" outlineLevel="0" collapsed="false"/>
    <row r="40" customFormat="false" ht="54.75" hidden="false" customHeight="true" outlineLevel="0" collapsed="false">
      <c r="C40" s="103" t="s">
        <v>1074</v>
      </c>
      <c r="D40" s="104" t="s">
        <v>1075</v>
      </c>
      <c r="E40" s="105" t="s">
        <v>1076</v>
      </c>
      <c r="F40" s="106" t="s">
        <v>1077</v>
      </c>
      <c r="H40" s="107" t="s">
        <v>1078</v>
      </c>
      <c r="I40" s="108" t="s">
        <v>1079</v>
      </c>
      <c r="J40" s="109" t="s">
        <v>1080</v>
      </c>
      <c r="L40" s="110" t="s">
        <v>1081</v>
      </c>
      <c r="M40" s="105" t="s">
        <v>1082</v>
      </c>
      <c r="N40" s="106" t="s">
        <v>1083</v>
      </c>
      <c r="P40" s="110" t="s">
        <v>1084</v>
      </c>
      <c r="Q40" s="111" t="s">
        <v>1085</v>
      </c>
      <c r="R40" s="112" t="s">
        <v>1086</v>
      </c>
    </row>
    <row r="41" customFormat="false" ht="24.95" hidden="false" customHeight="true" outlineLevel="0" collapsed="false">
      <c r="C41" s="113"/>
      <c r="D41" s="114"/>
      <c r="E41" s="115"/>
      <c r="F41" s="116"/>
      <c r="H41" s="117"/>
      <c r="I41" s="31"/>
      <c r="J41" s="118"/>
      <c r="L41" s="113"/>
      <c r="M41" s="115"/>
      <c r="N41" s="116"/>
      <c r="P41" s="113"/>
      <c r="Q41" s="115"/>
      <c r="R41" s="116"/>
    </row>
    <row r="42" customFormat="false" ht="24.95" hidden="false" customHeight="true" outlineLevel="0" collapsed="false">
      <c r="C42" s="117"/>
      <c r="D42" s="31"/>
      <c r="E42" s="119"/>
      <c r="F42" s="116"/>
      <c r="H42" s="117"/>
      <c r="I42" s="31"/>
      <c r="J42" s="118"/>
      <c r="L42" s="117"/>
      <c r="M42" s="119"/>
      <c r="N42" s="116"/>
      <c r="P42" s="117"/>
      <c r="Q42" s="119"/>
      <c r="R42" s="116"/>
    </row>
    <row r="43" customFormat="false" ht="24.95" hidden="false" customHeight="true" outlineLevel="0" collapsed="false">
      <c r="C43" s="117"/>
      <c r="D43" s="31"/>
      <c r="E43" s="119"/>
      <c r="F43" s="116"/>
      <c r="H43" s="117"/>
      <c r="I43" s="31"/>
      <c r="J43" s="118"/>
      <c r="L43" s="117"/>
      <c r="M43" s="119"/>
      <c r="N43" s="116"/>
      <c r="P43" s="117"/>
      <c r="Q43" s="119"/>
      <c r="R43" s="116"/>
    </row>
    <row r="44" customFormat="false" ht="24.95" hidden="false" customHeight="true" outlineLevel="0" collapsed="false">
      <c r="C44" s="117"/>
      <c r="D44" s="31"/>
      <c r="E44" s="119"/>
      <c r="F44" s="116"/>
      <c r="H44" s="117"/>
      <c r="I44" s="31"/>
      <c r="J44" s="118"/>
      <c r="L44" s="117"/>
      <c r="M44" s="119"/>
      <c r="N44" s="116"/>
      <c r="P44" s="117"/>
      <c r="Q44" s="119"/>
      <c r="R44" s="116"/>
    </row>
    <row r="45" customFormat="false" ht="24.95" hidden="false" customHeight="true" outlineLevel="0" collapsed="false">
      <c r="C45" s="117"/>
      <c r="D45" s="31"/>
      <c r="E45" s="119"/>
      <c r="F45" s="116"/>
      <c r="H45" s="117"/>
      <c r="I45" s="31"/>
      <c r="J45" s="118"/>
      <c r="L45" s="117"/>
      <c r="M45" s="119"/>
      <c r="N45" s="116"/>
      <c r="P45" s="117"/>
      <c r="Q45" s="119"/>
      <c r="R45" s="116"/>
    </row>
    <row r="46" customFormat="false" ht="24.95" hidden="false" customHeight="true" outlineLevel="0" collapsed="false">
      <c r="C46" s="117"/>
      <c r="D46" s="31"/>
      <c r="E46" s="119"/>
      <c r="F46" s="116"/>
      <c r="H46" s="117"/>
      <c r="I46" s="31"/>
      <c r="J46" s="118"/>
      <c r="L46" s="117"/>
      <c r="M46" s="119"/>
      <c r="N46" s="116"/>
      <c r="P46" s="117"/>
      <c r="Q46" s="119"/>
      <c r="R46" s="116"/>
    </row>
    <row r="47" customFormat="false" ht="24.95" hidden="false" customHeight="true" outlineLevel="0" collapsed="false">
      <c r="C47" s="120"/>
      <c r="D47" s="121"/>
      <c r="E47" s="122"/>
      <c r="F47" s="123"/>
      <c r="H47" s="120"/>
      <c r="I47" s="121"/>
      <c r="J47" s="124"/>
      <c r="L47" s="120"/>
      <c r="M47" s="122"/>
      <c r="N47" s="123"/>
      <c r="P47" s="120"/>
      <c r="Q47" s="122"/>
      <c r="R47" s="123"/>
    </row>
    <row r="48" customFormat="false" ht="13.8" hidden="false" customHeight="false" outlineLevel="0" collapsed="false"/>
    <row r="49" customFormat="false" ht="13.8" hidden="false" customHeight="false" outlineLevel="0" collapsed="false"/>
    <row r="50" customFormat="false" ht="13.8" hidden="false" customHeight="false" outlineLevel="0" collapsed="false"/>
    <row r="51" customFormat="false" ht="13.8" hidden="false" customHeight="false" outlineLevel="0" collapsed="false"/>
    <row r="52" customFormat="false" ht="13.8" hidden="false" customHeight="false" outlineLevel="0" collapsed="false"/>
    <row r="53" customFormat="false" ht="13.8" hidden="false" customHeight="false" outlineLevel="0" collapsed="false"/>
    <row r="54" customFormat="false" ht="13.8" hidden="false" customHeight="false" outlineLevel="0" collapsed="false"/>
    <row r="55" customFormat="false" ht="13.8" hidden="false" customHeight="false" outlineLevel="0" collapsed="false"/>
    <row r="56" customFormat="false" ht="13.8" hidden="false" customHeight="false" outlineLevel="0" collapsed="false"/>
    <row r="57" customFormat="false" ht="13.8" hidden="false" customHeight="false" outlineLevel="0" collapsed="false"/>
    <row r="58" customFormat="false" ht="13.8" hidden="false" customHeight="false" outlineLevel="0" collapsed="false"/>
    <row r="59" customFormat="false" ht="13.8" hidden="false" customHeight="false" outlineLevel="0" collapsed="false"/>
    <row r="60" customFormat="false" ht="13.8" hidden="false" customHeight="false" outlineLevel="0" collapsed="false"/>
    <row r="61" customFormat="false" ht="13.8" hidden="false" customHeight="false" outlineLevel="0" collapsed="false">
      <c r="E61" s="125"/>
    </row>
    <row r="62" customFormat="false" ht="13.8" hidden="false" customHeight="false" outlineLevel="0" collapsed="false">
      <c r="E62" s="125"/>
    </row>
    <row r="63" customFormat="false" ht="13.8" hidden="false" customHeight="false" outlineLevel="0" collapsed="false">
      <c r="E63" s="125"/>
    </row>
    <row r="64" customFormat="false" ht="13.8" hidden="false" customHeight="false" outlineLevel="0" collapsed="false">
      <c r="E64" s="125"/>
    </row>
    <row r="65" customFormat="false" ht="13.8" hidden="false" customHeight="false" outlineLevel="0" collapsed="false">
      <c r="E65" s="125"/>
    </row>
    <row r="66" customFormat="false" ht="13.8" hidden="false" customHeight="false" outlineLevel="0" collapsed="false">
      <c r="E66" s="125"/>
    </row>
    <row r="67" customFormat="false" ht="13.8" hidden="false" customHeight="false" outlineLevel="0" collapsed="false">
      <c r="E67" s="125"/>
    </row>
  </sheetData>
  <mergeCells count="26">
    <mergeCell ref="C2:D5"/>
    <mergeCell ref="E2:P5"/>
    <mergeCell ref="Q2:S2"/>
    <mergeCell ref="U2:W2"/>
    <mergeCell ref="Q3:S3"/>
    <mergeCell ref="U3:W3"/>
    <mergeCell ref="Q4:S4"/>
    <mergeCell ref="U4:W4"/>
    <mergeCell ref="Q5:S5"/>
    <mergeCell ref="U5:W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</mergeCell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tabColor rgb="FFAFEEEE"/>
    <pageSetUpPr fitToPage="false"/>
  </sheetPr>
  <dimension ref="A1:Q177"/>
  <sheetViews>
    <sheetView showFormulas="false" showGridLines="true" showRowColHeaders="true" showZeros="true" rightToLeft="false" tabSelected="false" showOutlineSymbols="true" defaultGridColor="true" view="normal" topLeftCell="A73" colorId="64" zoomScale="100" zoomScaleNormal="100" zoomScalePageLayoutView="100" workbookViewId="0">
      <selection pane="topLeft" activeCell="B32" activeCellId="0" sqref="B32"/>
    </sheetView>
  </sheetViews>
  <sheetFormatPr defaultRowHeight="13.8" zeroHeight="false" outlineLevelRow="0" outlineLevelCol="0"/>
  <cols>
    <col collapsed="false" customWidth="true" hidden="false" outlineLevel="0" max="1" min="1" style="84" width="8.95"/>
    <col collapsed="false" customWidth="true" hidden="false" outlineLevel="0" max="2" min="2" style="0" width="28.15"/>
    <col collapsed="false" customWidth="true" hidden="false" outlineLevel="0" max="3" min="3" style="0" width="4.42"/>
    <col collapsed="false" customWidth="true" hidden="false" outlineLevel="0" max="4" min="4" style="0" width="19.14"/>
    <col collapsed="false" customWidth="true" hidden="false" outlineLevel="0" max="6" min="5" style="0" width="52.35"/>
    <col collapsed="false" customWidth="true" hidden="false" outlineLevel="0" max="7" min="7" style="0" width="20.68"/>
    <col collapsed="false" customWidth="true" hidden="false" outlineLevel="0" max="8" min="8" style="0" width="33.92"/>
    <col collapsed="false" customWidth="true" hidden="false" outlineLevel="0" max="9" min="9" style="0" width="12.75"/>
    <col collapsed="false" customWidth="true" hidden="false" outlineLevel="0" max="10" min="10" style="0" width="22.45"/>
    <col collapsed="false" customWidth="true" hidden="false" outlineLevel="0" max="11" min="11" style="0" width="52.35"/>
    <col collapsed="false" customWidth="true" hidden="false" outlineLevel="0" max="12" min="12" style="0" width="38.84"/>
    <col collapsed="false" customWidth="true" hidden="false" outlineLevel="0" max="13" min="13" style="0" width="14.27"/>
    <col collapsed="false" customWidth="true" hidden="false" outlineLevel="0" max="14" min="14" style="0" width="19.29"/>
    <col collapsed="false" customWidth="true" hidden="false" outlineLevel="0" max="15" min="15" style="0" width="18.39"/>
    <col collapsed="false" customWidth="true" hidden="false" outlineLevel="0" max="16" min="16" style="0" width="26.83"/>
    <col collapsed="false" customWidth="false" hidden="false" outlineLevel="0" max="1025" min="17" style="0" width="11.4"/>
  </cols>
  <sheetData>
    <row r="1" customFormat="false" ht="19.7" hidden="false" customHeight="false" outlineLevel="0" collapsed="false">
      <c r="B1" s="94" t="s">
        <v>1073</v>
      </c>
      <c r="C1" s="126"/>
      <c r="D1" s="95" t="s">
        <v>52</v>
      </c>
      <c r="E1" s="96" t="s">
        <v>53</v>
      </c>
      <c r="F1" s="96" t="s">
        <v>54</v>
      </c>
      <c r="G1" s="96" t="s">
        <v>55</v>
      </c>
      <c r="H1" s="96" t="s">
        <v>56</v>
      </c>
      <c r="I1" s="96" t="s">
        <v>63</v>
      </c>
      <c r="J1" s="96" t="s">
        <v>59</v>
      </c>
      <c r="K1" s="96" t="s">
        <v>61</v>
      </c>
      <c r="L1" s="96" t="s">
        <v>69</v>
      </c>
      <c r="M1" s="96" t="s">
        <v>67</v>
      </c>
      <c r="N1" s="96" t="s">
        <v>57</v>
      </c>
      <c r="O1" s="96" t="s">
        <v>65</v>
      </c>
      <c r="P1" s="97" t="s">
        <v>71</v>
      </c>
    </row>
    <row r="2" customFormat="false" ht="13.8" hidden="false" customHeight="false" outlineLevel="0" collapsed="false">
      <c r="A2" s="127" t="n">
        <v>43836</v>
      </c>
      <c r="B2" s="128" t="s">
        <v>1087</v>
      </c>
      <c r="C2" s="129"/>
      <c r="D2" s="128" t="s">
        <v>1088</v>
      </c>
      <c r="E2" s="128" t="n">
        <v>199400</v>
      </c>
      <c r="F2" s="128" t="n">
        <v>512520</v>
      </c>
      <c r="G2" s="128" t="s">
        <v>148</v>
      </c>
      <c r="H2" s="128" t="n">
        <v>480387</v>
      </c>
      <c r="I2" s="128"/>
      <c r="J2" s="128"/>
      <c r="K2" s="128" t="n">
        <v>480387</v>
      </c>
      <c r="L2" s="128" t="s">
        <v>1089</v>
      </c>
      <c r="M2" s="128"/>
      <c r="N2" s="128"/>
      <c r="O2" s="128" t="s">
        <v>1090</v>
      </c>
      <c r="P2" s="128" t="s">
        <v>1091</v>
      </c>
      <c r="Q2" s="130" t="n">
        <f aca="false">IF(A2=ChoixJour!$A$5,ROW(),"")</f>
        <v>2</v>
      </c>
    </row>
    <row r="3" customFormat="false" ht="13.8" hidden="false" customHeight="false" outlineLevel="0" collapsed="false">
      <c r="A3" s="127" t="n">
        <v>43836</v>
      </c>
      <c r="B3" s="128" t="s">
        <v>1092</v>
      </c>
      <c r="C3" s="129"/>
      <c r="D3" s="128" t="s">
        <v>1093</v>
      </c>
      <c r="E3" s="128" t="s">
        <v>1024</v>
      </c>
      <c r="F3" s="128" t="s">
        <v>1094</v>
      </c>
      <c r="G3" s="128" t="s">
        <v>1095</v>
      </c>
      <c r="H3" s="128" t="s">
        <v>1096</v>
      </c>
      <c r="I3" s="128"/>
      <c r="J3" s="128"/>
      <c r="K3" s="128" t="s">
        <v>1097</v>
      </c>
      <c r="L3" s="128" t="s">
        <v>1098</v>
      </c>
      <c r="M3" s="128"/>
      <c r="N3" s="128"/>
      <c r="O3" s="128" t="s">
        <v>1099</v>
      </c>
      <c r="P3" s="128" t="s">
        <v>1100</v>
      </c>
      <c r="Q3" s="0" t="n">
        <f aca="false">IF(A3=ChoixJour!$A$5,ROW(),"")</f>
        <v>3</v>
      </c>
    </row>
    <row r="4" customFormat="false" ht="13.8" hidden="false" customHeight="false" outlineLevel="0" collapsed="false">
      <c r="A4" s="127" t="n">
        <v>43836</v>
      </c>
      <c r="B4" s="128" t="s">
        <v>1101</v>
      </c>
      <c r="C4" s="129"/>
      <c r="D4" s="128" t="n">
        <v>29297</v>
      </c>
      <c r="E4" s="128"/>
      <c r="F4" s="128"/>
      <c r="G4" s="128" t="n">
        <v>471</v>
      </c>
      <c r="H4" s="128"/>
      <c r="I4" s="128"/>
      <c r="J4" s="128"/>
      <c r="K4" s="128"/>
      <c r="L4" s="128" t="n">
        <v>15</v>
      </c>
      <c r="M4" s="128"/>
      <c r="N4" s="128"/>
      <c r="O4" s="128"/>
      <c r="P4" s="128" t="n">
        <v>64</v>
      </c>
      <c r="Q4" s="0" t="n">
        <f aca="false">IF(A4=ChoixJour!$A$5,ROW(),"")</f>
        <v>4</v>
      </c>
    </row>
    <row r="5" customFormat="false" ht="13.8" hidden="false" customHeight="false" outlineLevel="0" collapsed="false">
      <c r="A5" s="127" t="n">
        <v>43836</v>
      </c>
      <c r="B5" s="128" t="s">
        <v>1102</v>
      </c>
      <c r="C5" s="129"/>
      <c r="D5" s="128" t="n">
        <v>29990</v>
      </c>
      <c r="E5" s="128" t="n">
        <v>1373</v>
      </c>
      <c r="F5" s="128" t="n">
        <v>406</v>
      </c>
      <c r="G5" s="128" t="n">
        <v>582</v>
      </c>
      <c r="H5" s="128"/>
      <c r="I5" s="128"/>
      <c r="J5" s="128"/>
      <c r="K5" s="128"/>
      <c r="L5" s="128" t="n">
        <v>24</v>
      </c>
      <c r="M5" s="128"/>
      <c r="N5" s="128"/>
      <c r="O5" s="128" t="n">
        <v>95</v>
      </c>
      <c r="P5" s="128" t="n">
        <v>272</v>
      </c>
      <c r="Q5" s="0" t="n">
        <f aca="false">IF(A5=ChoixJour!$A$5,ROW(),"")</f>
        <v>5</v>
      </c>
    </row>
    <row r="6" customFormat="false" ht="13.8" hidden="false" customHeight="false" outlineLevel="0" collapsed="false">
      <c r="A6" s="127" t="n">
        <v>43836</v>
      </c>
      <c r="B6" s="128" t="s">
        <v>1103</v>
      </c>
      <c r="C6" s="128" t="s">
        <v>1104</v>
      </c>
      <c r="D6" s="128" t="s">
        <v>1105</v>
      </c>
      <c r="E6" s="128" t="s">
        <v>1105</v>
      </c>
      <c r="F6" s="128" t="s">
        <v>1105</v>
      </c>
      <c r="G6" s="128" t="s">
        <v>1105</v>
      </c>
      <c r="H6" s="128" t="s">
        <v>1105</v>
      </c>
      <c r="I6" s="128"/>
      <c r="J6" s="128"/>
      <c r="K6" s="128" t="s">
        <v>1106</v>
      </c>
      <c r="L6" s="128" t="s">
        <v>1106</v>
      </c>
      <c r="M6" s="128"/>
      <c r="N6" s="128"/>
      <c r="O6" s="128" t="s">
        <v>1105</v>
      </c>
      <c r="P6" s="128" t="s">
        <v>1105</v>
      </c>
      <c r="Q6" s="0" t="n">
        <f aca="false">IF(A6=ChoixJour!$A$5,ROW(),"")</f>
        <v>6</v>
      </c>
    </row>
    <row r="7" customFormat="false" ht="13.8" hidden="false" customHeight="false" outlineLevel="0" collapsed="false">
      <c r="A7" s="127" t="n">
        <v>43836</v>
      </c>
      <c r="B7" s="128" t="s">
        <v>1103</v>
      </c>
      <c r="C7" s="128" t="s">
        <v>1107</v>
      </c>
      <c r="D7" s="128" t="s">
        <v>1105</v>
      </c>
      <c r="E7" s="128" t="s">
        <v>1105</v>
      </c>
      <c r="F7" s="128" t="s">
        <v>1105</v>
      </c>
      <c r="G7" s="128" t="s">
        <v>1105</v>
      </c>
      <c r="H7" s="128" t="s">
        <v>1105</v>
      </c>
      <c r="I7" s="128"/>
      <c r="J7" s="128"/>
      <c r="K7" s="128" t="s">
        <v>1106</v>
      </c>
      <c r="L7" s="128" t="s">
        <v>1106</v>
      </c>
      <c r="M7" s="128"/>
      <c r="N7" s="128"/>
      <c r="O7" s="128" t="s">
        <v>1105</v>
      </c>
      <c r="P7" s="128" t="s">
        <v>1105</v>
      </c>
      <c r="Q7" s="0" t="n">
        <f aca="false">IF(A7=ChoixJour!$A$5,ROW(),"")</f>
        <v>7</v>
      </c>
    </row>
    <row r="8" customFormat="false" ht="13.8" hidden="false" customHeight="false" outlineLevel="0" collapsed="false">
      <c r="A8" s="127" t="n">
        <v>43836</v>
      </c>
      <c r="B8" s="128" t="s">
        <v>1108</v>
      </c>
      <c r="C8" s="129"/>
      <c r="D8" s="128" t="s">
        <v>1105</v>
      </c>
      <c r="E8" s="128" t="s">
        <v>1105</v>
      </c>
      <c r="F8" s="128" t="s">
        <v>1105</v>
      </c>
      <c r="G8" s="128" t="s">
        <v>1105</v>
      </c>
      <c r="H8" s="128" t="s">
        <v>1105</v>
      </c>
      <c r="I8" s="128"/>
      <c r="J8" s="128"/>
      <c r="K8" s="128" t="s">
        <v>1105</v>
      </c>
      <c r="L8" s="128" t="s">
        <v>1106</v>
      </c>
      <c r="M8" s="128"/>
      <c r="N8" s="128"/>
      <c r="O8" s="128" t="s">
        <v>1105</v>
      </c>
      <c r="P8" s="128" t="s">
        <v>1105</v>
      </c>
      <c r="Q8" s="0" t="n">
        <f aca="false">IF(A8=ChoixJour!$A$5,ROW(),"")</f>
        <v>8</v>
      </c>
    </row>
    <row r="9" customFormat="false" ht="13.8" hidden="false" customHeight="false" outlineLevel="0" collapsed="false">
      <c r="A9" s="127" t="n">
        <v>43836</v>
      </c>
      <c r="B9" s="128" t="s">
        <v>1109</v>
      </c>
      <c r="C9" s="129"/>
      <c r="D9" s="128" t="s">
        <v>1105</v>
      </c>
      <c r="E9" s="128" t="s">
        <v>1105</v>
      </c>
      <c r="F9" s="128" t="s">
        <v>1105</v>
      </c>
      <c r="G9" s="128" t="s">
        <v>1105</v>
      </c>
      <c r="H9" s="128" t="s">
        <v>1105</v>
      </c>
      <c r="I9" s="128"/>
      <c r="J9" s="128"/>
      <c r="K9" s="128" t="s">
        <v>1106</v>
      </c>
      <c r="L9" s="128" t="s">
        <v>1106</v>
      </c>
      <c r="M9" s="128"/>
      <c r="N9" s="128"/>
      <c r="O9" s="128" t="s">
        <v>1105</v>
      </c>
      <c r="P9" s="128" t="s">
        <v>1105</v>
      </c>
      <c r="Q9" s="0" t="n">
        <f aca="false">IF(A9=ChoixJour!$A$5,ROW(),"")</f>
        <v>9</v>
      </c>
    </row>
    <row r="10" customFormat="false" ht="13.8" hidden="false" customHeight="false" outlineLevel="0" collapsed="false">
      <c r="A10" s="127" t="n">
        <v>43836</v>
      </c>
      <c r="B10" s="128" t="s">
        <v>1110</v>
      </c>
      <c r="C10" s="129"/>
      <c r="D10" s="128" t="s">
        <v>1105</v>
      </c>
      <c r="E10" s="128" t="s">
        <v>1105</v>
      </c>
      <c r="F10" s="128" t="s">
        <v>1105</v>
      </c>
      <c r="G10" s="128" t="s">
        <v>1105</v>
      </c>
      <c r="H10" s="128" t="s">
        <v>1105</v>
      </c>
      <c r="I10" s="128"/>
      <c r="J10" s="128"/>
      <c r="K10" s="128" t="s">
        <v>1106</v>
      </c>
      <c r="L10" s="128" t="s">
        <v>1106</v>
      </c>
      <c r="M10" s="128"/>
      <c r="N10" s="128"/>
      <c r="O10" s="128" t="s">
        <v>1105</v>
      </c>
      <c r="P10" s="128" t="s">
        <v>1105</v>
      </c>
      <c r="Q10" s="0" t="n">
        <f aca="false">IF(A10=ChoixJour!$A$5,ROW(),"")</f>
        <v>10</v>
      </c>
    </row>
    <row r="11" customFormat="false" ht="13.8" hidden="false" customHeight="false" outlineLevel="0" collapsed="false">
      <c r="A11" s="127" t="n">
        <v>43836</v>
      </c>
      <c r="B11" s="128" t="s">
        <v>1111</v>
      </c>
      <c r="C11" s="129"/>
      <c r="D11" s="128" t="s">
        <v>1105</v>
      </c>
      <c r="E11" s="128" t="s">
        <v>1112</v>
      </c>
      <c r="F11" s="128" t="s">
        <v>1112</v>
      </c>
      <c r="G11" s="128" t="s">
        <v>1105</v>
      </c>
      <c r="H11" s="128" t="s">
        <v>1105</v>
      </c>
      <c r="I11" s="128"/>
      <c r="J11" s="128"/>
      <c r="K11" s="128" t="s">
        <v>1112</v>
      </c>
      <c r="L11" s="128" t="s">
        <v>1106</v>
      </c>
      <c r="M11" s="128"/>
      <c r="N11" s="128"/>
      <c r="O11" s="128" t="s">
        <v>1105</v>
      </c>
      <c r="P11" s="128" t="s">
        <v>1105</v>
      </c>
      <c r="Q11" s="0" t="n">
        <f aca="false">IF(A11=ChoixJour!$A$5,ROW(),"")</f>
        <v>11</v>
      </c>
    </row>
    <row r="12" customFormat="false" ht="13.8" hidden="false" customHeight="false" outlineLevel="0" collapsed="false">
      <c r="A12" s="127" t="n">
        <v>43836</v>
      </c>
      <c r="B12" s="128" t="s">
        <v>33</v>
      </c>
      <c r="C12" s="129"/>
      <c r="D12" s="128" t="s">
        <v>1105</v>
      </c>
      <c r="E12" s="128" t="s">
        <v>1106</v>
      </c>
      <c r="F12" s="128" t="s">
        <v>1106</v>
      </c>
      <c r="G12" s="128" t="s">
        <v>1105</v>
      </c>
      <c r="H12" s="128" t="s">
        <v>1106</v>
      </c>
      <c r="I12" s="128"/>
      <c r="J12" s="128"/>
      <c r="K12" s="128" t="s">
        <v>1106</v>
      </c>
      <c r="L12" s="128" t="s">
        <v>1105</v>
      </c>
      <c r="M12" s="128"/>
      <c r="N12" s="128"/>
      <c r="O12" s="128" t="s">
        <v>1106</v>
      </c>
      <c r="P12" s="128" t="s">
        <v>1106</v>
      </c>
      <c r="Q12" s="0" t="n">
        <f aca="false">IF(A12=ChoixJour!$A$5,ROW(),"")</f>
        <v>12</v>
      </c>
    </row>
    <row r="13" customFormat="false" ht="13.8" hidden="false" customHeight="false" outlineLevel="0" collapsed="false">
      <c r="A13" s="127" t="n">
        <v>43836</v>
      </c>
      <c r="B13" s="128" t="s">
        <v>1113</v>
      </c>
      <c r="C13" s="129"/>
      <c r="D13" s="128" t="s">
        <v>1105</v>
      </c>
      <c r="E13" s="128" t="s">
        <v>1105</v>
      </c>
      <c r="F13" s="128" t="s">
        <v>1105</v>
      </c>
      <c r="G13" s="128" t="s">
        <v>1105</v>
      </c>
      <c r="H13" s="128" t="s">
        <v>1105</v>
      </c>
      <c r="I13" s="128"/>
      <c r="J13" s="128"/>
      <c r="K13" s="128" t="s">
        <v>1105</v>
      </c>
      <c r="L13" s="128" t="s">
        <v>1105</v>
      </c>
      <c r="M13" s="128"/>
      <c r="N13" s="128"/>
      <c r="O13" s="128" t="s">
        <v>1105</v>
      </c>
      <c r="P13" s="128" t="s">
        <v>1105</v>
      </c>
      <c r="Q13" s="0" t="n">
        <f aca="false">IF(A13=ChoixJour!$A$5,ROW(),"")</f>
        <v>13</v>
      </c>
    </row>
    <row r="14" customFormat="false" ht="13.8" hidden="false" customHeight="false" outlineLevel="0" collapsed="false">
      <c r="A14" s="127" t="n">
        <v>43836</v>
      </c>
      <c r="B14" s="128" t="s">
        <v>1114</v>
      </c>
      <c r="C14" s="129"/>
      <c r="D14" s="128" t="n">
        <v>0</v>
      </c>
      <c r="E14" s="128" t="n">
        <v>0</v>
      </c>
      <c r="F14" s="128" t="n">
        <v>0</v>
      </c>
      <c r="G14" s="128" t="n">
        <v>9</v>
      </c>
      <c r="H14" s="128" t="n">
        <v>0</v>
      </c>
      <c r="I14" s="128"/>
      <c r="J14" s="128"/>
      <c r="K14" s="128" t="n">
        <v>0</v>
      </c>
      <c r="L14" s="128" t="n">
        <v>0</v>
      </c>
      <c r="M14" s="128"/>
      <c r="N14" s="128"/>
      <c r="O14" s="128" t="n">
        <v>0</v>
      </c>
      <c r="P14" s="128" t="n">
        <v>0</v>
      </c>
      <c r="Q14" s="0" t="n">
        <f aca="false">IF(A14=ChoixJour!$A$5,ROW(),"")</f>
        <v>14</v>
      </c>
    </row>
    <row r="15" customFormat="false" ht="13.8" hidden="false" customHeight="false" outlineLevel="0" collapsed="false">
      <c r="A15" s="127" t="n">
        <v>43836</v>
      </c>
      <c r="B15" s="128" t="s">
        <v>1115</v>
      </c>
      <c r="C15" s="129"/>
      <c r="D15" s="128" t="n">
        <v>0</v>
      </c>
      <c r="E15" s="128" t="n">
        <v>0</v>
      </c>
      <c r="F15" s="128" t="n">
        <v>0</v>
      </c>
      <c r="G15" s="128" t="n">
        <v>0</v>
      </c>
      <c r="H15" s="128" t="n">
        <v>0</v>
      </c>
      <c r="I15" s="128"/>
      <c r="J15" s="128"/>
      <c r="K15" s="128" t="n">
        <v>0</v>
      </c>
      <c r="L15" s="128" t="n">
        <v>0</v>
      </c>
      <c r="M15" s="128"/>
      <c r="N15" s="128"/>
      <c r="O15" s="128" t="n">
        <v>0</v>
      </c>
      <c r="P15" s="128" t="n">
        <v>0</v>
      </c>
      <c r="Q15" s="0" t="n">
        <f aca="false">IF(A15=ChoixJour!$A$5,ROW(),"")</f>
        <v>15</v>
      </c>
    </row>
    <row r="16" customFormat="false" ht="13.8" hidden="false" customHeight="false" outlineLevel="0" collapsed="false">
      <c r="A16" s="127" t="n">
        <v>43836</v>
      </c>
      <c r="B16" s="128" t="s">
        <v>1116</v>
      </c>
      <c r="C16" s="129"/>
      <c r="D16" s="128" t="n">
        <v>0</v>
      </c>
      <c r="E16" s="128" t="n">
        <v>0</v>
      </c>
      <c r="F16" s="128" t="n">
        <v>0</v>
      </c>
      <c r="G16" s="128" t="n">
        <v>0</v>
      </c>
      <c r="H16" s="128" t="n">
        <v>0</v>
      </c>
      <c r="I16" s="128"/>
      <c r="J16" s="128"/>
      <c r="K16" s="128" t="n">
        <v>0</v>
      </c>
      <c r="L16" s="128" t="n">
        <v>0</v>
      </c>
      <c r="M16" s="128"/>
      <c r="N16" s="128"/>
      <c r="O16" s="128"/>
      <c r="P16" s="128" t="n">
        <v>0</v>
      </c>
      <c r="Q16" s="0" t="n">
        <f aca="false">IF(A16=ChoixJour!$A$5,ROW(),"")</f>
        <v>16</v>
      </c>
    </row>
    <row r="17" customFormat="false" ht="13.8" hidden="false" customHeight="false" outlineLevel="0" collapsed="false">
      <c r="A17" s="127" t="n">
        <v>43836</v>
      </c>
      <c r="B17" s="128" t="s">
        <v>1117</v>
      </c>
      <c r="C17" s="129"/>
      <c r="D17" s="128" t="n">
        <v>0</v>
      </c>
      <c r="E17" s="128" t="n">
        <v>0</v>
      </c>
      <c r="F17" s="128" t="n">
        <v>0</v>
      </c>
      <c r="G17" s="128" t="n">
        <v>0</v>
      </c>
      <c r="H17" s="128" t="n">
        <v>0</v>
      </c>
      <c r="I17" s="128" t="n">
        <v>1</v>
      </c>
      <c r="J17" s="128" t="n">
        <v>0</v>
      </c>
      <c r="K17" s="128" t="n">
        <v>0</v>
      </c>
      <c r="L17" s="128" t="n">
        <v>0</v>
      </c>
      <c r="M17" s="128" t="n">
        <v>0</v>
      </c>
      <c r="N17" s="128" t="n">
        <v>0</v>
      </c>
      <c r="O17" s="128" t="n">
        <v>0</v>
      </c>
      <c r="P17" s="128" t="n">
        <v>0</v>
      </c>
      <c r="Q17" s="0" t="n">
        <f aca="false">IF(A17=ChoixJour!$A$5,ROW(),"")</f>
        <v>17</v>
      </c>
    </row>
    <row r="18" customFormat="false" ht="13.8" hidden="false" customHeight="false" outlineLevel="0" collapsed="false">
      <c r="A18" s="127" t="n">
        <v>43837</v>
      </c>
      <c r="B18" s="128" t="s">
        <v>1087</v>
      </c>
      <c r="C18" s="129"/>
      <c r="D18" s="128" t="s">
        <v>1088</v>
      </c>
      <c r="E18" s="128" t="n">
        <v>199400</v>
      </c>
      <c r="F18" s="128" t="n">
        <v>512520</v>
      </c>
      <c r="G18" s="128" t="s">
        <v>148</v>
      </c>
      <c r="H18" s="128" t="n">
        <v>480387</v>
      </c>
      <c r="I18" s="128"/>
      <c r="J18" s="128"/>
      <c r="K18" s="128" t="n">
        <v>480387</v>
      </c>
      <c r="L18" s="128" t="s">
        <v>1089</v>
      </c>
      <c r="M18" s="128"/>
      <c r="N18" s="128"/>
      <c r="O18" s="128" t="s">
        <v>1090</v>
      </c>
      <c r="P18" s="128" t="s">
        <v>1091</v>
      </c>
      <c r="Q18" s="0" t="str">
        <f aca="false">IF(A18=ChoixJour!$A$5,ROW(),"")</f>
        <v/>
      </c>
    </row>
    <row r="19" customFormat="false" ht="13.8" hidden="false" customHeight="false" outlineLevel="0" collapsed="false">
      <c r="A19" s="127" t="n">
        <v>43837</v>
      </c>
      <c r="B19" s="128" t="s">
        <v>1092</v>
      </c>
      <c r="C19" s="129"/>
      <c r="D19" s="128" t="s">
        <v>1093</v>
      </c>
      <c r="E19" s="128" t="s">
        <v>1024</v>
      </c>
      <c r="F19" s="128" t="s">
        <v>1094</v>
      </c>
      <c r="G19" s="128" t="s">
        <v>1095</v>
      </c>
      <c r="H19" s="128" t="s">
        <v>1096</v>
      </c>
      <c r="I19" s="128"/>
      <c r="J19" s="128"/>
      <c r="K19" s="128" t="s">
        <v>1097</v>
      </c>
      <c r="L19" s="128" t="s">
        <v>1098</v>
      </c>
      <c r="M19" s="128"/>
      <c r="N19" s="128"/>
      <c r="O19" s="128" t="s">
        <v>1099</v>
      </c>
      <c r="P19" s="128" t="s">
        <v>1100</v>
      </c>
      <c r="Q19" s="0" t="str">
        <f aca="false">IF(A19=ChoixJour!$A$5,ROW(),"")</f>
        <v/>
      </c>
    </row>
    <row r="20" customFormat="false" ht="13.8" hidden="false" customHeight="false" outlineLevel="0" collapsed="false">
      <c r="A20" s="127" t="n">
        <v>43837</v>
      </c>
      <c r="B20" s="128" t="s">
        <v>1101</v>
      </c>
      <c r="C20" s="129"/>
      <c r="D20" s="128" t="n">
        <v>30041</v>
      </c>
      <c r="E20" s="128" t="n">
        <v>1730</v>
      </c>
      <c r="F20" s="128" t="n">
        <v>455</v>
      </c>
      <c r="G20" s="128" t="n">
        <v>582</v>
      </c>
      <c r="H20" s="128"/>
      <c r="I20" s="128"/>
      <c r="J20" s="128"/>
      <c r="K20" s="128"/>
      <c r="L20" s="128" t="n">
        <v>24</v>
      </c>
      <c r="M20" s="128"/>
      <c r="N20" s="128"/>
      <c r="O20" s="128" t="n">
        <v>122</v>
      </c>
      <c r="P20" s="128" t="n">
        <v>271</v>
      </c>
      <c r="Q20" s="0" t="str">
        <f aca="false">IF(A20=ChoixJour!$A$5,ROW(),"")</f>
        <v/>
      </c>
    </row>
    <row r="21" customFormat="false" ht="13.8" hidden="false" customHeight="false" outlineLevel="0" collapsed="false">
      <c r="A21" s="127" t="n">
        <v>43837</v>
      </c>
      <c r="B21" s="128" t="s">
        <v>1102</v>
      </c>
      <c r="C21" s="129"/>
      <c r="D21" s="128" t="n">
        <v>30685</v>
      </c>
      <c r="E21" s="128" t="n">
        <v>2960</v>
      </c>
      <c r="F21" s="128" t="n">
        <v>732</v>
      </c>
      <c r="G21" s="128" t="n">
        <v>708</v>
      </c>
      <c r="H21" s="128"/>
      <c r="I21" s="128"/>
      <c r="J21" s="128"/>
      <c r="K21" s="128"/>
      <c r="L21" s="128" t="n">
        <v>31</v>
      </c>
      <c r="M21" s="128"/>
      <c r="N21" s="128"/>
      <c r="O21" s="128" t="n">
        <v>370</v>
      </c>
      <c r="P21" s="128" t="n">
        <v>450</v>
      </c>
      <c r="Q21" s="0" t="str">
        <f aca="false">IF(A21=ChoixJour!$A$5,ROW(),"")</f>
        <v/>
      </c>
    </row>
    <row r="22" customFormat="false" ht="13.8" hidden="false" customHeight="false" outlineLevel="0" collapsed="false">
      <c r="A22" s="127" t="n">
        <v>43837</v>
      </c>
      <c r="B22" s="128" t="s">
        <v>1103</v>
      </c>
      <c r="C22" s="128" t="s">
        <v>1104</v>
      </c>
      <c r="D22" s="128" t="s">
        <v>1105</v>
      </c>
      <c r="E22" s="128" t="s">
        <v>1105</v>
      </c>
      <c r="F22" s="128" t="s">
        <v>1105</v>
      </c>
      <c r="G22" s="128" t="s">
        <v>1105</v>
      </c>
      <c r="H22" s="128" t="s">
        <v>1105</v>
      </c>
      <c r="I22" s="128"/>
      <c r="J22" s="128"/>
      <c r="K22" s="128" t="s">
        <v>1106</v>
      </c>
      <c r="L22" s="128" t="s">
        <v>1106</v>
      </c>
      <c r="M22" s="128"/>
      <c r="N22" s="128"/>
      <c r="O22" s="128" t="s">
        <v>1105</v>
      </c>
      <c r="P22" s="128" t="s">
        <v>1105</v>
      </c>
      <c r="Q22" s="0" t="str">
        <f aca="false">IF(A22=ChoixJour!$A$5,ROW(),"")</f>
        <v/>
      </c>
    </row>
    <row r="23" customFormat="false" ht="13.8" hidden="false" customHeight="false" outlineLevel="0" collapsed="false">
      <c r="A23" s="127" t="n">
        <v>43837</v>
      </c>
      <c r="B23" s="128" t="s">
        <v>1103</v>
      </c>
      <c r="C23" s="128" t="s">
        <v>1107</v>
      </c>
      <c r="D23" s="128" t="s">
        <v>1105</v>
      </c>
      <c r="E23" s="128" t="s">
        <v>1105</v>
      </c>
      <c r="F23" s="128" t="s">
        <v>1105</v>
      </c>
      <c r="G23" s="128" t="s">
        <v>1105</v>
      </c>
      <c r="H23" s="128" t="s">
        <v>1105</v>
      </c>
      <c r="I23" s="128"/>
      <c r="J23" s="128"/>
      <c r="K23" s="128" t="s">
        <v>1106</v>
      </c>
      <c r="L23" s="128" t="s">
        <v>1106</v>
      </c>
      <c r="M23" s="128"/>
      <c r="N23" s="128"/>
      <c r="O23" s="128" t="s">
        <v>1105</v>
      </c>
      <c r="P23" s="128" t="s">
        <v>1105</v>
      </c>
      <c r="Q23" s="0" t="str">
        <f aca="false">IF(A23=ChoixJour!$A$5,ROW(),"")</f>
        <v/>
      </c>
    </row>
    <row r="24" customFormat="false" ht="13.8" hidden="false" customHeight="false" outlineLevel="0" collapsed="false">
      <c r="A24" s="127" t="n">
        <v>43837</v>
      </c>
      <c r="B24" s="128" t="s">
        <v>1108</v>
      </c>
      <c r="C24" s="129"/>
      <c r="D24" s="128" t="s">
        <v>1105</v>
      </c>
      <c r="E24" s="128" t="s">
        <v>1105</v>
      </c>
      <c r="F24" s="128" t="s">
        <v>1105</v>
      </c>
      <c r="G24" s="128" t="s">
        <v>1105</v>
      </c>
      <c r="H24" s="128" t="s">
        <v>1105</v>
      </c>
      <c r="I24" s="128"/>
      <c r="J24" s="128"/>
      <c r="K24" s="128" t="s">
        <v>1105</v>
      </c>
      <c r="L24" s="128" t="s">
        <v>1106</v>
      </c>
      <c r="M24" s="128"/>
      <c r="N24" s="128"/>
      <c r="O24" s="128" t="s">
        <v>1105</v>
      </c>
      <c r="P24" s="128" t="s">
        <v>1105</v>
      </c>
      <c r="Q24" s="0" t="str">
        <f aca="false">IF(A24=ChoixJour!$A$5,ROW(),"")</f>
        <v/>
      </c>
    </row>
    <row r="25" customFormat="false" ht="13.8" hidden="false" customHeight="false" outlineLevel="0" collapsed="false">
      <c r="A25" s="127" t="n">
        <v>43837</v>
      </c>
      <c r="B25" s="128" t="s">
        <v>1109</v>
      </c>
      <c r="C25" s="129"/>
      <c r="D25" s="128" t="s">
        <v>1105</v>
      </c>
      <c r="E25" s="128" t="s">
        <v>1105</v>
      </c>
      <c r="F25" s="128" t="s">
        <v>1105</v>
      </c>
      <c r="G25" s="128" t="s">
        <v>1105</v>
      </c>
      <c r="H25" s="128" t="s">
        <v>1105</v>
      </c>
      <c r="I25" s="128"/>
      <c r="J25" s="128"/>
      <c r="K25" s="128" t="s">
        <v>1106</v>
      </c>
      <c r="L25" s="128" t="s">
        <v>1106</v>
      </c>
      <c r="M25" s="128"/>
      <c r="N25" s="128"/>
      <c r="O25" s="128" t="s">
        <v>1105</v>
      </c>
      <c r="P25" s="128" t="s">
        <v>1105</v>
      </c>
      <c r="Q25" s="0" t="str">
        <f aca="false">IF(A25=ChoixJour!$A$5,ROW(),"")</f>
        <v/>
      </c>
    </row>
    <row r="26" customFormat="false" ht="13.8" hidden="false" customHeight="false" outlineLevel="0" collapsed="false">
      <c r="A26" s="127" t="n">
        <v>43837</v>
      </c>
      <c r="B26" s="128" t="s">
        <v>1110</v>
      </c>
      <c r="C26" s="129"/>
      <c r="D26" s="128" t="s">
        <v>1105</v>
      </c>
      <c r="E26" s="128" t="s">
        <v>1105</v>
      </c>
      <c r="F26" s="128" t="s">
        <v>1105</v>
      </c>
      <c r="G26" s="128" t="s">
        <v>1105</v>
      </c>
      <c r="H26" s="128" t="s">
        <v>1105</v>
      </c>
      <c r="I26" s="128"/>
      <c r="J26" s="128"/>
      <c r="K26" s="128" t="s">
        <v>1106</v>
      </c>
      <c r="L26" s="128" t="s">
        <v>1106</v>
      </c>
      <c r="M26" s="128"/>
      <c r="N26" s="128"/>
      <c r="O26" s="128" t="s">
        <v>1105</v>
      </c>
      <c r="P26" s="128" t="s">
        <v>1105</v>
      </c>
      <c r="Q26" s="0" t="str">
        <f aca="false">IF(A26=ChoixJour!$A$5,ROW(),"")</f>
        <v/>
      </c>
    </row>
    <row r="27" customFormat="false" ht="13.8" hidden="false" customHeight="false" outlineLevel="0" collapsed="false">
      <c r="A27" s="127" t="n">
        <v>43837</v>
      </c>
      <c r="B27" s="128" t="s">
        <v>1111</v>
      </c>
      <c r="C27" s="129"/>
      <c r="D27" s="128" t="s">
        <v>1105</v>
      </c>
      <c r="E27" s="128" t="s">
        <v>1112</v>
      </c>
      <c r="F27" s="128" t="s">
        <v>1118</v>
      </c>
      <c r="G27" s="128" t="s">
        <v>1105</v>
      </c>
      <c r="H27" s="128" t="s">
        <v>1105</v>
      </c>
      <c r="I27" s="128"/>
      <c r="J27" s="128"/>
      <c r="K27" s="128" t="s">
        <v>1112</v>
      </c>
      <c r="L27" s="128" t="s">
        <v>1106</v>
      </c>
      <c r="M27" s="128"/>
      <c r="N27" s="128"/>
      <c r="O27" s="128" t="s">
        <v>1105</v>
      </c>
      <c r="P27" s="128" t="s">
        <v>1105</v>
      </c>
      <c r="Q27" s="0" t="str">
        <f aca="false">IF(A27=ChoixJour!$A$5,ROW(),"")</f>
        <v/>
      </c>
    </row>
    <row r="28" customFormat="false" ht="13.8" hidden="false" customHeight="false" outlineLevel="0" collapsed="false">
      <c r="A28" s="127" t="n">
        <v>43837</v>
      </c>
      <c r="B28" s="128" t="s">
        <v>33</v>
      </c>
      <c r="C28" s="129"/>
      <c r="D28" s="128" t="s">
        <v>1105</v>
      </c>
      <c r="E28" s="128" t="s">
        <v>1105</v>
      </c>
      <c r="F28" s="128" t="s">
        <v>1106</v>
      </c>
      <c r="G28" s="128" t="s">
        <v>1105</v>
      </c>
      <c r="H28" s="128" t="s">
        <v>1106</v>
      </c>
      <c r="I28" s="128"/>
      <c r="J28" s="128"/>
      <c r="K28" s="128" t="s">
        <v>1106</v>
      </c>
      <c r="L28" s="128" t="s">
        <v>1105</v>
      </c>
      <c r="M28" s="128"/>
      <c r="N28" s="128"/>
      <c r="O28" s="128" t="s">
        <v>1106</v>
      </c>
      <c r="P28" s="128" t="s">
        <v>1106</v>
      </c>
      <c r="Q28" s="0" t="str">
        <f aca="false">IF(A28=ChoixJour!$A$5,ROW(),"")</f>
        <v/>
      </c>
    </row>
    <row r="29" customFormat="false" ht="13.8" hidden="false" customHeight="false" outlineLevel="0" collapsed="false">
      <c r="A29" s="127" t="n">
        <v>43837</v>
      </c>
      <c r="B29" s="128" t="s">
        <v>1113</v>
      </c>
      <c r="C29" s="129"/>
      <c r="D29" s="128" t="s">
        <v>1105</v>
      </c>
      <c r="E29" s="128" t="s">
        <v>1105</v>
      </c>
      <c r="F29" s="128" t="s">
        <v>1105</v>
      </c>
      <c r="G29" s="128" t="s">
        <v>1105</v>
      </c>
      <c r="H29" s="128" t="s">
        <v>1105</v>
      </c>
      <c r="I29" s="128"/>
      <c r="J29" s="128"/>
      <c r="K29" s="128" t="s">
        <v>1105</v>
      </c>
      <c r="L29" s="128" t="s">
        <v>1105</v>
      </c>
      <c r="M29" s="128"/>
      <c r="N29" s="128"/>
      <c r="O29" s="128" t="s">
        <v>1105</v>
      </c>
      <c r="P29" s="128" t="s">
        <v>1105</v>
      </c>
      <c r="Q29" s="0" t="str">
        <f aca="false">IF(A29=ChoixJour!$A$5,ROW(),"")</f>
        <v/>
      </c>
    </row>
    <row r="30" customFormat="false" ht="13.8" hidden="false" customHeight="false" outlineLevel="0" collapsed="false">
      <c r="A30" s="127" t="n">
        <v>43837</v>
      </c>
      <c r="B30" s="128" t="s">
        <v>1114</v>
      </c>
      <c r="C30" s="129"/>
      <c r="D30" s="128" t="n">
        <v>2</v>
      </c>
      <c r="E30" s="128" t="n">
        <v>2</v>
      </c>
      <c r="F30" s="128" t="n">
        <v>8</v>
      </c>
      <c r="G30" s="128" t="n">
        <v>1</v>
      </c>
      <c r="H30" s="128" t="n">
        <v>2</v>
      </c>
      <c r="I30" s="128"/>
      <c r="J30" s="128"/>
      <c r="K30" s="128" t="n">
        <v>0</v>
      </c>
      <c r="L30" s="128" t="n">
        <v>2</v>
      </c>
      <c r="M30" s="128"/>
      <c r="N30" s="128"/>
      <c r="O30" s="128" t="n">
        <v>0</v>
      </c>
      <c r="P30" s="128" t="n">
        <v>0</v>
      </c>
      <c r="Q30" s="0" t="str">
        <f aca="false">IF(A30=ChoixJour!$A$5,ROW(),"")</f>
        <v/>
      </c>
    </row>
    <row r="31" customFormat="false" ht="13.8" hidden="false" customHeight="false" outlineLevel="0" collapsed="false">
      <c r="A31" s="127" t="n">
        <v>43837</v>
      </c>
      <c r="B31" s="128" t="s">
        <v>1115</v>
      </c>
      <c r="C31" s="129"/>
      <c r="D31" s="128" t="n">
        <v>0</v>
      </c>
      <c r="E31" s="128" t="n">
        <v>0</v>
      </c>
      <c r="F31" s="128" t="n">
        <v>0</v>
      </c>
      <c r="G31" s="128" t="n">
        <v>0</v>
      </c>
      <c r="H31" s="128" t="n">
        <v>0</v>
      </c>
      <c r="I31" s="128"/>
      <c r="J31" s="128"/>
      <c r="K31" s="128" t="n">
        <v>0</v>
      </c>
      <c r="L31" s="128" t="n">
        <v>0</v>
      </c>
      <c r="M31" s="128"/>
      <c r="N31" s="128"/>
      <c r="O31" s="128" t="n">
        <v>0</v>
      </c>
      <c r="P31" s="128" t="n">
        <v>0</v>
      </c>
      <c r="Q31" s="0" t="str">
        <f aca="false">IF(A31=ChoixJour!$A$5,ROW(),"")</f>
        <v/>
      </c>
    </row>
    <row r="32" customFormat="false" ht="13.8" hidden="false" customHeight="false" outlineLevel="0" collapsed="false">
      <c r="A32" s="127" t="n">
        <v>43837</v>
      </c>
      <c r="B32" s="128" t="s">
        <v>1116</v>
      </c>
      <c r="C32" s="129"/>
      <c r="D32" s="128"/>
      <c r="E32" s="128"/>
      <c r="F32" s="128"/>
      <c r="G32" s="128"/>
      <c r="H32" s="128"/>
      <c r="I32" s="128"/>
      <c r="J32" s="128"/>
      <c r="K32" s="128"/>
      <c r="L32" s="128"/>
      <c r="M32" s="128"/>
      <c r="N32" s="128"/>
      <c r="O32" s="128"/>
      <c r="P32" s="128"/>
      <c r="Q32" s="0" t="str">
        <f aca="false">IF(A32=ChoixJour!$A$5,ROW(),"")</f>
        <v/>
      </c>
    </row>
    <row r="33" customFormat="false" ht="13.8" hidden="false" customHeight="false" outlineLevel="0" collapsed="false">
      <c r="A33" s="127" t="n">
        <v>43837</v>
      </c>
      <c r="B33" s="128" t="s">
        <v>1117</v>
      </c>
      <c r="C33" s="129"/>
      <c r="D33" s="128" t="n">
        <v>0</v>
      </c>
      <c r="E33" s="128" t="n">
        <v>0</v>
      </c>
      <c r="F33" s="128" t="n">
        <v>0</v>
      </c>
      <c r="G33" s="128" t="n">
        <v>0</v>
      </c>
      <c r="H33" s="128" t="n">
        <v>0</v>
      </c>
      <c r="I33" s="128" t="n">
        <v>1</v>
      </c>
      <c r="J33" s="128" t="n">
        <v>0</v>
      </c>
      <c r="K33" s="128" t="n">
        <v>0</v>
      </c>
      <c r="L33" s="128" t="n">
        <v>0</v>
      </c>
      <c r="M33" s="128" t="n">
        <v>0</v>
      </c>
      <c r="N33" s="128" t="n">
        <v>0</v>
      </c>
      <c r="O33" s="128" t="n">
        <v>0</v>
      </c>
      <c r="P33" s="128" t="n">
        <v>0</v>
      </c>
      <c r="Q33" s="0" t="str">
        <f aca="false">IF(A33=ChoixJour!$A$5,ROW(),"")</f>
        <v/>
      </c>
    </row>
    <row r="34" customFormat="false" ht="13.8" hidden="false" customHeight="false" outlineLevel="0" collapsed="false">
      <c r="A34" s="127" t="n">
        <v>43838</v>
      </c>
      <c r="B34" s="128" t="s">
        <v>1087</v>
      </c>
      <c r="C34" s="128"/>
      <c r="D34" s="128" t="s">
        <v>1088</v>
      </c>
      <c r="E34" s="128" t="n">
        <v>199400</v>
      </c>
      <c r="F34" s="128" t="n">
        <v>512520</v>
      </c>
      <c r="G34" s="128" t="s">
        <v>148</v>
      </c>
      <c r="H34" s="128" t="n">
        <v>480387</v>
      </c>
      <c r="I34" s="128"/>
      <c r="J34" s="128"/>
      <c r="K34" s="128" t="n">
        <v>480387</v>
      </c>
      <c r="L34" s="128" t="s">
        <v>1089</v>
      </c>
      <c r="M34" s="128"/>
      <c r="N34" s="128"/>
      <c r="O34" s="128" t="s">
        <v>1090</v>
      </c>
      <c r="P34" s="128" t="s">
        <v>1091</v>
      </c>
      <c r="Q34" s="0" t="str">
        <f aca="false">IF(A34=ChoixJour!$A$5,ROW(),"")</f>
        <v/>
      </c>
    </row>
    <row r="35" customFormat="false" ht="13.8" hidden="false" customHeight="false" outlineLevel="0" collapsed="false">
      <c r="A35" s="127" t="n">
        <v>43838</v>
      </c>
      <c r="B35" s="128" t="s">
        <v>1092</v>
      </c>
      <c r="C35" s="128"/>
      <c r="D35" s="128" t="s">
        <v>1093</v>
      </c>
      <c r="E35" s="128" t="s">
        <v>1024</v>
      </c>
      <c r="F35" s="128" t="s">
        <v>1094</v>
      </c>
      <c r="G35" s="128" t="s">
        <v>1095</v>
      </c>
      <c r="H35" s="128" t="s">
        <v>1096</v>
      </c>
      <c r="I35" s="128"/>
      <c r="J35" s="128"/>
      <c r="K35" s="128" t="s">
        <v>1097</v>
      </c>
      <c r="L35" s="128" t="s">
        <v>1098</v>
      </c>
      <c r="M35" s="128"/>
      <c r="N35" s="128"/>
      <c r="O35" s="128" t="s">
        <v>1099</v>
      </c>
      <c r="P35" s="128" t="s">
        <v>1100</v>
      </c>
      <c r="Q35" s="0" t="str">
        <f aca="false">IF(A35=ChoixJour!$A$5,ROW(),"")</f>
        <v/>
      </c>
    </row>
    <row r="36" customFormat="false" ht="13.8" hidden="false" customHeight="false" outlineLevel="0" collapsed="false">
      <c r="A36" s="127" t="n">
        <v>43838</v>
      </c>
      <c r="B36" s="128" t="s">
        <v>1101</v>
      </c>
      <c r="C36" s="128"/>
      <c r="D36" s="128" t="n">
        <v>30685</v>
      </c>
      <c r="E36" s="128" t="n">
        <v>3290</v>
      </c>
      <c r="F36" s="128" t="n">
        <v>732</v>
      </c>
      <c r="G36" s="128" t="n">
        <v>708</v>
      </c>
      <c r="H36" s="128"/>
      <c r="I36" s="128"/>
      <c r="J36" s="128"/>
      <c r="K36" s="128"/>
      <c r="L36" s="128" t="n">
        <v>31</v>
      </c>
      <c r="M36" s="128"/>
      <c r="N36" s="128"/>
      <c r="O36" s="128" t="n">
        <v>370</v>
      </c>
      <c r="P36" s="128" t="n">
        <v>454</v>
      </c>
      <c r="Q36" s="0" t="str">
        <f aca="false">IF(A36=ChoixJour!$A$5,ROW(),"")</f>
        <v/>
      </c>
    </row>
    <row r="37" customFormat="false" ht="13.8" hidden="false" customHeight="false" outlineLevel="0" collapsed="false">
      <c r="A37" s="127" t="n">
        <v>43838</v>
      </c>
      <c r="B37" s="128" t="s">
        <v>1102</v>
      </c>
      <c r="C37" s="128"/>
      <c r="D37" s="128" t="n">
        <v>31325</v>
      </c>
      <c r="E37" s="128" t="n">
        <v>4751</v>
      </c>
      <c r="F37" s="128" t="n">
        <v>955</v>
      </c>
      <c r="G37" s="128" t="n">
        <v>820</v>
      </c>
      <c r="H37" s="128"/>
      <c r="I37" s="128"/>
      <c r="J37" s="128"/>
      <c r="K37" s="128"/>
      <c r="L37" s="128" t="n">
        <v>31</v>
      </c>
      <c r="M37" s="128"/>
      <c r="N37" s="128"/>
      <c r="O37" s="128" t="n">
        <v>671</v>
      </c>
      <c r="P37" s="128" t="n">
        <v>656</v>
      </c>
      <c r="Q37" s="0" t="str">
        <f aca="false">IF(A37=ChoixJour!$A$5,ROW(),"")</f>
        <v/>
      </c>
    </row>
    <row r="38" customFormat="false" ht="13.8" hidden="false" customHeight="false" outlineLevel="0" collapsed="false">
      <c r="A38" s="127" t="n">
        <v>43838</v>
      </c>
      <c r="B38" s="128" t="s">
        <v>1103</v>
      </c>
      <c r="C38" s="128" t="s">
        <v>1104</v>
      </c>
      <c r="D38" s="128" t="s">
        <v>1105</v>
      </c>
      <c r="E38" s="128" t="s">
        <v>1105</v>
      </c>
      <c r="F38" s="128" t="s">
        <v>1105</v>
      </c>
      <c r="G38" s="128" t="s">
        <v>1105</v>
      </c>
      <c r="H38" s="128" t="s">
        <v>1105</v>
      </c>
      <c r="I38" s="128"/>
      <c r="J38" s="128"/>
      <c r="K38" s="128" t="s">
        <v>1106</v>
      </c>
      <c r="L38" s="128" t="s">
        <v>1106</v>
      </c>
      <c r="M38" s="128"/>
      <c r="N38" s="128"/>
      <c r="O38" s="128" t="s">
        <v>1105</v>
      </c>
      <c r="P38" s="128" t="s">
        <v>1105</v>
      </c>
      <c r="Q38" s="0" t="str">
        <f aca="false">IF(A38=ChoixJour!$A$5,ROW(),"")</f>
        <v/>
      </c>
    </row>
    <row r="39" customFormat="false" ht="13.8" hidden="false" customHeight="false" outlineLevel="0" collapsed="false">
      <c r="A39" s="127" t="n">
        <v>43838</v>
      </c>
      <c r="B39" s="128" t="s">
        <v>1103</v>
      </c>
      <c r="C39" s="128" t="s">
        <v>1107</v>
      </c>
      <c r="D39" s="128" t="s">
        <v>1105</v>
      </c>
      <c r="E39" s="128" t="s">
        <v>1105</v>
      </c>
      <c r="F39" s="128" t="s">
        <v>1105</v>
      </c>
      <c r="G39" s="128" t="s">
        <v>1105</v>
      </c>
      <c r="H39" s="128" t="s">
        <v>1105</v>
      </c>
      <c r="I39" s="128"/>
      <c r="J39" s="128"/>
      <c r="K39" s="128" t="s">
        <v>1106</v>
      </c>
      <c r="L39" s="128" t="s">
        <v>1106</v>
      </c>
      <c r="M39" s="128"/>
      <c r="N39" s="128"/>
      <c r="O39" s="128" t="s">
        <v>1105</v>
      </c>
      <c r="P39" s="128" t="s">
        <v>1105</v>
      </c>
      <c r="Q39" s="0" t="str">
        <f aca="false">IF(A39=ChoixJour!$A$5,ROW(),"")</f>
        <v/>
      </c>
    </row>
    <row r="40" customFormat="false" ht="13.8" hidden="false" customHeight="false" outlineLevel="0" collapsed="false">
      <c r="A40" s="127" t="n">
        <v>43838</v>
      </c>
      <c r="B40" s="128" t="s">
        <v>1108</v>
      </c>
      <c r="C40" s="128"/>
      <c r="D40" s="128" t="s">
        <v>1105</v>
      </c>
      <c r="E40" s="128" t="s">
        <v>1105</v>
      </c>
      <c r="F40" s="128" t="s">
        <v>1105</v>
      </c>
      <c r="G40" s="128" t="s">
        <v>1105</v>
      </c>
      <c r="H40" s="128" t="s">
        <v>1105</v>
      </c>
      <c r="I40" s="128"/>
      <c r="J40" s="128"/>
      <c r="K40" s="128" t="s">
        <v>1105</v>
      </c>
      <c r="L40" s="128" t="s">
        <v>1106</v>
      </c>
      <c r="M40" s="128"/>
      <c r="N40" s="128"/>
      <c r="O40" s="128" t="s">
        <v>1105</v>
      </c>
      <c r="P40" s="128" t="s">
        <v>1105</v>
      </c>
      <c r="Q40" s="0" t="str">
        <f aca="false">IF(A40=ChoixJour!$A$5,ROW(),"")</f>
        <v/>
      </c>
    </row>
    <row r="41" customFormat="false" ht="13.8" hidden="false" customHeight="false" outlineLevel="0" collapsed="false">
      <c r="A41" s="127" t="n">
        <v>43838</v>
      </c>
      <c r="B41" s="128" t="s">
        <v>1109</v>
      </c>
      <c r="C41" s="128"/>
      <c r="D41" s="128" t="s">
        <v>1105</v>
      </c>
      <c r="E41" s="128" t="s">
        <v>1105</v>
      </c>
      <c r="F41" s="128" t="s">
        <v>1105</v>
      </c>
      <c r="G41" s="128" t="s">
        <v>1105</v>
      </c>
      <c r="H41" s="128" t="s">
        <v>1105</v>
      </c>
      <c r="I41" s="128"/>
      <c r="J41" s="128"/>
      <c r="K41" s="128" t="s">
        <v>1106</v>
      </c>
      <c r="L41" s="128" t="s">
        <v>1106</v>
      </c>
      <c r="M41" s="128"/>
      <c r="N41" s="128"/>
      <c r="O41" s="128" t="s">
        <v>1105</v>
      </c>
      <c r="P41" s="128" t="s">
        <v>1105</v>
      </c>
      <c r="Q41" s="0" t="str">
        <f aca="false">IF(A41=ChoixJour!$A$5,ROW(),"")</f>
        <v/>
      </c>
    </row>
    <row r="42" customFormat="false" ht="13.8" hidden="false" customHeight="false" outlineLevel="0" collapsed="false">
      <c r="A42" s="127" t="n">
        <v>43838</v>
      </c>
      <c r="B42" s="128" t="s">
        <v>1110</v>
      </c>
      <c r="C42" s="128"/>
      <c r="D42" s="128" t="s">
        <v>1105</v>
      </c>
      <c r="E42" s="128" t="s">
        <v>1105</v>
      </c>
      <c r="F42" s="128" t="s">
        <v>1105</v>
      </c>
      <c r="G42" s="128" t="s">
        <v>1105</v>
      </c>
      <c r="H42" s="128" t="s">
        <v>1105</v>
      </c>
      <c r="I42" s="128"/>
      <c r="J42" s="128"/>
      <c r="K42" s="128" t="s">
        <v>1106</v>
      </c>
      <c r="L42" s="128" t="s">
        <v>1106</v>
      </c>
      <c r="M42" s="128"/>
      <c r="N42" s="128"/>
      <c r="O42" s="128" t="s">
        <v>1105</v>
      </c>
      <c r="P42" s="128" t="s">
        <v>1105</v>
      </c>
      <c r="Q42" s="0" t="str">
        <f aca="false">IF(A42=ChoixJour!$A$5,ROW(),"")</f>
        <v/>
      </c>
    </row>
    <row r="43" customFormat="false" ht="13.8" hidden="false" customHeight="false" outlineLevel="0" collapsed="false">
      <c r="A43" s="127" t="n">
        <v>43838</v>
      </c>
      <c r="B43" s="128" t="s">
        <v>1111</v>
      </c>
      <c r="C43" s="128"/>
      <c r="D43" s="128" t="s">
        <v>1105</v>
      </c>
      <c r="E43" s="128" t="s">
        <v>1118</v>
      </c>
      <c r="F43" s="128" t="s">
        <v>1118</v>
      </c>
      <c r="G43" s="128" t="s">
        <v>1105</v>
      </c>
      <c r="H43" s="128" t="s">
        <v>1105</v>
      </c>
      <c r="I43" s="128"/>
      <c r="J43" s="128"/>
      <c r="K43" s="128" t="s">
        <v>1112</v>
      </c>
      <c r="L43" s="128" t="s">
        <v>1106</v>
      </c>
      <c r="M43" s="128"/>
      <c r="N43" s="128"/>
      <c r="O43" s="128" t="s">
        <v>1105</v>
      </c>
      <c r="P43" s="128" t="s">
        <v>1105</v>
      </c>
      <c r="Q43" s="0" t="str">
        <f aca="false">IF(A43=ChoixJour!$A$5,ROW(),"")</f>
        <v/>
      </c>
    </row>
    <row r="44" customFormat="false" ht="13.8" hidden="false" customHeight="false" outlineLevel="0" collapsed="false">
      <c r="A44" s="127" t="n">
        <v>43838</v>
      </c>
      <c r="B44" s="128" t="s">
        <v>33</v>
      </c>
      <c r="C44" s="128"/>
      <c r="D44" s="128" t="s">
        <v>1105</v>
      </c>
      <c r="E44" s="128" t="s">
        <v>1105</v>
      </c>
      <c r="F44" s="128" t="s">
        <v>1106</v>
      </c>
      <c r="G44" s="128" t="s">
        <v>1105</v>
      </c>
      <c r="H44" s="128" t="s">
        <v>1106</v>
      </c>
      <c r="I44" s="128"/>
      <c r="J44" s="128"/>
      <c r="K44" s="128" t="s">
        <v>1106</v>
      </c>
      <c r="L44" s="128" t="s">
        <v>1105</v>
      </c>
      <c r="M44" s="128"/>
      <c r="N44" s="128"/>
      <c r="O44" s="128" t="s">
        <v>1106</v>
      </c>
      <c r="P44" s="128" t="s">
        <v>1106</v>
      </c>
      <c r="Q44" s="0" t="str">
        <f aca="false">IF(A44=ChoixJour!$A$5,ROW(),"")</f>
        <v/>
      </c>
    </row>
    <row r="45" customFormat="false" ht="13.8" hidden="false" customHeight="false" outlineLevel="0" collapsed="false">
      <c r="A45" s="127" t="n">
        <v>43838</v>
      </c>
      <c r="B45" s="128" t="s">
        <v>1113</v>
      </c>
      <c r="C45" s="128"/>
      <c r="D45" s="128" t="s">
        <v>1105</v>
      </c>
      <c r="E45" s="128" t="s">
        <v>1105</v>
      </c>
      <c r="F45" s="128" t="s">
        <v>1105</v>
      </c>
      <c r="G45" s="128" t="s">
        <v>1105</v>
      </c>
      <c r="H45" s="128" t="s">
        <v>1105</v>
      </c>
      <c r="I45" s="128"/>
      <c r="J45" s="128"/>
      <c r="K45" s="128" t="s">
        <v>1105</v>
      </c>
      <c r="L45" s="128" t="s">
        <v>1105</v>
      </c>
      <c r="M45" s="128"/>
      <c r="N45" s="128"/>
      <c r="O45" s="128" t="s">
        <v>1105</v>
      </c>
      <c r="P45" s="128" t="s">
        <v>1105</v>
      </c>
      <c r="Q45" s="0" t="str">
        <f aca="false">IF(A45=ChoixJour!$A$5,ROW(),"")</f>
        <v/>
      </c>
    </row>
    <row r="46" customFormat="false" ht="13.8" hidden="false" customHeight="false" outlineLevel="0" collapsed="false">
      <c r="A46" s="127" t="n">
        <v>43838</v>
      </c>
      <c r="B46" s="128" t="s">
        <v>1114</v>
      </c>
      <c r="C46" s="128"/>
      <c r="D46" s="128" t="n">
        <v>2</v>
      </c>
      <c r="E46" s="128" t="n">
        <v>0</v>
      </c>
      <c r="F46" s="128" t="n">
        <v>15</v>
      </c>
      <c r="G46" s="128" t="n">
        <v>0</v>
      </c>
      <c r="H46" s="128" t="n">
        <v>1</v>
      </c>
      <c r="I46" s="128"/>
      <c r="J46" s="128"/>
      <c r="K46" s="128" t="n">
        <v>0</v>
      </c>
      <c r="L46" s="128" t="n">
        <v>0</v>
      </c>
      <c r="M46" s="128"/>
      <c r="N46" s="128"/>
      <c r="O46" s="128" t="n">
        <v>0</v>
      </c>
      <c r="P46" s="128" t="n">
        <v>2</v>
      </c>
      <c r="Q46" s="0" t="str">
        <f aca="false">IF(A46=ChoixJour!$A$5,ROW(),"")</f>
        <v/>
      </c>
    </row>
    <row r="47" customFormat="false" ht="13.8" hidden="false" customHeight="false" outlineLevel="0" collapsed="false">
      <c r="A47" s="127" t="n">
        <v>43838</v>
      </c>
      <c r="B47" s="128" t="s">
        <v>1115</v>
      </c>
      <c r="C47" s="128"/>
      <c r="D47" s="128" t="n">
        <v>0</v>
      </c>
      <c r="E47" s="128" t="n">
        <v>0</v>
      </c>
      <c r="F47" s="128" t="n">
        <v>0</v>
      </c>
      <c r="G47" s="128" t="n">
        <v>0</v>
      </c>
      <c r="H47" s="128" t="n">
        <v>0</v>
      </c>
      <c r="I47" s="128"/>
      <c r="J47" s="128"/>
      <c r="K47" s="128" t="n">
        <v>0</v>
      </c>
      <c r="L47" s="128" t="n">
        <v>0</v>
      </c>
      <c r="M47" s="128"/>
      <c r="N47" s="128"/>
      <c r="O47" s="128" t="n">
        <v>0</v>
      </c>
      <c r="P47" s="128" t="n">
        <v>0</v>
      </c>
      <c r="Q47" s="0" t="str">
        <f aca="false">IF(A47=ChoixJour!$A$5,ROW(),"")</f>
        <v/>
      </c>
    </row>
    <row r="48" customFormat="false" ht="13.8" hidden="false" customHeight="false" outlineLevel="0" collapsed="false">
      <c r="A48" s="127" t="n">
        <v>43838</v>
      </c>
      <c r="B48" s="128" t="s">
        <v>1116</v>
      </c>
      <c r="C48" s="128"/>
      <c r="D48" s="128"/>
      <c r="E48" s="128"/>
      <c r="F48" s="128"/>
      <c r="G48" s="128"/>
      <c r="H48" s="128"/>
      <c r="I48" s="128"/>
      <c r="J48" s="128"/>
      <c r="K48" s="128"/>
      <c r="L48" s="128"/>
      <c r="M48" s="128"/>
      <c r="N48" s="128"/>
      <c r="O48" s="128"/>
      <c r="P48" s="128"/>
      <c r="Q48" s="0" t="str">
        <f aca="false">IF(A48=ChoixJour!$A$5,ROW(),"")</f>
        <v/>
      </c>
    </row>
    <row r="49" customFormat="false" ht="13.8" hidden="false" customHeight="false" outlineLevel="0" collapsed="false">
      <c r="A49" s="127" t="n">
        <v>43838</v>
      </c>
      <c r="B49" s="128" t="s">
        <v>1117</v>
      </c>
      <c r="C49" s="128"/>
      <c r="D49" s="128" t="n">
        <v>0</v>
      </c>
      <c r="E49" s="128" t="n">
        <v>0</v>
      </c>
      <c r="F49" s="128" t="n">
        <v>0</v>
      </c>
      <c r="G49" s="128" t="n">
        <v>0</v>
      </c>
      <c r="H49" s="128" t="n">
        <v>0</v>
      </c>
      <c r="I49" s="128" t="n">
        <v>1</v>
      </c>
      <c r="J49" s="128" t="n">
        <v>0</v>
      </c>
      <c r="K49" s="128" t="n">
        <v>0</v>
      </c>
      <c r="L49" s="128" t="n">
        <v>0</v>
      </c>
      <c r="M49" s="128" t="n">
        <v>0</v>
      </c>
      <c r="N49" s="128" t="n">
        <v>0</v>
      </c>
      <c r="O49" s="128" t="n">
        <v>0</v>
      </c>
      <c r="P49" s="128" t="n">
        <v>0</v>
      </c>
      <c r="Q49" s="0" t="str">
        <f aca="false">IF(A49=ChoixJour!$A$5,ROW(),"")</f>
        <v/>
      </c>
    </row>
    <row r="50" customFormat="false" ht="13.8" hidden="false" customHeight="false" outlineLevel="0" collapsed="false">
      <c r="A50" s="127" t="n">
        <v>43839</v>
      </c>
      <c r="B50" s="128" t="s">
        <v>1087</v>
      </c>
      <c r="C50" s="128"/>
      <c r="D50" s="128" t="s">
        <v>1088</v>
      </c>
      <c r="E50" s="128" t="n">
        <v>199400</v>
      </c>
      <c r="F50" s="128" t="n">
        <v>512520</v>
      </c>
      <c r="G50" s="128" t="s">
        <v>148</v>
      </c>
      <c r="H50" s="128" t="n">
        <v>480387</v>
      </c>
      <c r="I50" s="128"/>
      <c r="J50" s="128"/>
      <c r="K50" s="128" t="n">
        <v>480387</v>
      </c>
      <c r="L50" s="128" t="s">
        <v>1089</v>
      </c>
      <c r="M50" s="128"/>
      <c r="N50" s="128"/>
      <c r="O50" s="128" t="s">
        <v>1090</v>
      </c>
      <c r="P50" s="128" t="s">
        <v>1091</v>
      </c>
      <c r="Q50" s="0" t="str">
        <f aca="false">IF(A50=ChoixJour!$A$5,ROW(),"")</f>
        <v/>
      </c>
    </row>
    <row r="51" customFormat="false" ht="13.8" hidden="false" customHeight="false" outlineLevel="0" collapsed="false">
      <c r="A51" s="127" t="n">
        <v>43839</v>
      </c>
      <c r="B51" s="128" t="s">
        <v>1092</v>
      </c>
      <c r="C51" s="128"/>
      <c r="D51" s="128" t="s">
        <v>1093</v>
      </c>
      <c r="E51" s="128" t="s">
        <v>1024</v>
      </c>
      <c r="F51" s="128" t="s">
        <v>1094</v>
      </c>
      <c r="G51" s="128" t="s">
        <v>1095</v>
      </c>
      <c r="H51" s="128" t="s">
        <v>1096</v>
      </c>
      <c r="I51" s="128"/>
      <c r="J51" s="128"/>
      <c r="K51" s="128" t="s">
        <v>1097</v>
      </c>
      <c r="L51" s="128" t="s">
        <v>1098</v>
      </c>
      <c r="M51" s="128"/>
      <c r="N51" s="128"/>
      <c r="O51" s="128" t="s">
        <v>1099</v>
      </c>
      <c r="P51" s="128" t="s">
        <v>1100</v>
      </c>
      <c r="Q51" s="0" t="str">
        <f aca="false">IF(A51=ChoixJour!$A$5,ROW(),"")</f>
        <v/>
      </c>
    </row>
    <row r="52" customFormat="false" ht="13.8" hidden="false" customHeight="false" outlineLevel="0" collapsed="false">
      <c r="A52" s="127" t="n">
        <v>43839</v>
      </c>
      <c r="B52" s="128" t="s">
        <v>1101</v>
      </c>
      <c r="C52" s="128"/>
      <c r="D52" s="128" t="n">
        <v>31325</v>
      </c>
      <c r="E52" s="128" t="n">
        <v>4751</v>
      </c>
      <c r="F52" s="128" t="n">
        <v>955</v>
      </c>
      <c r="G52" s="128" t="n">
        <v>820</v>
      </c>
      <c r="H52" s="128"/>
      <c r="I52" s="128"/>
      <c r="J52" s="128"/>
      <c r="K52" s="128"/>
      <c r="L52" s="128" t="n">
        <v>31</v>
      </c>
      <c r="M52" s="128"/>
      <c r="N52" s="128"/>
      <c r="O52" s="128" t="n">
        <v>671</v>
      </c>
      <c r="P52" s="128" t="n">
        <v>656</v>
      </c>
      <c r="Q52" s="0" t="str">
        <f aca="false">IF(A52=ChoixJour!$A$5,ROW(),"")</f>
        <v/>
      </c>
    </row>
    <row r="53" customFormat="false" ht="13.8" hidden="false" customHeight="false" outlineLevel="0" collapsed="false">
      <c r="A53" s="127" t="n">
        <v>43839</v>
      </c>
      <c r="B53" s="128" t="s">
        <v>1102</v>
      </c>
      <c r="C53" s="128"/>
      <c r="D53" s="128"/>
      <c r="E53" s="128"/>
      <c r="F53" s="128"/>
      <c r="G53" s="128"/>
      <c r="H53" s="128"/>
      <c r="I53" s="128"/>
      <c r="J53" s="128"/>
      <c r="K53" s="128"/>
      <c r="L53" s="128"/>
      <c r="M53" s="128"/>
      <c r="N53" s="128"/>
      <c r="O53" s="128"/>
      <c r="P53" s="128"/>
      <c r="Q53" s="0" t="str">
        <f aca="false">IF(A53=ChoixJour!$A$5,ROW(),"")</f>
        <v/>
      </c>
    </row>
    <row r="54" customFormat="false" ht="13.8" hidden="false" customHeight="false" outlineLevel="0" collapsed="false">
      <c r="A54" s="127" t="n">
        <v>43839</v>
      </c>
      <c r="B54" s="128" t="s">
        <v>1103</v>
      </c>
      <c r="C54" s="128" t="s">
        <v>1104</v>
      </c>
      <c r="D54" s="128" t="s">
        <v>1105</v>
      </c>
      <c r="E54" s="128" t="s">
        <v>1105</v>
      </c>
      <c r="F54" s="128" t="s">
        <v>1105</v>
      </c>
      <c r="G54" s="128" t="s">
        <v>1105</v>
      </c>
      <c r="H54" s="128" t="s">
        <v>1105</v>
      </c>
      <c r="I54" s="128"/>
      <c r="J54" s="128"/>
      <c r="K54" s="128" t="s">
        <v>1106</v>
      </c>
      <c r="L54" s="128" t="s">
        <v>1106</v>
      </c>
      <c r="M54" s="128"/>
      <c r="N54" s="128"/>
      <c r="O54" s="128" t="s">
        <v>1105</v>
      </c>
      <c r="P54" s="128" t="s">
        <v>1105</v>
      </c>
      <c r="Q54" s="0" t="str">
        <f aca="false">IF(A54=ChoixJour!$A$5,ROW(),"")</f>
        <v/>
      </c>
    </row>
    <row r="55" customFormat="false" ht="13.8" hidden="false" customHeight="false" outlineLevel="0" collapsed="false">
      <c r="A55" s="127" t="n">
        <v>43839</v>
      </c>
      <c r="B55" s="128" t="s">
        <v>1103</v>
      </c>
      <c r="C55" s="128" t="s">
        <v>1107</v>
      </c>
      <c r="D55" s="128" t="s">
        <v>1105</v>
      </c>
      <c r="E55" s="128" t="s">
        <v>1105</v>
      </c>
      <c r="F55" s="128" t="s">
        <v>1105</v>
      </c>
      <c r="G55" s="128" t="s">
        <v>1105</v>
      </c>
      <c r="H55" s="128" t="s">
        <v>1105</v>
      </c>
      <c r="I55" s="128"/>
      <c r="J55" s="128"/>
      <c r="K55" s="128" t="s">
        <v>1106</v>
      </c>
      <c r="L55" s="128" t="s">
        <v>1106</v>
      </c>
      <c r="M55" s="128"/>
      <c r="N55" s="128"/>
      <c r="O55" s="128" t="s">
        <v>1105</v>
      </c>
      <c r="P55" s="128" t="s">
        <v>1105</v>
      </c>
      <c r="Q55" s="0" t="str">
        <f aca="false">IF(A55=ChoixJour!$A$5,ROW(),"")</f>
        <v/>
      </c>
    </row>
    <row r="56" customFormat="false" ht="13.8" hidden="false" customHeight="false" outlineLevel="0" collapsed="false">
      <c r="A56" s="127" t="n">
        <v>43839</v>
      </c>
      <c r="B56" s="128" t="s">
        <v>1108</v>
      </c>
      <c r="C56" s="128"/>
      <c r="D56" s="128" t="s">
        <v>1105</v>
      </c>
      <c r="E56" s="128" t="s">
        <v>1105</v>
      </c>
      <c r="F56" s="128" t="s">
        <v>1105</v>
      </c>
      <c r="G56" s="128" t="s">
        <v>1105</v>
      </c>
      <c r="H56" s="128" t="s">
        <v>1105</v>
      </c>
      <c r="I56" s="128"/>
      <c r="J56" s="128"/>
      <c r="K56" s="128" t="s">
        <v>1105</v>
      </c>
      <c r="L56" s="128" t="s">
        <v>1106</v>
      </c>
      <c r="M56" s="128"/>
      <c r="N56" s="128"/>
      <c r="O56" s="128" t="s">
        <v>1105</v>
      </c>
      <c r="P56" s="128" t="s">
        <v>1105</v>
      </c>
      <c r="Q56" s="0" t="str">
        <f aca="false">IF(A56=ChoixJour!$A$5,ROW(),"")</f>
        <v/>
      </c>
    </row>
    <row r="57" customFormat="false" ht="13.8" hidden="false" customHeight="false" outlineLevel="0" collapsed="false">
      <c r="A57" s="127" t="n">
        <v>43839</v>
      </c>
      <c r="B57" s="128" t="s">
        <v>1109</v>
      </c>
      <c r="C57" s="128"/>
      <c r="D57" s="128" t="s">
        <v>1105</v>
      </c>
      <c r="E57" s="128" t="s">
        <v>1105</v>
      </c>
      <c r="F57" s="128" t="s">
        <v>1105</v>
      </c>
      <c r="G57" s="128" t="s">
        <v>1105</v>
      </c>
      <c r="H57" s="128" t="s">
        <v>1105</v>
      </c>
      <c r="I57" s="128"/>
      <c r="J57" s="128"/>
      <c r="K57" s="128" t="s">
        <v>1106</v>
      </c>
      <c r="L57" s="128" t="s">
        <v>1106</v>
      </c>
      <c r="M57" s="128"/>
      <c r="N57" s="128"/>
      <c r="O57" s="128" t="s">
        <v>1105</v>
      </c>
      <c r="P57" s="128" t="s">
        <v>1105</v>
      </c>
      <c r="Q57" s="0" t="str">
        <f aca="false">IF(A57=ChoixJour!$A$5,ROW(),"")</f>
        <v/>
      </c>
    </row>
    <row r="58" customFormat="false" ht="13.8" hidden="false" customHeight="false" outlineLevel="0" collapsed="false">
      <c r="A58" s="127" t="n">
        <v>43839</v>
      </c>
      <c r="B58" s="128" t="s">
        <v>1110</v>
      </c>
      <c r="C58" s="128"/>
      <c r="D58" s="128" t="s">
        <v>1105</v>
      </c>
      <c r="E58" s="128" t="s">
        <v>1105</v>
      </c>
      <c r="F58" s="128" t="s">
        <v>1105</v>
      </c>
      <c r="G58" s="128" t="s">
        <v>1105</v>
      </c>
      <c r="H58" s="128" t="s">
        <v>1105</v>
      </c>
      <c r="I58" s="128"/>
      <c r="J58" s="128"/>
      <c r="K58" s="128" t="s">
        <v>1106</v>
      </c>
      <c r="L58" s="128" t="s">
        <v>1106</v>
      </c>
      <c r="M58" s="128"/>
      <c r="N58" s="128"/>
      <c r="O58" s="128" t="s">
        <v>1105</v>
      </c>
      <c r="P58" s="128" t="s">
        <v>1105</v>
      </c>
      <c r="Q58" s="0" t="str">
        <f aca="false">IF(A58=ChoixJour!$A$5,ROW(),"")</f>
        <v/>
      </c>
    </row>
    <row r="59" customFormat="false" ht="13.8" hidden="false" customHeight="false" outlineLevel="0" collapsed="false">
      <c r="A59" s="127" t="n">
        <v>43839</v>
      </c>
      <c r="B59" s="128" t="s">
        <v>1111</v>
      </c>
      <c r="C59" s="128"/>
      <c r="D59" s="128" t="s">
        <v>1105</v>
      </c>
      <c r="E59" s="128" t="s">
        <v>1118</v>
      </c>
      <c r="F59" s="128" t="s">
        <v>1118</v>
      </c>
      <c r="G59" s="128" t="s">
        <v>1105</v>
      </c>
      <c r="H59" s="128" t="s">
        <v>1105</v>
      </c>
      <c r="I59" s="128"/>
      <c r="J59" s="128"/>
      <c r="K59" s="128" t="s">
        <v>1112</v>
      </c>
      <c r="L59" s="128" t="s">
        <v>1106</v>
      </c>
      <c r="M59" s="128"/>
      <c r="N59" s="128"/>
      <c r="O59" s="128" t="s">
        <v>1105</v>
      </c>
      <c r="P59" s="128" t="s">
        <v>1105</v>
      </c>
      <c r="Q59" s="0" t="str">
        <f aca="false">IF(A59=ChoixJour!$A$5,ROW(),"")</f>
        <v/>
      </c>
    </row>
    <row r="60" customFormat="false" ht="13.8" hidden="false" customHeight="false" outlineLevel="0" collapsed="false">
      <c r="A60" s="127" t="n">
        <v>43839</v>
      </c>
      <c r="B60" s="128" t="s">
        <v>33</v>
      </c>
      <c r="C60" s="128"/>
      <c r="D60" s="128" t="s">
        <v>1105</v>
      </c>
      <c r="E60" s="128" t="s">
        <v>1105</v>
      </c>
      <c r="F60" s="128" t="s">
        <v>1106</v>
      </c>
      <c r="G60" s="128" t="s">
        <v>1105</v>
      </c>
      <c r="H60" s="128" t="s">
        <v>1106</v>
      </c>
      <c r="I60" s="128"/>
      <c r="J60" s="128"/>
      <c r="K60" s="128" t="s">
        <v>1106</v>
      </c>
      <c r="L60" s="128" t="s">
        <v>1105</v>
      </c>
      <c r="M60" s="128"/>
      <c r="N60" s="128"/>
      <c r="O60" s="128" t="s">
        <v>1106</v>
      </c>
      <c r="P60" s="128" t="s">
        <v>1106</v>
      </c>
      <c r="Q60" s="0" t="str">
        <f aca="false">IF(A60=ChoixJour!$A$5,ROW(),"")</f>
        <v/>
      </c>
    </row>
    <row r="61" customFormat="false" ht="13.8" hidden="false" customHeight="false" outlineLevel="0" collapsed="false">
      <c r="A61" s="127" t="n">
        <v>43839</v>
      </c>
      <c r="B61" s="128" t="s">
        <v>1113</v>
      </c>
      <c r="C61" s="128"/>
      <c r="D61" s="128" t="s">
        <v>1105</v>
      </c>
      <c r="E61" s="128" t="s">
        <v>1105</v>
      </c>
      <c r="F61" s="128" t="s">
        <v>1105</v>
      </c>
      <c r="G61" s="128" t="s">
        <v>1105</v>
      </c>
      <c r="H61" s="128" t="s">
        <v>1105</v>
      </c>
      <c r="I61" s="128"/>
      <c r="J61" s="128"/>
      <c r="K61" s="128" t="s">
        <v>1105</v>
      </c>
      <c r="L61" s="128" t="s">
        <v>1105</v>
      </c>
      <c r="M61" s="128"/>
      <c r="N61" s="128"/>
      <c r="O61" s="128" t="s">
        <v>1105</v>
      </c>
      <c r="P61" s="128" t="s">
        <v>1105</v>
      </c>
      <c r="Q61" s="0" t="str">
        <f aca="false">IF(A61=ChoixJour!$A$5,ROW(),"")</f>
        <v/>
      </c>
    </row>
    <row r="62" customFormat="false" ht="13.8" hidden="false" customHeight="false" outlineLevel="0" collapsed="false">
      <c r="A62" s="127" t="n">
        <v>43839</v>
      </c>
      <c r="B62" s="128" t="s">
        <v>1114</v>
      </c>
      <c r="C62" s="128"/>
      <c r="D62" s="128" t="n">
        <v>0</v>
      </c>
      <c r="E62" s="128" t="n">
        <v>0</v>
      </c>
      <c r="F62" s="128" t="n">
        <v>1</v>
      </c>
      <c r="G62" s="128" t="n">
        <v>1</v>
      </c>
      <c r="H62" s="128" t="n">
        <v>0</v>
      </c>
      <c r="I62" s="128"/>
      <c r="J62" s="128"/>
      <c r="K62" s="128"/>
      <c r="L62" s="128" t="n">
        <v>0</v>
      </c>
      <c r="M62" s="128"/>
      <c r="N62" s="128"/>
      <c r="O62" s="128" t="n">
        <v>0</v>
      </c>
      <c r="P62" s="128" t="n">
        <v>0</v>
      </c>
      <c r="Q62" s="0" t="str">
        <f aca="false">IF(A62=ChoixJour!$A$5,ROW(),"")</f>
        <v/>
      </c>
    </row>
    <row r="63" customFormat="false" ht="13.8" hidden="false" customHeight="false" outlineLevel="0" collapsed="false">
      <c r="A63" s="127" t="n">
        <v>43839</v>
      </c>
      <c r="B63" s="128" t="s">
        <v>1115</v>
      </c>
      <c r="C63" s="128"/>
      <c r="D63" s="128" t="n">
        <v>0</v>
      </c>
      <c r="E63" s="128" t="n">
        <v>0</v>
      </c>
      <c r="F63" s="128" t="n">
        <v>0</v>
      </c>
      <c r="G63" s="128" t="n">
        <v>0</v>
      </c>
      <c r="H63" s="128" t="n">
        <v>0</v>
      </c>
      <c r="I63" s="128"/>
      <c r="J63" s="128"/>
      <c r="K63" s="128"/>
      <c r="L63" s="128" t="n">
        <v>0</v>
      </c>
      <c r="M63" s="128"/>
      <c r="N63" s="128"/>
      <c r="O63" s="128" t="n">
        <v>0</v>
      </c>
      <c r="P63" s="128" t="n">
        <v>0</v>
      </c>
      <c r="Q63" s="0" t="str">
        <f aca="false">IF(A63=ChoixJour!$A$5,ROW(),"")</f>
        <v/>
      </c>
    </row>
    <row r="64" customFormat="false" ht="13.8" hidden="false" customHeight="false" outlineLevel="0" collapsed="false">
      <c r="A64" s="127" t="n">
        <v>43839</v>
      </c>
      <c r="B64" s="128" t="s">
        <v>1116</v>
      </c>
      <c r="C64" s="128"/>
      <c r="D64" s="128"/>
      <c r="E64" s="128"/>
      <c r="F64" s="128"/>
      <c r="G64" s="128"/>
      <c r="H64" s="128"/>
      <c r="I64" s="128"/>
      <c r="J64" s="128"/>
      <c r="K64" s="128"/>
      <c r="L64" s="128"/>
      <c r="M64" s="128"/>
      <c r="N64" s="128"/>
      <c r="O64" s="128"/>
      <c r="P64" s="128"/>
      <c r="Q64" s="0" t="str">
        <f aca="false">IF(A64=ChoixJour!$A$5,ROW(),"")</f>
        <v/>
      </c>
    </row>
    <row r="65" customFormat="false" ht="13.8" hidden="false" customHeight="false" outlineLevel="0" collapsed="false">
      <c r="A65" s="127" t="n">
        <v>43839</v>
      </c>
      <c r="B65" s="128" t="s">
        <v>1117</v>
      </c>
      <c r="C65" s="128"/>
      <c r="D65" s="128" t="n">
        <v>0</v>
      </c>
      <c r="E65" s="128" t="n">
        <v>0</v>
      </c>
      <c r="F65" s="128" t="n">
        <v>1</v>
      </c>
      <c r="G65" s="128" t="n">
        <v>0</v>
      </c>
      <c r="H65" s="128" t="n">
        <v>0</v>
      </c>
      <c r="I65" s="128" t="n">
        <v>1</v>
      </c>
      <c r="J65" s="128" t="n">
        <v>0</v>
      </c>
      <c r="K65" s="128" t="n">
        <v>0</v>
      </c>
      <c r="L65" s="128" t="n">
        <v>0</v>
      </c>
      <c r="M65" s="128" t="n">
        <v>0</v>
      </c>
      <c r="N65" s="128" t="n">
        <v>0</v>
      </c>
      <c r="O65" s="128" t="n">
        <v>0</v>
      </c>
      <c r="P65" s="128" t="n">
        <v>0</v>
      </c>
      <c r="Q65" s="0" t="str">
        <f aca="false">IF(A65=ChoixJour!$A$5,ROW(),"")</f>
        <v/>
      </c>
    </row>
    <row r="66" customFormat="false" ht="13.8" hidden="false" customHeight="false" outlineLevel="0" collapsed="false">
      <c r="A66" s="127" t="n">
        <v>43840</v>
      </c>
      <c r="B66" s="128" t="s">
        <v>1087</v>
      </c>
      <c r="C66" s="128"/>
      <c r="D66" s="128" t="s">
        <v>1088</v>
      </c>
      <c r="E66" s="128" t="n">
        <v>199400</v>
      </c>
      <c r="F66" s="128" t="n">
        <v>512520</v>
      </c>
      <c r="G66" s="128" t="s">
        <v>148</v>
      </c>
      <c r="H66" s="128" t="n">
        <v>480387</v>
      </c>
      <c r="I66" s="128"/>
      <c r="J66" s="128"/>
      <c r="K66" s="128"/>
      <c r="L66" s="128" t="s">
        <v>1089</v>
      </c>
      <c r="M66" s="128"/>
      <c r="N66" s="128"/>
      <c r="O66" s="128" t="s">
        <v>1090</v>
      </c>
      <c r="P66" s="128" t="s">
        <v>1091</v>
      </c>
      <c r="Q66" s="0" t="str">
        <f aca="false">IF(A66=ChoixJour!$A$5,ROW(),"")</f>
        <v/>
      </c>
    </row>
    <row r="67" customFormat="false" ht="13.8" hidden="false" customHeight="false" outlineLevel="0" collapsed="false">
      <c r="A67" s="127" t="n">
        <v>43840</v>
      </c>
      <c r="B67" s="128" t="s">
        <v>1092</v>
      </c>
      <c r="C67" s="128"/>
      <c r="D67" s="128" t="s">
        <v>1093</v>
      </c>
      <c r="E67" s="128" t="s">
        <v>1024</v>
      </c>
      <c r="F67" s="128" t="s">
        <v>1094</v>
      </c>
      <c r="G67" s="128" t="s">
        <v>1095</v>
      </c>
      <c r="H67" s="128" t="s">
        <v>1096</v>
      </c>
      <c r="I67" s="128"/>
      <c r="J67" s="128"/>
      <c r="K67" s="128"/>
      <c r="L67" s="128" t="s">
        <v>1098</v>
      </c>
      <c r="M67" s="128"/>
      <c r="N67" s="128"/>
      <c r="O67" s="128" t="s">
        <v>1099</v>
      </c>
      <c r="P67" s="128" t="s">
        <v>1100</v>
      </c>
      <c r="Q67" s="0" t="str">
        <f aca="false">IF(A67=ChoixJour!$A$5,ROW(),"")</f>
        <v/>
      </c>
    </row>
    <row r="68" customFormat="false" ht="13.8" hidden="false" customHeight="false" outlineLevel="0" collapsed="false">
      <c r="A68" s="127" t="n">
        <v>43840</v>
      </c>
      <c r="B68" s="128" t="s">
        <v>1101</v>
      </c>
      <c r="C68" s="128"/>
      <c r="D68" s="128" t="n">
        <v>31325</v>
      </c>
      <c r="E68" s="128" t="n">
        <v>4751</v>
      </c>
      <c r="F68" s="128" t="n">
        <v>955</v>
      </c>
      <c r="G68" s="128" t="n">
        <v>820</v>
      </c>
      <c r="H68" s="128"/>
      <c r="I68" s="128"/>
      <c r="J68" s="128"/>
      <c r="K68" s="128"/>
      <c r="L68" s="128" t="n">
        <v>31</v>
      </c>
      <c r="M68" s="128"/>
      <c r="N68" s="128"/>
      <c r="O68" s="128" t="n">
        <v>671</v>
      </c>
      <c r="P68" s="128" t="n">
        <v>656</v>
      </c>
      <c r="Q68" s="0" t="str">
        <f aca="false">IF(A68=ChoixJour!$A$5,ROW(),"")</f>
        <v/>
      </c>
    </row>
    <row r="69" customFormat="false" ht="13.8" hidden="false" customHeight="false" outlineLevel="0" collapsed="false">
      <c r="A69" s="127" t="n">
        <v>43840</v>
      </c>
      <c r="B69" s="128" t="s">
        <v>1102</v>
      </c>
      <c r="C69" s="128"/>
      <c r="D69" s="128" t="n">
        <v>31927</v>
      </c>
      <c r="E69" s="128" t="n">
        <v>6250</v>
      </c>
      <c r="F69" s="128" t="n">
        <v>1026</v>
      </c>
      <c r="G69" s="128" t="n">
        <v>898</v>
      </c>
      <c r="H69" s="128"/>
      <c r="I69" s="128"/>
      <c r="J69" s="128"/>
      <c r="K69" s="128"/>
      <c r="L69" s="128"/>
      <c r="M69" s="128"/>
      <c r="N69" s="128"/>
      <c r="O69" s="128" t="n">
        <v>960</v>
      </c>
      <c r="P69" s="128" t="n">
        <v>851</v>
      </c>
      <c r="Q69" s="0" t="str">
        <f aca="false">IF(A69=ChoixJour!$A$5,ROW(),"")</f>
        <v/>
      </c>
    </row>
    <row r="70" customFormat="false" ht="13.8" hidden="false" customHeight="false" outlineLevel="0" collapsed="false">
      <c r="A70" s="127" t="n">
        <v>43840</v>
      </c>
      <c r="B70" s="128" t="s">
        <v>1103</v>
      </c>
      <c r="C70" s="128" t="s">
        <v>1104</v>
      </c>
      <c r="D70" s="128" t="s">
        <v>1105</v>
      </c>
      <c r="E70" s="128" t="s">
        <v>1105</v>
      </c>
      <c r="F70" s="128" t="s">
        <v>1105</v>
      </c>
      <c r="G70" s="128" t="s">
        <v>1105</v>
      </c>
      <c r="H70" s="128" t="s">
        <v>1105</v>
      </c>
      <c r="I70" s="128"/>
      <c r="J70" s="128"/>
      <c r="K70" s="128"/>
      <c r="L70" s="128" t="s">
        <v>1106</v>
      </c>
      <c r="M70" s="128"/>
      <c r="N70" s="128"/>
      <c r="O70" s="128" t="s">
        <v>1105</v>
      </c>
      <c r="P70" s="128" t="s">
        <v>1105</v>
      </c>
      <c r="Q70" s="0" t="str">
        <f aca="false">IF(A70=ChoixJour!$A$5,ROW(),"")</f>
        <v/>
      </c>
    </row>
    <row r="71" customFormat="false" ht="13.8" hidden="false" customHeight="false" outlineLevel="0" collapsed="false">
      <c r="A71" s="127" t="n">
        <v>43840</v>
      </c>
      <c r="B71" s="128" t="s">
        <v>1103</v>
      </c>
      <c r="C71" s="128" t="s">
        <v>1107</v>
      </c>
      <c r="D71" s="128" t="s">
        <v>1105</v>
      </c>
      <c r="E71" s="128" t="s">
        <v>1105</v>
      </c>
      <c r="F71" s="128" t="s">
        <v>1105</v>
      </c>
      <c r="G71" s="128" t="s">
        <v>1105</v>
      </c>
      <c r="H71" s="128" t="s">
        <v>1105</v>
      </c>
      <c r="I71" s="128"/>
      <c r="J71" s="128"/>
      <c r="K71" s="128"/>
      <c r="L71" s="128" t="s">
        <v>1106</v>
      </c>
      <c r="M71" s="128"/>
      <c r="N71" s="128"/>
      <c r="O71" s="128" t="s">
        <v>1105</v>
      </c>
      <c r="P71" s="128" t="s">
        <v>1105</v>
      </c>
      <c r="Q71" s="0" t="str">
        <f aca="false">IF(A71=ChoixJour!$A$5,ROW(),"")</f>
        <v/>
      </c>
    </row>
    <row r="72" customFormat="false" ht="13.8" hidden="false" customHeight="false" outlineLevel="0" collapsed="false">
      <c r="A72" s="127" t="n">
        <v>43840</v>
      </c>
      <c r="B72" s="128" t="s">
        <v>1108</v>
      </c>
      <c r="C72" s="128"/>
      <c r="D72" s="128" t="s">
        <v>1105</v>
      </c>
      <c r="E72" s="128" t="s">
        <v>1105</v>
      </c>
      <c r="F72" s="128" t="s">
        <v>1105</v>
      </c>
      <c r="G72" s="128" t="s">
        <v>1105</v>
      </c>
      <c r="H72" s="128" t="s">
        <v>1105</v>
      </c>
      <c r="I72" s="128"/>
      <c r="J72" s="128"/>
      <c r="K72" s="128"/>
      <c r="L72" s="128" t="s">
        <v>1106</v>
      </c>
      <c r="M72" s="128"/>
      <c r="N72" s="128"/>
      <c r="O72" s="128" t="s">
        <v>1105</v>
      </c>
      <c r="P72" s="128" t="s">
        <v>1105</v>
      </c>
      <c r="Q72" s="0" t="str">
        <f aca="false">IF(A72=ChoixJour!$A$5,ROW(),"")</f>
        <v/>
      </c>
    </row>
    <row r="73" customFormat="false" ht="13.8" hidden="false" customHeight="false" outlineLevel="0" collapsed="false">
      <c r="A73" s="127" t="n">
        <v>43840</v>
      </c>
      <c r="B73" s="128" t="s">
        <v>1109</v>
      </c>
      <c r="C73" s="128"/>
      <c r="D73" s="128" t="s">
        <v>1105</v>
      </c>
      <c r="E73" s="128" t="s">
        <v>1105</v>
      </c>
      <c r="F73" s="128" t="s">
        <v>1105</v>
      </c>
      <c r="G73" s="128" t="s">
        <v>1105</v>
      </c>
      <c r="H73" s="128" t="s">
        <v>1105</v>
      </c>
      <c r="I73" s="128"/>
      <c r="J73" s="128"/>
      <c r="K73" s="128"/>
      <c r="L73" s="128" t="s">
        <v>1106</v>
      </c>
      <c r="M73" s="128"/>
      <c r="N73" s="128"/>
      <c r="O73" s="128" t="s">
        <v>1105</v>
      </c>
      <c r="P73" s="128" t="s">
        <v>1105</v>
      </c>
      <c r="Q73" s="0" t="str">
        <f aca="false">IF(A73=ChoixJour!$A$5,ROW(),"")</f>
        <v/>
      </c>
    </row>
    <row r="74" customFormat="false" ht="13.8" hidden="false" customHeight="false" outlineLevel="0" collapsed="false">
      <c r="A74" s="127" t="n">
        <v>43840</v>
      </c>
      <c r="B74" s="128" t="s">
        <v>1110</v>
      </c>
      <c r="C74" s="128"/>
      <c r="D74" s="128" t="s">
        <v>1105</v>
      </c>
      <c r="E74" s="128" t="s">
        <v>1105</v>
      </c>
      <c r="F74" s="128" t="s">
        <v>1105</v>
      </c>
      <c r="G74" s="128" t="s">
        <v>1105</v>
      </c>
      <c r="H74" s="128" t="s">
        <v>1105</v>
      </c>
      <c r="I74" s="128"/>
      <c r="J74" s="128"/>
      <c r="K74" s="128"/>
      <c r="L74" s="128" t="s">
        <v>1106</v>
      </c>
      <c r="M74" s="128"/>
      <c r="N74" s="128"/>
      <c r="O74" s="128" t="s">
        <v>1105</v>
      </c>
      <c r="P74" s="128" t="s">
        <v>1105</v>
      </c>
      <c r="Q74" s="0" t="str">
        <f aca="false">IF(A74=ChoixJour!$A$5,ROW(),"")</f>
        <v/>
      </c>
    </row>
    <row r="75" customFormat="false" ht="13.8" hidden="false" customHeight="false" outlineLevel="0" collapsed="false">
      <c r="A75" s="127" t="n">
        <v>43840</v>
      </c>
      <c r="B75" s="128" t="s">
        <v>1111</v>
      </c>
      <c r="C75" s="128"/>
      <c r="D75" s="128" t="s">
        <v>1105</v>
      </c>
      <c r="E75" s="128" t="s">
        <v>1118</v>
      </c>
      <c r="F75" s="128" t="s">
        <v>1118</v>
      </c>
      <c r="G75" s="128" t="s">
        <v>1105</v>
      </c>
      <c r="H75" s="128" t="s">
        <v>1105</v>
      </c>
      <c r="I75" s="128"/>
      <c r="J75" s="128"/>
      <c r="K75" s="128"/>
      <c r="L75" s="128" t="s">
        <v>1106</v>
      </c>
      <c r="M75" s="128"/>
      <c r="N75" s="128"/>
      <c r="O75" s="128" t="s">
        <v>1105</v>
      </c>
      <c r="P75" s="128" t="s">
        <v>1105</v>
      </c>
      <c r="Q75" s="0" t="str">
        <f aca="false">IF(A75=ChoixJour!$A$5,ROW(),"")</f>
        <v/>
      </c>
    </row>
    <row r="76" customFormat="false" ht="13.8" hidden="false" customHeight="false" outlineLevel="0" collapsed="false">
      <c r="A76" s="127" t="n">
        <v>43840</v>
      </c>
      <c r="B76" s="128" t="s">
        <v>33</v>
      </c>
      <c r="C76" s="128"/>
      <c r="D76" s="128" t="s">
        <v>1105</v>
      </c>
      <c r="E76" s="128" t="s">
        <v>1105</v>
      </c>
      <c r="F76" s="128" t="s">
        <v>1105</v>
      </c>
      <c r="G76" s="128" t="s">
        <v>1105</v>
      </c>
      <c r="H76" s="128" t="s">
        <v>1106</v>
      </c>
      <c r="I76" s="128"/>
      <c r="J76" s="128"/>
      <c r="K76" s="128"/>
      <c r="L76" s="128" t="s">
        <v>1105</v>
      </c>
      <c r="M76" s="128"/>
      <c r="N76" s="128"/>
      <c r="O76" s="128" t="s">
        <v>1106</v>
      </c>
      <c r="P76" s="128" t="s">
        <v>1106</v>
      </c>
      <c r="Q76" s="0" t="str">
        <f aca="false">IF(A76=ChoixJour!$A$5,ROW(),"")</f>
        <v/>
      </c>
    </row>
    <row r="77" customFormat="false" ht="13.8" hidden="false" customHeight="false" outlineLevel="0" collapsed="false">
      <c r="A77" s="127" t="n">
        <v>43840</v>
      </c>
      <c r="B77" s="128" t="s">
        <v>1113</v>
      </c>
      <c r="C77" s="128"/>
      <c r="D77" s="128" t="s">
        <v>1105</v>
      </c>
      <c r="E77" s="128" t="s">
        <v>1105</v>
      </c>
      <c r="F77" s="128" t="s">
        <v>1105</v>
      </c>
      <c r="G77" s="128" t="s">
        <v>1105</v>
      </c>
      <c r="H77" s="128" t="s">
        <v>1105</v>
      </c>
      <c r="I77" s="128"/>
      <c r="J77" s="128"/>
      <c r="K77" s="128"/>
      <c r="L77" s="128" t="s">
        <v>1105</v>
      </c>
      <c r="M77" s="128"/>
      <c r="N77" s="128"/>
      <c r="O77" s="128" t="s">
        <v>1105</v>
      </c>
      <c r="P77" s="128" t="s">
        <v>1105</v>
      </c>
      <c r="Q77" s="0" t="str">
        <f aca="false">IF(A77=ChoixJour!$A$5,ROW(),"")</f>
        <v/>
      </c>
    </row>
    <row r="78" customFormat="false" ht="13.8" hidden="false" customHeight="false" outlineLevel="0" collapsed="false">
      <c r="A78" s="127" t="n">
        <v>43840</v>
      </c>
      <c r="B78" s="128" t="s">
        <v>1114</v>
      </c>
      <c r="C78" s="128"/>
      <c r="D78" s="128" t="n">
        <v>0</v>
      </c>
      <c r="E78" s="128" t="n">
        <v>0</v>
      </c>
      <c r="F78" s="128" t="n">
        <v>0</v>
      </c>
      <c r="G78" s="128" t="n">
        <v>0</v>
      </c>
      <c r="H78" s="128" t="n">
        <v>1</v>
      </c>
      <c r="I78" s="128"/>
      <c r="J78" s="128"/>
      <c r="K78" s="128"/>
      <c r="L78" s="128" t="n">
        <v>0</v>
      </c>
      <c r="M78" s="128"/>
      <c r="N78" s="128"/>
      <c r="O78" s="128" t="n">
        <v>0</v>
      </c>
      <c r="P78" s="128" t="n">
        <v>1</v>
      </c>
      <c r="Q78" s="0" t="str">
        <f aca="false">IF(A78=ChoixJour!$A$5,ROW(),"")</f>
        <v/>
      </c>
    </row>
    <row r="79" customFormat="false" ht="13.8" hidden="false" customHeight="false" outlineLevel="0" collapsed="false">
      <c r="A79" s="127" t="n">
        <v>43840</v>
      </c>
      <c r="B79" s="128" t="s">
        <v>1115</v>
      </c>
      <c r="C79" s="128"/>
      <c r="D79" s="128" t="n">
        <v>0</v>
      </c>
      <c r="E79" s="128" t="n">
        <v>0</v>
      </c>
      <c r="F79" s="128" t="n">
        <v>0</v>
      </c>
      <c r="G79" s="128" t="n">
        <v>0</v>
      </c>
      <c r="H79" s="128" t="n">
        <v>0</v>
      </c>
      <c r="I79" s="128"/>
      <c r="J79" s="128"/>
      <c r="K79" s="128"/>
      <c r="L79" s="128" t="n">
        <v>0</v>
      </c>
      <c r="M79" s="128"/>
      <c r="N79" s="128"/>
      <c r="O79" s="128" t="n">
        <v>0</v>
      </c>
      <c r="P79" s="128" t="n">
        <v>0</v>
      </c>
      <c r="Q79" s="0" t="str">
        <f aca="false">IF(A79=ChoixJour!$A$5,ROW(),"")</f>
        <v/>
      </c>
    </row>
    <row r="80" customFormat="false" ht="13.8" hidden="false" customHeight="false" outlineLevel="0" collapsed="false">
      <c r="A80" s="127" t="n">
        <v>43840</v>
      </c>
      <c r="B80" s="128" t="s">
        <v>1116</v>
      </c>
      <c r="C80" s="128"/>
      <c r="D80" s="128"/>
      <c r="E80" s="128"/>
      <c r="F80" s="128"/>
      <c r="G80" s="128"/>
      <c r="H80" s="128"/>
      <c r="I80" s="128"/>
      <c r="J80" s="128"/>
      <c r="K80" s="128"/>
      <c r="L80" s="128" t="s">
        <v>1119</v>
      </c>
      <c r="M80" s="128"/>
      <c r="N80" s="128"/>
      <c r="O80" s="128"/>
      <c r="P80" s="128"/>
      <c r="Q80" s="0" t="str">
        <f aca="false">IF(A80=ChoixJour!$A$5,ROW(),"")</f>
        <v/>
      </c>
    </row>
    <row r="81" customFormat="false" ht="13.8" hidden="false" customHeight="false" outlineLevel="0" collapsed="false">
      <c r="A81" s="127" t="n">
        <v>43840</v>
      </c>
      <c r="B81" s="128" t="s">
        <v>1117</v>
      </c>
      <c r="C81" s="128"/>
      <c r="D81" s="128" t="n">
        <v>0</v>
      </c>
      <c r="E81" s="128" t="n">
        <v>0</v>
      </c>
      <c r="F81" s="128" t="n">
        <v>0</v>
      </c>
      <c r="G81" s="128" t="n">
        <v>0</v>
      </c>
      <c r="H81" s="128" t="n">
        <v>0</v>
      </c>
      <c r="I81" s="128" t="n">
        <v>1</v>
      </c>
      <c r="J81" s="128" t="n">
        <v>0</v>
      </c>
      <c r="K81" s="128" t="n">
        <v>0</v>
      </c>
      <c r="L81" s="128" t="n">
        <v>0</v>
      </c>
      <c r="M81" s="128" t="n">
        <v>0</v>
      </c>
      <c r="N81" s="128" t="n">
        <v>0</v>
      </c>
      <c r="O81" s="128" t="n">
        <v>0</v>
      </c>
      <c r="P81" s="128" t="n">
        <v>0</v>
      </c>
      <c r="Q81" s="0" t="str">
        <f aca="false">IF(A81=ChoixJour!$A$5,ROW(),"")</f>
        <v/>
      </c>
    </row>
    <row r="82" customFormat="false" ht="13.8" hidden="false" customHeight="false" outlineLevel="0" collapsed="false">
      <c r="A82" s="127" t="n">
        <v>43841</v>
      </c>
      <c r="B82" s="128" t="s">
        <v>1087</v>
      </c>
      <c r="C82" s="128"/>
      <c r="D82" s="128" t="s">
        <v>1088</v>
      </c>
      <c r="E82" s="128" t="n">
        <v>199400</v>
      </c>
      <c r="F82" s="128" t="n">
        <v>512520</v>
      </c>
      <c r="G82" s="128" t="s">
        <v>1050</v>
      </c>
      <c r="H82" s="128" t="n">
        <v>480387</v>
      </c>
      <c r="I82" s="128"/>
      <c r="J82" s="128"/>
      <c r="K82" s="128" t="n">
        <v>480387</v>
      </c>
      <c r="L82" s="128" t="s">
        <v>1089</v>
      </c>
      <c r="M82" s="128"/>
      <c r="N82" s="128"/>
      <c r="O82" s="128" t="s">
        <v>1090</v>
      </c>
      <c r="P82" s="128" t="s">
        <v>1091</v>
      </c>
      <c r="Q82" s="0" t="str">
        <f aca="false">IF(A82=ChoixJour!$A$5,ROW(),"")</f>
        <v/>
      </c>
    </row>
    <row r="83" customFormat="false" ht="13.8" hidden="false" customHeight="false" outlineLevel="0" collapsed="false">
      <c r="A83" s="127" t="n">
        <v>43841</v>
      </c>
      <c r="B83" s="128" t="s">
        <v>1092</v>
      </c>
      <c r="C83" s="128"/>
      <c r="D83" s="128" t="s">
        <v>1093</v>
      </c>
      <c r="E83" s="128" t="s">
        <v>1024</v>
      </c>
      <c r="F83" s="128" t="s">
        <v>1094</v>
      </c>
      <c r="G83" s="128" t="s">
        <v>1049</v>
      </c>
      <c r="H83" s="128" t="s">
        <v>1096</v>
      </c>
      <c r="I83" s="128"/>
      <c r="J83" s="128"/>
      <c r="K83" s="128" t="s">
        <v>1097</v>
      </c>
      <c r="L83" s="128" t="s">
        <v>1098</v>
      </c>
      <c r="M83" s="128"/>
      <c r="N83" s="128"/>
      <c r="O83" s="128" t="s">
        <v>1099</v>
      </c>
      <c r="P83" s="128" t="s">
        <v>1100</v>
      </c>
      <c r="Q83" s="0" t="str">
        <f aca="false">IF(A83=ChoixJour!$A$5,ROW(),"")</f>
        <v/>
      </c>
    </row>
    <row r="84" customFormat="false" ht="13.8" hidden="false" customHeight="false" outlineLevel="0" collapsed="false">
      <c r="A84" s="127" t="n">
        <v>43841</v>
      </c>
      <c r="B84" s="128" t="s">
        <v>1101</v>
      </c>
      <c r="C84" s="128"/>
      <c r="D84" s="128" t="n">
        <v>31927</v>
      </c>
      <c r="E84" s="128" t="n">
        <v>6250</v>
      </c>
      <c r="F84" s="128" t="n">
        <v>1026</v>
      </c>
      <c r="G84" s="128" t="n">
        <v>898</v>
      </c>
      <c r="H84" s="128"/>
      <c r="I84" s="128"/>
      <c r="J84" s="128"/>
      <c r="K84" s="128"/>
      <c r="L84" s="128"/>
      <c r="M84" s="128"/>
      <c r="N84" s="128"/>
      <c r="O84" s="128" t="n">
        <v>960</v>
      </c>
      <c r="P84" s="128" t="n">
        <v>851</v>
      </c>
      <c r="Q84" s="0" t="str">
        <f aca="false">IF(A84=ChoixJour!$A$5,ROW(),"")</f>
        <v/>
      </c>
    </row>
    <row r="85" customFormat="false" ht="13.8" hidden="false" customHeight="false" outlineLevel="0" collapsed="false">
      <c r="A85" s="127" t="n">
        <v>43841</v>
      </c>
      <c r="B85" s="128" t="s">
        <v>1102</v>
      </c>
      <c r="C85" s="128"/>
      <c r="D85" s="128" t="n">
        <v>33000</v>
      </c>
      <c r="E85" s="128" t="n">
        <v>8700</v>
      </c>
      <c r="F85" s="128" t="n">
        <v>1480</v>
      </c>
      <c r="G85" s="128" t="n">
        <v>123</v>
      </c>
      <c r="H85" s="128"/>
      <c r="I85" s="128"/>
      <c r="J85" s="128"/>
      <c r="K85" s="128"/>
      <c r="L85" s="128" t="n">
        <v>54</v>
      </c>
      <c r="M85" s="128"/>
      <c r="N85" s="128"/>
      <c r="O85" s="128" t="n">
        <v>1424</v>
      </c>
      <c r="P85" s="128" t="n">
        <v>1212</v>
      </c>
      <c r="Q85" s="0" t="str">
        <f aca="false">IF(A85=ChoixJour!$A$5,ROW(),"")</f>
        <v/>
      </c>
    </row>
    <row r="86" customFormat="false" ht="13.8" hidden="false" customHeight="false" outlineLevel="0" collapsed="false">
      <c r="A86" s="127" t="n">
        <v>43841</v>
      </c>
      <c r="B86" s="128" t="s">
        <v>1103</v>
      </c>
      <c r="C86" s="128" t="s">
        <v>1104</v>
      </c>
      <c r="D86" s="128" t="s">
        <v>1105</v>
      </c>
      <c r="E86" s="128" t="s">
        <v>1105</v>
      </c>
      <c r="F86" s="128" t="s">
        <v>1105</v>
      </c>
      <c r="G86" s="128" t="s">
        <v>1105</v>
      </c>
      <c r="H86" s="128" t="s">
        <v>1105</v>
      </c>
      <c r="I86" s="128"/>
      <c r="J86" s="128"/>
      <c r="K86" s="128" t="s">
        <v>1106</v>
      </c>
      <c r="L86" s="128" t="s">
        <v>1106</v>
      </c>
      <c r="M86" s="128"/>
      <c r="N86" s="128"/>
      <c r="O86" s="128" t="s">
        <v>1105</v>
      </c>
      <c r="P86" s="128" t="s">
        <v>1105</v>
      </c>
      <c r="Q86" s="0" t="str">
        <f aca="false">IF(A86=ChoixJour!$A$5,ROW(),"")</f>
        <v/>
      </c>
    </row>
    <row r="87" customFormat="false" ht="13.8" hidden="false" customHeight="false" outlineLevel="0" collapsed="false">
      <c r="A87" s="127" t="n">
        <v>43841</v>
      </c>
      <c r="B87" s="128" t="s">
        <v>1103</v>
      </c>
      <c r="C87" s="128" t="s">
        <v>1107</v>
      </c>
      <c r="D87" s="128" t="s">
        <v>1105</v>
      </c>
      <c r="E87" s="128" t="s">
        <v>1105</v>
      </c>
      <c r="F87" s="128" t="s">
        <v>1105</v>
      </c>
      <c r="G87" s="128" t="s">
        <v>1105</v>
      </c>
      <c r="H87" s="128" t="s">
        <v>1105</v>
      </c>
      <c r="I87" s="128"/>
      <c r="J87" s="128"/>
      <c r="K87" s="128" t="s">
        <v>1106</v>
      </c>
      <c r="L87" s="128" t="s">
        <v>1106</v>
      </c>
      <c r="M87" s="128"/>
      <c r="N87" s="128"/>
      <c r="O87" s="128" t="s">
        <v>1105</v>
      </c>
      <c r="P87" s="128" t="s">
        <v>1105</v>
      </c>
      <c r="Q87" s="0" t="str">
        <f aca="false">IF(A87=ChoixJour!$A$5,ROW(),"")</f>
        <v/>
      </c>
    </row>
    <row r="88" customFormat="false" ht="13.8" hidden="false" customHeight="false" outlineLevel="0" collapsed="false">
      <c r="A88" s="127" t="n">
        <v>43841</v>
      </c>
      <c r="B88" s="128" t="s">
        <v>1108</v>
      </c>
      <c r="C88" s="128"/>
      <c r="D88" s="128" t="s">
        <v>1105</v>
      </c>
      <c r="E88" s="128" t="s">
        <v>1105</v>
      </c>
      <c r="F88" s="128" t="s">
        <v>1105</v>
      </c>
      <c r="G88" s="128" t="s">
        <v>1105</v>
      </c>
      <c r="H88" s="128" t="s">
        <v>1105</v>
      </c>
      <c r="I88" s="128"/>
      <c r="J88" s="128"/>
      <c r="K88" s="128" t="s">
        <v>1105</v>
      </c>
      <c r="L88" s="128" t="s">
        <v>1106</v>
      </c>
      <c r="M88" s="128"/>
      <c r="N88" s="128"/>
      <c r="O88" s="128" t="s">
        <v>1105</v>
      </c>
      <c r="P88" s="128" t="s">
        <v>1105</v>
      </c>
      <c r="Q88" s="0" t="str">
        <f aca="false">IF(A88=ChoixJour!$A$5,ROW(),"")</f>
        <v/>
      </c>
    </row>
    <row r="89" customFormat="false" ht="13.8" hidden="false" customHeight="false" outlineLevel="0" collapsed="false">
      <c r="A89" s="127" t="n">
        <v>43841</v>
      </c>
      <c r="B89" s="128" t="s">
        <v>1109</v>
      </c>
      <c r="C89" s="128"/>
      <c r="D89" s="128" t="s">
        <v>1105</v>
      </c>
      <c r="E89" s="128" t="s">
        <v>1105</v>
      </c>
      <c r="F89" s="128" t="s">
        <v>1105</v>
      </c>
      <c r="G89" s="128" t="s">
        <v>1105</v>
      </c>
      <c r="H89" s="128" t="s">
        <v>1105</v>
      </c>
      <c r="I89" s="128"/>
      <c r="J89" s="128"/>
      <c r="K89" s="128" t="s">
        <v>1106</v>
      </c>
      <c r="L89" s="128" t="s">
        <v>1106</v>
      </c>
      <c r="M89" s="128"/>
      <c r="N89" s="128"/>
      <c r="O89" s="128" t="s">
        <v>1105</v>
      </c>
      <c r="P89" s="128" t="s">
        <v>1105</v>
      </c>
      <c r="Q89" s="0" t="str">
        <f aca="false">IF(A89=ChoixJour!$A$5,ROW(),"")</f>
        <v/>
      </c>
    </row>
    <row r="90" customFormat="false" ht="13.8" hidden="false" customHeight="false" outlineLevel="0" collapsed="false">
      <c r="A90" s="127" t="n">
        <v>43841</v>
      </c>
      <c r="B90" s="128" t="s">
        <v>1110</v>
      </c>
      <c r="C90" s="128"/>
      <c r="D90" s="128" t="s">
        <v>1105</v>
      </c>
      <c r="E90" s="128" t="s">
        <v>1105</v>
      </c>
      <c r="F90" s="128" t="s">
        <v>1105</v>
      </c>
      <c r="G90" s="128" t="s">
        <v>1105</v>
      </c>
      <c r="H90" s="128" t="s">
        <v>1105</v>
      </c>
      <c r="I90" s="128"/>
      <c r="J90" s="128"/>
      <c r="K90" s="128" t="s">
        <v>1106</v>
      </c>
      <c r="L90" s="128" t="s">
        <v>1106</v>
      </c>
      <c r="M90" s="128"/>
      <c r="N90" s="128"/>
      <c r="O90" s="128" t="s">
        <v>1105</v>
      </c>
      <c r="P90" s="128" t="s">
        <v>1105</v>
      </c>
      <c r="Q90" s="0" t="str">
        <f aca="false">IF(A90=ChoixJour!$A$5,ROW(),"")</f>
        <v/>
      </c>
    </row>
    <row r="91" customFormat="false" ht="13.8" hidden="false" customHeight="false" outlineLevel="0" collapsed="false">
      <c r="A91" s="127" t="n">
        <v>43841</v>
      </c>
      <c r="B91" s="128" t="s">
        <v>1111</v>
      </c>
      <c r="C91" s="128"/>
      <c r="D91" s="128" t="s">
        <v>1105</v>
      </c>
      <c r="E91" s="128" t="s">
        <v>1118</v>
      </c>
      <c r="F91" s="128" t="s">
        <v>1118</v>
      </c>
      <c r="G91" s="128" t="s">
        <v>1105</v>
      </c>
      <c r="H91" s="128" t="s">
        <v>1105</v>
      </c>
      <c r="I91" s="128"/>
      <c r="J91" s="128"/>
      <c r="K91" s="128" t="s">
        <v>1112</v>
      </c>
      <c r="L91" s="128" t="s">
        <v>1106</v>
      </c>
      <c r="M91" s="128"/>
      <c r="N91" s="128"/>
      <c r="O91" s="128" t="s">
        <v>1105</v>
      </c>
      <c r="P91" s="128" t="s">
        <v>1105</v>
      </c>
      <c r="Q91" s="0" t="str">
        <f aca="false">IF(A91=ChoixJour!$A$5,ROW(),"")</f>
        <v/>
      </c>
    </row>
    <row r="92" customFormat="false" ht="13.8" hidden="false" customHeight="false" outlineLevel="0" collapsed="false">
      <c r="A92" s="127" t="n">
        <v>43841</v>
      </c>
      <c r="B92" s="128" t="s">
        <v>33</v>
      </c>
      <c r="C92" s="128"/>
      <c r="D92" s="128" t="s">
        <v>1105</v>
      </c>
      <c r="E92" s="128" t="s">
        <v>1105</v>
      </c>
      <c r="F92" s="128" t="s">
        <v>1105</v>
      </c>
      <c r="G92" s="128" t="s">
        <v>1105</v>
      </c>
      <c r="H92" s="128" t="s">
        <v>1106</v>
      </c>
      <c r="I92" s="128"/>
      <c r="J92" s="128"/>
      <c r="K92" s="128" t="s">
        <v>1106</v>
      </c>
      <c r="L92" s="128" t="s">
        <v>1105</v>
      </c>
      <c r="M92" s="128"/>
      <c r="N92" s="128"/>
      <c r="O92" s="128" t="s">
        <v>1105</v>
      </c>
      <c r="P92" s="128" t="s">
        <v>1106</v>
      </c>
      <c r="Q92" s="0" t="str">
        <f aca="false">IF(A92=ChoixJour!$A$5,ROW(),"")</f>
        <v/>
      </c>
    </row>
    <row r="93" customFormat="false" ht="13.8" hidden="false" customHeight="false" outlineLevel="0" collapsed="false">
      <c r="A93" s="127" t="n">
        <v>43841</v>
      </c>
      <c r="B93" s="128" t="s">
        <v>1113</v>
      </c>
      <c r="C93" s="128"/>
      <c r="D93" s="128" t="s">
        <v>1105</v>
      </c>
      <c r="E93" s="128" t="s">
        <v>1105</v>
      </c>
      <c r="F93" s="128" t="s">
        <v>1105</v>
      </c>
      <c r="G93" s="128" t="s">
        <v>1105</v>
      </c>
      <c r="H93" s="128" t="s">
        <v>1105</v>
      </c>
      <c r="I93" s="128"/>
      <c r="J93" s="128"/>
      <c r="K93" s="128" t="s">
        <v>1105</v>
      </c>
      <c r="L93" s="128" t="s">
        <v>1105</v>
      </c>
      <c r="M93" s="128"/>
      <c r="N93" s="128"/>
      <c r="O93" s="128" t="s">
        <v>1105</v>
      </c>
      <c r="P93" s="128" t="s">
        <v>1105</v>
      </c>
      <c r="Q93" s="0" t="str">
        <f aca="false">IF(A93=ChoixJour!$A$5,ROW(),"")</f>
        <v/>
      </c>
    </row>
    <row r="94" customFormat="false" ht="13.8" hidden="false" customHeight="false" outlineLevel="0" collapsed="false">
      <c r="A94" s="127" t="n">
        <v>43841</v>
      </c>
      <c r="B94" s="128" t="s">
        <v>1114</v>
      </c>
      <c r="C94" s="128"/>
      <c r="D94" s="128" t="n">
        <v>0</v>
      </c>
      <c r="E94" s="128" t="n">
        <v>0</v>
      </c>
      <c r="F94" s="128" t="n">
        <v>0</v>
      </c>
      <c r="G94" s="128" t="n">
        <v>1</v>
      </c>
      <c r="H94" s="128" t="n">
        <v>2</v>
      </c>
      <c r="I94" s="128"/>
      <c r="J94" s="128"/>
      <c r="K94" s="128" t="n">
        <v>0</v>
      </c>
      <c r="L94" s="128" t="n">
        <v>0</v>
      </c>
      <c r="M94" s="128"/>
      <c r="N94" s="128"/>
      <c r="O94" s="128" t="n">
        <v>0</v>
      </c>
      <c r="P94" s="128" t="n">
        <v>0</v>
      </c>
      <c r="Q94" s="0" t="str">
        <f aca="false">IF(A94=ChoixJour!$A$5,ROW(),"")</f>
        <v/>
      </c>
    </row>
    <row r="95" customFormat="false" ht="13.8" hidden="false" customHeight="false" outlineLevel="0" collapsed="false">
      <c r="A95" s="127" t="n">
        <v>43841</v>
      </c>
      <c r="B95" s="128" t="s">
        <v>1115</v>
      </c>
      <c r="C95" s="128"/>
      <c r="D95" s="128" t="n">
        <v>0</v>
      </c>
      <c r="E95" s="128" t="n">
        <v>0</v>
      </c>
      <c r="F95" s="128" t="n">
        <v>0</v>
      </c>
      <c r="G95" s="128" t="n">
        <v>0</v>
      </c>
      <c r="H95" s="128" t="n">
        <v>0</v>
      </c>
      <c r="I95" s="128"/>
      <c r="J95" s="128"/>
      <c r="K95" s="128" t="n">
        <v>0</v>
      </c>
      <c r="L95" s="128" t="n">
        <v>0</v>
      </c>
      <c r="M95" s="128"/>
      <c r="N95" s="128"/>
      <c r="O95" s="128" t="n">
        <v>0</v>
      </c>
      <c r="P95" s="128" t="n">
        <v>0</v>
      </c>
      <c r="Q95" s="0" t="str">
        <f aca="false">IF(A95=ChoixJour!$A$5,ROW(),"")</f>
        <v/>
      </c>
    </row>
    <row r="96" customFormat="false" ht="13.8" hidden="false" customHeight="false" outlineLevel="0" collapsed="false">
      <c r="A96" s="127" t="n">
        <v>43841</v>
      </c>
      <c r="B96" s="128" t="s">
        <v>1116</v>
      </c>
      <c r="C96" s="128"/>
      <c r="D96" s="128"/>
      <c r="E96" s="128"/>
      <c r="F96" s="128"/>
      <c r="G96" s="128"/>
      <c r="H96" s="128"/>
      <c r="I96" s="128"/>
      <c r="J96" s="128"/>
      <c r="K96" s="128"/>
      <c r="L96" s="128"/>
      <c r="M96" s="128"/>
      <c r="N96" s="128"/>
      <c r="O96" s="128"/>
      <c r="P96" s="128"/>
      <c r="Q96" s="0" t="str">
        <f aca="false">IF(A96=ChoixJour!$A$5,ROW(),"")</f>
        <v/>
      </c>
    </row>
    <row r="97" customFormat="false" ht="13.8" hidden="false" customHeight="false" outlineLevel="0" collapsed="false">
      <c r="A97" s="127" t="n">
        <v>43841</v>
      </c>
      <c r="B97" s="128" t="s">
        <v>1117</v>
      </c>
      <c r="C97" s="128"/>
      <c r="D97" s="128" t="n">
        <v>0</v>
      </c>
      <c r="E97" s="128" t="n">
        <v>0</v>
      </c>
      <c r="F97" s="128" t="n">
        <v>0</v>
      </c>
      <c r="G97" s="128" t="n">
        <v>0</v>
      </c>
      <c r="H97" s="128" t="n">
        <v>0</v>
      </c>
      <c r="I97" s="128" t="n">
        <v>1</v>
      </c>
      <c r="J97" s="128" t="n">
        <v>0</v>
      </c>
      <c r="K97" s="128" t="n">
        <v>0</v>
      </c>
      <c r="L97" s="128" t="n">
        <v>0</v>
      </c>
      <c r="M97" s="128" t="n">
        <v>0</v>
      </c>
      <c r="N97" s="128" t="n">
        <v>0</v>
      </c>
      <c r="O97" s="128" t="n">
        <v>0</v>
      </c>
      <c r="P97" s="128" t="n">
        <v>0</v>
      </c>
      <c r="Q97" s="0" t="str">
        <f aca="false">IF(A97=ChoixJour!$A$5,ROW(),"")</f>
        <v/>
      </c>
    </row>
    <row r="98" customFormat="false" ht="15.2" hidden="false" customHeight="false" outlineLevel="0" collapsed="false">
      <c r="A98" s="127" t="n">
        <v>43843</v>
      </c>
      <c r="B98" s="128" t="s">
        <v>1087</v>
      </c>
      <c r="C98" s="128"/>
      <c r="D98" s="128" t="s">
        <v>1088</v>
      </c>
      <c r="E98" s="128" t="n">
        <v>199400</v>
      </c>
      <c r="F98" s="128" t="n">
        <v>512520</v>
      </c>
      <c r="G98" s="128" t="s">
        <v>1050</v>
      </c>
      <c r="H98" s="128" t="n">
        <v>200200</v>
      </c>
      <c r="I98" s="128"/>
      <c r="J98" s="128"/>
      <c r="K98" s="128"/>
      <c r="L98" s="131" t="s">
        <v>1120</v>
      </c>
      <c r="M98" s="128"/>
      <c r="N98" s="128"/>
      <c r="O98" s="128" t="s">
        <v>1121</v>
      </c>
      <c r="P98" s="128" t="s">
        <v>1091</v>
      </c>
      <c r="Q98" s="0" t="str">
        <f aca="false">IF(A98=ChoixJour!$A$5,ROW(),"")</f>
        <v/>
      </c>
    </row>
    <row r="99" customFormat="false" ht="13.8" hidden="false" customHeight="false" outlineLevel="0" collapsed="false">
      <c r="A99" s="127" t="n">
        <v>43843</v>
      </c>
      <c r="B99" s="128" t="s">
        <v>1092</v>
      </c>
      <c r="C99" s="128"/>
      <c r="D99" s="128" t="s">
        <v>1093</v>
      </c>
      <c r="E99" s="128" t="s">
        <v>1024</v>
      </c>
      <c r="F99" s="128" t="s">
        <v>1094</v>
      </c>
      <c r="G99" s="128" t="s">
        <v>1049</v>
      </c>
      <c r="H99" s="128" t="s">
        <v>1122</v>
      </c>
      <c r="I99" s="128"/>
      <c r="J99" s="128"/>
      <c r="K99" s="128"/>
      <c r="L99" s="132" t="s">
        <v>1123</v>
      </c>
      <c r="M99" s="128"/>
      <c r="N99" s="128"/>
      <c r="O99" s="128" t="s">
        <v>1124</v>
      </c>
      <c r="P99" s="128" t="s">
        <v>1100</v>
      </c>
      <c r="Q99" s="0" t="str">
        <f aca="false">IF(A99=ChoixJour!$A$5,ROW(),"")</f>
        <v/>
      </c>
    </row>
    <row r="100" customFormat="false" ht="13.8" hidden="false" customHeight="false" outlineLevel="0" collapsed="false">
      <c r="A100" s="127" t="n">
        <v>43843</v>
      </c>
      <c r="B100" s="128" t="s">
        <v>1101</v>
      </c>
      <c r="C100" s="128"/>
      <c r="D100" s="128" t="n">
        <v>33000</v>
      </c>
      <c r="E100" s="128" t="n">
        <v>8700</v>
      </c>
      <c r="F100" s="128" t="n">
        <v>1480</v>
      </c>
      <c r="G100" s="128" t="n">
        <v>123</v>
      </c>
      <c r="H100" s="128" t="n">
        <v>0</v>
      </c>
      <c r="I100" s="128"/>
      <c r="J100" s="128"/>
      <c r="K100" s="128"/>
      <c r="L100" s="128" t="n">
        <v>54</v>
      </c>
      <c r="M100" s="128"/>
      <c r="N100" s="128"/>
      <c r="O100" s="128" t="n">
        <v>0</v>
      </c>
      <c r="P100" s="128" t="n">
        <v>1212</v>
      </c>
      <c r="Q100" s="0" t="str">
        <f aca="false">IF(A100=ChoixJour!$A$5,ROW(),"")</f>
        <v/>
      </c>
    </row>
    <row r="101" customFormat="false" ht="13.8" hidden="false" customHeight="false" outlineLevel="0" collapsed="false">
      <c r="A101" s="127" t="n">
        <v>43843</v>
      </c>
      <c r="B101" s="128" t="s">
        <v>1102</v>
      </c>
      <c r="C101" s="128"/>
      <c r="D101" s="128" t="n">
        <v>33600</v>
      </c>
      <c r="E101" s="128" t="n">
        <v>10200</v>
      </c>
      <c r="F101" s="128" t="n">
        <v>1800</v>
      </c>
      <c r="G101" s="128" t="n">
        <v>300</v>
      </c>
      <c r="H101" s="128" t="n">
        <v>96</v>
      </c>
      <c r="I101" s="128"/>
      <c r="J101" s="128"/>
      <c r="K101" s="128"/>
      <c r="L101" s="128" t="n">
        <v>75</v>
      </c>
      <c r="M101" s="128"/>
      <c r="N101" s="128"/>
      <c r="O101" s="128" t="n">
        <v>384</v>
      </c>
      <c r="P101" s="128" t="n">
        <v>1441</v>
      </c>
      <c r="Q101" s="0" t="str">
        <f aca="false">IF(A101=ChoixJour!$A$5,ROW(),"")</f>
        <v/>
      </c>
    </row>
    <row r="102" customFormat="false" ht="15.55" hidden="false" customHeight="false" outlineLevel="0" collapsed="false">
      <c r="A102" s="127" t="n">
        <v>43843</v>
      </c>
      <c r="B102" s="128" t="s">
        <v>1103</v>
      </c>
      <c r="C102" s="128" t="s">
        <v>1104</v>
      </c>
      <c r="D102" s="128" t="s">
        <v>1105</v>
      </c>
      <c r="E102" s="128" t="s">
        <v>1105</v>
      </c>
      <c r="F102" s="128" t="s">
        <v>1105</v>
      </c>
      <c r="G102" s="128" t="s">
        <v>1105</v>
      </c>
      <c r="H102" s="128" t="s">
        <v>1105</v>
      </c>
      <c r="I102" s="128"/>
      <c r="J102" s="128"/>
      <c r="K102" s="128"/>
      <c r="L102" s="128" t="s">
        <v>1125</v>
      </c>
      <c r="M102" s="128"/>
      <c r="N102" s="128"/>
      <c r="O102" s="128" t="s">
        <v>1105</v>
      </c>
      <c r="P102" s="128" t="s">
        <v>1105</v>
      </c>
      <c r="Q102" s="0" t="str">
        <f aca="false">IF(A102=ChoixJour!$A$5,ROW(),"")</f>
        <v/>
      </c>
    </row>
    <row r="103" customFormat="false" ht="15.55" hidden="false" customHeight="false" outlineLevel="0" collapsed="false">
      <c r="A103" s="127" t="n">
        <v>43843</v>
      </c>
      <c r="B103" s="128" t="s">
        <v>1103</v>
      </c>
      <c r="C103" s="128" t="s">
        <v>1107</v>
      </c>
      <c r="D103" s="128" t="s">
        <v>1105</v>
      </c>
      <c r="E103" s="128" t="s">
        <v>1105</v>
      </c>
      <c r="F103" s="128" t="s">
        <v>1105</v>
      </c>
      <c r="G103" s="128" t="s">
        <v>1105</v>
      </c>
      <c r="H103" s="128" t="s">
        <v>1105</v>
      </c>
      <c r="I103" s="128"/>
      <c r="J103" s="128"/>
      <c r="K103" s="128"/>
      <c r="L103" s="128" t="s">
        <v>1125</v>
      </c>
      <c r="M103" s="128"/>
      <c r="N103" s="128"/>
      <c r="O103" s="128" t="s">
        <v>1105</v>
      </c>
      <c r="P103" s="128" t="s">
        <v>1105</v>
      </c>
      <c r="Q103" s="0" t="str">
        <f aca="false">IF(A103=ChoixJour!$A$5,ROW(),"")</f>
        <v/>
      </c>
    </row>
    <row r="104" customFormat="false" ht="15.55" hidden="false" customHeight="false" outlineLevel="0" collapsed="false">
      <c r="A104" s="127" t="n">
        <v>43843</v>
      </c>
      <c r="B104" s="128" t="s">
        <v>1108</v>
      </c>
      <c r="C104" s="128"/>
      <c r="D104" s="128" t="s">
        <v>1105</v>
      </c>
      <c r="E104" s="128" t="s">
        <v>1105</v>
      </c>
      <c r="F104" s="128" t="s">
        <v>1105</v>
      </c>
      <c r="G104" s="128" t="s">
        <v>1105</v>
      </c>
      <c r="H104" s="128" t="s">
        <v>1105</v>
      </c>
      <c r="I104" s="128"/>
      <c r="J104" s="128"/>
      <c r="K104" s="128"/>
      <c r="L104" s="128" t="s">
        <v>1125</v>
      </c>
      <c r="M104" s="128"/>
      <c r="N104" s="128"/>
      <c r="O104" s="128" t="s">
        <v>1105</v>
      </c>
      <c r="P104" s="128" t="s">
        <v>1105</v>
      </c>
      <c r="Q104" s="0" t="str">
        <f aca="false">IF(A104=ChoixJour!$A$5,ROW(),"")</f>
        <v/>
      </c>
    </row>
    <row r="105" customFormat="false" ht="15.55" hidden="false" customHeight="false" outlineLevel="0" collapsed="false">
      <c r="A105" s="127" t="n">
        <v>43843</v>
      </c>
      <c r="B105" s="128" t="s">
        <v>1109</v>
      </c>
      <c r="C105" s="128"/>
      <c r="D105" s="128" t="s">
        <v>1105</v>
      </c>
      <c r="E105" s="128" t="s">
        <v>1105</v>
      </c>
      <c r="F105" s="128" t="s">
        <v>1105</v>
      </c>
      <c r="G105" s="128" t="s">
        <v>1105</v>
      </c>
      <c r="H105" s="128" t="s">
        <v>1105</v>
      </c>
      <c r="I105" s="128"/>
      <c r="J105" s="128"/>
      <c r="K105" s="128"/>
      <c r="L105" s="128" t="s">
        <v>1125</v>
      </c>
      <c r="M105" s="128"/>
      <c r="N105" s="128"/>
      <c r="O105" s="128" t="s">
        <v>1105</v>
      </c>
      <c r="P105" s="128" t="s">
        <v>1105</v>
      </c>
      <c r="Q105" s="0" t="str">
        <f aca="false">IF(A105=ChoixJour!$A$5,ROW(),"")</f>
        <v/>
      </c>
    </row>
    <row r="106" customFormat="false" ht="15.55" hidden="false" customHeight="false" outlineLevel="0" collapsed="false">
      <c r="A106" s="127" t="n">
        <v>43843</v>
      </c>
      <c r="B106" s="128" t="s">
        <v>1110</v>
      </c>
      <c r="C106" s="128"/>
      <c r="D106" s="128" t="s">
        <v>1105</v>
      </c>
      <c r="E106" s="128" t="s">
        <v>1105</v>
      </c>
      <c r="F106" s="128" t="s">
        <v>1105</v>
      </c>
      <c r="G106" s="128" t="s">
        <v>1105</v>
      </c>
      <c r="H106" s="128" t="s">
        <v>1105</v>
      </c>
      <c r="I106" s="128"/>
      <c r="J106" s="128"/>
      <c r="K106" s="128"/>
      <c r="L106" s="128" t="s">
        <v>1126</v>
      </c>
      <c r="M106" s="128"/>
      <c r="N106" s="128"/>
      <c r="O106" s="128" t="s">
        <v>1105</v>
      </c>
      <c r="P106" s="128" t="s">
        <v>1105</v>
      </c>
      <c r="Q106" s="0" t="str">
        <f aca="false">IF(A106=ChoixJour!$A$5,ROW(),"")</f>
        <v/>
      </c>
    </row>
    <row r="107" customFormat="false" ht="15.55" hidden="false" customHeight="false" outlineLevel="0" collapsed="false">
      <c r="A107" s="127" t="n">
        <v>43843</v>
      </c>
      <c r="B107" s="128" t="s">
        <v>1111</v>
      </c>
      <c r="C107" s="128"/>
      <c r="D107" s="128" t="s">
        <v>1105</v>
      </c>
      <c r="E107" s="128" t="s">
        <v>1118</v>
      </c>
      <c r="F107" s="128" t="s">
        <v>1118</v>
      </c>
      <c r="G107" s="128" t="s">
        <v>1105</v>
      </c>
      <c r="H107" s="128" t="s">
        <v>1105</v>
      </c>
      <c r="I107" s="128"/>
      <c r="J107" s="128"/>
      <c r="K107" s="128"/>
      <c r="L107" s="128" t="s">
        <v>1125</v>
      </c>
      <c r="M107" s="128"/>
      <c r="N107" s="128"/>
      <c r="O107" s="128" t="s">
        <v>1105</v>
      </c>
      <c r="P107" s="128" t="s">
        <v>1105</v>
      </c>
      <c r="Q107" s="0" t="str">
        <f aca="false">IF(A107=ChoixJour!$A$5,ROW(),"")</f>
        <v/>
      </c>
    </row>
    <row r="108" customFormat="false" ht="15.55" hidden="false" customHeight="false" outlineLevel="0" collapsed="false">
      <c r="A108" s="127" t="n">
        <v>43843</v>
      </c>
      <c r="B108" s="128" t="s">
        <v>33</v>
      </c>
      <c r="C108" s="128"/>
      <c r="D108" s="128" t="s">
        <v>1105</v>
      </c>
      <c r="E108" s="128" t="s">
        <v>1105</v>
      </c>
      <c r="F108" s="128" t="s">
        <v>1105</v>
      </c>
      <c r="G108" s="128" t="s">
        <v>1105</v>
      </c>
      <c r="H108" s="128" t="s">
        <v>1106</v>
      </c>
      <c r="I108" s="128"/>
      <c r="J108" s="128"/>
      <c r="K108" s="128"/>
      <c r="L108" s="128" t="s">
        <v>1127</v>
      </c>
      <c r="M108" s="128"/>
      <c r="N108" s="128"/>
      <c r="O108" s="128" t="s">
        <v>1106</v>
      </c>
      <c r="P108" s="128" t="s">
        <v>1106</v>
      </c>
      <c r="Q108" s="0" t="str">
        <f aca="false">IF(A108=ChoixJour!$A$5,ROW(),"")</f>
        <v/>
      </c>
    </row>
    <row r="109" customFormat="false" ht="13.8" hidden="false" customHeight="false" outlineLevel="0" collapsed="false">
      <c r="A109" s="127" t="n">
        <v>43843</v>
      </c>
      <c r="B109" s="128" t="s">
        <v>1113</v>
      </c>
      <c r="C109" s="128"/>
      <c r="D109" s="128" t="s">
        <v>1105</v>
      </c>
      <c r="E109" s="128" t="s">
        <v>1105</v>
      </c>
      <c r="F109" s="128" t="s">
        <v>1105</v>
      </c>
      <c r="G109" s="128" t="s">
        <v>1105</v>
      </c>
      <c r="H109" s="128" t="s">
        <v>1105</v>
      </c>
      <c r="I109" s="128"/>
      <c r="J109" s="128"/>
      <c r="K109" s="128"/>
      <c r="L109" s="128" t="s">
        <v>1105</v>
      </c>
      <c r="M109" s="128"/>
      <c r="N109" s="128"/>
      <c r="O109" s="128" t="s">
        <v>1105</v>
      </c>
      <c r="P109" s="128" t="s">
        <v>1105</v>
      </c>
      <c r="Q109" s="0" t="str">
        <f aca="false">IF(A109=ChoixJour!$A$5,ROW(),"")</f>
        <v/>
      </c>
    </row>
    <row r="110" customFormat="false" ht="13.8" hidden="false" customHeight="false" outlineLevel="0" collapsed="false">
      <c r="A110" s="127" t="n">
        <v>43843</v>
      </c>
      <c r="B110" s="128" t="s">
        <v>1114</v>
      </c>
      <c r="C110" s="128"/>
      <c r="D110" s="128" t="n">
        <v>0</v>
      </c>
      <c r="E110" s="128" t="n">
        <v>0</v>
      </c>
      <c r="F110" s="128" t="n">
        <v>0</v>
      </c>
      <c r="G110" s="128" t="n">
        <v>1</v>
      </c>
      <c r="H110" s="128" t="n">
        <v>7</v>
      </c>
      <c r="I110" s="128"/>
      <c r="J110" s="128"/>
      <c r="K110" s="128"/>
      <c r="L110" s="128" t="n">
        <v>0</v>
      </c>
      <c r="M110" s="128"/>
      <c r="N110" s="128"/>
      <c r="O110" s="128" t="n">
        <v>0</v>
      </c>
      <c r="P110" s="128" t="n">
        <v>0</v>
      </c>
      <c r="Q110" s="0" t="str">
        <f aca="false">IF(A110=ChoixJour!$A$5,ROW(),"")</f>
        <v/>
      </c>
    </row>
    <row r="111" customFormat="false" ht="13.8" hidden="false" customHeight="false" outlineLevel="0" collapsed="false">
      <c r="A111" s="127" t="n">
        <v>43843</v>
      </c>
      <c r="B111" s="128" t="s">
        <v>1115</v>
      </c>
      <c r="C111" s="128"/>
      <c r="D111" s="128" t="n">
        <v>0</v>
      </c>
      <c r="E111" s="128" t="n">
        <v>0</v>
      </c>
      <c r="F111" s="128" t="n">
        <v>0</v>
      </c>
      <c r="G111" s="128" t="n">
        <v>0</v>
      </c>
      <c r="H111" s="128" t="n">
        <v>0</v>
      </c>
      <c r="I111" s="128"/>
      <c r="J111" s="128"/>
      <c r="K111" s="128"/>
      <c r="L111" s="128" t="n">
        <v>0</v>
      </c>
      <c r="M111" s="128"/>
      <c r="N111" s="128"/>
      <c r="O111" s="128" t="n">
        <v>0</v>
      </c>
      <c r="P111" s="128" t="n">
        <v>0</v>
      </c>
      <c r="Q111" s="0" t="str">
        <f aca="false">IF(A111=ChoixJour!$A$5,ROW(),"")</f>
        <v/>
      </c>
    </row>
    <row r="112" customFormat="false" ht="13.8" hidden="false" customHeight="false" outlineLevel="0" collapsed="false">
      <c r="A112" s="127" t="n">
        <v>43843</v>
      </c>
      <c r="B112" s="128" t="s">
        <v>1116</v>
      </c>
      <c r="C112" s="128"/>
      <c r="D112" s="128"/>
      <c r="E112" s="128"/>
      <c r="F112" s="128"/>
      <c r="G112" s="128"/>
      <c r="H112" s="128"/>
      <c r="I112" s="128"/>
      <c r="J112" s="128"/>
      <c r="K112" s="128"/>
      <c r="L112" s="128"/>
      <c r="M112" s="128"/>
      <c r="N112" s="128"/>
      <c r="O112" s="128"/>
      <c r="P112" s="128"/>
      <c r="Q112" s="0" t="str">
        <f aca="false">IF(A112=ChoixJour!$A$5,ROW(),"")</f>
        <v/>
      </c>
    </row>
    <row r="113" customFormat="false" ht="13.8" hidden="false" customHeight="false" outlineLevel="0" collapsed="false">
      <c r="A113" s="127" t="n">
        <v>43843</v>
      </c>
      <c r="B113" s="128" t="s">
        <v>1117</v>
      </c>
      <c r="C113" s="128"/>
      <c r="D113" s="128" t="n">
        <v>0</v>
      </c>
      <c r="E113" s="128" t="n">
        <v>0</v>
      </c>
      <c r="F113" s="128" t="n">
        <v>0</v>
      </c>
      <c r="G113" s="128" t="n">
        <v>0</v>
      </c>
      <c r="H113" s="128" t="n">
        <v>0</v>
      </c>
      <c r="I113" s="128" t="n">
        <v>1</v>
      </c>
      <c r="J113" s="128" t="n">
        <v>0</v>
      </c>
      <c r="K113" s="128" t="n">
        <v>0</v>
      </c>
      <c r="L113" s="128" t="n">
        <v>0</v>
      </c>
      <c r="M113" s="128" t="n">
        <v>0</v>
      </c>
      <c r="N113" s="128" t="n">
        <v>0</v>
      </c>
      <c r="O113" s="128" t="n">
        <v>0</v>
      </c>
      <c r="P113" s="128" t="n">
        <v>0</v>
      </c>
      <c r="Q113" s="0" t="str">
        <f aca="false">IF(A113=ChoixJour!$A$5,ROW(),"")</f>
        <v/>
      </c>
    </row>
    <row r="114" customFormat="false" ht="15.2" hidden="false" customHeight="false" outlineLevel="0" collapsed="false">
      <c r="A114" s="127" t="n">
        <v>43845</v>
      </c>
      <c r="B114" s="128" t="s">
        <v>1087</v>
      </c>
      <c r="C114" s="128"/>
      <c r="D114" s="128" t="s">
        <v>1088</v>
      </c>
      <c r="E114" s="128" t="n">
        <v>199400</v>
      </c>
      <c r="F114" s="128" t="n">
        <v>512520</v>
      </c>
      <c r="G114" s="128" t="s">
        <v>1050</v>
      </c>
      <c r="H114" s="128" t="n">
        <v>200200</v>
      </c>
      <c r="I114" s="128"/>
      <c r="J114" s="128" t="s">
        <v>882</v>
      </c>
      <c r="K114" s="128"/>
      <c r="L114" s="131" t="s">
        <v>1120</v>
      </c>
      <c r="M114" s="128"/>
      <c r="N114" s="128"/>
      <c r="O114" s="128"/>
      <c r="P114" s="128" t="s">
        <v>1091</v>
      </c>
      <c r="Q114" s="0" t="str">
        <f aca="false">IF(A114=ChoixJour!$A$5,ROW(),"")</f>
        <v/>
      </c>
    </row>
    <row r="115" customFormat="false" ht="13.8" hidden="false" customHeight="false" outlineLevel="0" collapsed="false">
      <c r="A115" s="127" t="n">
        <v>43845</v>
      </c>
      <c r="B115" s="128" t="s">
        <v>1092</v>
      </c>
      <c r="C115" s="128"/>
      <c r="D115" s="128" t="s">
        <v>1093</v>
      </c>
      <c r="E115" s="128" t="s">
        <v>1024</v>
      </c>
      <c r="F115" s="128" t="s">
        <v>1094</v>
      </c>
      <c r="G115" s="128" t="s">
        <v>1049</v>
      </c>
      <c r="H115" s="128" t="s">
        <v>1122</v>
      </c>
      <c r="I115" s="128"/>
      <c r="J115" s="128" t="s">
        <v>1128</v>
      </c>
      <c r="K115" s="128"/>
      <c r="L115" s="132" t="s">
        <v>1123</v>
      </c>
      <c r="M115" s="128"/>
      <c r="N115" s="128"/>
      <c r="O115" s="128"/>
      <c r="P115" s="128" t="s">
        <v>1100</v>
      </c>
      <c r="Q115" s="0" t="str">
        <f aca="false">IF(A115=ChoixJour!$A$5,ROW(),"")</f>
        <v/>
      </c>
    </row>
    <row r="116" customFormat="false" ht="13.8" hidden="false" customHeight="false" outlineLevel="0" collapsed="false">
      <c r="A116" s="127" t="n">
        <v>43845</v>
      </c>
      <c r="B116" s="128" t="s">
        <v>1101</v>
      </c>
      <c r="C116" s="128"/>
      <c r="D116" s="128" t="n">
        <v>33600</v>
      </c>
      <c r="E116" s="128" t="n">
        <v>10200</v>
      </c>
      <c r="F116" s="128" t="n">
        <v>1800</v>
      </c>
      <c r="G116" s="128" t="n">
        <v>300</v>
      </c>
      <c r="H116" s="128" t="n">
        <v>96</v>
      </c>
      <c r="I116" s="128"/>
      <c r="J116" s="128" t="n">
        <v>0</v>
      </c>
      <c r="K116" s="128"/>
      <c r="L116" s="128" t="n">
        <v>75</v>
      </c>
      <c r="M116" s="128"/>
      <c r="N116" s="128"/>
      <c r="O116" s="128"/>
      <c r="P116" s="128" t="n">
        <v>1441</v>
      </c>
      <c r="Q116" s="0" t="str">
        <f aca="false">IF(A116=ChoixJour!$A$5,ROW(),"")</f>
        <v/>
      </c>
    </row>
    <row r="117" customFormat="false" ht="13.8" hidden="false" customHeight="false" outlineLevel="0" collapsed="false">
      <c r="A117" s="127" t="n">
        <v>43845</v>
      </c>
      <c r="B117" s="128" t="s">
        <v>1102</v>
      </c>
      <c r="C117" s="128"/>
      <c r="D117" s="128" t="n">
        <v>34052</v>
      </c>
      <c r="E117" s="128" t="n">
        <v>11430</v>
      </c>
      <c r="F117" s="128" t="n">
        <v>2095</v>
      </c>
      <c r="G117" s="128" t="n">
        <v>415</v>
      </c>
      <c r="H117" s="128" t="n">
        <v>303</v>
      </c>
      <c r="I117" s="128"/>
      <c r="J117" s="128" t="n">
        <v>17</v>
      </c>
      <c r="K117" s="128"/>
      <c r="L117" s="128" t="n">
        <v>129</v>
      </c>
      <c r="M117" s="128"/>
      <c r="N117" s="128"/>
      <c r="O117" s="128"/>
      <c r="P117" s="128" t="n">
        <v>1913</v>
      </c>
      <c r="Q117" s="0" t="str">
        <f aca="false">IF(A117=ChoixJour!$A$5,ROW(),"")</f>
        <v/>
      </c>
    </row>
    <row r="118" customFormat="false" ht="15.55" hidden="false" customHeight="false" outlineLevel="0" collapsed="false">
      <c r="A118" s="127" t="n">
        <v>43845</v>
      </c>
      <c r="B118" s="128" t="s">
        <v>1103</v>
      </c>
      <c r="C118" s="128" t="s">
        <v>1104</v>
      </c>
      <c r="D118" s="128" t="s">
        <v>1105</v>
      </c>
      <c r="E118" s="128" t="s">
        <v>1105</v>
      </c>
      <c r="F118" s="128" t="s">
        <v>1105</v>
      </c>
      <c r="G118" s="128" t="s">
        <v>1105</v>
      </c>
      <c r="H118" s="128" t="s">
        <v>1105</v>
      </c>
      <c r="I118" s="128"/>
      <c r="J118" s="128"/>
      <c r="K118" s="128"/>
      <c r="L118" s="128" t="s">
        <v>1125</v>
      </c>
      <c r="M118" s="128"/>
      <c r="N118" s="128"/>
      <c r="O118" s="128"/>
      <c r="P118" s="128" t="s">
        <v>1105</v>
      </c>
      <c r="Q118" s="0" t="str">
        <f aca="false">IF(A118=ChoixJour!$A$5,ROW(),"")</f>
        <v/>
      </c>
    </row>
    <row r="119" customFormat="false" ht="15.55" hidden="false" customHeight="false" outlineLevel="0" collapsed="false">
      <c r="A119" s="127" t="n">
        <v>43845</v>
      </c>
      <c r="B119" s="128" t="s">
        <v>1103</v>
      </c>
      <c r="C119" s="128" t="s">
        <v>1107</v>
      </c>
      <c r="D119" s="128" t="s">
        <v>1105</v>
      </c>
      <c r="E119" s="128" t="s">
        <v>1105</v>
      </c>
      <c r="F119" s="128" t="s">
        <v>1105</v>
      </c>
      <c r="G119" s="128" t="s">
        <v>1105</v>
      </c>
      <c r="H119" s="128" t="s">
        <v>1105</v>
      </c>
      <c r="I119" s="128"/>
      <c r="J119" s="128" t="s">
        <v>1105</v>
      </c>
      <c r="K119" s="128"/>
      <c r="L119" s="128" t="s">
        <v>1125</v>
      </c>
      <c r="M119" s="128"/>
      <c r="N119" s="128"/>
      <c r="O119" s="128"/>
      <c r="P119" s="128" t="s">
        <v>1105</v>
      </c>
      <c r="Q119" s="0" t="str">
        <f aca="false">IF(A119=ChoixJour!$A$5,ROW(),"")</f>
        <v/>
      </c>
    </row>
    <row r="120" customFormat="false" ht="15.55" hidden="false" customHeight="false" outlineLevel="0" collapsed="false">
      <c r="A120" s="127" t="n">
        <v>43845</v>
      </c>
      <c r="B120" s="128" t="s">
        <v>1108</v>
      </c>
      <c r="C120" s="128"/>
      <c r="D120" s="128" t="s">
        <v>1105</v>
      </c>
      <c r="E120" s="128" t="s">
        <v>1105</v>
      </c>
      <c r="F120" s="128" t="s">
        <v>1105</v>
      </c>
      <c r="G120" s="128" t="s">
        <v>1105</v>
      </c>
      <c r="H120" s="128" t="s">
        <v>1105</v>
      </c>
      <c r="I120" s="128"/>
      <c r="J120" s="128" t="s">
        <v>1105</v>
      </c>
      <c r="K120" s="128"/>
      <c r="L120" s="128" t="s">
        <v>1125</v>
      </c>
      <c r="M120" s="128"/>
      <c r="N120" s="128"/>
      <c r="O120" s="128"/>
      <c r="P120" s="128" t="s">
        <v>1105</v>
      </c>
      <c r="Q120" s="0" t="str">
        <f aca="false">IF(A120=ChoixJour!$A$5,ROW(),"")</f>
        <v/>
      </c>
    </row>
    <row r="121" customFormat="false" ht="15.55" hidden="false" customHeight="false" outlineLevel="0" collapsed="false">
      <c r="A121" s="127" t="n">
        <v>43845</v>
      </c>
      <c r="B121" s="128" t="s">
        <v>1109</v>
      </c>
      <c r="C121" s="128"/>
      <c r="D121" s="128" t="s">
        <v>1105</v>
      </c>
      <c r="E121" s="128" t="s">
        <v>1105</v>
      </c>
      <c r="F121" s="128" t="s">
        <v>1105</v>
      </c>
      <c r="G121" s="128" t="s">
        <v>1105</v>
      </c>
      <c r="H121" s="128" t="s">
        <v>1105</v>
      </c>
      <c r="I121" s="128"/>
      <c r="J121" s="128" t="s">
        <v>1105</v>
      </c>
      <c r="K121" s="128"/>
      <c r="L121" s="128" t="s">
        <v>1125</v>
      </c>
      <c r="M121" s="128"/>
      <c r="N121" s="128"/>
      <c r="O121" s="128"/>
      <c r="P121" s="128" t="s">
        <v>1105</v>
      </c>
      <c r="Q121" s="0" t="str">
        <f aca="false">IF(A121=ChoixJour!$A$5,ROW(),"")</f>
        <v/>
      </c>
    </row>
    <row r="122" customFormat="false" ht="15.55" hidden="false" customHeight="false" outlineLevel="0" collapsed="false">
      <c r="A122" s="127" t="n">
        <v>43845</v>
      </c>
      <c r="B122" s="128" t="s">
        <v>1110</v>
      </c>
      <c r="C122" s="128"/>
      <c r="D122" s="128" t="s">
        <v>1105</v>
      </c>
      <c r="E122" s="128" t="s">
        <v>1105</v>
      </c>
      <c r="F122" s="128" t="s">
        <v>1105</v>
      </c>
      <c r="G122" s="128" t="s">
        <v>1105</v>
      </c>
      <c r="H122" s="128" t="s">
        <v>1105</v>
      </c>
      <c r="I122" s="128"/>
      <c r="J122" s="128" t="s">
        <v>1105</v>
      </c>
      <c r="K122" s="128"/>
      <c r="L122" s="128" t="s">
        <v>1126</v>
      </c>
      <c r="M122" s="128"/>
      <c r="N122" s="128"/>
      <c r="O122" s="128"/>
      <c r="P122" s="128" t="s">
        <v>1105</v>
      </c>
      <c r="Q122" s="0" t="str">
        <f aca="false">IF(A122=ChoixJour!$A$5,ROW(),"")</f>
        <v/>
      </c>
    </row>
    <row r="123" customFormat="false" ht="15.55" hidden="false" customHeight="false" outlineLevel="0" collapsed="false">
      <c r="A123" s="127" t="n">
        <v>43845</v>
      </c>
      <c r="B123" s="128" t="s">
        <v>1111</v>
      </c>
      <c r="C123" s="128"/>
      <c r="D123" s="128" t="s">
        <v>1105</v>
      </c>
      <c r="E123" s="128" t="s">
        <v>1118</v>
      </c>
      <c r="F123" s="128" t="s">
        <v>1118</v>
      </c>
      <c r="G123" s="128" t="s">
        <v>1105</v>
      </c>
      <c r="H123" s="128" t="s">
        <v>1105</v>
      </c>
      <c r="I123" s="128"/>
      <c r="J123" s="128" t="s">
        <v>1105</v>
      </c>
      <c r="K123" s="128"/>
      <c r="L123" s="128" t="s">
        <v>1125</v>
      </c>
      <c r="M123" s="128"/>
      <c r="N123" s="128"/>
      <c r="O123" s="128"/>
      <c r="P123" s="128" t="s">
        <v>1105</v>
      </c>
      <c r="Q123" s="0" t="str">
        <f aca="false">IF(A123=ChoixJour!$A$5,ROW(),"")</f>
        <v/>
      </c>
    </row>
    <row r="124" customFormat="false" ht="15.55" hidden="false" customHeight="false" outlineLevel="0" collapsed="false">
      <c r="A124" s="127" t="n">
        <v>43845</v>
      </c>
      <c r="B124" s="128" t="s">
        <v>33</v>
      </c>
      <c r="C124" s="128"/>
      <c r="D124" s="128" t="s">
        <v>1105</v>
      </c>
      <c r="E124" s="128" t="s">
        <v>1105</v>
      </c>
      <c r="F124" s="128" t="s">
        <v>1105</v>
      </c>
      <c r="G124" s="128" t="s">
        <v>1105</v>
      </c>
      <c r="H124" s="128" t="s">
        <v>1106</v>
      </c>
      <c r="I124" s="128"/>
      <c r="J124" s="128" t="s">
        <v>1106</v>
      </c>
      <c r="K124" s="128"/>
      <c r="L124" s="128" t="s">
        <v>1127</v>
      </c>
      <c r="M124" s="128"/>
      <c r="N124" s="128"/>
      <c r="O124" s="128"/>
      <c r="P124" s="128" t="s">
        <v>1106</v>
      </c>
      <c r="Q124" s="0" t="str">
        <f aca="false">IF(A124=ChoixJour!$A$5,ROW(),"")</f>
        <v/>
      </c>
    </row>
    <row r="125" customFormat="false" ht="13.8" hidden="false" customHeight="false" outlineLevel="0" collapsed="false">
      <c r="A125" s="127" t="n">
        <v>43845</v>
      </c>
      <c r="B125" s="128" t="s">
        <v>1113</v>
      </c>
      <c r="C125" s="128"/>
      <c r="D125" s="128" t="s">
        <v>1105</v>
      </c>
      <c r="E125" s="128" t="s">
        <v>1105</v>
      </c>
      <c r="F125" s="128" t="s">
        <v>1105</v>
      </c>
      <c r="G125" s="128" t="s">
        <v>1105</v>
      </c>
      <c r="H125" s="128" t="s">
        <v>1105</v>
      </c>
      <c r="I125" s="128"/>
      <c r="J125" s="128" t="s">
        <v>1105</v>
      </c>
      <c r="K125" s="128"/>
      <c r="L125" s="128" t="s">
        <v>1105</v>
      </c>
      <c r="M125" s="128"/>
      <c r="N125" s="128"/>
      <c r="O125" s="128"/>
      <c r="P125" s="128" t="s">
        <v>1105</v>
      </c>
      <c r="Q125" s="0" t="str">
        <f aca="false">IF(A125=ChoixJour!$A$5,ROW(),"")</f>
        <v/>
      </c>
    </row>
    <row r="126" customFormat="false" ht="13.8" hidden="false" customHeight="false" outlineLevel="0" collapsed="false">
      <c r="A126" s="127" t="n">
        <v>43845</v>
      </c>
      <c r="B126" s="128" t="s">
        <v>1114</v>
      </c>
      <c r="C126" s="128"/>
      <c r="D126" s="128" t="n">
        <v>0</v>
      </c>
      <c r="E126" s="128" t="n">
        <v>2</v>
      </c>
      <c r="F126" s="128" t="n">
        <v>1</v>
      </c>
      <c r="G126" s="128" t="n">
        <v>1</v>
      </c>
      <c r="H126" s="128" t="n">
        <v>6</v>
      </c>
      <c r="I126" s="128"/>
      <c r="J126" s="128" t="n">
        <v>1</v>
      </c>
      <c r="K126" s="128"/>
      <c r="L126" s="128" t="n">
        <v>0</v>
      </c>
      <c r="M126" s="128"/>
      <c r="N126" s="128"/>
      <c r="O126" s="128"/>
      <c r="P126" s="128" t="n">
        <v>6</v>
      </c>
      <c r="Q126" s="0" t="str">
        <f aca="false">IF(A126=ChoixJour!$A$5,ROW(),"")</f>
        <v/>
      </c>
    </row>
    <row r="127" customFormat="false" ht="13.8" hidden="false" customHeight="false" outlineLevel="0" collapsed="false">
      <c r="A127" s="127" t="n">
        <v>43845</v>
      </c>
      <c r="B127" s="128" t="s">
        <v>1115</v>
      </c>
      <c r="C127" s="128"/>
      <c r="D127" s="128" t="n">
        <v>0</v>
      </c>
      <c r="E127" s="128" t="n">
        <v>0</v>
      </c>
      <c r="F127" s="128" t="n">
        <v>0</v>
      </c>
      <c r="G127" s="128" t="n">
        <v>0</v>
      </c>
      <c r="H127" s="128" t="n">
        <v>0</v>
      </c>
      <c r="I127" s="128"/>
      <c r="J127" s="128" t="n">
        <v>0</v>
      </c>
      <c r="K127" s="128"/>
      <c r="L127" s="128" t="n">
        <v>0</v>
      </c>
      <c r="M127" s="128"/>
      <c r="N127" s="128"/>
      <c r="O127" s="128"/>
      <c r="P127" s="128" t="n">
        <v>0</v>
      </c>
      <c r="Q127" s="0" t="str">
        <f aca="false">IF(A127=ChoixJour!$A$5,ROW(),"")</f>
        <v/>
      </c>
    </row>
    <row r="128" customFormat="false" ht="13.8" hidden="false" customHeight="false" outlineLevel="0" collapsed="false">
      <c r="A128" s="127" t="n">
        <v>43845</v>
      </c>
      <c r="B128" s="128" t="s">
        <v>1116</v>
      </c>
      <c r="C128" s="128"/>
      <c r="D128" s="128"/>
      <c r="E128" s="128"/>
      <c r="F128" s="128"/>
      <c r="G128" s="128"/>
      <c r="H128" s="128"/>
      <c r="I128" s="128"/>
      <c r="J128" s="128"/>
      <c r="K128" s="128"/>
      <c r="L128" s="128"/>
      <c r="M128" s="128"/>
      <c r="N128" s="128"/>
      <c r="O128" s="128"/>
      <c r="P128" s="128"/>
      <c r="Q128" s="0" t="str">
        <f aca="false">IF(A128=ChoixJour!$A$5,ROW(),"")</f>
        <v/>
      </c>
    </row>
    <row r="129" customFormat="false" ht="13.8" hidden="false" customHeight="false" outlineLevel="0" collapsed="false">
      <c r="A129" s="127" t="n">
        <v>43845</v>
      </c>
      <c r="B129" s="128" t="s">
        <v>1117</v>
      </c>
      <c r="C129" s="128"/>
      <c r="D129" s="128" t="n">
        <v>1</v>
      </c>
      <c r="E129" s="128" t="n">
        <v>1</v>
      </c>
      <c r="F129" s="128" t="n">
        <v>0</v>
      </c>
      <c r="G129" s="128" t="n">
        <v>0</v>
      </c>
      <c r="H129" s="128" t="n">
        <v>1</v>
      </c>
      <c r="I129" s="128" t="n">
        <v>1</v>
      </c>
      <c r="J129" s="128" t="n">
        <v>0</v>
      </c>
      <c r="K129" s="128" t="n">
        <v>0</v>
      </c>
      <c r="L129" s="128" t="n">
        <v>0</v>
      </c>
      <c r="M129" s="128" t="n">
        <v>0</v>
      </c>
      <c r="N129" s="128" t="n">
        <v>0</v>
      </c>
      <c r="O129" s="128"/>
      <c r="P129" s="128" t="n">
        <v>0</v>
      </c>
      <c r="Q129" s="0" t="str">
        <f aca="false">IF(A129=ChoixJour!$A$5,ROW(),"")</f>
        <v/>
      </c>
    </row>
    <row r="130" customFormat="false" ht="15.2" hidden="false" customHeight="false" outlineLevel="0" collapsed="false">
      <c r="A130" s="127" t="n">
        <v>43846</v>
      </c>
      <c r="B130" s="128" t="s">
        <v>1087</v>
      </c>
      <c r="C130" s="128"/>
      <c r="D130" s="128" t="s">
        <v>1088</v>
      </c>
      <c r="E130" s="128" t="n">
        <v>199400</v>
      </c>
      <c r="F130" s="128" t="n">
        <v>512520</v>
      </c>
      <c r="G130" s="128" t="s">
        <v>1050</v>
      </c>
      <c r="H130" s="128" t="n">
        <v>200200</v>
      </c>
      <c r="I130" s="128"/>
      <c r="J130" s="128" t="s">
        <v>882</v>
      </c>
      <c r="K130" s="128"/>
      <c r="L130" s="131" t="s">
        <v>1120</v>
      </c>
      <c r="M130" s="128"/>
      <c r="N130" s="128"/>
      <c r="O130" s="128"/>
      <c r="P130" s="128" t="s">
        <v>1091</v>
      </c>
      <c r="Q130" s="0" t="str">
        <f aca="false">IF(A130=ChoixJour!$A$5,ROW(),"")</f>
        <v/>
      </c>
    </row>
    <row r="131" customFormat="false" ht="13.8" hidden="false" customHeight="false" outlineLevel="0" collapsed="false">
      <c r="A131" s="127" t="n">
        <v>43846</v>
      </c>
      <c r="B131" s="128" t="s">
        <v>1092</v>
      </c>
      <c r="C131" s="128"/>
      <c r="D131" s="128" t="s">
        <v>1093</v>
      </c>
      <c r="E131" s="128" t="s">
        <v>1024</v>
      </c>
      <c r="F131" s="128" t="s">
        <v>1094</v>
      </c>
      <c r="G131" s="128" t="s">
        <v>1049</v>
      </c>
      <c r="H131" s="128" t="s">
        <v>1122</v>
      </c>
      <c r="I131" s="128"/>
      <c r="J131" s="128" t="s">
        <v>1128</v>
      </c>
      <c r="K131" s="128"/>
      <c r="L131" s="132" t="s">
        <v>1123</v>
      </c>
      <c r="M131" s="128"/>
      <c r="N131" s="128"/>
      <c r="O131" s="128"/>
      <c r="P131" s="128" t="s">
        <v>1100</v>
      </c>
      <c r="Q131" s="0" t="str">
        <f aca="false">IF(A131=ChoixJour!$A$5,ROW(),"")</f>
        <v/>
      </c>
    </row>
    <row r="132" customFormat="false" ht="13.8" hidden="false" customHeight="false" outlineLevel="0" collapsed="false">
      <c r="A132" s="127" t="n">
        <v>43846</v>
      </c>
      <c r="B132" s="128" t="s">
        <v>1101</v>
      </c>
      <c r="C132" s="128"/>
      <c r="D132" s="128" t="n">
        <v>34052</v>
      </c>
      <c r="E132" s="128" t="n">
        <v>11430</v>
      </c>
      <c r="F132" s="128" t="n">
        <v>2095</v>
      </c>
      <c r="G132" s="128" t="n">
        <v>0</v>
      </c>
      <c r="H132" s="128" t="n">
        <v>303</v>
      </c>
      <c r="I132" s="128"/>
      <c r="J132" s="128" t="n">
        <v>17</v>
      </c>
      <c r="K132" s="128"/>
      <c r="L132" s="128" t="n">
        <v>129</v>
      </c>
      <c r="M132" s="128"/>
      <c r="N132" s="128"/>
      <c r="O132" s="128"/>
      <c r="P132" s="128" t="n">
        <v>1913</v>
      </c>
      <c r="Q132" s="0" t="str">
        <f aca="false">IF(A132=ChoixJour!$A$5,ROW(),"")</f>
        <v/>
      </c>
    </row>
    <row r="133" customFormat="false" ht="13.8" hidden="false" customHeight="false" outlineLevel="0" collapsed="false">
      <c r="A133" s="127" t="n">
        <v>43846</v>
      </c>
      <c r="B133" s="128" t="s">
        <v>1102</v>
      </c>
      <c r="C133" s="128"/>
      <c r="D133" s="128" t="n">
        <v>34740</v>
      </c>
      <c r="E133" s="128" t="n">
        <v>11430</v>
      </c>
      <c r="F133" s="128" t="n">
        <v>2416</v>
      </c>
      <c r="G133" s="128" t="n">
        <v>176</v>
      </c>
      <c r="H133" s="128" t="n">
        <v>610</v>
      </c>
      <c r="I133" s="128"/>
      <c r="J133" s="128" t="n">
        <v>47</v>
      </c>
      <c r="K133" s="128"/>
      <c r="L133" s="128" t="n">
        <v>129</v>
      </c>
      <c r="M133" s="128"/>
      <c r="N133" s="128"/>
      <c r="O133" s="128"/>
      <c r="P133" s="128" t="n">
        <v>1913</v>
      </c>
      <c r="Q133" s="0" t="str">
        <f aca="false">IF(A133=ChoixJour!$A$5,ROW(),"")</f>
        <v/>
      </c>
    </row>
    <row r="134" customFormat="false" ht="15.55" hidden="false" customHeight="false" outlineLevel="0" collapsed="false">
      <c r="A134" s="127" t="n">
        <v>43846</v>
      </c>
      <c r="B134" s="128" t="s">
        <v>1103</v>
      </c>
      <c r="C134" s="128" t="s">
        <v>1104</v>
      </c>
      <c r="D134" s="128" t="s">
        <v>1105</v>
      </c>
      <c r="E134" s="128" t="s">
        <v>1105</v>
      </c>
      <c r="F134" s="128" t="s">
        <v>1105</v>
      </c>
      <c r="G134" s="128" t="s">
        <v>1105</v>
      </c>
      <c r="H134" s="128" t="s">
        <v>1105</v>
      </c>
      <c r="I134" s="128"/>
      <c r="J134" s="128"/>
      <c r="K134" s="128"/>
      <c r="L134" s="128" t="s">
        <v>1125</v>
      </c>
      <c r="M134" s="128"/>
      <c r="N134" s="128"/>
      <c r="O134" s="128"/>
      <c r="P134" s="128" t="s">
        <v>1105</v>
      </c>
      <c r="Q134" s="0" t="str">
        <f aca="false">IF(A134=ChoixJour!$A$5,ROW(),"")</f>
        <v/>
      </c>
    </row>
    <row r="135" customFormat="false" ht="15.55" hidden="false" customHeight="false" outlineLevel="0" collapsed="false">
      <c r="A135" s="127" t="n">
        <v>43846</v>
      </c>
      <c r="B135" s="128" t="s">
        <v>1103</v>
      </c>
      <c r="C135" s="128" t="s">
        <v>1107</v>
      </c>
      <c r="D135" s="128" t="s">
        <v>1105</v>
      </c>
      <c r="E135" s="128" t="s">
        <v>1105</v>
      </c>
      <c r="F135" s="128" t="s">
        <v>1105</v>
      </c>
      <c r="G135" s="128" t="s">
        <v>1105</v>
      </c>
      <c r="H135" s="128" t="s">
        <v>1105</v>
      </c>
      <c r="I135" s="128"/>
      <c r="J135" s="128" t="s">
        <v>1105</v>
      </c>
      <c r="K135" s="128"/>
      <c r="L135" s="128" t="s">
        <v>1125</v>
      </c>
      <c r="M135" s="128"/>
      <c r="N135" s="128"/>
      <c r="O135" s="128"/>
      <c r="P135" s="128" t="s">
        <v>1105</v>
      </c>
      <c r="Q135" s="0" t="str">
        <f aca="false">IF(A135=ChoixJour!$A$5,ROW(),"")</f>
        <v/>
      </c>
    </row>
    <row r="136" customFormat="false" ht="15.55" hidden="false" customHeight="false" outlineLevel="0" collapsed="false">
      <c r="A136" s="127" t="n">
        <v>43846</v>
      </c>
      <c r="B136" s="128" t="s">
        <v>1108</v>
      </c>
      <c r="C136" s="128"/>
      <c r="D136" s="128" t="s">
        <v>1105</v>
      </c>
      <c r="E136" s="128" t="s">
        <v>1105</v>
      </c>
      <c r="F136" s="128" t="s">
        <v>1105</v>
      </c>
      <c r="G136" s="128" t="s">
        <v>1105</v>
      </c>
      <c r="H136" s="128" t="s">
        <v>1105</v>
      </c>
      <c r="I136" s="128"/>
      <c r="J136" s="128" t="s">
        <v>1105</v>
      </c>
      <c r="K136" s="128"/>
      <c r="L136" s="128" t="s">
        <v>1125</v>
      </c>
      <c r="M136" s="128"/>
      <c r="N136" s="128"/>
      <c r="O136" s="128"/>
      <c r="P136" s="128" t="s">
        <v>1105</v>
      </c>
      <c r="Q136" s="0" t="str">
        <f aca="false">IF(A136=ChoixJour!$A$5,ROW(),"")</f>
        <v/>
      </c>
    </row>
    <row r="137" customFormat="false" ht="15.55" hidden="false" customHeight="false" outlineLevel="0" collapsed="false">
      <c r="A137" s="127" t="n">
        <v>43846</v>
      </c>
      <c r="B137" s="128" t="s">
        <v>1109</v>
      </c>
      <c r="C137" s="128"/>
      <c r="D137" s="128" t="s">
        <v>1105</v>
      </c>
      <c r="E137" s="128" t="s">
        <v>1105</v>
      </c>
      <c r="F137" s="128" t="s">
        <v>1105</v>
      </c>
      <c r="G137" s="128" t="s">
        <v>1105</v>
      </c>
      <c r="H137" s="128" t="s">
        <v>1105</v>
      </c>
      <c r="I137" s="128"/>
      <c r="J137" s="128" t="s">
        <v>1105</v>
      </c>
      <c r="K137" s="128"/>
      <c r="L137" s="128" t="s">
        <v>1125</v>
      </c>
      <c r="M137" s="128"/>
      <c r="N137" s="128"/>
      <c r="O137" s="128"/>
      <c r="P137" s="128" t="s">
        <v>1105</v>
      </c>
      <c r="Q137" s="0" t="str">
        <f aca="false">IF(A137=ChoixJour!$A$5,ROW(),"")</f>
        <v/>
      </c>
    </row>
    <row r="138" customFormat="false" ht="15.55" hidden="false" customHeight="false" outlineLevel="0" collapsed="false">
      <c r="A138" s="127" t="n">
        <v>43846</v>
      </c>
      <c r="B138" s="128" t="s">
        <v>1110</v>
      </c>
      <c r="C138" s="128"/>
      <c r="D138" s="128" t="s">
        <v>1105</v>
      </c>
      <c r="E138" s="128" t="s">
        <v>1105</v>
      </c>
      <c r="F138" s="128" t="s">
        <v>1105</v>
      </c>
      <c r="G138" s="128" t="s">
        <v>1105</v>
      </c>
      <c r="H138" s="128" t="s">
        <v>1105</v>
      </c>
      <c r="I138" s="128"/>
      <c r="J138" s="128" t="s">
        <v>1105</v>
      </c>
      <c r="K138" s="128"/>
      <c r="L138" s="128" t="s">
        <v>1126</v>
      </c>
      <c r="M138" s="128"/>
      <c r="N138" s="128"/>
      <c r="O138" s="128"/>
      <c r="P138" s="128" t="s">
        <v>1105</v>
      </c>
      <c r="Q138" s="0" t="str">
        <f aca="false">IF(A138=ChoixJour!$A$5,ROW(),"")</f>
        <v/>
      </c>
    </row>
    <row r="139" customFormat="false" ht="15.55" hidden="false" customHeight="false" outlineLevel="0" collapsed="false">
      <c r="A139" s="127" t="n">
        <v>43846</v>
      </c>
      <c r="B139" s="128" t="s">
        <v>1111</v>
      </c>
      <c r="C139" s="128"/>
      <c r="D139" s="128" t="s">
        <v>1105</v>
      </c>
      <c r="E139" s="128" t="s">
        <v>1118</v>
      </c>
      <c r="F139" s="128" t="s">
        <v>1118</v>
      </c>
      <c r="G139" s="128" t="s">
        <v>1105</v>
      </c>
      <c r="H139" s="128" t="s">
        <v>1105</v>
      </c>
      <c r="I139" s="128"/>
      <c r="J139" s="128" t="s">
        <v>1105</v>
      </c>
      <c r="K139" s="128"/>
      <c r="L139" s="128" t="s">
        <v>1125</v>
      </c>
      <c r="M139" s="128"/>
      <c r="N139" s="128"/>
      <c r="O139" s="128"/>
      <c r="P139" s="128" t="s">
        <v>1105</v>
      </c>
      <c r="Q139" s="0" t="str">
        <f aca="false">IF(A139=ChoixJour!$A$5,ROW(),"")</f>
        <v/>
      </c>
    </row>
    <row r="140" customFormat="false" ht="15.55" hidden="false" customHeight="false" outlineLevel="0" collapsed="false">
      <c r="A140" s="127" t="n">
        <v>43846</v>
      </c>
      <c r="B140" s="128" t="s">
        <v>33</v>
      </c>
      <c r="C140" s="128"/>
      <c r="D140" s="128" t="s">
        <v>1105</v>
      </c>
      <c r="E140" s="128" t="s">
        <v>1105</v>
      </c>
      <c r="F140" s="128" t="s">
        <v>1105</v>
      </c>
      <c r="G140" s="128" t="s">
        <v>1105</v>
      </c>
      <c r="H140" s="128" t="s">
        <v>1106</v>
      </c>
      <c r="I140" s="128"/>
      <c r="J140" s="128" t="s">
        <v>1106</v>
      </c>
      <c r="K140" s="128"/>
      <c r="L140" s="128" t="s">
        <v>1127</v>
      </c>
      <c r="M140" s="128"/>
      <c r="N140" s="128"/>
      <c r="O140" s="128"/>
      <c r="P140" s="128" t="s">
        <v>1106</v>
      </c>
      <c r="Q140" s="0" t="str">
        <f aca="false">IF(A140=ChoixJour!$A$5,ROW(),"")</f>
        <v/>
      </c>
    </row>
    <row r="141" customFormat="false" ht="13.8" hidden="false" customHeight="false" outlineLevel="0" collapsed="false">
      <c r="A141" s="127" t="n">
        <v>43846</v>
      </c>
      <c r="B141" s="128" t="s">
        <v>1113</v>
      </c>
      <c r="C141" s="128"/>
      <c r="D141" s="128" t="s">
        <v>1105</v>
      </c>
      <c r="E141" s="128" t="s">
        <v>1105</v>
      </c>
      <c r="F141" s="128" t="s">
        <v>1105</v>
      </c>
      <c r="G141" s="128" t="s">
        <v>1105</v>
      </c>
      <c r="H141" s="128" t="s">
        <v>1105</v>
      </c>
      <c r="I141" s="128"/>
      <c r="J141" s="128" t="s">
        <v>1105</v>
      </c>
      <c r="K141" s="128"/>
      <c r="L141" s="128" t="s">
        <v>1105</v>
      </c>
      <c r="M141" s="128"/>
      <c r="N141" s="128"/>
      <c r="O141" s="128"/>
      <c r="P141" s="128" t="s">
        <v>1105</v>
      </c>
      <c r="Q141" s="0" t="str">
        <f aca="false">IF(A141=ChoixJour!$A$5,ROW(),"")</f>
        <v/>
      </c>
    </row>
    <row r="142" customFormat="false" ht="13.8" hidden="false" customHeight="false" outlineLevel="0" collapsed="false">
      <c r="A142" s="127" t="n">
        <v>43846</v>
      </c>
      <c r="B142" s="128" t="s">
        <v>1114</v>
      </c>
      <c r="C142" s="128"/>
      <c r="D142" s="128" t="n">
        <v>0</v>
      </c>
      <c r="E142" s="128" t="n">
        <v>0</v>
      </c>
      <c r="F142" s="128" t="n">
        <v>0</v>
      </c>
      <c r="G142" s="128" t="n">
        <v>0</v>
      </c>
      <c r="H142" s="128" t="n">
        <v>8</v>
      </c>
      <c r="I142" s="128"/>
      <c r="J142" s="128" t="n">
        <v>4</v>
      </c>
      <c r="K142" s="128"/>
      <c r="L142" s="128" t="n">
        <v>0</v>
      </c>
      <c r="M142" s="128"/>
      <c r="N142" s="128"/>
      <c r="O142" s="128"/>
      <c r="P142" s="128" t="n">
        <v>0</v>
      </c>
      <c r="Q142" s="0" t="str">
        <f aca="false">IF(A142=ChoixJour!$A$5,ROW(),"")</f>
        <v/>
      </c>
    </row>
    <row r="143" customFormat="false" ht="13.8" hidden="false" customHeight="false" outlineLevel="0" collapsed="false">
      <c r="A143" s="127" t="n">
        <v>43846</v>
      </c>
      <c r="B143" s="128" t="s">
        <v>1115</v>
      </c>
      <c r="C143" s="128"/>
      <c r="D143" s="128" t="n">
        <v>0</v>
      </c>
      <c r="E143" s="128" t="n">
        <v>0</v>
      </c>
      <c r="F143" s="128" t="n">
        <v>0</v>
      </c>
      <c r="G143" s="128" t="n">
        <v>0</v>
      </c>
      <c r="H143" s="128" t="n">
        <v>0</v>
      </c>
      <c r="I143" s="128"/>
      <c r="J143" s="128" t="n">
        <v>0</v>
      </c>
      <c r="K143" s="128"/>
      <c r="L143" s="128" t="n">
        <v>0</v>
      </c>
      <c r="M143" s="128"/>
      <c r="N143" s="128"/>
      <c r="O143" s="128"/>
      <c r="P143" s="128" t="n">
        <v>0</v>
      </c>
      <c r="Q143" s="0" t="str">
        <f aca="false">IF(A143=ChoixJour!$A$5,ROW(),"")</f>
        <v/>
      </c>
    </row>
    <row r="144" customFormat="false" ht="13.8" hidden="false" customHeight="false" outlineLevel="0" collapsed="false">
      <c r="A144" s="127" t="n">
        <v>43846</v>
      </c>
      <c r="B144" s="128" t="s">
        <v>1116</v>
      </c>
      <c r="C144" s="128"/>
      <c r="D144" s="128"/>
      <c r="E144" s="128"/>
      <c r="F144" s="128"/>
      <c r="G144" s="128"/>
      <c r="H144" s="128"/>
      <c r="I144" s="128"/>
      <c r="J144" s="128"/>
      <c r="K144" s="128"/>
      <c r="L144" s="128"/>
      <c r="M144" s="128"/>
      <c r="N144" s="128"/>
      <c r="O144" s="128"/>
      <c r="P144" s="128"/>
      <c r="Q144" s="0" t="str">
        <f aca="false">IF(A144=ChoixJour!$A$5,ROW(),"")</f>
        <v/>
      </c>
    </row>
    <row r="145" customFormat="false" ht="13.8" hidden="false" customHeight="false" outlineLevel="0" collapsed="false">
      <c r="A145" s="127" t="n">
        <v>43846</v>
      </c>
      <c r="B145" s="128" t="s">
        <v>1117</v>
      </c>
      <c r="C145" s="128"/>
      <c r="D145" s="128" t="n">
        <v>0</v>
      </c>
      <c r="E145" s="128" t="n">
        <v>0</v>
      </c>
      <c r="F145" s="128" t="n">
        <v>0</v>
      </c>
      <c r="G145" s="128" t="n">
        <v>0</v>
      </c>
      <c r="H145" s="128" t="n">
        <v>0</v>
      </c>
      <c r="I145" s="128" t="n">
        <v>1</v>
      </c>
      <c r="J145" s="128" t="n">
        <v>0</v>
      </c>
      <c r="K145" s="128" t="n">
        <v>0</v>
      </c>
      <c r="L145" s="128" t="n">
        <v>0</v>
      </c>
      <c r="M145" s="128" t="n">
        <v>0</v>
      </c>
      <c r="N145" s="128" t="n">
        <v>0</v>
      </c>
      <c r="O145" s="128" t="n">
        <v>0</v>
      </c>
      <c r="P145" s="128" t="n">
        <v>0</v>
      </c>
      <c r="Q145" s="0" t="str">
        <f aca="false">IF(A145=ChoixJour!$A$5,ROW(),"")</f>
        <v/>
      </c>
    </row>
    <row r="146" customFormat="false" ht="15.2" hidden="false" customHeight="false" outlineLevel="0" collapsed="false">
      <c r="A146" s="127" t="n">
        <v>43847</v>
      </c>
      <c r="B146" s="128" t="s">
        <v>1087</v>
      </c>
      <c r="C146" s="128"/>
      <c r="D146" s="128" t="s">
        <v>1088</v>
      </c>
      <c r="E146" s="128" t="s">
        <v>1129</v>
      </c>
      <c r="F146" s="128" t="n">
        <v>512520</v>
      </c>
      <c r="G146" s="128" t="s">
        <v>1050</v>
      </c>
      <c r="H146" s="128" t="n">
        <v>200200</v>
      </c>
      <c r="I146" s="128"/>
      <c r="J146" s="128" t="s">
        <v>882</v>
      </c>
      <c r="K146" s="128"/>
      <c r="L146" s="131" t="s">
        <v>1120</v>
      </c>
      <c r="M146" s="128"/>
      <c r="N146" s="128" t="s">
        <v>1130</v>
      </c>
      <c r="O146" s="128"/>
      <c r="P146" s="128" t="s">
        <v>1091</v>
      </c>
      <c r="Q146" s="0" t="str">
        <f aca="false">IF(A146=ChoixJour!$A$5,ROW(),"")</f>
        <v/>
      </c>
    </row>
    <row r="147" customFormat="false" ht="13.8" hidden="false" customHeight="false" outlineLevel="0" collapsed="false">
      <c r="A147" s="127" t="n">
        <v>43847</v>
      </c>
      <c r="B147" s="128" t="s">
        <v>1092</v>
      </c>
      <c r="C147" s="128"/>
      <c r="D147" s="128" t="s">
        <v>1093</v>
      </c>
      <c r="E147" s="128" t="s">
        <v>612</v>
      </c>
      <c r="F147" s="128" t="s">
        <v>1094</v>
      </c>
      <c r="G147" s="128" t="s">
        <v>1049</v>
      </c>
      <c r="H147" s="128" t="s">
        <v>1122</v>
      </c>
      <c r="I147" s="128"/>
      <c r="J147" s="128" t="s">
        <v>1128</v>
      </c>
      <c r="K147" s="128"/>
      <c r="L147" s="132" t="s">
        <v>1123</v>
      </c>
      <c r="M147" s="128"/>
      <c r="N147" s="128" t="s">
        <v>1131</v>
      </c>
      <c r="O147" s="128"/>
      <c r="P147" s="128" t="s">
        <v>1100</v>
      </c>
      <c r="Q147" s="0" t="str">
        <f aca="false">IF(A147=ChoixJour!$A$5,ROW(),"")</f>
        <v/>
      </c>
    </row>
    <row r="148" customFormat="false" ht="13.8" hidden="false" customHeight="false" outlineLevel="0" collapsed="false">
      <c r="A148" s="127" t="n">
        <v>43847</v>
      </c>
      <c r="B148" s="128" t="s">
        <v>1101</v>
      </c>
      <c r="C148" s="128"/>
      <c r="D148" s="128" t="n">
        <v>34740</v>
      </c>
      <c r="E148" s="128" t="n">
        <v>11430</v>
      </c>
      <c r="F148" s="128" t="n">
        <v>2416</v>
      </c>
      <c r="G148" s="128" t="n">
        <v>176</v>
      </c>
      <c r="H148" s="128" t="n">
        <v>610</v>
      </c>
      <c r="I148" s="128"/>
      <c r="J148" s="128" t="n">
        <v>47</v>
      </c>
      <c r="K148" s="128"/>
      <c r="L148" s="128" t="n">
        <v>129</v>
      </c>
      <c r="M148" s="128"/>
      <c r="N148" s="128"/>
      <c r="O148" s="128"/>
      <c r="P148" s="128" t="n">
        <v>1913</v>
      </c>
      <c r="Q148" s="0" t="str">
        <f aca="false">IF(A148=ChoixJour!$A$5,ROW(),"")</f>
        <v/>
      </c>
    </row>
    <row r="149" customFormat="false" ht="13.8" hidden="false" customHeight="false" outlineLevel="0" collapsed="false">
      <c r="A149" s="127" t="n">
        <v>43847</v>
      </c>
      <c r="B149" s="128" t="s">
        <v>1102</v>
      </c>
      <c r="C149" s="128"/>
      <c r="D149" s="128" t="n">
        <v>35390</v>
      </c>
      <c r="E149" s="128" t="n">
        <v>443</v>
      </c>
      <c r="F149" s="128" t="n">
        <v>2725</v>
      </c>
      <c r="G149" s="128" t="n">
        <v>396</v>
      </c>
      <c r="H149" s="128" t="n">
        <v>942</v>
      </c>
      <c r="I149" s="128"/>
      <c r="J149" s="128" t="n">
        <v>76</v>
      </c>
      <c r="K149" s="128" t="n">
        <v>128</v>
      </c>
      <c r="L149" s="128" t="n">
        <v>155</v>
      </c>
      <c r="M149" s="128"/>
      <c r="N149" s="128" t="n">
        <v>180810</v>
      </c>
      <c r="O149" s="128"/>
      <c r="P149" s="128" t="n">
        <v>1913</v>
      </c>
      <c r="Q149" s="0" t="str">
        <f aca="false">IF(A149=ChoixJour!$A$5,ROW(),"")</f>
        <v/>
      </c>
    </row>
    <row r="150" customFormat="false" ht="15.55" hidden="false" customHeight="false" outlineLevel="0" collapsed="false">
      <c r="A150" s="127" t="n">
        <v>43847</v>
      </c>
      <c r="B150" s="128" t="s">
        <v>1103</v>
      </c>
      <c r="C150" s="128" t="s">
        <v>1104</v>
      </c>
      <c r="D150" s="128" t="s">
        <v>1105</v>
      </c>
      <c r="E150" s="128" t="s">
        <v>1105</v>
      </c>
      <c r="F150" s="128" t="s">
        <v>1105</v>
      </c>
      <c r="G150" s="128" t="s">
        <v>1105</v>
      </c>
      <c r="H150" s="128" t="s">
        <v>1105</v>
      </c>
      <c r="I150" s="128"/>
      <c r="J150" s="128"/>
      <c r="K150" s="128"/>
      <c r="L150" s="128" t="s">
        <v>1125</v>
      </c>
      <c r="M150" s="128"/>
      <c r="N150" s="128" t="s">
        <v>1105</v>
      </c>
      <c r="O150" s="128"/>
      <c r="P150" s="128" t="s">
        <v>1105</v>
      </c>
      <c r="Q150" s="0" t="str">
        <f aca="false">IF(A150=ChoixJour!$A$5,ROW(),"")</f>
        <v/>
      </c>
    </row>
    <row r="151" customFormat="false" ht="15.55" hidden="false" customHeight="false" outlineLevel="0" collapsed="false">
      <c r="A151" s="127" t="n">
        <v>43847</v>
      </c>
      <c r="B151" s="128" t="s">
        <v>1103</v>
      </c>
      <c r="C151" s="128" t="s">
        <v>1107</v>
      </c>
      <c r="D151" s="128" t="s">
        <v>1105</v>
      </c>
      <c r="E151" s="128" t="s">
        <v>1105</v>
      </c>
      <c r="F151" s="128" t="s">
        <v>1105</v>
      </c>
      <c r="G151" s="128" t="s">
        <v>1105</v>
      </c>
      <c r="H151" s="128" t="s">
        <v>1105</v>
      </c>
      <c r="I151" s="128"/>
      <c r="J151" s="128" t="s">
        <v>1105</v>
      </c>
      <c r="K151" s="128"/>
      <c r="L151" s="128" t="s">
        <v>1125</v>
      </c>
      <c r="M151" s="128"/>
      <c r="N151" s="128" t="s">
        <v>1105</v>
      </c>
      <c r="O151" s="128"/>
      <c r="P151" s="128" t="s">
        <v>1105</v>
      </c>
      <c r="Q151" s="0" t="str">
        <f aca="false">IF(A151=ChoixJour!$A$5,ROW(),"")</f>
        <v/>
      </c>
    </row>
    <row r="152" customFormat="false" ht="15.55" hidden="false" customHeight="false" outlineLevel="0" collapsed="false">
      <c r="A152" s="127" t="n">
        <v>43847</v>
      </c>
      <c r="B152" s="128" t="s">
        <v>1108</v>
      </c>
      <c r="C152" s="128"/>
      <c r="D152" s="128" t="s">
        <v>1105</v>
      </c>
      <c r="E152" s="128" t="s">
        <v>1105</v>
      </c>
      <c r="F152" s="128" t="s">
        <v>1105</v>
      </c>
      <c r="G152" s="128" t="s">
        <v>1105</v>
      </c>
      <c r="H152" s="128" t="s">
        <v>1105</v>
      </c>
      <c r="I152" s="128"/>
      <c r="J152" s="128" t="s">
        <v>1105</v>
      </c>
      <c r="K152" s="128"/>
      <c r="L152" s="128" t="s">
        <v>1125</v>
      </c>
      <c r="M152" s="128"/>
      <c r="N152" s="128" t="s">
        <v>1105</v>
      </c>
      <c r="O152" s="128"/>
      <c r="P152" s="128" t="s">
        <v>1105</v>
      </c>
      <c r="Q152" s="0" t="str">
        <f aca="false">IF(A152=ChoixJour!$A$5,ROW(),"")</f>
        <v/>
      </c>
    </row>
    <row r="153" customFormat="false" ht="15.55" hidden="false" customHeight="false" outlineLevel="0" collapsed="false">
      <c r="A153" s="127" t="n">
        <v>43847</v>
      </c>
      <c r="B153" s="128" t="s">
        <v>1109</v>
      </c>
      <c r="C153" s="128"/>
      <c r="D153" s="128" t="s">
        <v>1105</v>
      </c>
      <c r="E153" s="128" t="s">
        <v>1105</v>
      </c>
      <c r="F153" s="128" t="s">
        <v>1105</v>
      </c>
      <c r="G153" s="128" t="s">
        <v>1105</v>
      </c>
      <c r="H153" s="128" t="s">
        <v>1105</v>
      </c>
      <c r="I153" s="128"/>
      <c r="J153" s="128" t="s">
        <v>1105</v>
      </c>
      <c r="K153" s="128"/>
      <c r="L153" s="128" t="s">
        <v>1125</v>
      </c>
      <c r="M153" s="128"/>
      <c r="N153" s="128" t="s">
        <v>1105</v>
      </c>
      <c r="O153" s="128"/>
      <c r="P153" s="128" t="s">
        <v>1105</v>
      </c>
      <c r="Q153" s="0" t="str">
        <f aca="false">IF(A153=ChoixJour!$A$5,ROW(),"")</f>
        <v/>
      </c>
    </row>
    <row r="154" customFormat="false" ht="15.55" hidden="false" customHeight="false" outlineLevel="0" collapsed="false">
      <c r="A154" s="127" t="n">
        <v>43847</v>
      </c>
      <c r="B154" s="128" t="s">
        <v>1110</v>
      </c>
      <c r="C154" s="128"/>
      <c r="D154" s="128" t="s">
        <v>1105</v>
      </c>
      <c r="E154" s="128" t="s">
        <v>1105</v>
      </c>
      <c r="F154" s="128" t="s">
        <v>1105</v>
      </c>
      <c r="G154" s="128" t="s">
        <v>1105</v>
      </c>
      <c r="H154" s="128" t="s">
        <v>1105</v>
      </c>
      <c r="I154" s="128"/>
      <c r="J154" s="128" t="s">
        <v>1105</v>
      </c>
      <c r="K154" s="128"/>
      <c r="L154" s="128" t="s">
        <v>1126</v>
      </c>
      <c r="M154" s="128"/>
      <c r="N154" s="128" t="s">
        <v>1105</v>
      </c>
      <c r="O154" s="128"/>
      <c r="P154" s="128" t="s">
        <v>1105</v>
      </c>
      <c r="Q154" s="0" t="str">
        <f aca="false">IF(A154=ChoixJour!$A$5,ROW(),"")</f>
        <v/>
      </c>
    </row>
    <row r="155" customFormat="false" ht="15.55" hidden="false" customHeight="false" outlineLevel="0" collapsed="false">
      <c r="A155" s="127" t="n">
        <v>43847</v>
      </c>
      <c r="B155" s="128" t="s">
        <v>1111</v>
      </c>
      <c r="C155" s="128"/>
      <c r="D155" s="128" t="s">
        <v>1105</v>
      </c>
      <c r="E155" s="128" t="s">
        <v>1118</v>
      </c>
      <c r="F155" s="128" t="s">
        <v>1118</v>
      </c>
      <c r="G155" s="128" t="s">
        <v>1105</v>
      </c>
      <c r="H155" s="128" t="s">
        <v>1105</v>
      </c>
      <c r="I155" s="128"/>
      <c r="J155" s="128" t="s">
        <v>1105</v>
      </c>
      <c r="K155" s="128"/>
      <c r="L155" s="128" t="s">
        <v>1125</v>
      </c>
      <c r="M155" s="128"/>
      <c r="N155" s="128" t="s">
        <v>1105</v>
      </c>
      <c r="O155" s="128"/>
      <c r="P155" s="128" t="s">
        <v>1105</v>
      </c>
      <c r="Q155" s="0" t="str">
        <f aca="false">IF(A155=ChoixJour!$A$5,ROW(),"")</f>
        <v/>
      </c>
    </row>
    <row r="156" customFormat="false" ht="15.55" hidden="false" customHeight="false" outlineLevel="0" collapsed="false">
      <c r="A156" s="127" t="n">
        <v>43847</v>
      </c>
      <c r="B156" s="128" t="s">
        <v>33</v>
      </c>
      <c r="C156" s="128"/>
      <c r="D156" s="128" t="s">
        <v>1105</v>
      </c>
      <c r="E156" s="128" t="s">
        <v>1105</v>
      </c>
      <c r="F156" s="128" t="s">
        <v>1105</v>
      </c>
      <c r="G156" s="128" t="s">
        <v>1105</v>
      </c>
      <c r="H156" s="128" t="s">
        <v>1106</v>
      </c>
      <c r="I156" s="128"/>
      <c r="J156" s="128" t="s">
        <v>1106</v>
      </c>
      <c r="K156" s="128"/>
      <c r="L156" s="128" t="s">
        <v>1127</v>
      </c>
      <c r="M156" s="128"/>
      <c r="N156" s="128" t="s">
        <v>1105</v>
      </c>
      <c r="O156" s="128"/>
      <c r="P156" s="128" t="s">
        <v>1106</v>
      </c>
      <c r="Q156" s="0" t="str">
        <f aca="false">IF(A156=ChoixJour!$A$5,ROW(),"")</f>
        <v/>
      </c>
    </row>
    <row r="157" customFormat="false" ht="13.8" hidden="false" customHeight="false" outlineLevel="0" collapsed="false">
      <c r="A157" s="127" t="n">
        <v>43847</v>
      </c>
      <c r="B157" s="128" t="s">
        <v>1113</v>
      </c>
      <c r="C157" s="128"/>
      <c r="D157" s="128" t="s">
        <v>1105</v>
      </c>
      <c r="E157" s="128" t="s">
        <v>1105</v>
      </c>
      <c r="F157" s="128" t="s">
        <v>1105</v>
      </c>
      <c r="G157" s="128" t="s">
        <v>1105</v>
      </c>
      <c r="H157" s="128" t="s">
        <v>1105</v>
      </c>
      <c r="I157" s="128"/>
      <c r="J157" s="128" t="s">
        <v>1105</v>
      </c>
      <c r="K157" s="128"/>
      <c r="L157" s="128" t="s">
        <v>1105</v>
      </c>
      <c r="M157" s="128"/>
      <c r="N157" s="128" t="s">
        <v>1105</v>
      </c>
      <c r="O157" s="128"/>
      <c r="P157" s="128" t="s">
        <v>1105</v>
      </c>
      <c r="Q157" s="0" t="str">
        <f aca="false">IF(A157=ChoixJour!$A$5,ROW(),"")</f>
        <v/>
      </c>
    </row>
    <row r="158" customFormat="false" ht="13.8" hidden="false" customHeight="false" outlineLevel="0" collapsed="false">
      <c r="A158" s="127" t="n">
        <v>43847</v>
      </c>
      <c r="B158" s="128" t="s">
        <v>1114</v>
      </c>
      <c r="C158" s="128"/>
      <c r="D158" s="128" t="n">
        <v>0</v>
      </c>
      <c r="E158" s="128" t="n">
        <v>1</v>
      </c>
      <c r="F158" s="128" t="n">
        <v>0</v>
      </c>
      <c r="G158" s="128" t="n">
        <v>1</v>
      </c>
      <c r="H158" s="128" t="n">
        <v>2</v>
      </c>
      <c r="I158" s="128"/>
      <c r="J158" s="128" t="n">
        <v>0</v>
      </c>
      <c r="K158" s="128"/>
      <c r="L158" s="128" t="n">
        <v>0</v>
      </c>
      <c r="M158" s="128"/>
      <c r="N158" s="128" t="n">
        <v>5</v>
      </c>
      <c r="O158" s="128"/>
      <c r="P158" s="128" t="n">
        <v>4</v>
      </c>
      <c r="Q158" s="0" t="str">
        <f aca="false">IF(A158=ChoixJour!$A$5,ROW(),"")</f>
        <v/>
      </c>
    </row>
    <row r="159" customFormat="false" ht="13.8" hidden="false" customHeight="false" outlineLevel="0" collapsed="false">
      <c r="A159" s="127" t="n">
        <v>43847</v>
      </c>
      <c r="B159" s="128" t="s">
        <v>1115</v>
      </c>
      <c r="C159" s="128"/>
      <c r="D159" s="128" t="n">
        <v>0</v>
      </c>
      <c r="E159" s="128" t="n">
        <v>0</v>
      </c>
      <c r="F159" s="128" t="n">
        <v>0</v>
      </c>
      <c r="G159" s="128" t="n">
        <v>0</v>
      </c>
      <c r="H159" s="128" t="n">
        <v>0</v>
      </c>
      <c r="I159" s="128"/>
      <c r="J159" s="128" t="n">
        <v>0</v>
      </c>
      <c r="K159" s="128"/>
      <c r="L159" s="128" t="n">
        <v>0</v>
      </c>
      <c r="M159" s="128"/>
      <c r="N159" s="128" t="n">
        <v>55</v>
      </c>
      <c r="O159" s="128"/>
      <c r="P159" s="128" t="n">
        <v>0</v>
      </c>
      <c r="Q159" s="0" t="str">
        <f aca="false">IF(A159=ChoixJour!$A$5,ROW(),"")</f>
        <v/>
      </c>
    </row>
    <row r="160" customFormat="false" ht="13.8" hidden="false" customHeight="false" outlineLevel="0" collapsed="false">
      <c r="A160" s="127" t="n">
        <v>43847</v>
      </c>
      <c r="B160" s="128" t="s">
        <v>1116</v>
      </c>
      <c r="C160" s="128"/>
      <c r="D160" s="128"/>
      <c r="E160" s="128"/>
      <c r="F160" s="128"/>
      <c r="G160" s="128"/>
      <c r="H160" s="128"/>
      <c r="I160" s="128"/>
      <c r="J160" s="128"/>
      <c r="K160" s="128"/>
      <c r="L160" s="128"/>
      <c r="M160" s="128"/>
      <c r="N160" s="128" t="s">
        <v>1132</v>
      </c>
      <c r="O160" s="128"/>
      <c r="P160" s="128"/>
      <c r="Q160" s="0" t="str">
        <f aca="false">IF(A160=ChoixJour!$A$5,ROW(),"")</f>
        <v/>
      </c>
    </row>
    <row r="161" customFormat="false" ht="13.8" hidden="false" customHeight="false" outlineLevel="0" collapsed="false">
      <c r="A161" s="127" t="n">
        <v>43847</v>
      </c>
      <c r="B161" s="128" t="s">
        <v>1117</v>
      </c>
      <c r="C161" s="128"/>
      <c r="D161" s="128" t="n">
        <v>0</v>
      </c>
      <c r="E161" s="128" t="n">
        <v>0</v>
      </c>
      <c r="F161" s="128" t="n">
        <v>0</v>
      </c>
      <c r="G161" s="128" t="n">
        <v>0</v>
      </c>
      <c r="H161" s="128" t="n">
        <v>0</v>
      </c>
      <c r="I161" s="128" t="n">
        <v>1</v>
      </c>
      <c r="J161" s="128" t="n">
        <v>0</v>
      </c>
      <c r="K161" s="128" t="n">
        <v>0</v>
      </c>
      <c r="L161" s="128" t="n">
        <v>0</v>
      </c>
      <c r="M161" s="128" t="n">
        <v>0</v>
      </c>
      <c r="N161" s="128" t="n">
        <v>0</v>
      </c>
      <c r="O161" s="128" t="n">
        <v>0</v>
      </c>
      <c r="P161" s="128" t="n">
        <v>1</v>
      </c>
      <c r="Q161" s="0" t="str">
        <f aca="false">IF(A161=ChoixJour!$A$5,ROW(),"")</f>
        <v/>
      </c>
    </row>
    <row r="162" customFormat="false" ht="15.2" hidden="false" customHeight="false" outlineLevel="0" collapsed="false">
      <c r="A162" s="127" t="n">
        <v>43848</v>
      </c>
      <c r="B162" s="128" t="s">
        <v>1087</v>
      </c>
      <c r="C162" s="128"/>
      <c r="D162" s="128" t="s">
        <v>1088</v>
      </c>
      <c r="E162" s="128" t="s">
        <v>1129</v>
      </c>
      <c r="F162" s="128" t="n">
        <v>512520</v>
      </c>
      <c r="G162" s="128" t="s">
        <v>1050</v>
      </c>
      <c r="H162" s="128" t="n">
        <v>200200</v>
      </c>
      <c r="I162" s="128"/>
      <c r="J162" s="128" t="s">
        <v>882</v>
      </c>
      <c r="K162" s="128"/>
      <c r="L162" s="131" t="s">
        <v>1120</v>
      </c>
      <c r="M162" s="128"/>
      <c r="N162" s="128" t="s">
        <v>1130</v>
      </c>
      <c r="O162" s="128"/>
      <c r="P162" s="128" t="s">
        <v>1091</v>
      </c>
      <c r="Q162" s="0" t="str">
        <f aca="false">IF(A162=ChoixJour!$A$5,ROW(),"")</f>
        <v/>
      </c>
    </row>
    <row r="163" customFormat="false" ht="13.8" hidden="false" customHeight="false" outlineLevel="0" collapsed="false">
      <c r="A163" s="127" t="n">
        <v>43848</v>
      </c>
      <c r="B163" s="128" t="s">
        <v>1092</v>
      </c>
      <c r="C163" s="128"/>
      <c r="D163" s="128" t="s">
        <v>1093</v>
      </c>
      <c r="E163" s="128" t="s">
        <v>612</v>
      </c>
      <c r="F163" s="128" t="s">
        <v>1094</v>
      </c>
      <c r="G163" s="128" t="s">
        <v>1049</v>
      </c>
      <c r="H163" s="128" t="s">
        <v>1122</v>
      </c>
      <c r="I163" s="128"/>
      <c r="J163" s="128" t="s">
        <v>1128</v>
      </c>
      <c r="K163" s="128"/>
      <c r="L163" s="132" t="s">
        <v>1123</v>
      </c>
      <c r="M163" s="128"/>
      <c r="N163" s="128" t="s">
        <v>1131</v>
      </c>
      <c r="O163" s="128"/>
      <c r="P163" s="128" t="s">
        <v>1100</v>
      </c>
      <c r="Q163" s="0" t="str">
        <f aca="false">IF(A163=ChoixJour!$A$5,ROW(),"")</f>
        <v/>
      </c>
    </row>
    <row r="164" customFormat="false" ht="13.8" hidden="false" customHeight="false" outlineLevel="0" collapsed="false">
      <c r="A164" s="127" t="n">
        <v>43848</v>
      </c>
      <c r="B164" s="128" t="s">
        <v>1101</v>
      </c>
      <c r="C164" s="128"/>
      <c r="D164" s="128" t="n">
        <v>34740</v>
      </c>
      <c r="E164" s="128" t="n">
        <v>11430</v>
      </c>
      <c r="F164" s="128" t="n">
        <v>2416</v>
      </c>
      <c r="G164" s="128" t="n">
        <v>176</v>
      </c>
      <c r="H164" s="128" t="n">
        <v>610</v>
      </c>
      <c r="I164" s="128"/>
      <c r="J164" s="128" t="n">
        <v>47</v>
      </c>
      <c r="K164" s="128"/>
      <c r="L164" s="128" t="n">
        <v>129</v>
      </c>
      <c r="M164" s="128"/>
      <c r="N164" s="128"/>
      <c r="O164" s="128"/>
      <c r="P164" s="128" t="n">
        <v>1913</v>
      </c>
      <c r="Q164" s="0" t="str">
        <f aca="false">IF(A164=ChoixJour!$A$5,ROW(),"")</f>
        <v/>
      </c>
    </row>
    <row r="165" customFormat="false" ht="13.8" hidden="false" customHeight="false" outlineLevel="0" collapsed="false">
      <c r="A165" s="127" t="n">
        <v>43848</v>
      </c>
      <c r="B165" s="128" t="s">
        <v>1102</v>
      </c>
      <c r="C165" s="128"/>
      <c r="D165" s="128"/>
      <c r="E165" s="128"/>
      <c r="F165" s="128"/>
      <c r="G165" s="128"/>
      <c r="H165" s="128"/>
      <c r="I165" s="128"/>
      <c r="J165" s="128"/>
      <c r="K165" s="128"/>
      <c r="L165" s="128"/>
      <c r="M165" s="128"/>
      <c r="N165" s="128"/>
      <c r="O165" s="128"/>
      <c r="P165" s="128"/>
      <c r="Q165" s="0" t="str">
        <f aca="false">IF(A165=ChoixJour!$A$5,ROW(),"")</f>
        <v/>
      </c>
    </row>
    <row r="166" customFormat="false" ht="15.55" hidden="false" customHeight="false" outlineLevel="0" collapsed="false">
      <c r="A166" s="127" t="n">
        <v>43848</v>
      </c>
      <c r="B166" s="128" t="s">
        <v>1103</v>
      </c>
      <c r="C166" s="128" t="s">
        <v>1104</v>
      </c>
      <c r="D166" s="128" t="s">
        <v>1105</v>
      </c>
      <c r="E166" s="128" t="s">
        <v>1105</v>
      </c>
      <c r="F166" s="128" t="s">
        <v>1105</v>
      </c>
      <c r="G166" s="128" t="s">
        <v>1105</v>
      </c>
      <c r="H166" s="128" t="s">
        <v>1105</v>
      </c>
      <c r="I166" s="128"/>
      <c r="J166" s="128" t="s">
        <v>1105</v>
      </c>
      <c r="K166" s="128"/>
      <c r="L166" s="128" t="s">
        <v>1133</v>
      </c>
      <c r="M166" s="128"/>
      <c r="N166" s="128" t="s">
        <v>1105</v>
      </c>
      <c r="O166" s="128"/>
      <c r="P166" s="128" t="s">
        <v>1105</v>
      </c>
      <c r="Q166" s="0" t="str">
        <f aca="false">IF(A166=ChoixJour!$A$5,ROW(),"")</f>
        <v/>
      </c>
    </row>
    <row r="167" customFormat="false" ht="15.55" hidden="false" customHeight="false" outlineLevel="0" collapsed="false">
      <c r="A167" s="127" t="n">
        <v>43848</v>
      </c>
      <c r="B167" s="128" t="s">
        <v>1103</v>
      </c>
      <c r="C167" s="128" t="s">
        <v>1107</v>
      </c>
      <c r="D167" s="128" t="s">
        <v>1105</v>
      </c>
      <c r="E167" s="128" t="s">
        <v>1105</v>
      </c>
      <c r="F167" s="128" t="s">
        <v>1105</v>
      </c>
      <c r="G167" s="128" t="s">
        <v>1105</v>
      </c>
      <c r="H167" s="128" t="s">
        <v>1105</v>
      </c>
      <c r="I167" s="128"/>
      <c r="J167" s="128" t="s">
        <v>1105</v>
      </c>
      <c r="K167" s="128"/>
      <c r="L167" s="128" t="s">
        <v>1133</v>
      </c>
      <c r="M167" s="128"/>
      <c r="N167" s="128" t="s">
        <v>1105</v>
      </c>
      <c r="O167" s="128"/>
      <c r="P167" s="128" t="s">
        <v>1105</v>
      </c>
      <c r="Q167" s="0" t="str">
        <f aca="false">IF(A167=ChoixJour!$A$5,ROW(),"")</f>
        <v/>
      </c>
    </row>
    <row r="168" customFormat="false" ht="15.55" hidden="false" customHeight="false" outlineLevel="0" collapsed="false">
      <c r="A168" s="127" t="n">
        <v>43848</v>
      </c>
      <c r="B168" s="128" t="s">
        <v>1108</v>
      </c>
      <c r="C168" s="128"/>
      <c r="D168" s="128" t="s">
        <v>1105</v>
      </c>
      <c r="E168" s="128" t="s">
        <v>1105</v>
      </c>
      <c r="F168" s="128" t="s">
        <v>1105</v>
      </c>
      <c r="G168" s="128" t="s">
        <v>1105</v>
      </c>
      <c r="H168" s="128" t="s">
        <v>1105</v>
      </c>
      <c r="I168" s="128"/>
      <c r="J168" s="128" t="s">
        <v>1105</v>
      </c>
      <c r="K168" s="128"/>
      <c r="L168" s="128" t="s">
        <v>1133</v>
      </c>
      <c r="M168" s="128"/>
      <c r="N168" s="128" t="s">
        <v>1105</v>
      </c>
      <c r="O168" s="128"/>
      <c r="P168" s="128" t="s">
        <v>1105</v>
      </c>
      <c r="Q168" s="0" t="str">
        <f aca="false">IF(A168=ChoixJour!$A$5,ROW(),"")</f>
        <v/>
      </c>
    </row>
    <row r="169" customFormat="false" ht="15.55" hidden="false" customHeight="false" outlineLevel="0" collapsed="false">
      <c r="A169" s="127" t="n">
        <v>43848</v>
      </c>
      <c r="B169" s="128" t="s">
        <v>1109</v>
      </c>
      <c r="C169" s="128"/>
      <c r="D169" s="128" t="s">
        <v>1105</v>
      </c>
      <c r="E169" s="128" t="s">
        <v>1105</v>
      </c>
      <c r="F169" s="128" t="s">
        <v>1105</v>
      </c>
      <c r="G169" s="128" t="s">
        <v>1105</v>
      </c>
      <c r="H169" s="128" t="s">
        <v>1105</v>
      </c>
      <c r="I169" s="128"/>
      <c r="J169" s="128" t="s">
        <v>1105</v>
      </c>
      <c r="K169" s="128"/>
      <c r="L169" s="128" t="s">
        <v>1133</v>
      </c>
      <c r="M169" s="128"/>
      <c r="N169" s="128" t="s">
        <v>1105</v>
      </c>
      <c r="O169" s="128"/>
      <c r="P169" s="128" t="s">
        <v>1105</v>
      </c>
      <c r="Q169" s="0" t="str">
        <f aca="false">IF(A169=ChoixJour!$A$5,ROW(),"")</f>
        <v/>
      </c>
    </row>
    <row r="170" customFormat="false" ht="15.55" hidden="false" customHeight="false" outlineLevel="0" collapsed="false">
      <c r="A170" s="127" t="n">
        <v>43848</v>
      </c>
      <c r="B170" s="128" t="s">
        <v>1110</v>
      </c>
      <c r="C170" s="128"/>
      <c r="D170" s="128" t="s">
        <v>1105</v>
      </c>
      <c r="E170" s="128" t="s">
        <v>1105</v>
      </c>
      <c r="F170" s="128" t="s">
        <v>1105</v>
      </c>
      <c r="G170" s="128" t="s">
        <v>1105</v>
      </c>
      <c r="H170" s="128" t="s">
        <v>1105</v>
      </c>
      <c r="I170" s="128"/>
      <c r="J170" s="128" t="s">
        <v>1105</v>
      </c>
      <c r="K170" s="128"/>
      <c r="L170" s="128" t="s">
        <v>1134</v>
      </c>
      <c r="M170" s="128"/>
      <c r="N170" s="128" t="s">
        <v>1105</v>
      </c>
      <c r="O170" s="128"/>
      <c r="P170" s="128" t="s">
        <v>1105</v>
      </c>
      <c r="Q170" s="0" t="str">
        <f aca="false">IF(A170=ChoixJour!$A$5,ROW(),"")</f>
        <v/>
      </c>
    </row>
    <row r="171" customFormat="false" ht="15.55" hidden="false" customHeight="false" outlineLevel="0" collapsed="false">
      <c r="A171" s="127" t="n">
        <v>43848</v>
      </c>
      <c r="B171" s="128" t="s">
        <v>1111</v>
      </c>
      <c r="C171" s="128"/>
      <c r="D171" s="128" t="s">
        <v>1105</v>
      </c>
      <c r="E171" s="128" t="s">
        <v>1118</v>
      </c>
      <c r="F171" s="128" t="s">
        <v>1118</v>
      </c>
      <c r="G171" s="128" t="s">
        <v>1105</v>
      </c>
      <c r="H171" s="128" t="s">
        <v>1105</v>
      </c>
      <c r="I171" s="128"/>
      <c r="J171" s="128" t="s">
        <v>1105</v>
      </c>
      <c r="K171" s="128"/>
      <c r="L171" s="128" t="s">
        <v>1133</v>
      </c>
      <c r="M171" s="128"/>
      <c r="N171" s="128" t="s">
        <v>1105</v>
      </c>
      <c r="O171" s="128"/>
      <c r="P171" s="128" t="s">
        <v>1105</v>
      </c>
      <c r="Q171" s="0" t="str">
        <f aca="false">IF(A171=ChoixJour!$A$5,ROW(),"")</f>
        <v/>
      </c>
    </row>
    <row r="172" customFormat="false" ht="15.55" hidden="false" customHeight="false" outlineLevel="0" collapsed="false">
      <c r="A172" s="127" t="n">
        <v>43848</v>
      </c>
      <c r="B172" s="128" t="s">
        <v>33</v>
      </c>
      <c r="C172" s="128"/>
      <c r="D172" s="128" t="s">
        <v>1105</v>
      </c>
      <c r="E172" s="128" t="s">
        <v>1105</v>
      </c>
      <c r="F172" s="128" t="s">
        <v>1105</v>
      </c>
      <c r="G172" s="128" t="s">
        <v>1105</v>
      </c>
      <c r="H172" s="128" t="s">
        <v>1105</v>
      </c>
      <c r="I172" s="128"/>
      <c r="J172" s="128" t="s">
        <v>1106</v>
      </c>
      <c r="K172" s="128"/>
      <c r="L172" s="128" t="s">
        <v>1127</v>
      </c>
      <c r="M172" s="128"/>
      <c r="N172" s="128" t="s">
        <v>1105</v>
      </c>
      <c r="O172" s="128"/>
      <c r="P172" s="128" t="s">
        <v>1106</v>
      </c>
      <c r="Q172" s="0" t="str">
        <f aca="false">IF(A172=ChoixJour!$A$5,ROW(),"")</f>
        <v/>
      </c>
    </row>
    <row r="173" customFormat="false" ht="13.8" hidden="false" customHeight="false" outlineLevel="0" collapsed="false">
      <c r="A173" s="127" t="n">
        <v>43848</v>
      </c>
      <c r="B173" s="128" t="s">
        <v>1113</v>
      </c>
      <c r="C173" s="128"/>
      <c r="D173" s="128" t="s">
        <v>1105</v>
      </c>
      <c r="E173" s="128" t="s">
        <v>1105</v>
      </c>
      <c r="F173" s="128" t="s">
        <v>1105</v>
      </c>
      <c r="G173" s="128" t="s">
        <v>1105</v>
      </c>
      <c r="H173" s="128" t="s">
        <v>1105</v>
      </c>
      <c r="I173" s="128"/>
      <c r="J173" s="128" t="s">
        <v>1105</v>
      </c>
      <c r="K173" s="128"/>
      <c r="L173" s="128" t="s">
        <v>1105</v>
      </c>
      <c r="M173" s="128"/>
      <c r="N173" s="128" t="s">
        <v>1105</v>
      </c>
      <c r="O173" s="128"/>
      <c r="P173" s="128" t="s">
        <v>1105</v>
      </c>
      <c r="Q173" s="0" t="str">
        <f aca="false">IF(A173=ChoixJour!$A$5,ROW(),"")</f>
        <v/>
      </c>
    </row>
    <row r="174" customFormat="false" ht="13.8" hidden="false" customHeight="false" outlineLevel="0" collapsed="false">
      <c r="A174" s="127" t="n">
        <v>43848</v>
      </c>
      <c r="B174" s="128" t="s">
        <v>1114</v>
      </c>
      <c r="C174" s="128"/>
      <c r="D174" s="128"/>
      <c r="E174" s="128"/>
      <c r="F174" s="128"/>
      <c r="G174" s="128"/>
      <c r="H174" s="128"/>
      <c r="I174" s="128"/>
      <c r="J174" s="128"/>
      <c r="K174" s="128"/>
      <c r="L174" s="128"/>
      <c r="M174" s="128"/>
      <c r="N174" s="128"/>
      <c r="O174" s="128"/>
      <c r="P174" s="128"/>
      <c r="Q174" s="0" t="str">
        <f aca="false">IF(A174=ChoixJour!$A$5,ROW(),"")</f>
        <v/>
      </c>
    </row>
    <row r="175" customFormat="false" ht="13.8" hidden="false" customHeight="false" outlineLevel="0" collapsed="false">
      <c r="A175" s="127" t="n">
        <v>43848</v>
      </c>
      <c r="B175" s="128" t="s">
        <v>1115</v>
      </c>
      <c r="C175" s="128"/>
      <c r="D175" s="128"/>
      <c r="E175" s="128"/>
      <c r="F175" s="128"/>
      <c r="G175" s="128"/>
      <c r="H175" s="128"/>
      <c r="I175" s="128"/>
      <c r="J175" s="128"/>
      <c r="K175" s="128"/>
      <c r="L175" s="128"/>
      <c r="M175" s="128"/>
      <c r="N175" s="128"/>
      <c r="O175" s="128"/>
      <c r="P175" s="128"/>
      <c r="Q175" s="0" t="str">
        <f aca="false">IF(A175=ChoixJour!$A$5,ROW(),"")</f>
        <v/>
      </c>
    </row>
    <row r="176" customFormat="false" ht="13.8" hidden="false" customHeight="false" outlineLevel="0" collapsed="false">
      <c r="A176" s="127" t="n">
        <v>43848</v>
      </c>
      <c r="B176" s="128" t="s">
        <v>1116</v>
      </c>
      <c r="C176" s="128"/>
      <c r="D176" s="128"/>
      <c r="E176" s="128"/>
      <c r="F176" s="128"/>
      <c r="G176" s="128"/>
      <c r="H176" s="128"/>
      <c r="I176" s="128"/>
      <c r="J176" s="128"/>
      <c r="K176" s="128"/>
      <c r="L176" s="128"/>
      <c r="M176" s="128"/>
      <c r="N176" s="128"/>
      <c r="O176" s="128"/>
      <c r="P176" s="128"/>
      <c r="Q176" s="0" t="str">
        <f aca="false">IF(A176=ChoixJour!$A$5,ROW(),"")</f>
        <v/>
      </c>
    </row>
    <row r="177" customFormat="false" ht="13.8" hidden="false" customHeight="false" outlineLevel="0" collapsed="false">
      <c r="A177" s="127" t="n">
        <v>43848</v>
      </c>
      <c r="B177" s="128" t="s">
        <v>1117</v>
      </c>
      <c r="C177" s="128"/>
      <c r="D177" s="128" t="n">
        <v>0</v>
      </c>
      <c r="E177" s="128" t="n">
        <v>0</v>
      </c>
      <c r="F177" s="128" t="n">
        <v>0</v>
      </c>
      <c r="G177" s="128" t="n">
        <v>0</v>
      </c>
      <c r="H177" s="128" t="n">
        <v>0</v>
      </c>
      <c r="I177" s="128" t="n">
        <v>1</v>
      </c>
      <c r="J177" s="128" t="n">
        <v>0</v>
      </c>
      <c r="K177" s="128" t="n">
        <v>0</v>
      </c>
      <c r="L177" s="128" t="n">
        <v>0</v>
      </c>
      <c r="M177" s="128" t="n">
        <v>0</v>
      </c>
      <c r="N177" s="128" t="n">
        <v>0</v>
      </c>
      <c r="O177" s="128" t="n">
        <v>0</v>
      </c>
      <c r="P177" s="128" t="n">
        <v>1</v>
      </c>
      <c r="Q177" s="0" t="str">
        <f aca="false">IF(A177=ChoixJour!$A$5,ROW(),"")</f>
        <v/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M1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J13" activeCellId="0" sqref="J13"/>
    </sheetView>
  </sheetViews>
  <sheetFormatPr defaultRowHeight="15" zeroHeight="false" outlineLevelRow="0" outlineLevelCol="0"/>
  <cols>
    <col collapsed="false" customWidth="true" hidden="false" outlineLevel="0" max="1" min="1" style="0" width="8.95"/>
    <col collapsed="false" customWidth="true" hidden="false" outlineLevel="0" max="2" min="2" style="0" width="11.34"/>
    <col collapsed="false" customWidth="true" hidden="false" outlineLevel="0" max="1025" min="3" style="0" width="8.95"/>
  </cols>
  <sheetData>
    <row r="1" customFormat="false" ht="15" hidden="false" customHeight="false" outlineLevel="0" collapsed="false">
      <c r="A1" s="1"/>
      <c r="B1" s="1"/>
      <c r="C1" s="55" t="s">
        <v>1135</v>
      </c>
      <c r="D1" s="55"/>
      <c r="E1" s="55"/>
      <c r="F1" s="55"/>
      <c r="G1" s="55"/>
      <c r="H1" s="55"/>
      <c r="I1" s="55"/>
      <c r="J1" s="31" t="s">
        <v>1136</v>
      </c>
      <c r="K1" s="133" t="s">
        <v>1137</v>
      </c>
      <c r="L1" s="133"/>
    </row>
    <row r="2" customFormat="false" ht="15" hidden="false" customHeight="false" outlineLevel="0" collapsed="false">
      <c r="A2" s="1"/>
      <c r="B2" s="1"/>
      <c r="C2" s="55"/>
      <c r="D2" s="55"/>
      <c r="E2" s="55"/>
      <c r="F2" s="55"/>
      <c r="G2" s="55"/>
      <c r="H2" s="55"/>
      <c r="I2" s="55"/>
      <c r="J2" s="31" t="s">
        <v>100</v>
      </c>
      <c r="K2" s="133" t="s">
        <v>1138</v>
      </c>
      <c r="L2" s="133"/>
    </row>
    <row r="3" customFormat="false" ht="15" hidden="false" customHeight="false" outlineLevel="0" collapsed="false">
      <c r="A3" s="1"/>
      <c r="B3" s="1"/>
      <c r="C3" s="55"/>
      <c r="D3" s="55"/>
      <c r="E3" s="55"/>
      <c r="F3" s="55"/>
      <c r="G3" s="55"/>
      <c r="H3" s="55"/>
      <c r="I3" s="55"/>
      <c r="J3" s="31" t="s">
        <v>1139</v>
      </c>
      <c r="K3" s="133" t="s">
        <v>1140</v>
      </c>
      <c r="L3" s="133"/>
    </row>
    <row r="4" customFormat="false" ht="15" hidden="false" customHeight="false" outlineLevel="0" collapsed="false">
      <c r="A4" s="1"/>
      <c r="B4" s="1"/>
      <c r="C4" s="55"/>
      <c r="D4" s="55"/>
      <c r="E4" s="55"/>
      <c r="F4" s="55"/>
      <c r="G4" s="55"/>
      <c r="H4" s="55"/>
      <c r="I4" s="55"/>
      <c r="J4" s="31" t="s">
        <v>1141</v>
      </c>
      <c r="K4" s="133" t="s">
        <v>1142</v>
      </c>
      <c r="L4" s="133"/>
    </row>
    <row r="6" customFormat="false" ht="13.8" hidden="false" customHeight="false" outlineLevel="0" collapsed="false"/>
    <row r="7" customFormat="false" ht="13.8" hidden="false" customHeight="false" outlineLevel="0" collapsed="false"/>
    <row r="8" customFormat="false" ht="13.8" hidden="false" customHeight="false" outlineLevel="0" collapsed="false">
      <c r="A8" s="134"/>
      <c r="B8" s="135" t="n">
        <v>43831</v>
      </c>
      <c r="C8" s="135" t="n">
        <v>43862</v>
      </c>
      <c r="D8" s="135" t="n">
        <v>43891</v>
      </c>
      <c r="E8" s="135" t="n">
        <v>43922</v>
      </c>
      <c r="F8" s="135" t="n">
        <v>43952</v>
      </c>
      <c r="G8" s="135" t="n">
        <v>43983</v>
      </c>
      <c r="H8" s="135" t="n">
        <v>44013</v>
      </c>
      <c r="I8" s="135" t="n">
        <v>44044</v>
      </c>
      <c r="J8" s="135" t="n">
        <v>44075</v>
      </c>
      <c r="K8" s="135" t="n">
        <v>44105</v>
      </c>
      <c r="L8" s="135" t="n">
        <v>44136</v>
      </c>
      <c r="M8" s="135" t="n">
        <v>44166</v>
      </c>
    </row>
    <row r="9" customFormat="false" ht="13.8" hidden="false" customHeight="false" outlineLevel="0" collapsed="false">
      <c r="A9" s="134"/>
      <c r="B9" s="135"/>
      <c r="C9" s="135"/>
      <c r="D9" s="135"/>
      <c r="E9" s="135"/>
      <c r="F9" s="135"/>
      <c r="G9" s="135"/>
      <c r="H9" s="135"/>
      <c r="I9" s="135"/>
      <c r="J9" s="135"/>
      <c r="K9" s="135"/>
      <c r="L9" s="135"/>
      <c r="M9" s="135"/>
    </row>
    <row r="10" customFormat="false" ht="45.65" hidden="false" customHeight="true" outlineLevel="0" collapsed="false">
      <c r="A10" s="136" t="s">
        <v>1143</v>
      </c>
      <c r="B10" s="137" t="n">
        <f aca="false">SUMIFS(bd!V:V,bd!A:A,"&gt;="&amp;B8,bd!A:A,"&lt;="&amp;EOMONTH(B8,0))</f>
        <v>48003</v>
      </c>
      <c r="C10" s="137" t="n">
        <f aca="false">SUMIFS(bd!W:W,bd!B:B,"&gt;="&amp;C8,bd!B:B,"&lt;="&amp;EOMONTH(C8,0))</f>
        <v>0</v>
      </c>
      <c r="D10" s="137" t="n">
        <f aca="false">SUMIFS(bd!X:X,bd!C:C,"&gt;="&amp;D8,bd!C:C,"&lt;="&amp;EOMONTH(D8,0))</f>
        <v>0</v>
      </c>
      <c r="E10" s="137" t="n">
        <f aca="false">SUMIFS(bd!Y:Y,bd!D:D,"&gt;="&amp;E8,bd!D:D,"&lt;="&amp;EOMONTH(E8,0))</f>
        <v>0</v>
      </c>
      <c r="F10" s="137" t="n">
        <f aca="false">SUMIFS(bd!Z:Z,bd!E:E,"&gt;="&amp;F8,bd!E:E,"&lt;="&amp;EOMONTH(F8,0))</f>
        <v>0</v>
      </c>
      <c r="G10" s="137" t="n">
        <f aca="false">SUMIFS(bd!AA:AA,bd!F:F,"&gt;="&amp;G8,bd!F:F,"&lt;="&amp;EOMONTH(G8,0))</f>
        <v>0</v>
      </c>
      <c r="H10" s="137" t="n">
        <f aca="false">SUMIFS(bd!AB:AB,bd!G:G,"&gt;="&amp;H8,bd!G:G,"&lt;="&amp;EOMONTH(H8,0))</f>
        <v>0</v>
      </c>
      <c r="I10" s="137" t="n">
        <f aca="false">SUMIFS(bd!AC:AC,bd!H:H,"&gt;="&amp;I8,bd!H:H,"&lt;="&amp;EOMONTH(I8,0))</f>
        <v>0</v>
      </c>
      <c r="J10" s="137" t="n">
        <f aca="false">SUMIFS(bd!AD:AD,bd!I:I,"&gt;="&amp;J8,bd!I:I,"&lt;="&amp;EOMONTH(J8,0))</f>
        <v>0</v>
      </c>
      <c r="K10" s="137" t="n">
        <f aca="false">SUMIFS(bd!AE:AE,bd!J:J,"&gt;="&amp;K8,bd!J:J,"&lt;="&amp;EOMONTH(K8,0))</f>
        <v>0</v>
      </c>
      <c r="L10" s="137" t="n">
        <f aca="false">SUMIFS(bd!AF:AF,bd!K:K,"&gt;="&amp;L8,bd!K:K,"&lt;="&amp;EOMONTH(L8,0))</f>
        <v>0</v>
      </c>
      <c r="M10" s="137" t="n">
        <f aca="false">SUMIFS(bd!AG:AG,bd!L:L,"&gt;="&amp;M8,bd!L:L,"&lt;="&amp;EOMONTH(M8,0))</f>
        <v>0</v>
      </c>
    </row>
    <row r="11" customFormat="false" ht="45.65" hidden="false" customHeight="true" outlineLevel="0" collapsed="false">
      <c r="A11" s="138" t="s">
        <v>1144</v>
      </c>
      <c r="B11" s="139" t="n">
        <f aca="false">SUMIFS(bd!U:U,bd!A:A,"&gt;="&amp;B8,bd!A:A,"&lt;="&amp;EOMONTH(B8,0))</f>
        <v>135</v>
      </c>
      <c r="C11" s="139" t="n">
        <f aca="false">SUMIFS(bd!V:V,bd!B:B,"&gt;="&amp;C8,bd!B:B,"&lt;="&amp;EOMONTH(C8,0))</f>
        <v>0</v>
      </c>
      <c r="D11" s="139" t="n">
        <f aca="false">SUMIFS(bd!W:W,bd!C:C,"&gt;="&amp;D8,bd!C:C,"&lt;="&amp;EOMONTH(D8,0))</f>
        <v>0</v>
      </c>
      <c r="E11" s="139" t="n">
        <f aca="false">SUMIFS(bd!X:X,bd!D:D,"&gt;="&amp;E8,bd!D:D,"&lt;="&amp;EOMONTH(E8,0))</f>
        <v>0</v>
      </c>
      <c r="F11" s="139" t="n">
        <f aca="false">SUMIFS(bd!Y:Y,bd!E:E,"&gt;="&amp;F8,bd!E:E,"&lt;="&amp;EOMONTH(F8,0))</f>
        <v>0</v>
      </c>
      <c r="G11" s="139" t="n">
        <f aca="false">SUMIFS(bd!Z:Z,bd!F:F,"&gt;="&amp;G8,bd!F:F,"&lt;="&amp;EOMONTH(G8,0))</f>
        <v>0</v>
      </c>
      <c r="H11" s="139" t="n">
        <f aca="false">SUMIFS(bd!AA:AA,bd!G:G,"&gt;="&amp;H8,bd!G:G,"&lt;="&amp;EOMONTH(H8,0))</f>
        <v>0</v>
      </c>
      <c r="I11" s="139" t="n">
        <f aca="false">SUMIFS(bd!AB:AB,bd!H:H,"&gt;="&amp;I8,bd!H:H,"&lt;="&amp;EOMONTH(I8,0))</f>
        <v>0</v>
      </c>
      <c r="J11" s="139" t="n">
        <f aca="false">SUMIFS(bd!AC:AC,bd!I:I,"&gt;="&amp;J8,bd!I:I,"&lt;="&amp;EOMONTH(J8,0))</f>
        <v>0</v>
      </c>
      <c r="K11" s="139" t="n">
        <f aca="false">SUMIFS(bd!AD:AD,bd!J:J,"&gt;="&amp;K8,bd!J:J,"&lt;="&amp;EOMONTH(K8,0))</f>
        <v>0</v>
      </c>
      <c r="L11" s="139" t="n">
        <f aca="false">SUMIFS(bd!AE:AE,bd!K:K,"&gt;="&amp;L8,bd!K:K,"&lt;="&amp;EOMONTH(L8,0))</f>
        <v>0</v>
      </c>
      <c r="M11" s="139" t="n">
        <f aca="false">SUMIFS(bd!AF:AF,bd!L:L,"&gt;="&amp;M8,bd!L:L,"&lt;="&amp;EOMONTH(M8,0))</f>
        <v>0</v>
      </c>
    </row>
    <row r="12" customFormat="false" ht="45.65" hidden="false" customHeight="true" outlineLevel="0" collapsed="false">
      <c r="A12" s="138" t="s">
        <v>1145</v>
      </c>
      <c r="B12" s="140" t="n">
        <f aca="false">IF(B10=0,"",B11/B10)</f>
        <v>0.00281232422973564</v>
      </c>
      <c r="C12" s="140" t="str">
        <f aca="false">IF(C10=0,"",C11/C10)</f>
        <v/>
      </c>
      <c r="D12" s="140" t="str">
        <f aca="false">IF(D10=0,"",D11/D10)</f>
        <v/>
      </c>
      <c r="E12" s="140" t="str">
        <f aca="false">IF(E10=0,"",E11/E10)</f>
        <v/>
      </c>
      <c r="F12" s="140" t="str">
        <f aca="false">IF(F10=0,"",F11/F10)</f>
        <v/>
      </c>
      <c r="G12" s="140" t="str">
        <f aca="false">IF(G10=0,"",G11/G10)</f>
        <v/>
      </c>
      <c r="H12" s="140" t="str">
        <f aca="false">IF(H10=0,"",H11/H10)</f>
        <v/>
      </c>
      <c r="I12" s="140" t="str">
        <f aca="false">IF(I10=0,"",I11/I10)</f>
        <v/>
      </c>
      <c r="J12" s="140" t="str">
        <f aca="false">IF(J10=0,"",J11/J10)</f>
        <v/>
      </c>
      <c r="K12" s="140" t="str">
        <f aca="false">IF(K10=0,"",K11/K10)</f>
        <v/>
      </c>
      <c r="L12" s="140" t="str">
        <f aca="false">IF(L10=0,"",L11/L10)</f>
        <v/>
      </c>
      <c r="M12" s="140" t="str">
        <f aca="false">IF(M10=0,"",M11/M10)</f>
        <v/>
      </c>
    </row>
    <row r="15" customFormat="false" ht="13.8" hidden="false" customHeight="false" outlineLevel="0" collapsed="false"/>
    <row r="16" customFormat="false" ht="13.8" hidden="false" customHeight="false" outlineLevel="0" collapsed="false"/>
    <row r="17" customFormat="false" ht="13.8" hidden="false" customHeight="false" outlineLevel="0" collapsed="false">
      <c r="B17" s="141"/>
      <c r="C17" s="142"/>
      <c r="G17" s="143" t="s">
        <v>1146</v>
      </c>
      <c r="H17" s="144" t="n">
        <v>0.01</v>
      </c>
    </row>
  </sheetData>
  <mergeCells count="19">
    <mergeCell ref="A1:B4"/>
    <mergeCell ref="C1:I4"/>
    <mergeCell ref="K1:L1"/>
    <mergeCell ref="K2:L2"/>
    <mergeCell ref="K3:L3"/>
    <mergeCell ref="K4:L4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J8:J9"/>
    <mergeCell ref="K8:K9"/>
    <mergeCell ref="L8:L9"/>
    <mergeCell ref="M8:M9"/>
  </mergeCell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2020-01-22T00:28:14Z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