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customXml/item1.xml" ContentType="application/xml"/>
  <Override PartName="/customXml/itemProps1.xml" ContentType="application/vnd.openxmlformats-officedocument.customXmlProperties+xml"/>
  <Override PartName="/customXml/_rels/item1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5" Type="http://schemas.openxmlformats.org/officeDocument/2006/relationships/customXml" Target="../customXml/item1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euille 1" sheetId="1" state="visible" r:id="rId2"/>
    <sheet name="Feuille 2" sheetId="2" state="visible" r:id="rId3"/>
    <sheet name="feuille 3" sheetId="3" state="visible" r:id="rId4"/>
  </sheets>
  <definedNames>
    <definedName function="false" hidden="false" name="ENTA" vbProcedure="false">'feuille 1'!$B$3:$O$11</definedName>
    <definedName function="false" hidden="false" name="ENTB" vbProcedure="false">'feuille 1'!$B$14:$O$22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<sst xmlns="http://schemas.openxmlformats.org/spreadsheetml/2006/main" count="63" uniqueCount="24">
  <si>
    <t xml:space="preserve">ENTA</t>
  </si>
  <si>
    <t xml:space="preserve">JANVIER</t>
  </si>
  <si>
    <t xml:space="preserve">FEVRIER</t>
  </si>
  <si>
    <t xml:space="preserve">MARS</t>
  </si>
  <si>
    <t xml:space="preserve">AVRIL</t>
  </si>
  <si>
    <t xml:space="preserve">MAI </t>
  </si>
  <si>
    <t xml:space="preserve">JUIN</t>
  </si>
  <si>
    <t xml:space="preserve">JUILLET</t>
  </si>
  <si>
    <t xml:space="preserve">AOUT</t>
  </si>
  <si>
    <t xml:space="preserve">SEPTEMBRE</t>
  </si>
  <si>
    <t xml:space="preserve">OCTOBRE</t>
  </si>
  <si>
    <t xml:space="preserve">NOVEMBRE</t>
  </si>
  <si>
    <t xml:space="preserve">DECEMBRE</t>
  </si>
  <si>
    <t xml:space="preserve">TOTAL</t>
  </si>
  <si>
    <t xml:space="preserve">VENTES TTC</t>
  </si>
  <si>
    <t xml:space="preserve">VENTES HT</t>
  </si>
  <si>
    <t xml:space="preserve">ACHATS HT</t>
  </si>
  <si>
    <t xml:space="preserve">STOCKS INI</t>
  </si>
  <si>
    <t xml:space="preserve">STOCKS FIN </t>
  </si>
  <si>
    <t xml:space="preserve">MARGE VALEUR</t>
  </si>
  <si>
    <t xml:space="preserve">MARGE %</t>
  </si>
  <si>
    <t xml:space="preserve">Tx evolution CA</t>
  </si>
  <si>
    <t xml:space="preserve">ENTB</t>
  </si>
  <si>
    <t xml:space="preserve">DOMAINES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</si>
</sst>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0\ %"/>
    <numFmt numFmtId="166" formatCode="0.00"/>
    <numFmt numFmtId="167" formatCode="_-* #,##0.00&quot; €&quot;_-;\-* #,##0.00&quot; €&quot;_-;_-* \-??&quot; €&quot;_-;_-@_-"/>
    <numFmt numFmtId="168" formatCode="0.00\ %"/>
    <numFmt numFmtId="169" formatCode="#,##0.00\ [$€-40C];[RED]\-#,##0.00\ [$€-40C]"/>
  </numFmts>
  <fonts count="10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sz val="14"/>
      <color rgb="FF000000"/>
      <name val="Arial"/>
      <family val="2"/>
      <charset val="1"/>
    </font>
    <font>
      <sz val="8"/>
      <name val="Arial"/>
      <family val="2"/>
      <charset val="1"/>
    </font>
    <font>
      <b val="true"/>
      <sz val="10"/>
      <color rgb="FF555555"/>
      <name val="Arial"/>
      <family val="2"/>
      <charset val="1"/>
    </font>
    <font>
      <sz val="10"/>
      <color rgb="FF555555"/>
      <name val="Arial"/>
      <family val="2"/>
      <charset val="1"/>
    </font>
    <font>
      <sz val="10"/>
      <color rgb="FF000000"/>
      <name val="Arial"/>
      <family val="2"/>
      <charset val="1"/>
    </font>
  </fonts>
  <fills count="8">
    <fill>
      <patternFill patternType="none"/>
    </fill>
    <fill>
      <patternFill patternType="gray125"/>
    </fill>
    <fill>
      <patternFill patternType="solid">
        <fgColor rgb="FFF8CBAD"/>
        <bgColor rgb="FFC0C0C0"/>
      </patternFill>
    </fill>
    <fill>
      <patternFill patternType="solid">
        <fgColor rgb="FFC0C0C0"/>
        <bgColor rgb="FFCCCCFF"/>
      </patternFill>
    </fill>
    <fill>
      <patternFill patternType="solid">
        <fgColor rgb="FFFFFFFF"/>
        <bgColor rgb="FFF0FFFF"/>
      </patternFill>
    </fill>
    <fill>
      <patternFill patternType="solid">
        <fgColor rgb="FFCCFFFF"/>
        <bgColor rgb="FFCCFFFF"/>
      </patternFill>
    </fill>
    <fill>
      <patternFill patternType="solid">
        <fgColor rgb="FFA9D18E"/>
        <bgColor rgb="FFC0C0C0"/>
      </patternFill>
    </fill>
    <fill>
      <patternFill patternType="solid">
        <fgColor rgb="FFF0FFFF"/>
        <bgColor rgb="FFFFFFFF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167" fontId="0" fillId="0" borderId="0" applyFont="true" applyBorder="false" applyAlignment="true" applyProtection="false">
      <alignment horizontal="general" vertical="bottom" textRotation="0" wrapText="false" indent="0" shrinkToFit="false"/>
    </xf>
    <xf numFmtId="42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2" xfId="2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4" fillId="3" borderId="3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3" borderId="4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5" xfId="2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4" fillId="4" borderId="6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4" fillId="0" borderId="6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7" fillId="0" borderId="6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4" fillId="0" borderId="7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4" fillId="5" borderId="6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8" xfId="2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0" borderId="9" xfId="21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4" fillId="0" borderId="10" xfId="21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6" xfId="2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6" xfId="19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5" fillId="6" borderId="1" xfId="17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6" fillId="0" borderId="2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4" fillId="3" borderId="3" xfId="17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4" fillId="3" borderId="4" xfId="17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6" fillId="0" borderId="5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8" fillId="0" borderId="6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9" fillId="0" borderId="6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6" fillId="0" borderId="8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4" fillId="0" borderId="9" xfId="19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4" fillId="0" borderId="10" xfId="19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6" xfId="17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9" fillId="0" borderId="6" xfId="19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7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4" fillId="4" borderId="6" xfId="17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  <cellStyle name="Pourcentage 2" xfId="21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0FFFF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A9D18E"/>
      <rgbColor rgb="FFFF99CC"/>
      <rgbColor rgb="FFCC99FF"/>
      <rgbColor rgb="FFF8CBAD"/>
      <rgbColor rgb="FF3366FF"/>
      <rgbColor rgb="FF33CCCC"/>
      <rgbColor rgb="FF99CC00"/>
      <rgbColor rgb="FFFFCC00"/>
      <rgbColor rgb="FFFF9900"/>
      <rgbColor rgb="FFFF6600"/>
      <rgbColor rgb="FF555555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O22"/>
  <sheetViews>
    <sheetView showFormulas="false" showGridLines="true" showRowColHeaders="true" showZeros="true" rightToLeft="false" tabSelected="false" showOutlineSymbols="true" defaultGridColor="true" view="normal" topLeftCell="F1" colorId="64" zoomScale="100" zoomScaleNormal="100" zoomScalePageLayoutView="100" workbookViewId="0">
      <selection pane="topLeft" activeCell="C3" activeCellId="0" sqref="C3"/>
    </sheetView>
  </sheetViews>
  <sheetFormatPr defaultColWidth="10.4921875" defaultRowHeight="15" zeroHeight="false" outlineLevelRow="0" outlineLevelCol="0"/>
  <cols>
    <col collapsed="false" customWidth="true" hidden="false" outlineLevel="0" max="1" min="1" style="0" width="3.36"/>
    <col collapsed="false" customWidth="true" hidden="false" outlineLevel="0" max="2" min="2" style="0" width="13.48"/>
    <col collapsed="false" customWidth="true" hidden="false" outlineLevel="0" max="3" min="3" style="0" width="12.74"/>
    <col collapsed="false" customWidth="true" hidden="false" outlineLevel="0" max="4" min="4" style="0" width="13.3"/>
    <col collapsed="false" customWidth="true" hidden="false" outlineLevel="0" max="6" min="5" style="0" width="12.74"/>
    <col collapsed="false" customWidth="true" hidden="false" outlineLevel="0" max="7" min="7" style="0" width="12.45"/>
    <col collapsed="false" customWidth="true" hidden="false" outlineLevel="0" max="8" min="8" style="0" width="13.02"/>
    <col collapsed="false" customWidth="true" hidden="false" outlineLevel="0" max="9" min="9" style="0" width="13.72"/>
    <col collapsed="false" customWidth="true" hidden="false" outlineLevel="0" max="11" min="10" style="0" width="12.74"/>
    <col collapsed="false" customWidth="true" hidden="false" outlineLevel="0" max="12" min="12" style="0" width="12.6"/>
    <col collapsed="false" customWidth="true" hidden="false" outlineLevel="0" max="13" min="13" style="0" width="12.74"/>
    <col collapsed="false" customWidth="true" hidden="false" outlineLevel="0" max="14" min="14" style="0" width="13.16"/>
    <col collapsed="false" customWidth="true" hidden="false" outlineLevel="0" max="15" min="15" style="0" width="14.28"/>
  </cols>
  <sheetData>
    <row r="1" customFormat="false" ht="15.75" hidden="false" customHeight="false" outlineLevel="0" collapsed="false"/>
    <row r="2" customFormat="false" ht="18.75" hidden="false" customHeight="false" outlineLevel="0" collapsed="false">
      <c r="B2" s="1" t="s">
        <v>0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customFormat="false" ht="15" hidden="false" customHeight="false" outlineLevel="0" collapsed="false">
      <c r="B3" s="2"/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11</v>
      </c>
      <c r="N3" s="3" t="s">
        <v>12</v>
      </c>
      <c r="O3" s="4" t="s">
        <v>13</v>
      </c>
    </row>
    <row r="4" customFormat="false" ht="15" hidden="false" customHeight="false" outlineLevel="0" collapsed="false">
      <c r="B4" s="5" t="s">
        <v>14</v>
      </c>
      <c r="C4" s="6" t="n">
        <v>250000</v>
      </c>
      <c r="D4" s="7" t="n">
        <v>270000</v>
      </c>
      <c r="E4" s="7" t="n">
        <v>320000</v>
      </c>
      <c r="F4" s="7" t="n">
        <v>310000</v>
      </c>
      <c r="G4" s="7" t="n">
        <v>330000</v>
      </c>
      <c r="H4" s="7" t="n">
        <v>320000</v>
      </c>
      <c r="I4" s="7" t="n">
        <v>306000</v>
      </c>
      <c r="J4" s="7" t="n">
        <v>270000</v>
      </c>
      <c r="K4" s="7" t="n">
        <v>290000</v>
      </c>
      <c r="L4" s="8" t="n">
        <v>350000</v>
      </c>
      <c r="M4" s="7" t="n">
        <v>250000</v>
      </c>
      <c r="N4" s="7" t="n">
        <v>330000</v>
      </c>
      <c r="O4" s="9" t="n">
        <f aca="false">+SUM(C4:N4)</f>
        <v>3596000</v>
      </c>
    </row>
    <row r="5" customFormat="false" ht="15" hidden="false" customHeight="false" outlineLevel="0" collapsed="false">
      <c r="B5" s="5" t="s">
        <v>15</v>
      </c>
      <c r="C5" s="7" t="n">
        <f aca="false">C4/1.2</f>
        <v>208333.333333333</v>
      </c>
      <c r="D5" s="7" t="n">
        <f aca="false">D4/1.2</f>
        <v>225000</v>
      </c>
      <c r="E5" s="7" t="n">
        <f aca="false">E4/1.2</f>
        <v>266666.666666667</v>
      </c>
      <c r="F5" s="7" t="n">
        <f aca="false">F4/1.2</f>
        <v>258333.333333333</v>
      </c>
      <c r="G5" s="7" t="n">
        <f aca="false">G4/1.2</f>
        <v>275000</v>
      </c>
      <c r="H5" s="7" t="n">
        <f aca="false">H4/1.2</f>
        <v>266666.666666667</v>
      </c>
      <c r="I5" s="7" t="n">
        <f aca="false">I4/1.2</f>
        <v>255000</v>
      </c>
      <c r="J5" s="7" t="n">
        <f aca="false">J4/1.2</f>
        <v>225000</v>
      </c>
      <c r="K5" s="7" t="n">
        <f aca="false">K4/1.2</f>
        <v>241666.666666667</v>
      </c>
      <c r="L5" s="7" t="n">
        <f aca="false">L4/1.2</f>
        <v>291666.666666667</v>
      </c>
      <c r="M5" s="7" t="n">
        <f aca="false">M4/1.2</f>
        <v>208333.333333333</v>
      </c>
      <c r="N5" s="7" t="n">
        <f aca="false">N4/1.2</f>
        <v>275000</v>
      </c>
      <c r="O5" s="9" t="n">
        <f aca="false">+SUM(C5:N5)</f>
        <v>2996666.66666667</v>
      </c>
    </row>
    <row r="6" customFormat="false" ht="15" hidden="false" customHeight="false" outlineLevel="0" collapsed="false">
      <c r="B6" s="5" t="s">
        <v>16</v>
      </c>
      <c r="C6" s="7" t="n">
        <f aca="false">8611.24+37318.8+36650.24+38246.8+26207.31+16989.98+36347.8+12503.76</f>
        <v>212875.93</v>
      </c>
      <c r="D6" s="7" t="n">
        <f aca="false">38668.54+25075.62+39114.4+18381.05+15060.77+9349.64+41804.9+38360.76</f>
        <v>225815.68</v>
      </c>
      <c r="E6" s="7" t="n">
        <f aca="false">38733.9+38705.27+35025.78+6975.6+15294.17+41989.63+12962.36+14012.47+44705.6-232.52</f>
        <v>248172.26</v>
      </c>
      <c r="F6" s="7" t="n">
        <f aca="false">16320.27+31877.44+45041.32+36707.03+9551.93+10764.8+44288.2+13131.39+37353.2+16682.48</f>
        <v>261718.06</v>
      </c>
      <c r="G6" s="7" t="n">
        <f aca="false">26194.83+42097.48+17886.98+27372.66+10716.34+13253.06+39721.16+22193.91+42564.46+43168</f>
        <v>285168.88</v>
      </c>
      <c r="H6" s="7" t="n">
        <f aca="false">16250.67+37001.7+13552.42+11349.06+42630.21+11256.86+41920.95+17190.83+41242.8</f>
        <v>232395.5</v>
      </c>
      <c r="I6" s="7" t="n">
        <f aca="false">20632+6866.2+42971.4+41193.4+11610.86+25381.11+25413.33+41467.8+13647.66+25174.91+6787.8</f>
        <v>261146.47</v>
      </c>
      <c r="J6" s="7" t="n">
        <f aca="false">30217.02+12618.66+30924.44+17736.69+36490.35+10152.4+39852.81+11329.25+36431.7</f>
        <v>225753.32</v>
      </c>
      <c r="K6" s="7" t="n">
        <f aca="false">8011.14+40668.4+11316+23998.91+41631.3+9166.73+41058.3+16375.27+38392.9+20845.29</f>
        <v>251464.24</v>
      </c>
      <c r="L6" s="7" t="n">
        <v>290761.07</v>
      </c>
      <c r="M6" s="7" t="n">
        <f aca="false">196401.94-9237.33</f>
        <v>187164.61</v>
      </c>
      <c r="N6" s="7" t="n">
        <f aca="false">21041.39+41856.06+15044.37+36132.5+24495.21+36180.2+27107.43+33157.95+21137.7+34567.65-1635.02</f>
        <v>289085.44</v>
      </c>
      <c r="O6" s="9" t="n">
        <f aca="false">+SUM(C6:N6)</f>
        <v>2971521.46</v>
      </c>
    </row>
    <row r="7" customFormat="false" ht="15" hidden="false" customHeight="false" outlineLevel="0" collapsed="false">
      <c r="B7" s="5" t="s">
        <v>17</v>
      </c>
      <c r="C7" s="6" t="n">
        <v>22867.36</v>
      </c>
      <c r="D7" s="6" t="n">
        <f aca="false">C8</f>
        <v>34157.05</v>
      </c>
      <c r="E7" s="6" t="n">
        <f aca="false">D8</f>
        <v>36914.97</v>
      </c>
      <c r="F7" s="6" t="n">
        <f aca="false">E8</f>
        <v>24210.71</v>
      </c>
      <c r="G7" s="6" t="n">
        <f aca="false">F8</f>
        <v>29181.45</v>
      </c>
      <c r="H7" s="6" t="n">
        <f aca="false">G8</f>
        <v>44340.33</v>
      </c>
      <c r="I7" s="6" t="n">
        <f aca="false">H8</f>
        <v>17971.68</v>
      </c>
      <c r="J7" s="6" t="n">
        <f aca="false">I8</f>
        <v>25002.32</v>
      </c>
      <c r="K7" s="6" t="n">
        <f aca="false">J8</f>
        <v>29851.35</v>
      </c>
      <c r="L7" s="6" t="n">
        <f aca="false">K8</f>
        <v>36947.96</v>
      </c>
      <c r="M7" s="6" t="n">
        <f aca="false">L8</f>
        <v>42936.57</v>
      </c>
      <c r="N7" s="6" t="n">
        <f aca="false">M8</f>
        <v>23715.16</v>
      </c>
      <c r="O7" s="9" t="n">
        <f aca="false">+SUM(C7:N7)</f>
        <v>368096.91</v>
      </c>
    </row>
    <row r="8" customFormat="false" ht="15" hidden="false" customHeight="false" outlineLevel="0" collapsed="false">
      <c r="B8" s="5" t="s">
        <v>18</v>
      </c>
      <c r="C8" s="6" t="n">
        <v>34157.05</v>
      </c>
      <c r="D8" s="6" t="n">
        <v>36914.97</v>
      </c>
      <c r="E8" s="6" t="n">
        <v>24210.71</v>
      </c>
      <c r="F8" s="6" t="n">
        <v>29181.45</v>
      </c>
      <c r="G8" s="6" t="n">
        <v>44340.33</v>
      </c>
      <c r="H8" s="6" t="n">
        <v>17971.68</v>
      </c>
      <c r="I8" s="6" t="n">
        <v>25002.32</v>
      </c>
      <c r="J8" s="6" t="n">
        <v>29851.35</v>
      </c>
      <c r="K8" s="7" t="n">
        <v>36947.96</v>
      </c>
      <c r="L8" s="7" t="n">
        <f aca="false">42936.57</f>
        <v>42936.57</v>
      </c>
      <c r="M8" s="7" t="n">
        <f aca="false">23715.16</f>
        <v>23715.16</v>
      </c>
      <c r="N8" s="10" t="n">
        <v>39911.42</v>
      </c>
      <c r="O8" s="9" t="n">
        <f aca="false">+SUM(C8:N8)</f>
        <v>385140.97</v>
      </c>
    </row>
    <row r="9" customFormat="false" ht="15" hidden="false" customHeight="false" outlineLevel="0" collapsed="false">
      <c r="B9" s="5" t="s">
        <v>19</v>
      </c>
      <c r="C9" s="7" t="n">
        <f aca="false">C5-C6+C8-C7</f>
        <v>6747.09333333329</v>
      </c>
      <c r="D9" s="7" t="n">
        <f aca="false">D5-D6+D8-D7</f>
        <v>1942.23999999998</v>
      </c>
      <c r="E9" s="7" t="n">
        <f aca="false">E5-E6+E8-E7</f>
        <v>5790.14666666665</v>
      </c>
      <c r="F9" s="7" t="n">
        <f aca="false">F5-F6+F8-F7</f>
        <v>1586.01333333332</v>
      </c>
      <c r="G9" s="7" t="n">
        <f aca="false">G5-G6+G8-G7</f>
        <v>4990</v>
      </c>
      <c r="H9" s="7" t="n">
        <f aca="false">H5-H6+H8-H7</f>
        <v>7902.51666666669</v>
      </c>
      <c r="I9" s="7" t="n">
        <f aca="false">I5-I6+I8-I7</f>
        <v>884.170000000027</v>
      </c>
      <c r="J9" s="7" t="n">
        <f aca="false">J5-J6+J8-J7</f>
        <v>4095.70999999999</v>
      </c>
      <c r="K9" s="7" t="n">
        <f aca="false">K5-K6+K8-K7</f>
        <v>-2700.96333333333</v>
      </c>
      <c r="L9" s="7" t="n">
        <f aca="false">L5-L6+L8-L7</f>
        <v>6894.20666666668</v>
      </c>
      <c r="M9" s="7" t="n">
        <f aca="false">M5-M6+M8-M7</f>
        <v>1947.31333333333</v>
      </c>
      <c r="N9" s="7" t="n">
        <f aca="false">N5-N6+N8-N7</f>
        <v>2110.82</v>
      </c>
      <c r="O9" s="9" t="n">
        <f aca="false">+SUM(C9:N9)</f>
        <v>42189.2666666666</v>
      </c>
    </row>
    <row r="10" customFormat="false" ht="15" hidden="false" customHeight="false" outlineLevel="0" collapsed="false">
      <c r="B10" s="11" t="s">
        <v>20</v>
      </c>
      <c r="C10" s="12" t="n">
        <f aca="false">C9/C4</f>
        <v>0.0269883733333332</v>
      </c>
      <c r="D10" s="12" t="n">
        <f aca="false">D9/D4</f>
        <v>0.00719348148148139</v>
      </c>
      <c r="E10" s="12" t="n">
        <f aca="false">E9/E4</f>
        <v>0.0180942083333333</v>
      </c>
      <c r="F10" s="12" t="n">
        <f aca="false">F9/F4</f>
        <v>0.0051161720430107</v>
      </c>
      <c r="G10" s="12" t="n">
        <f aca="false">G9/G4</f>
        <v>0.0151212121212121</v>
      </c>
      <c r="H10" s="12" t="n">
        <f aca="false">H9/H4</f>
        <v>0.0246953645833334</v>
      </c>
      <c r="I10" s="12" t="n">
        <f aca="false">I9/I4</f>
        <v>0.00288944444444453</v>
      </c>
      <c r="J10" s="12" t="n">
        <f aca="false">J9/J4</f>
        <v>0.0151692962962963</v>
      </c>
      <c r="K10" s="12" t="n">
        <f aca="false">K9/K4</f>
        <v>-0.00931366666666667</v>
      </c>
      <c r="L10" s="12" t="n">
        <f aca="false">L9/L4</f>
        <v>0.0196977333333334</v>
      </c>
      <c r="M10" s="12" t="n">
        <f aca="false">M9/M4</f>
        <v>0.00778925333333333</v>
      </c>
      <c r="N10" s="12" t="n">
        <f aca="false">N9/N4</f>
        <v>0.00639642424242423</v>
      </c>
      <c r="O10" s="13" t="n">
        <f aca="false">O9/O4</f>
        <v>0.0117322766036337</v>
      </c>
    </row>
    <row r="11" customFormat="false" ht="15" hidden="false" customHeight="false" outlineLevel="0" collapsed="false">
      <c r="B11" s="14" t="s">
        <v>21</v>
      </c>
      <c r="C11" s="15"/>
      <c r="D11" s="16" t="n">
        <f aca="false">(D5-C5)/C5</f>
        <v>0.08</v>
      </c>
      <c r="E11" s="16" t="n">
        <f aca="false">(E5-D5)/D5</f>
        <v>0.185185185185185</v>
      </c>
      <c r="F11" s="16" t="n">
        <f aca="false">(F5-E5)/E5</f>
        <v>-0.03125</v>
      </c>
      <c r="G11" s="16" t="n">
        <f aca="false">(G5-F5)/F5</f>
        <v>0.064516129032258</v>
      </c>
      <c r="H11" s="16" t="n">
        <f aca="false">(H5-G5)/G5</f>
        <v>-0.0303030303030302</v>
      </c>
      <c r="I11" s="16" t="n">
        <f aca="false">(I5-H5)/H5</f>
        <v>-0.0437500000000001</v>
      </c>
      <c r="J11" s="16" t="n">
        <f aca="false">(J5-I5)/I5</f>
        <v>-0.117647058823529</v>
      </c>
      <c r="K11" s="16" t="n">
        <f aca="false">(K5-J5)/J5</f>
        <v>0.0740740740740742</v>
      </c>
      <c r="L11" s="16" t="n">
        <f aca="false">(L5-K5)/K5</f>
        <v>0.206896551724138</v>
      </c>
      <c r="M11" s="16" t="n">
        <f aca="false">(M5-L5)/L5</f>
        <v>-0.285714285714286</v>
      </c>
      <c r="N11" s="16" t="n">
        <f aca="false">(N5-M5)/M5</f>
        <v>0.32</v>
      </c>
      <c r="O11" s="15"/>
    </row>
    <row r="12" customFormat="false" ht="15.75" hidden="false" customHeight="false" outlineLevel="0" collapsed="false"/>
    <row r="13" customFormat="false" ht="18.75" hidden="false" customHeight="false" outlineLevel="0" collapsed="false">
      <c r="B13" s="17" t="s">
        <v>22</v>
      </c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</row>
    <row r="14" customFormat="false" ht="15" hidden="false" customHeight="false" outlineLevel="0" collapsed="false">
      <c r="B14" s="18"/>
      <c r="C14" s="19" t="s">
        <v>1</v>
      </c>
      <c r="D14" s="19" t="s">
        <v>2</v>
      </c>
      <c r="E14" s="19" t="s">
        <v>3</v>
      </c>
      <c r="F14" s="19" t="s">
        <v>4</v>
      </c>
      <c r="G14" s="19" t="s">
        <v>5</v>
      </c>
      <c r="H14" s="19" t="s">
        <v>6</v>
      </c>
      <c r="I14" s="19" t="s">
        <v>7</v>
      </c>
      <c r="J14" s="19" t="s">
        <v>8</v>
      </c>
      <c r="K14" s="19" t="s">
        <v>9</v>
      </c>
      <c r="L14" s="19" t="s">
        <v>10</v>
      </c>
      <c r="M14" s="19" t="s">
        <v>11</v>
      </c>
      <c r="N14" s="19" t="s">
        <v>12</v>
      </c>
      <c r="O14" s="20" t="s">
        <v>13</v>
      </c>
    </row>
    <row r="15" customFormat="false" ht="15" hidden="false" customHeight="false" outlineLevel="0" collapsed="false">
      <c r="B15" s="21" t="s">
        <v>14</v>
      </c>
      <c r="C15" s="6" t="n">
        <v>350000</v>
      </c>
      <c r="D15" s="7" t="n">
        <v>340000</v>
      </c>
      <c r="E15" s="7" t="n">
        <v>400000</v>
      </c>
      <c r="F15" s="7" t="n">
        <v>405000</v>
      </c>
      <c r="G15" s="7" t="n">
        <v>420000</v>
      </c>
      <c r="H15" s="7" t="n">
        <v>395000</v>
      </c>
      <c r="I15" s="7" t="n">
        <v>395000</v>
      </c>
      <c r="J15" s="7" t="n">
        <v>330000</v>
      </c>
      <c r="K15" s="7" t="n">
        <v>385000</v>
      </c>
      <c r="L15" s="22" t="n">
        <v>380000</v>
      </c>
      <c r="M15" s="7" t="n">
        <v>360000</v>
      </c>
      <c r="N15" s="23" t="n">
        <v>390000</v>
      </c>
      <c r="O15" s="9" t="n">
        <f aca="false">+SUM(C15:N15)</f>
        <v>4550000</v>
      </c>
    </row>
    <row r="16" customFormat="false" ht="15" hidden="false" customHeight="false" outlineLevel="0" collapsed="false">
      <c r="B16" s="21" t="s">
        <v>15</v>
      </c>
      <c r="C16" s="7" t="n">
        <f aca="false">C15/1.2</f>
        <v>291666.666666667</v>
      </c>
      <c r="D16" s="7" t="n">
        <f aca="false">D15/1.2</f>
        <v>283333.333333333</v>
      </c>
      <c r="E16" s="7" t="n">
        <f aca="false">E15/1.2</f>
        <v>333333.333333333</v>
      </c>
      <c r="F16" s="7" t="n">
        <f aca="false">F15/1.2</f>
        <v>337500</v>
      </c>
      <c r="G16" s="7" t="n">
        <f aca="false">G15/1.2</f>
        <v>350000</v>
      </c>
      <c r="H16" s="7" t="n">
        <f aca="false">H15/1.2</f>
        <v>329166.666666667</v>
      </c>
      <c r="I16" s="7" t="n">
        <f aca="false">I15/1.2</f>
        <v>329166.666666667</v>
      </c>
      <c r="J16" s="7" t="n">
        <f aca="false">J15/1.2</f>
        <v>275000</v>
      </c>
      <c r="K16" s="7" t="n">
        <f aca="false">K15/1.2</f>
        <v>320833.333333333</v>
      </c>
      <c r="L16" s="7" t="n">
        <f aca="false">L15/1.2</f>
        <v>316666.666666667</v>
      </c>
      <c r="M16" s="7" t="n">
        <f aca="false">M15/1.2</f>
        <v>300000</v>
      </c>
      <c r="N16" s="7" t="n">
        <f aca="false">N15/1.2</f>
        <v>325000</v>
      </c>
      <c r="O16" s="9" t="n">
        <f aca="false">+SUM(C16:N16)</f>
        <v>3791666.66666667</v>
      </c>
    </row>
    <row r="17" customFormat="false" ht="15" hidden="false" customHeight="false" outlineLevel="0" collapsed="false">
      <c r="B17" s="21" t="s">
        <v>16</v>
      </c>
      <c r="C17" s="7" t="n">
        <v>294996.91</v>
      </c>
      <c r="D17" s="7" t="n">
        <v>307884.66</v>
      </c>
      <c r="E17" s="7" t="n">
        <v>298869.9</v>
      </c>
      <c r="F17" s="7" t="n">
        <v>343514.39</v>
      </c>
      <c r="G17" s="7" t="n">
        <f aca="false">309475.53+37938.1</f>
        <v>347413.63</v>
      </c>
      <c r="H17" s="7" t="n">
        <f aca="false">296565.22+14000*1.1814</f>
        <v>313104.82</v>
      </c>
      <c r="I17" s="7" t="n">
        <v>340000.58</v>
      </c>
      <c r="J17" s="7" t="n">
        <v>258163.19</v>
      </c>
      <c r="K17" s="7" t="n">
        <v>317721.76</v>
      </c>
      <c r="L17" s="7" t="n">
        <f aca="false">309701.28-(4000*1.1522)+37248.2</f>
        <v>342340.68</v>
      </c>
      <c r="M17" s="7" t="n">
        <v>267854.5</v>
      </c>
      <c r="N17" s="7" t="n">
        <f aca="false">311838.7+38193.76-4608.8</f>
        <v>345423.66</v>
      </c>
      <c r="O17" s="9" t="n">
        <f aca="false">+SUM(C17:N17)</f>
        <v>3777288.68</v>
      </c>
    </row>
    <row r="18" customFormat="false" ht="15" hidden="false" customHeight="false" outlineLevel="0" collapsed="false">
      <c r="B18" s="21" t="s">
        <v>17</v>
      </c>
      <c r="C18" s="6" t="n">
        <v>37513.67</v>
      </c>
      <c r="D18" s="6" t="n">
        <f aca="false">C19</f>
        <v>39040.57</v>
      </c>
      <c r="E18" s="6" t="n">
        <f aca="false">D19</f>
        <v>63789.31</v>
      </c>
      <c r="F18" s="6" t="n">
        <f aca="false">E19</f>
        <v>31911.3</v>
      </c>
      <c r="G18" s="6" t="n">
        <v>46726.19</v>
      </c>
      <c r="H18" s="6" t="n">
        <v>44065.57</v>
      </c>
      <c r="I18" s="6" t="n">
        <f aca="false">H19</f>
        <v>34366.06</v>
      </c>
      <c r="J18" s="6" t="n">
        <f aca="false">I19</f>
        <v>47887.9</v>
      </c>
      <c r="K18" s="7" t="n">
        <f aca="false">J19</f>
        <v>31941.88</v>
      </c>
      <c r="L18" s="7" t="n">
        <f aca="false">K19</f>
        <v>33035.75</v>
      </c>
      <c r="M18" s="7" t="n">
        <f aca="false">L19</f>
        <v>63926.9</v>
      </c>
      <c r="N18" s="7" t="n">
        <f aca="false">M19</f>
        <v>39708.87</v>
      </c>
      <c r="O18" s="9" t="n">
        <f aca="false">+SUM(C18:N18)</f>
        <v>513913.97</v>
      </c>
    </row>
    <row r="19" customFormat="false" ht="15" hidden="false" customHeight="false" outlineLevel="0" collapsed="false">
      <c r="B19" s="21" t="s">
        <v>18</v>
      </c>
      <c r="C19" s="6" t="n">
        <v>39040.57</v>
      </c>
      <c r="D19" s="6" t="n">
        <v>63789.31</v>
      </c>
      <c r="E19" s="6" t="n">
        <v>31911.3</v>
      </c>
      <c r="F19" s="6" t="n">
        <v>46726.19</v>
      </c>
      <c r="G19" s="6" t="n">
        <v>44065.57</v>
      </c>
      <c r="H19" s="6" t="n">
        <v>34366.06</v>
      </c>
      <c r="I19" s="6" t="n">
        <v>47887.9</v>
      </c>
      <c r="J19" s="6" t="n">
        <v>31941.88</v>
      </c>
      <c r="K19" s="7" t="n">
        <v>33035.75</v>
      </c>
      <c r="L19" s="7" t="n">
        <v>63926.9</v>
      </c>
      <c r="M19" s="7" t="n">
        <v>39708.87</v>
      </c>
      <c r="N19" s="10" t="n">
        <v>65067.86</v>
      </c>
      <c r="O19" s="9" t="n">
        <f aca="false">+SUM(C19:N19)</f>
        <v>541468.16</v>
      </c>
    </row>
    <row r="20" customFormat="false" ht="15" hidden="false" customHeight="false" outlineLevel="0" collapsed="false">
      <c r="B20" s="21" t="s">
        <v>19</v>
      </c>
      <c r="C20" s="7" t="n">
        <f aca="false">C16-C17+C19-C18</f>
        <v>-1803.34333333329</v>
      </c>
      <c r="D20" s="7" t="n">
        <f aca="false">D16-D17+D19-D18</f>
        <v>197.413333333396</v>
      </c>
      <c r="E20" s="7" t="n">
        <f aca="false">E16-E17+E19-E18</f>
        <v>2585.42333333335</v>
      </c>
      <c r="F20" s="7" t="n">
        <f aca="false">F16-F17+F19-F18</f>
        <v>8800.49999999999</v>
      </c>
      <c r="G20" s="7" t="n">
        <f aca="false">G16-G17+G19-G18</f>
        <v>-74.2500000000073</v>
      </c>
      <c r="H20" s="7" t="n">
        <f aca="false">H16-H17+H19-H18</f>
        <v>6362.33666666674</v>
      </c>
      <c r="I20" s="7" t="n">
        <f aca="false">I16-I17+I19-I18</f>
        <v>2687.92666666667</v>
      </c>
      <c r="J20" s="7" t="n">
        <f aca="false">J16-J17+J19-J18</f>
        <v>890.790000000001</v>
      </c>
      <c r="K20" s="7" t="n">
        <f aca="false">K16-K17+K19-K18</f>
        <v>4205.44333333336</v>
      </c>
      <c r="L20" s="7" t="n">
        <f aca="false">L16-L17+L19-L18</f>
        <v>5217.13666666664</v>
      </c>
      <c r="M20" s="7" t="n">
        <f aca="false">M16-M17+M19-M18</f>
        <v>7927.46999999999</v>
      </c>
      <c r="N20" s="7" t="n">
        <f aca="false">N16-N17+N19-N18</f>
        <v>4935.32999999997</v>
      </c>
      <c r="O20" s="9" t="n">
        <f aca="false">+SUM(C20:N20)</f>
        <v>41932.1766666668</v>
      </c>
    </row>
    <row r="21" customFormat="false" ht="15" hidden="false" customHeight="false" outlineLevel="0" collapsed="false">
      <c r="B21" s="24" t="s">
        <v>20</v>
      </c>
      <c r="C21" s="25" t="n">
        <f aca="false">C20/C15</f>
        <v>-0.00515240952380939</v>
      </c>
      <c r="D21" s="25" t="n">
        <f aca="false">D20/D15</f>
        <v>0.000580627450980576</v>
      </c>
      <c r="E21" s="25" t="n">
        <f aca="false">E20/E15</f>
        <v>0.00646355833333339</v>
      </c>
      <c r="F21" s="25" t="n">
        <f aca="false">F20/F15</f>
        <v>0.0217296296296296</v>
      </c>
      <c r="G21" s="25" t="n">
        <f aca="false">G20/G15</f>
        <v>-0.000176785714285732</v>
      </c>
      <c r="H21" s="25" t="n">
        <f aca="false">H20/H15</f>
        <v>0.0161071814345993</v>
      </c>
      <c r="I21" s="25" t="n">
        <f aca="false">I20/I15</f>
        <v>0.00680487763713082</v>
      </c>
      <c r="J21" s="25" t="n">
        <f aca="false">J20/J15</f>
        <v>0.00269936363636364</v>
      </c>
      <c r="K21" s="25" t="n">
        <f aca="false">K20/K15</f>
        <v>0.0109232294372295</v>
      </c>
      <c r="L21" s="25" t="n">
        <f aca="false">L20/L15</f>
        <v>0.0137293070175438</v>
      </c>
      <c r="M21" s="25" t="n">
        <f aca="false">M20/M15</f>
        <v>0.02202075</v>
      </c>
      <c r="N21" s="25" t="n">
        <f aca="false">N20/N15</f>
        <v>0.0126546923076922</v>
      </c>
      <c r="O21" s="26" t="n">
        <f aca="false">O20/O15</f>
        <v>0.00921586300366304</v>
      </c>
    </row>
    <row r="22" customFormat="false" ht="15" hidden="false" customHeight="false" outlineLevel="0" collapsed="false">
      <c r="B22" s="27" t="s">
        <v>21</v>
      </c>
      <c r="C22" s="28"/>
      <c r="D22" s="28" t="n">
        <f aca="false">(D16-C16)/C16</f>
        <v>-0.0285714285714285</v>
      </c>
      <c r="E22" s="28" t="n">
        <f aca="false">(E16-D16)/D16</f>
        <v>0.176470588235294</v>
      </c>
      <c r="F22" s="28" t="n">
        <f aca="false">(F16-E16)/E16</f>
        <v>0.0124999999999999</v>
      </c>
      <c r="G22" s="28" t="n">
        <f aca="false">(G16-F16)/F16</f>
        <v>0.037037037037037</v>
      </c>
      <c r="H22" s="28" t="n">
        <f aca="false">(H16-G16)/G16</f>
        <v>-0.0595238095238095</v>
      </c>
      <c r="I22" s="28" t="n">
        <f aca="false">(I16-H16)/H16</f>
        <v>0</v>
      </c>
      <c r="J22" s="28" t="n">
        <f aca="false">(J16-I16)/I16</f>
        <v>-0.164556962025316</v>
      </c>
      <c r="K22" s="28" t="n">
        <f aca="false">(K16-J16)/J16</f>
        <v>0.166666666666667</v>
      </c>
      <c r="L22" s="28" t="n">
        <f aca="false">(L16-K16)/K16</f>
        <v>-0.012987012987013</v>
      </c>
      <c r="M22" s="28" t="n">
        <f aca="false">(M16-L16)/L16</f>
        <v>-0.0526315789473685</v>
      </c>
      <c r="N22" s="28" t="n">
        <f aca="false">(N16-M16)/M16</f>
        <v>0.0833333333333333</v>
      </c>
      <c r="O22" s="28"/>
    </row>
  </sheetData>
  <mergeCells count="2">
    <mergeCell ref="B2:O2"/>
    <mergeCell ref="B13:O1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3:O1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9" activeCellId="0" sqref="B9"/>
    </sheetView>
  </sheetViews>
  <sheetFormatPr defaultColWidth="10.4921875" defaultRowHeight="15" zeroHeight="false" outlineLevelRow="0" outlineLevelCol="0"/>
  <cols>
    <col collapsed="false" customWidth="true" hidden="false" outlineLevel="0" max="2" min="2" style="0" width="15.12"/>
    <col collapsed="false" customWidth="true" hidden="false" outlineLevel="0" max="3" min="3" style="0" width="13.99"/>
    <col collapsed="false" customWidth="true" hidden="false" outlineLevel="0" max="13" min="4" style="0" width="12.6"/>
    <col collapsed="false" customWidth="true" hidden="false" outlineLevel="0" max="15" min="14" style="0" width="14.14"/>
  </cols>
  <sheetData>
    <row r="3" s="30" customFormat="true" ht="13.8" hidden="false" customHeight="false" outlineLevel="0" collapsed="false">
      <c r="A3" s="29"/>
      <c r="B3" s="29" t="s">
        <v>23</v>
      </c>
      <c r="C3" s="3" t="s">
        <v>1</v>
      </c>
      <c r="D3" s="3" t="s">
        <v>2</v>
      </c>
      <c r="E3" s="3" t="s">
        <v>3</v>
      </c>
      <c r="F3" s="3" t="s">
        <v>4</v>
      </c>
      <c r="G3" s="3" t="s">
        <v>5</v>
      </c>
      <c r="H3" s="3" t="s">
        <v>6</v>
      </c>
      <c r="I3" s="3" t="s">
        <v>7</v>
      </c>
      <c r="J3" s="3" t="s">
        <v>8</v>
      </c>
      <c r="K3" s="3" t="s">
        <v>9</v>
      </c>
      <c r="L3" s="3" t="s">
        <v>10</v>
      </c>
      <c r="M3" s="3" t="s">
        <v>11</v>
      </c>
      <c r="N3" s="3" t="s">
        <v>12</v>
      </c>
      <c r="O3" s="29" t="s">
        <v>13</v>
      </c>
    </row>
    <row r="4" s="30" customFormat="true" ht="13.8" hidden="false" customHeight="false" outlineLevel="0" collapsed="false">
      <c r="A4" s="31" t="s">
        <v>0</v>
      </c>
      <c r="B4" s="32" t="s">
        <v>19</v>
      </c>
      <c r="C4" s="33" t="n">
        <f aca="false">VLOOKUP($B4,ENTA,2,0)</f>
        <v>6747.09333333329</v>
      </c>
      <c r="D4" s="33" t="n">
        <f aca="false">VLOOKUP($B4,ENTA,3,0)</f>
        <v>1942.23999999998</v>
      </c>
      <c r="E4" s="33" t="n">
        <f aca="false">VLOOKUP($B4,ENTA,4,0)</f>
        <v>5790.14666666665</v>
      </c>
      <c r="F4" s="33" t="n">
        <f aca="false">VLOOKUP($B4,ENTA,5,0)</f>
        <v>1586.01333333332</v>
      </c>
      <c r="G4" s="33" t="n">
        <f aca="false">VLOOKUP($B4,ENTA,6,0)</f>
        <v>4990</v>
      </c>
      <c r="H4" s="33" t="n">
        <f aca="false">VLOOKUP($B4,ENTA,7,0)</f>
        <v>7902.51666666669</v>
      </c>
      <c r="I4" s="33" t="n">
        <f aca="false">VLOOKUP($B4,ENTA,8,0)</f>
        <v>884.170000000027</v>
      </c>
      <c r="J4" s="33" t="n">
        <f aca="false">VLOOKUP($B4,ENTA,9,0)</f>
        <v>4095.70999999999</v>
      </c>
      <c r="K4" s="33" t="n">
        <f aca="false">VLOOKUP($B4,ENTA,10,0)</f>
        <v>-2700.96333333333</v>
      </c>
      <c r="L4" s="33" t="n">
        <f aca="false">VLOOKUP($B4,ENTA,11,0)</f>
        <v>6894.20666666668</v>
      </c>
      <c r="M4" s="33" t="n">
        <f aca="false">VLOOKUP($B4,ENTA,12,0)</f>
        <v>1947.31333333333</v>
      </c>
      <c r="N4" s="33" t="n">
        <f aca="false">VLOOKUP($B4,ENTA,13,0)</f>
        <v>2110.82</v>
      </c>
      <c r="O4" s="33" t="n">
        <f aca="false">VLOOKUP($B4,ENTA,14,0)</f>
        <v>42189.2666666666</v>
      </c>
    </row>
    <row r="5" s="30" customFormat="true" ht="13.8" hidden="false" customHeight="false" outlineLevel="0" collapsed="false">
      <c r="A5" s="31" t="s">
        <v>22</v>
      </c>
      <c r="B5" s="29" t="str">
        <f aca="false">B4</f>
        <v>MARGE VALEUR</v>
      </c>
      <c r="C5" s="33" t="n">
        <f aca="false">VLOOKUP($B5,ENTB,2,0)</f>
        <v>-1803.34333333329</v>
      </c>
      <c r="D5" s="33" t="n">
        <f aca="false">VLOOKUP($B5,ENTB,3,0)</f>
        <v>197.413333333396</v>
      </c>
      <c r="E5" s="33" t="n">
        <f aca="false">VLOOKUP($B5,ENTB,4,0)</f>
        <v>2585.42333333335</v>
      </c>
      <c r="F5" s="33" t="n">
        <f aca="false">VLOOKUP($B5,ENTB,5,0)</f>
        <v>8800.49999999999</v>
      </c>
      <c r="G5" s="33" t="n">
        <f aca="false">VLOOKUP($B5,ENTB,6,0)</f>
        <v>-74.2500000000073</v>
      </c>
      <c r="H5" s="33" t="n">
        <f aca="false">VLOOKUP($B5,ENTB,7,0)</f>
        <v>6362.33666666674</v>
      </c>
      <c r="I5" s="33" t="n">
        <f aca="false">VLOOKUP($B5,ENTB,8,0)</f>
        <v>2687.92666666667</v>
      </c>
      <c r="J5" s="33" t="n">
        <f aca="false">VLOOKUP($B5,ENTB,9,0)</f>
        <v>890.790000000001</v>
      </c>
      <c r="K5" s="33" t="n">
        <f aca="false">VLOOKUP($B5,ENTB,10,0)</f>
        <v>4205.44333333336</v>
      </c>
      <c r="L5" s="33" t="n">
        <f aca="false">VLOOKUP($B5,ENTB,11,0)</f>
        <v>5217.13666666664</v>
      </c>
      <c r="M5" s="33" t="n">
        <f aca="false">VLOOKUP($B5,ENTB,12,0)</f>
        <v>7927.46999999999</v>
      </c>
      <c r="N5" s="33" t="n">
        <f aca="false">VLOOKUP($B5,ENTB,13,0)</f>
        <v>4935.32999999997</v>
      </c>
      <c r="O5" s="33" t="n">
        <f aca="false">VLOOKUP($B5,ENTB,14,0)</f>
        <v>41932.1766666668</v>
      </c>
    </row>
    <row r="6" customFormat="false" ht="13.8" hidden="false" customHeight="false" outlineLevel="0" collapsed="false"/>
    <row r="7" customFormat="false" ht="13.8" hidden="false" customHeight="false" outlineLevel="0" collapsed="false"/>
    <row r="8" customFormat="false" ht="13.8" hidden="false" customHeight="false" outlineLevel="0" collapsed="false"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</row>
    <row r="9" customFormat="false" ht="13.8" hidden="false" customHeight="false" outlineLevel="0" collapsed="false"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</row>
    <row r="10" customFormat="false" ht="13.8" hidden="false" customHeight="false" outlineLevel="0" collapsed="false"/>
  </sheetData>
  <dataValidations count="2">
    <dataValidation allowBlank="true" operator="between" showDropDown="false" showErrorMessage="true" showInputMessage="true" sqref="A4:A5" type="list">
      <formula1>'feuille 3'!$A$1:$A$3</formula1>
      <formula2>0</formula2>
    </dataValidation>
    <dataValidation allowBlank="true" operator="between" showDropDown="false" showErrorMessage="true" showInputMessage="true" sqref="B4" type="list">
      <formula1>'feuille 1'!$B$4:$B$11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3" activeCellId="0" sqref="A3"/>
    </sheetView>
  </sheetViews>
  <sheetFormatPr defaultColWidth="10.4921875" defaultRowHeight="15" zeroHeight="false" outlineLevelRow="0" outlineLevelCol="0"/>
  <sheetData>
    <row r="1" customFormat="false" ht="15" hidden="false" customHeight="false" outlineLevel="0" collapsed="false">
      <c r="A1" s="0" t="s">
        <v>0</v>
      </c>
    </row>
    <row r="2" customFormat="false" ht="15" hidden="false" customHeight="false" outlineLevel="0" collapsed="false">
      <c r="A2" s="0" t="s">
        <v>22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customXml/_rels/item1.xml.rels><?xml version="1.0" encoding="UTF-8"?>
<Relationships xmlns="http://schemas.openxmlformats.org/package/2006/relationships"><Relationship Id="rId1" Type="http://schemas.openxmlformats.org/officeDocument/2006/relationships/customXmlProps" Target="itemProps1.xml"/>
</Relationships>
</file>

<file path=customXml/item1.xml><?xml version="1.0" encoding="utf-8"?>
<DataMashup xmlns="http://schemas.microsoft.com/DataMashup">AAAAABgDAABQSwMEFAACAAgAxGZ5UPnzgtSoAAAA+AAAABIAHABDb25maWcvUGFja2FnZS54bWwgohgAKKAUAAAAAAAAAAAAAAAAAAAAAAAAAAAAhY8xDoIwGEavQrrTFsRAyE8ZTJwkMZoY16YWaIRiaLHczcEjeQVJFHVz/F7e8L7H7Q752DbeVfZGdTpDAabIk1p0J6WrDA229BOUM9hyceaV9CZZm3Q0pwzV1l5SQpxz2C1w11ckpDQgx2KzF7VsOfrI6r/sK20s10IiBodXDAtxnOBlHFEcJQGQGUOh9FcJp2JMgfxAWA2NHXrJyt5f74DME8j7BXsCUEsDBBQAAgAIAMRmeVAPyumrpAAAAOkAAAATABwAW0NvbnRlbnRfVHlwZXNdLnhtbCCiGAAooBQAAAAAAAAAAAAAAAAAAAAAAAAAAABtjksOwjAMRK8SeZ+6sEAINWUB3IALRMH9iOajxkXhbCw4ElcgbXeIpWfmeebzelfHZAfxoDH23inYFCUIcsbfetcqmLiRezjW1fUZKIocdVFBxxwOiNF0ZHUsfCCXncaPVnM+xxaDNnfdEm7LcofGOybHkucfUFdnavQ0sLikLK+1GQdxWnNzlQKmxLjI+JewP3kdwtAbzdnEJG2UdiFxGV5/AVBLAwQUAAIACADEZnlQKIpHuA4AAAARAAAAEwAcAEZvcm11bGFzL1NlY3Rpb24xLm0gohgAKKAUAAAAAAAAAAAAAAAAAAAAAAAAAAAAK05NLsnMz1MIhtCG1gBQSwECLQAUAAIACADEZnlQ+fOC1KgAAAD4AAAAEgAAAAAAAAAAAAAAAAAAAAAAQ29uZmlnL1BhY2thZ2UueG1sUEsBAi0AFAACAAgAxGZ5UA/K6aukAAAA6QAAABMAAAAAAAAAAAAAAAAA9AAAAFtDb250ZW50X1R5cGVzXS54bWxQSwECLQAUAAIACADEZnlQKIpHuA4AAAARAAAAEwAAAAAAAAAAAAAAAADlAQAARm9ybXVsYXMvU2VjdGlvbjEubVBLBQYAAAAAAwADAMIAAABAAgAAAAAQAQAA77u/PD94bWwgdmVyc2lvbj0iMS4wIiBlbmNvZGluZz0idXRmLTgiPz48UGVybWlzc2lvbkxpc3QgeG1sbnM6eHNkPSJodHRwOi8vd3d3LnczLm9yZy8yMDAxL1hNTFNjaGVtYSIgeG1sbnM6eHNpPSJodHRwOi8vd3d3LnczLm9yZy8yMDAxL1hNTFNjaGVtYS1pbnN0YW5jZSI+PENhbkV2YWx1YXRlRnV0dXJlUGFja2FnZXM+ZmFsc2U8L0NhbkV2YWx1YXRlRnV0dXJlUGFja2FnZXM+PEZpcmV3YWxsRW5hYmxlZD50cnVlPC9GaXJld2FsbEVuYWJsZWQ+PC9QZXJtaXNzaW9uTGlzdD6XAQAAAAAAAHUBAADvu788P3htbCB2ZXJzaW9uPSIxLjAiIGVuY29kaW5nPSJ1dGYtOCI/PjxMb2NhbFBhY2thZ2VNZXRhZGF0YUZpbGUgeG1sbnM6eHNkPSJodHRwOi8vd3d3LnczLm9yZy8yMDAxL1hNTFNjaGVtYSIgeG1sbnM6eHNpPSJodHRwOi8vd3d3LnczLm9yZy8yMDAxL1hNTFNjaGVtYS1pbnN0YW5jZSI+PEl0ZW1zPjxJdGVtPjxJdGVtTG9jYXRpb24+PEl0ZW1UeXBlPkFsbEZvcm11bGFzPC9JdGVtVHlwZT48SXRlbVBhdGggLz48L0l0ZW1Mb2NhdGlvbj48U3RhYmxlRW50cmllcz48RW50cnkgVHlwZT0iUmVsYXRpb25zaGlwcyIgVmFsdWU9InNBQUFBQUE9PSIgLz48L1N0YWJsZUVudHJpZXM+PC9JdGVtPjwvSXRlbXM+PC9Mb2NhbFBhY2thZ2VNZXRhZGF0YUZpbGU+FgAAAFBLBQYAAAAAAAAAAAAAAAAAAAAAAAAmAQAAAQAAANCMnd8BFdERjHoAwE/Cl+sBAAAAlTZes0Py/kmG4BQfu0xgowAAAAACAAAAAAAQZgAAAAEAACAAAACYdA7wbThO0gGew6RP1vR3isFJTQRgg2KZModxThFP7AAAAAAOgAAAAAIAACAAAACrUVRjwnAM5bdDUMMtVajrwPOxIWx95fSPzHMQWDE3U1AAAAArKebN3hUSZ2qKCwVEqt/j0IWPCpHsJKt2sTQ2Z3gP9WWrt0T41egTfhkHstWaeDsdic7UtExKpIzLY8pcmDU3WW1unP1zEzV0uYSY8VYQ9UAAAAAetm1rIsseeyrb8ESkUEaP3GKSrlN9CiEsL9ZEjUZDtAU4TD4veIjbyDoOdW1POIUfwMdszTVJHw7vjRuU7Xrh</DataMashup>
</file>

<file path=customXml/itemProps1.xml><?xml version="1.0" encoding="utf-8"?>
<ds:datastoreItem xmlns:ds="http://schemas.openxmlformats.org/officeDocument/2006/customXml" ds:itemID="{459EAE0E-C506-4E35-9E69-A9335AD0B87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LibreOffice/6.3.5.2$Windows_X86_64 LibreOffice_project/dd0751754f11728f69b42ee2af66670068624673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2020-03-25T16:54:03Z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